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7715" windowHeight="10560"/>
  </bookViews>
  <sheets>
    <sheet name="Hoja1" sheetId="1" r:id="rId1"/>
    <sheet name="Hoja2" sheetId="2" r:id="rId2"/>
    <sheet name="Hoja3" sheetId="3" r:id="rId3"/>
  </sheets>
  <externalReferences>
    <externalReference r:id="rId4"/>
  </externalReferences>
  <definedNames>
    <definedName name="_Toc208202813" localSheetId="0">Hoja1!$B$111</definedName>
  </definedNames>
  <calcPr calcId="145621"/>
</workbook>
</file>

<file path=xl/calcChain.xml><?xml version="1.0" encoding="utf-8"?>
<calcChain xmlns="http://schemas.openxmlformats.org/spreadsheetml/2006/main">
  <c r="C647" i="1" l="1"/>
  <c r="D641" i="1"/>
  <c r="D647" i="1" s="1"/>
  <c r="D640" i="1"/>
  <c r="D637" i="1"/>
  <c r="C637" i="1"/>
  <c r="C640" i="1" s="1"/>
  <c r="C648" i="1" s="1"/>
  <c r="C623" i="1" s="1"/>
  <c r="B632" i="1"/>
  <c r="D622" i="1"/>
  <c r="C622" i="1"/>
  <c r="B618" i="1"/>
  <c r="C612" i="1"/>
  <c r="C611" i="1"/>
  <c r="E610" i="1"/>
  <c r="D610" i="1"/>
  <c r="C610" i="1"/>
  <c r="D609" i="1"/>
  <c r="E609" i="1" s="1"/>
  <c r="E611" i="1" s="1"/>
  <c r="C609" i="1"/>
  <c r="B608" i="1"/>
  <c r="B621" i="1" s="1"/>
  <c r="B633" i="1" s="1"/>
  <c r="B605" i="1"/>
  <c r="E596" i="1"/>
  <c r="D596" i="1"/>
  <c r="C596" i="1"/>
  <c r="D595" i="1"/>
  <c r="E595" i="1" s="1"/>
  <c r="C595" i="1"/>
  <c r="D594" i="1"/>
  <c r="C594" i="1"/>
  <c r="E594" i="1" s="1"/>
  <c r="D593" i="1"/>
  <c r="C593" i="1"/>
  <c r="E593" i="1" s="1"/>
  <c r="E592" i="1"/>
  <c r="D592" i="1"/>
  <c r="C592" i="1"/>
  <c r="D591" i="1"/>
  <c r="E591" i="1" s="1"/>
  <c r="C591" i="1"/>
  <c r="D590" i="1"/>
  <c r="C590" i="1"/>
  <c r="E590" i="1" s="1"/>
  <c r="D589" i="1"/>
  <c r="C589" i="1"/>
  <c r="C597" i="1" s="1"/>
  <c r="C598" i="1" s="1"/>
  <c r="E588" i="1"/>
  <c r="D588" i="1"/>
  <c r="D597" i="1" s="1"/>
  <c r="C588" i="1"/>
  <c r="D587" i="1"/>
  <c r="D608" i="1" s="1"/>
  <c r="D621" i="1" s="1"/>
  <c r="D633" i="1" s="1"/>
  <c r="C587" i="1"/>
  <c r="C608" i="1" s="1"/>
  <c r="C621" i="1" s="1"/>
  <c r="B585" i="1"/>
  <c r="E572" i="1"/>
  <c r="E570" i="1"/>
  <c r="D570" i="1"/>
  <c r="D573" i="1" s="1"/>
  <c r="C570" i="1"/>
  <c r="D569" i="1"/>
  <c r="C569" i="1"/>
  <c r="B567" i="1"/>
  <c r="E559" i="1"/>
  <c r="D559" i="1"/>
  <c r="C559" i="1"/>
  <c r="D558" i="1"/>
  <c r="E558" i="1" s="1"/>
  <c r="C558" i="1"/>
  <c r="D557" i="1"/>
  <c r="C557" i="1"/>
  <c r="E557" i="1" s="1"/>
  <c r="D556" i="1"/>
  <c r="C556" i="1"/>
  <c r="E556" i="1" s="1"/>
  <c r="E555" i="1"/>
  <c r="D555" i="1"/>
  <c r="C555" i="1"/>
  <c r="D554" i="1"/>
  <c r="E554" i="1" s="1"/>
  <c r="C554" i="1"/>
  <c r="D553" i="1"/>
  <c r="D560" i="1" s="1"/>
  <c r="C553" i="1"/>
  <c r="C560" i="1" s="1"/>
  <c r="C561" i="1" s="1"/>
  <c r="D552" i="1"/>
  <c r="C552" i="1"/>
  <c r="B550" i="1"/>
  <c r="D543" i="1"/>
  <c r="D541" i="1"/>
  <c r="C541" i="1"/>
  <c r="C543" i="1" s="1"/>
  <c r="D540" i="1"/>
  <c r="C540" i="1"/>
  <c r="B538" i="1"/>
  <c r="D520" i="1"/>
  <c r="C520" i="1"/>
  <c r="E520" i="1" s="1"/>
  <c r="D519" i="1"/>
  <c r="C519" i="1"/>
  <c r="E519" i="1" s="1"/>
  <c r="E518" i="1"/>
  <c r="D518" i="1"/>
  <c r="C518" i="1"/>
  <c r="D517" i="1"/>
  <c r="E517" i="1" s="1"/>
  <c r="C517" i="1"/>
  <c r="D516" i="1"/>
  <c r="C516" i="1"/>
  <c r="E516" i="1" s="1"/>
  <c r="D515" i="1"/>
  <c r="C515" i="1"/>
  <c r="E515" i="1" s="1"/>
  <c r="E514" i="1"/>
  <c r="D514" i="1"/>
  <c r="C514" i="1"/>
  <c r="D513" i="1"/>
  <c r="E513" i="1" s="1"/>
  <c r="C513" i="1"/>
  <c r="D512" i="1"/>
  <c r="E512" i="1" s="1"/>
  <c r="C512" i="1"/>
  <c r="J511" i="1"/>
  <c r="D511" i="1"/>
  <c r="E511" i="1" s="1"/>
  <c r="C511" i="1"/>
  <c r="C521" i="1" s="1"/>
  <c r="L510" i="1"/>
  <c r="L512" i="1" s="1"/>
  <c r="K510" i="1"/>
  <c r="D510" i="1"/>
  <c r="C510" i="1"/>
  <c r="B510" i="1"/>
  <c r="L509" i="1"/>
  <c r="L508" i="1"/>
  <c r="K508" i="1"/>
  <c r="B508" i="1"/>
  <c r="K507" i="1"/>
  <c r="K506" i="1"/>
  <c r="E503" i="1"/>
  <c r="D503" i="1"/>
  <c r="C503" i="1"/>
  <c r="E502" i="1"/>
  <c r="D502" i="1"/>
  <c r="C502" i="1"/>
  <c r="E501" i="1"/>
  <c r="D501" i="1"/>
  <c r="C501" i="1"/>
  <c r="E500" i="1"/>
  <c r="D500" i="1"/>
  <c r="C500" i="1"/>
  <c r="E499" i="1"/>
  <c r="D499" i="1"/>
  <c r="C499" i="1"/>
  <c r="E498" i="1"/>
  <c r="D498" i="1"/>
  <c r="C498" i="1"/>
  <c r="E497" i="1"/>
  <c r="D497" i="1"/>
  <c r="C497" i="1"/>
  <c r="E496" i="1"/>
  <c r="D496" i="1"/>
  <c r="C496" i="1"/>
  <c r="E495" i="1"/>
  <c r="D495" i="1"/>
  <c r="C495" i="1"/>
  <c r="E494" i="1"/>
  <c r="D494" i="1"/>
  <c r="C494" i="1"/>
  <c r="E493" i="1"/>
  <c r="D493" i="1"/>
  <c r="C493" i="1"/>
  <c r="E492" i="1"/>
  <c r="E504" i="1" s="1"/>
  <c r="D492" i="1"/>
  <c r="D504" i="1" s="1"/>
  <c r="C492" i="1"/>
  <c r="C504" i="1" s="1"/>
  <c r="S485" i="1"/>
  <c r="T485" i="1" s="1"/>
  <c r="V484" i="1"/>
  <c r="U484" i="1"/>
  <c r="T484" i="1"/>
  <c r="S484" i="1"/>
  <c r="W484" i="1" s="1"/>
  <c r="S483" i="1"/>
  <c r="T483" i="1" s="1"/>
  <c r="U482" i="1"/>
  <c r="T482" i="1"/>
  <c r="S482" i="1"/>
  <c r="S486" i="1" s="1"/>
  <c r="V481" i="1"/>
  <c r="U481" i="1"/>
  <c r="T481" i="1"/>
  <c r="S481" i="1"/>
  <c r="R481" i="1"/>
  <c r="V480" i="1"/>
  <c r="U480" i="1"/>
  <c r="T480" i="1"/>
  <c r="S480" i="1"/>
  <c r="R480" i="1" s="1"/>
  <c r="V479" i="1"/>
  <c r="U479" i="1"/>
  <c r="T478" i="1"/>
  <c r="N478" i="1"/>
  <c r="D477" i="1"/>
  <c r="U478" i="1" s="1"/>
  <c r="N476" i="1"/>
  <c r="C476" i="1"/>
  <c r="T476" i="1" s="1"/>
  <c r="S475" i="1"/>
  <c r="C475" i="1"/>
  <c r="T475" i="1" s="1"/>
  <c r="V474" i="1"/>
  <c r="D474" i="1"/>
  <c r="T479" i="1" s="1"/>
  <c r="C474" i="1"/>
  <c r="S474" i="1" s="1"/>
  <c r="D473" i="1"/>
  <c r="C473" i="1"/>
  <c r="B472" i="1"/>
  <c r="B469" i="1"/>
  <c r="U463" i="1"/>
  <c r="D462" i="1"/>
  <c r="V463" i="1" s="1"/>
  <c r="C462" i="1"/>
  <c r="T462" i="1" s="1"/>
  <c r="D460" i="1"/>
  <c r="C460" i="1"/>
  <c r="E460" i="1" s="1"/>
  <c r="E462" i="1" s="1"/>
  <c r="E464" i="1" s="1"/>
  <c r="D464" i="1" s="1"/>
  <c r="B455" i="1"/>
  <c r="AA444" i="1"/>
  <c r="X444" i="1"/>
  <c r="AA443" i="1"/>
  <c r="C443" i="1"/>
  <c r="W443" i="1" s="1"/>
  <c r="C442" i="1"/>
  <c r="E442" i="1" s="1"/>
  <c r="C441" i="1"/>
  <c r="E441" i="1" s="1"/>
  <c r="C440" i="1"/>
  <c r="E440" i="1" s="1"/>
  <c r="D439" i="1"/>
  <c r="C439" i="1"/>
  <c r="D438" i="1"/>
  <c r="C438" i="1"/>
  <c r="B435" i="1"/>
  <c r="AA429" i="1"/>
  <c r="Y429" i="1"/>
  <c r="X429" i="1"/>
  <c r="W429" i="1"/>
  <c r="AA428" i="1"/>
  <c r="Y428" i="1"/>
  <c r="D427" i="1"/>
  <c r="E427" i="1" s="1"/>
  <c r="C427" i="1"/>
  <c r="D426" i="1"/>
  <c r="C426" i="1"/>
  <c r="E426" i="1" s="1"/>
  <c r="D425" i="1"/>
  <c r="C425" i="1"/>
  <c r="E425" i="1" s="1"/>
  <c r="E424" i="1"/>
  <c r="D424" i="1"/>
  <c r="C424" i="1"/>
  <c r="D423" i="1"/>
  <c r="E423" i="1" s="1"/>
  <c r="C423" i="1"/>
  <c r="D422" i="1"/>
  <c r="C422" i="1"/>
  <c r="E422" i="1" s="1"/>
  <c r="E428" i="1" s="1"/>
  <c r="D421" i="1"/>
  <c r="C421" i="1"/>
  <c r="E421" i="1" s="1"/>
  <c r="B416" i="1"/>
  <c r="D405" i="1"/>
  <c r="S406" i="1" s="1"/>
  <c r="D403" i="1"/>
  <c r="C403" i="1"/>
  <c r="E403" i="1" s="1"/>
  <c r="D402" i="1"/>
  <c r="C402" i="1"/>
  <c r="C405" i="1" s="1"/>
  <c r="B398" i="1"/>
  <c r="D393" i="1"/>
  <c r="D392" i="1"/>
  <c r="C392" i="1"/>
  <c r="E392" i="1" s="1"/>
  <c r="E393" i="1" s="1"/>
  <c r="E395" i="1" s="1"/>
  <c r="D395" i="1" s="1"/>
  <c r="U383" i="1"/>
  <c r="T383" i="1"/>
  <c r="E382" i="1"/>
  <c r="E384" i="1" s="1"/>
  <c r="D384" i="1" s="1"/>
  <c r="E381" i="1"/>
  <c r="D381" i="1"/>
  <c r="C381" i="1"/>
  <c r="E380" i="1"/>
  <c r="E379" i="1"/>
  <c r="D379" i="1"/>
  <c r="D382" i="1" s="1"/>
  <c r="C379" i="1"/>
  <c r="C382" i="1" s="1"/>
  <c r="V382" i="1" s="1"/>
  <c r="D378" i="1"/>
  <c r="C378" i="1"/>
  <c r="B374" i="1"/>
  <c r="U368" i="1"/>
  <c r="E367" i="1"/>
  <c r="E369" i="1" s="1"/>
  <c r="D367" i="1"/>
  <c r="S368" i="1" s="1"/>
  <c r="D366" i="1"/>
  <c r="D571" i="1" s="1"/>
  <c r="C366" i="1"/>
  <c r="D365" i="1"/>
  <c r="C365" i="1"/>
  <c r="E365" i="1" s="1"/>
  <c r="D364" i="1"/>
  <c r="C364" i="1"/>
  <c r="B361" i="1"/>
  <c r="D312" i="1"/>
  <c r="C312" i="1"/>
  <c r="E312" i="1" s="1"/>
  <c r="D310" i="1"/>
  <c r="E309" i="1"/>
  <c r="D308" i="1"/>
  <c r="C308" i="1"/>
  <c r="C310" i="1" s="1"/>
  <c r="E307" i="1"/>
  <c r="E306" i="1"/>
  <c r="E305" i="1"/>
  <c r="E308" i="1" s="1"/>
  <c r="E310" i="1" s="1"/>
  <c r="C303" i="1"/>
  <c r="E302" i="1"/>
  <c r="D301" i="1"/>
  <c r="D303" i="1" s="1"/>
  <c r="C301" i="1"/>
  <c r="E300" i="1"/>
  <c r="E301" i="1" s="1"/>
  <c r="E303" i="1" s="1"/>
  <c r="E299" i="1"/>
  <c r="E297" i="1"/>
  <c r="F296" i="1"/>
  <c r="C294" i="1"/>
  <c r="C293" i="1"/>
  <c r="D291" i="1"/>
  <c r="E291" i="1" s="1"/>
  <c r="C291" i="1"/>
  <c r="D290" i="1"/>
  <c r="E290" i="1" s="1"/>
  <c r="C290" i="1"/>
  <c r="C295" i="1" s="1"/>
  <c r="E285" i="1"/>
  <c r="D284" i="1"/>
  <c r="C284" i="1"/>
  <c r="E284" i="1" s="1"/>
  <c r="D283" i="1"/>
  <c r="C283" i="1"/>
  <c r="E283" i="1" s="1"/>
  <c r="E280" i="1"/>
  <c r="D279" i="1"/>
  <c r="D281" i="1" s="1"/>
  <c r="D288" i="1" s="1"/>
  <c r="C279" i="1"/>
  <c r="C281" i="1" s="1"/>
  <c r="E278" i="1"/>
  <c r="E277" i="1"/>
  <c r="E279" i="1" s="1"/>
  <c r="E276" i="1"/>
  <c r="D273" i="1"/>
  <c r="D275" i="1" s="1"/>
  <c r="C272" i="1"/>
  <c r="C271" i="1"/>
  <c r="E270" i="1"/>
  <c r="D269" i="1"/>
  <c r="C269" i="1" s="1"/>
  <c r="D268" i="1"/>
  <c r="E265" i="1"/>
  <c r="C263" i="1"/>
  <c r="B263" i="1"/>
  <c r="B272" i="1" s="1"/>
  <c r="B287" i="1" s="1"/>
  <c r="B294" i="1" s="1"/>
  <c r="E261" i="1"/>
  <c r="E260" i="1"/>
  <c r="D260" i="1"/>
  <c r="D259" i="1"/>
  <c r="D264" i="1" s="1"/>
  <c r="D266" i="1" s="1"/>
  <c r="C259" i="1"/>
  <c r="C264" i="1" s="1"/>
  <c r="C266" i="1" s="1"/>
  <c r="E256" i="1"/>
  <c r="C254" i="1"/>
  <c r="B254" i="1"/>
  <c r="C253" i="1"/>
  <c r="B253" i="1"/>
  <c r="B262" i="1" s="1"/>
  <c r="B271" i="1" s="1"/>
  <c r="B286" i="1" s="1"/>
  <c r="B293" i="1" s="1"/>
  <c r="E252" i="1"/>
  <c r="B252" i="1"/>
  <c r="B261" i="1" s="1"/>
  <c r="B270" i="1" s="1"/>
  <c r="B285" i="1" s="1"/>
  <c r="B292" i="1" s="1"/>
  <c r="E251" i="1"/>
  <c r="D251" i="1"/>
  <c r="B251" i="1"/>
  <c r="B260" i="1" s="1"/>
  <c r="B269" i="1" s="1"/>
  <c r="B284" i="1" s="1"/>
  <c r="B291" i="1" s="1"/>
  <c r="D250" i="1"/>
  <c r="E250" i="1" s="1"/>
  <c r="E255" i="1" s="1"/>
  <c r="E257" i="1" s="1"/>
  <c r="C250" i="1"/>
  <c r="C255" i="1" s="1"/>
  <c r="C257" i="1" s="1"/>
  <c r="B250" i="1"/>
  <c r="B259" i="1" s="1"/>
  <c r="B268" i="1" s="1"/>
  <c r="B283" i="1" s="1"/>
  <c r="B290" i="1" s="1"/>
  <c r="E247" i="1"/>
  <c r="C245" i="1"/>
  <c r="C244" i="1"/>
  <c r="E243" i="1"/>
  <c r="D241" i="1"/>
  <c r="C241" i="1" s="1"/>
  <c r="D238" i="1"/>
  <c r="C238" i="1"/>
  <c r="B237" i="1"/>
  <c r="B234" i="1"/>
  <c r="E209" i="1"/>
  <c r="E205" i="1"/>
  <c r="E203" i="1"/>
  <c r="E202" i="1"/>
  <c r="E201" i="1"/>
  <c r="E200" i="1"/>
  <c r="E199" i="1"/>
  <c r="E198" i="1"/>
  <c r="E197" i="1"/>
  <c r="E206" i="1" s="1"/>
  <c r="B193" i="1"/>
  <c r="V186" i="1"/>
  <c r="C186" i="1"/>
  <c r="U186" i="1" s="1"/>
  <c r="E185" i="1"/>
  <c r="D185" i="1"/>
  <c r="D186" i="1" s="1"/>
  <c r="C185" i="1"/>
  <c r="D183" i="1"/>
  <c r="E183" i="1" s="1"/>
  <c r="C183" i="1"/>
  <c r="D182" i="1"/>
  <c r="C182" i="1"/>
  <c r="E182" i="1" s="1"/>
  <c r="C181" i="1"/>
  <c r="D180" i="1"/>
  <c r="B177" i="1"/>
  <c r="V167" i="1"/>
  <c r="C167" i="1"/>
  <c r="U167" i="1" s="1"/>
  <c r="E166" i="1"/>
  <c r="D166" i="1"/>
  <c r="C166" i="1"/>
  <c r="D165" i="1"/>
  <c r="E165" i="1" s="1"/>
  <c r="E167" i="1" s="1"/>
  <c r="C165" i="1"/>
  <c r="D164" i="1"/>
  <c r="C164" i="1"/>
  <c r="C180" i="1" s="1"/>
  <c r="B161" i="1"/>
  <c r="D153" i="1"/>
  <c r="S154" i="1" s="1"/>
  <c r="D152" i="1"/>
  <c r="C152" i="1"/>
  <c r="E152" i="1" s="1"/>
  <c r="D150" i="1"/>
  <c r="D208" i="1" s="1"/>
  <c r="C150" i="1"/>
  <c r="B147" i="1"/>
  <c r="D141" i="1"/>
  <c r="S142" i="1" s="1"/>
  <c r="C141" i="1"/>
  <c r="S141" i="1" s="1"/>
  <c r="D140" i="1"/>
  <c r="U141" i="1" s="1"/>
  <c r="C140" i="1"/>
  <c r="E140" i="1" s="1"/>
  <c r="E139" i="1"/>
  <c r="D139" i="1"/>
  <c r="C139" i="1"/>
  <c r="D138" i="1"/>
  <c r="D391" i="1" s="1"/>
  <c r="C138" i="1"/>
  <c r="B135" i="1"/>
  <c r="B388" i="1" s="1"/>
  <c r="X125" i="1"/>
  <c r="D123" i="1"/>
  <c r="C123" i="1"/>
  <c r="D122" i="1"/>
  <c r="E122" i="1" s="1"/>
  <c r="C122" i="1"/>
  <c r="D121" i="1"/>
  <c r="C121" i="1"/>
  <c r="E121" i="1" s="1"/>
  <c r="D120" i="1"/>
  <c r="C120" i="1"/>
  <c r="E120" i="1" s="1"/>
  <c r="E119" i="1"/>
  <c r="D119" i="1"/>
  <c r="C119" i="1"/>
  <c r="D118" i="1"/>
  <c r="E118" i="1" s="1"/>
  <c r="C118" i="1"/>
  <c r="D117" i="1"/>
  <c r="D124" i="1" s="1"/>
  <c r="C117" i="1"/>
  <c r="E117" i="1" s="1"/>
  <c r="D116" i="1"/>
  <c r="C116" i="1"/>
  <c r="E116" i="1" s="1"/>
  <c r="E124" i="1" s="1"/>
  <c r="E126" i="1" s="1"/>
  <c r="D126" i="1" s="1"/>
  <c r="D115" i="1"/>
  <c r="C115" i="1"/>
  <c r="B112" i="1"/>
  <c r="B14" i="1"/>
  <c r="E269" i="1" l="1"/>
  <c r="C268" i="1"/>
  <c r="E169" i="1"/>
  <c r="D169" i="1" s="1"/>
  <c r="E241" i="1"/>
  <c r="E295" i="1"/>
  <c r="T187" i="1"/>
  <c r="S187" i="1"/>
  <c r="U187" i="1"/>
  <c r="R154" i="1"/>
  <c r="D210" i="1"/>
  <c r="D211" i="1" s="1"/>
  <c r="C210" i="1"/>
  <c r="E207" i="1"/>
  <c r="U125" i="1"/>
  <c r="W125" i="1"/>
  <c r="V125" i="1"/>
  <c r="T125" i="1"/>
  <c r="E141" i="1"/>
  <c r="E281" i="1"/>
  <c r="E288" i="1" s="1"/>
  <c r="E430" i="1"/>
  <c r="D430" i="1" s="1"/>
  <c r="X428" i="1"/>
  <c r="C208" i="1"/>
  <c r="D255" i="1"/>
  <c r="D257" i="1" s="1"/>
  <c r="C187" i="1"/>
  <c r="T142" i="1"/>
  <c r="C151" i="1"/>
  <c r="D167" i="1"/>
  <c r="T167" i="1"/>
  <c r="D181" i="1"/>
  <c r="E181" i="1" s="1"/>
  <c r="T186" i="1"/>
  <c r="S383" i="1"/>
  <c r="V383" i="1"/>
  <c r="U382" i="1"/>
  <c r="D459" i="1"/>
  <c r="E521" i="1"/>
  <c r="C624" i="1"/>
  <c r="C124" i="1"/>
  <c r="T154" i="1"/>
  <c r="D246" i="1"/>
  <c r="D248" i="1" s="1"/>
  <c r="T141" i="1"/>
  <c r="R141" i="1" s="1"/>
  <c r="S167" i="1"/>
  <c r="C168" i="1"/>
  <c r="S186" i="1"/>
  <c r="R186" i="1" s="1"/>
  <c r="E259" i="1"/>
  <c r="E264" i="1" s="1"/>
  <c r="E266" i="1" s="1"/>
  <c r="C142" i="1"/>
  <c r="E186" i="1"/>
  <c r="E188" i="1" s="1"/>
  <c r="D188" i="1" s="1"/>
  <c r="C288" i="1"/>
  <c r="C296" i="1" s="1"/>
  <c r="T368" i="1"/>
  <c r="C393" i="1"/>
  <c r="D401" i="1"/>
  <c r="D420" i="1" s="1"/>
  <c r="D428" i="1"/>
  <c r="R484" i="1"/>
  <c r="E543" i="1"/>
  <c r="E545" i="1" s="1"/>
  <c r="D545" i="1" s="1"/>
  <c r="C544" i="1"/>
  <c r="E613" i="1"/>
  <c r="D613" i="1" s="1"/>
  <c r="D624" i="1"/>
  <c r="D648" i="1"/>
  <c r="D623" i="1" s="1"/>
  <c r="C459" i="1"/>
  <c r="C401" i="1"/>
  <c r="C391" i="1"/>
  <c r="B389" i="1" s="1"/>
  <c r="V405" i="1"/>
  <c r="T405" i="1"/>
  <c r="C406" i="1"/>
  <c r="T406" i="1"/>
  <c r="R406" i="1" s="1"/>
  <c r="U406" i="1"/>
  <c r="D443" i="1"/>
  <c r="E439" i="1"/>
  <c r="E443" i="1" s="1"/>
  <c r="E445" i="1" s="1"/>
  <c r="D445" i="1" s="1"/>
  <c r="T443" i="1"/>
  <c r="V443" i="1"/>
  <c r="C444" i="1"/>
  <c r="U443" i="1"/>
  <c r="R474" i="1"/>
  <c r="D295" i="1"/>
  <c r="D296" i="1" s="1"/>
  <c r="C571" i="1"/>
  <c r="C367" i="1"/>
  <c r="E366" i="1"/>
  <c r="T382" i="1"/>
  <c r="S382" i="1"/>
  <c r="R382" i="1" s="1"/>
  <c r="U405" i="1"/>
  <c r="S443" i="1"/>
  <c r="R443" i="1" s="1"/>
  <c r="V486" i="1"/>
  <c r="U486" i="1"/>
  <c r="T486" i="1"/>
  <c r="R486" i="1" s="1"/>
  <c r="B481" i="1" s="1"/>
  <c r="C522" i="1"/>
  <c r="C633" i="1"/>
  <c r="E623" i="1"/>
  <c r="C428" i="1"/>
  <c r="U462" i="1"/>
  <c r="S463" i="1"/>
  <c r="T474" i="1"/>
  <c r="E475" i="1"/>
  <c r="U475" i="1"/>
  <c r="R475" i="1" s="1"/>
  <c r="U476" i="1"/>
  <c r="V478" i="1"/>
  <c r="S479" i="1"/>
  <c r="R479" i="1" s="1"/>
  <c r="V482" i="1"/>
  <c r="R482" i="1" s="1"/>
  <c r="U483" i="1"/>
  <c r="R483" i="1" s="1"/>
  <c r="U485" i="1"/>
  <c r="E541" i="1"/>
  <c r="E553" i="1"/>
  <c r="E560" i="1" s="1"/>
  <c r="E562" i="1" s="1"/>
  <c r="D562" i="1" s="1"/>
  <c r="D611" i="1"/>
  <c r="E622" i="1"/>
  <c r="E624" i="1" s="1"/>
  <c r="E402" i="1"/>
  <c r="E405" i="1" s="1"/>
  <c r="E407" i="1" s="1"/>
  <c r="D407" i="1" s="1"/>
  <c r="V462" i="1"/>
  <c r="T463" i="1"/>
  <c r="E474" i="1"/>
  <c r="U474" i="1"/>
  <c r="V475" i="1"/>
  <c r="V476" i="1"/>
  <c r="S478" i="1"/>
  <c r="R478" i="1" s="1"/>
  <c r="V483" i="1"/>
  <c r="V485" i="1"/>
  <c r="R485" i="1" s="1"/>
  <c r="E589" i="1"/>
  <c r="E597" i="1" s="1"/>
  <c r="E599" i="1" s="1"/>
  <c r="D599" i="1" s="1"/>
  <c r="S462" i="1"/>
  <c r="C463" i="1"/>
  <c r="S476" i="1"/>
  <c r="R476" i="1" s="1"/>
  <c r="C477" i="1"/>
  <c r="W483" i="1"/>
  <c r="D521" i="1"/>
  <c r="E523" i="1" s="1"/>
  <c r="D523" i="1" s="1"/>
  <c r="E476" i="1"/>
  <c r="B482" i="1" l="1"/>
  <c r="C298" i="1"/>
  <c r="R462" i="1"/>
  <c r="E477" i="1"/>
  <c r="E479" i="1" s="1"/>
  <c r="D479" i="1" s="1"/>
  <c r="E626" i="1"/>
  <c r="D626" i="1" s="1"/>
  <c r="C573" i="1"/>
  <c r="C574" i="1" s="1"/>
  <c r="E571" i="1"/>
  <c r="E573" i="1" s="1"/>
  <c r="E575" i="1" s="1"/>
  <c r="D575" i="1" s="1"/>
  <c r="T444" i="1"/>
  <c r="V444" i="1"/>
  <c r="U444" i="1"/>
  <c r="W444" i="1"/>
  <c r="S444" i="1"/>
  <c r="R405" i="1"/>
  <c r="C153" i="1"/>
  <c r="E151" i="1"/>
  <c r="E153" i="1" s="1"/>
  <c r="E155" i="1" s="1"/>
  <c r="D155" i="1" s="1"/>
  <c r="E210" i="1"/>
  <c r="E211" i="1" s="1"/>
  <c r="E213" i="1" s="1"/>
  <c r="D213" i="1" s="1"/>
  <c r="C211" i="1"/>
  <c r="R187" i="1"/>
  <c r="T477" i="1"/>
  <c r="C478" i="1"/>
  <c r="S477" i="1"/>
  <c r="R477" i="1" s="1"/>
  <c r="V477" i="1"/>
  <c r="U477" i="1"/>
  <c r="R463" i="1"/>
  <c r="B456" i="1" s="1"/>
  <c r="R167" i="1"/>
  <c r="E143" i="1"/>
  <c r="D143" i="1" s="1"/>
  <c r="U142" i="1"/>
  <c r="R142" i="1" s="1"/>
  <c r="B136" i="1" s="1"/>
  <c r="U212" i="1"/>
  <c r="D212" i="1"/>
  <c r="V212" i="1"/>
  <c r="T212" i="1"/>
  <c r="S212" i="1"/>
  <c r="E268" i="1"/>
  <c r="E273" i="1" s="1"/>
  <c r="E275" i="1" s="1"/>
  <c r="C273" i="1"/>
  <c r="C275" i="1" s="1"/>
  <c r="B470" i="1"/>
  <c r="U625" i="1"/>
  <c r="T625" i="1"/>
  <c r="S625" i="1"/>
  <c r="V625" i="1"/>
  <c r="U124" i="1"/>
  <c r="C125" i="1"/>
  <c r="Y125" i="1" s="1"/>
  <c r="W124" i="1"/>
  <c r="V124" i="1"/>
  <c r="T124" i="1"/>
  <c r="E296" i="1"/>
  <c r="E298" i="1" s="1"/>
  <c r="AB428" i="1"/>
  <c r="U428" i="1"/>
  <c r="C429" i="1"/>
  <c r="T428" i="1"/>
  <c r="V428" i="1"/>
  <c r="S367" i="1"/>
  <c r="R367" i="1" s="1"/>
  <c r="B362" i="1" s="1"/>
  <c r="V367" i="1"/>
  <c r="T367" i="1"/>
  <c r="U367" i="1"/>
  <c r="D313" i="1"/>
  <c r="D298" i="1"/>
  <c r="D311" i="1" s="1"/>
  <c r="C420" i="1"/>
  <c r="B399" i="1"/>
  <c r="T429" i="1"/>
  <c r="W428" i="1"/>
  <c r="V429" i="1"/>
  <c r="U429" i="1"/>
  <c r="S429" i="1"/>
  <c r="R429" i="1" s="1"/>
  <c r="AB429" i="1"/>
  <c r="B178" i="1"/>
  <c r="V624" i="1"/>
  <c r="U624" i="1"/>
  <c r="T624" i="1"/>
  <c r="S624" i="1"/>
  <c r="R383" i="1"/>
  <c r="B375" i="1" s="1"/>
  <c r="U168" i="1"/>
  <c r="S168" i="1"/>
  <c r="T168" i="1"/>
  <c r="V168" i="1"/>
  <c r="R125" i="1"/>
  <c r="C242" i="1"/>
  <c r="R625" i="1" l="1"/>
  <c r="R444" i="1"/>
  <c r="B436" i="1" s="1"/>
  <c r="E242" i="1"/>
  <c r="E246" i="1" s="1"/>
  <c r="E248" i="1" s="1"/>
  <c r="C246" i="1"/>
  <c r="C248" i="1" s="1"/>
  <c r="C313" i="1" s="1"/>
  <c r="R624" i="1"/>
  <c r="B619" i="1" s="1"/>
  <c r="B417" i="1"/>
  <c r="R428" i="1"/>
  <c r="E311" i="1"/>
  <c r="E313" i="1" s="1"/>
  <c r="E315" i="1" s="1"/>
  <c r="D315" i="1" s="1"/>
  <c r="S153" i="1"/>
  <c r="R153" i="1" s="1"/>
  <c r="B148" i="1" s="1"/>
  <c r="U153" i="1"/>
  <c r="T153" i="1"/>
  <c r="R168" i="1"/>
  <c r="R124" i="1"/>
  <c r="B113" i="1" s="1"/>
  <c r="B162" i="1"/>
  <c r="V211" i="1"/>
  <c r="T211" i="1"/>
  <c r="U211" i="1"/>
  <c r="C212" i="1"/>
  <c r="S211" i="1"/>
  <c r="R211" i="1" s="1"/>
  <c r="B194" i="1" s="1"/>
  <c r="R212" i="1"/>
  <c r="C311" i="1"/>
</calcChain>
</file>

<file path=xl/sharedStrings.xml><?xml version="1.0" encoding="utf-8"?>
<sst xmlns="http://schemas.openxmlformats.org/spreadsheetml/2006/main" count="410" uniqueCount="342">
  <si>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</si>
  <si>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</si>
  <si>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</si>
  <si>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</si>
  <si>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</si>
  <si>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</si>
  <si>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</si>
  <si>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</si>
  <si>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</si>
  <si>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Grullon</t>
  </si>
  <si>
    <t>Directora Administrativa Financiera</t>
  </si>
  <si>
    <t>Heidy Mariel  Colon  Estévez de Jiménez</t>
  </si>
  <si>
    <t>Directora Recursos Humanos</t>
  </si>
  <si>
    <t>Julio  Henríquez Tejada</t>
  </si>
  <si>
    <t xml:space="preserve">Director Gerencia Tecnica </t>
  </si>
  <si>
    <t xml:space="preserve">Jose Gregorio Henriquez </t>
  </si>
  <si>
    <t>Director Comercial</t>
  </si>
  <si>
    <t>Joel Andrés Bautista Gómez</t>
  </si>
  <si>
    <t>Jurídico</t>
  </si>
  <si>
    <t>Stephany Almonte</t>
  </si>
  <si>
    <t>Enc. Dpto Administrativa</t>
  </si>
  <si>
    <t>Nilo Cipriano Tavarez Santiago</t>
  </si>
  <si>
    <t>Enc. de Tecnología</t>
  </si>
  <si>
    <t>Gullermina del Carmen Florentino</t>
  </si>
  <si>
    <t>Enc. Dpto Financiero</t>
  </si>
  <si>
    <t>Robinson Expedito Durán Barcacel</t>
  </si>
  <si>
    <t>Enc. RR PP</t>
  </si>
  <si>
    <t>Juan José Sánchez</t>
  </si>
  <si>
    <t>Enc. Control y Análisis</t>
  </si>
  <si>
    <t>Paula Maileny Morillo Arias</t>
  </si>
  <si>
    <t>Enc. Contabilidad</t>
  </si>
  <si>
    <t>Lucianny Pérez Garcia</t>
  </si>
  <si>
    <t>Enc. Presupuesto</t>
  </si>
  <si>
    <t>Ely Saul Espinal Reyes</t>
  </si>
  <si>
    <t>Enc. Planta La Dura</t>
  </si>
  <si>
    <t>Altagracia Almonte</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</si>
  <si>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</si>
  <si>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</si>
  <si>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</si>
  <si>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</si>
  <si>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</si>
  <si>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aprobado cubre el periodo fiscal que va desde el 1ro. de enero hasta el 31 de diciembre de 2022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</si>
  <si>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</si>
  <si>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</si>
  <si>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</si>
  <si>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</si>
  <si>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</si>
  <si>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</si>
  <si>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</si>
  <si>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</si>
  <si>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</si>
  <si>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</si>
  <si>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2022 y 31de diciembre 2021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</si>
  <si>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</si>
  <si>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</si>
  <si>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</si>
  <si>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</si>
  <si>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</si>
  <si>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</si>
  <si>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</si>
  <si>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</si>
  <si>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</si>
  <si>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</si>
  <si>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</si>
  <si>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</si>
  <si>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</si>
  <si>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</si>
  <si>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</si>
  <si>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</si>
  <si>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</si>
  <si>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</si>
  <si>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</si>
  <si>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</si>
  <si>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</si>
  <si>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</si>
  <si>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</si>
  <si>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</si>
  <si>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</si>
  <si>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</si>
  <si>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</si>
  <si>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</si>
  <si>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</si>
  <si>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</si>
  <si>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</si>
  <si>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</si>
  <si>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</si>
  <si>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</si>
  <si>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</si>
  <si>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</si>
  <si>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</si>
  <si>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</si>
  <si>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</si>
  <si>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DESCRIPCIÓN</t>
  </si>
  <si>
    <t>Diferencia</t>
  </si>
  <si>
    <t>EECTIVO EN CAJA</t>
  </si>
  <si>
    <t>EECTIVO EN CAJA CHICA</t>
  </si>
  <si>
    <t>RESERVAS CTA. 100011701025466 (Cuenta Institucional)</t>
  </si>
  <si>
    <t>RESERVAS CTA. 100011701027264 (Cuenta Institucional)</t>
  </si>
  <si>
    <t>RESERVAS CTA.100011701024303(Cuenta Institucional)</t>
  </si>
  <si>
    <t>CUENTA  9604127870  (Cuenta UnicaTesoro)</t>
  </si>
  <si>
    <t>CUENTA  9995095001  (Cuenta UnicaTesoro)</t>
  </si>
  <si>
    <t xml:space="preserve"> CTA FONDO 100  0100255001  (Cuenta UnicaTesoro)</t>
  </si>
  <si>
    <t>Total Efectivo y equivalentes de efectivo.</t>
  </si>
  <si>
    <t>Cambio porcentual con relación al 2021</t>
  </si>
  <si>
    <t xml:space="preserve"> Nota #8</t>
  </si>
  <si>
    <t>Inversiones a corto plazo</t>
  </si>
  <si>
    <t>Inventarios de Mercancías</t>
  </si>
  <si>
    <t>Deposito a plazo fijo</t>
  </si>
  <si>
    <t>Total Inversiones a corto plazo</t>
  </si>
  <si>
    <t>Nota #9</t>
  </si>
  <si>
    <t>Cuentas por cobrar a corto plazo</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</si>
  <si>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</si>
  <si>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</si>
  <si>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</si>
  <si>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</si>
  <si>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</si>
  <si>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</si>
  <si>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</si>
  <si>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</si>
  <si>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</si>
  <si>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</si>
  <si>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</si>
  <si>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</si>
  <si>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consimido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</si>
  <si>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</si>
  <si>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</si>
  <si>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</si>
  <si>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</si>
  <si>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</si>
  <si>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</si>
  <si>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</si>
  <si>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</si>
  <si>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</si>
  <si>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</si>
  <si>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</si>
  <si>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</si>
  <si>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</si>
  <si>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</si>
  <si>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</si>
  <si>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</si>
  <si>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</si>
  <si>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</si>
  <si>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</si>
  <si>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</si>
  <si>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</si>
  <si>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</si>
  <si>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</si>
  <si>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</si>
  <si>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</si>
  <si>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</si>
  <si>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</si>
  <si>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 xml:space="preserve">Nota # 13 </t>
  </si>
  <si>
    <t>Propiedad planta y equipo</t>
  </si>
  <si>
    <r>
      <t>L</t>
    </r>
    <r>
      <rPr>
        <sz val="11"/>
        <color indexed="8"/>
        <rFont val="Times New Roman"/>
        <family val="1"/>
      </rPr>
      <t>os balances de las cuentas de Propiedad planta y equipo están integrados por los valores históricos registrados.</t>
    </r>
  </si>
  <si>
    <t>La depreciación de los activos que ha establecido la DIGECOG es  el  método lineal, la  institución  realizo la aplicación de  depreciación en estos periodos, partiendo de los valores históricos de cada cuentas.</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</si>
  <si>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</si>
  <si>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</si>
  <si>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</si>
  <si>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</si>
  <si>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</si>
  <si>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</si>
  <si>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</si>
  <si>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</si>
  <si>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</si>
  <si>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</si>
  <si>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</si>
  <si>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</si>
  <si>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</si>
  <si>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 xml:space="preserve"> </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</si>
  <si>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</si>
  <si>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</si>
  <si>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</si>
  <si>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</si>
  <si>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</si>
  <si>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</si>
  <si>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</si>
  <si>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</si>
  <si>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</si>
  <si>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</si>
  <si>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</si>
  <si>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</si>
  <si>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</si>
  <si>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</si>
  <si>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</si>
  <si>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</si>
  <si>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</si>
  <si>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</si>
  <si>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</si>
  <si>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</si>
  <si>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</si>
  <si>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</si>
  <si>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</si>
  <si>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</si>
  <si>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</si>
  <si>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</si>
  <si>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</si>
  <si>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</si>
  <si>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</si>
  <si>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</si>
  <si>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</si>
  <si>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</si>
  <si>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</si>
  <si>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</si>
  <si>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</si>
  <si>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</si>
  <si>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</si>
  <si>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</si>
  <si>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 xml:space="preserve">Nota #  14  </t>
  </si>
  <si>
    <t xml:space="preserve">Activos Intangible </t>
  </si>
  <si>
    <t>Programa informaticos (1 año)</t>
  </si>
  <si>
    <t>Amortizacion Programa informaticos</t>
  </si>
  <si>
    <t>Total</t>
  </si>
  <si>
    <t>Nota # 15</t>
  </si>
  <si>
    <t>Cuentas por pagar a corto plazo</t>
  </si>
  <si>
    <t xml:space="preserve"> ** Otras Cuentas por pagar están integrada por  Otro proveedores directo a pagar a corto plazo   cuenta por pagar usos internos por cheques anulados  fuera de fecha.</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</si>
  <si>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</si>
  <si>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</si>
  <si>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</si>
  <si>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</si>
  <si>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</si>
  <si>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</si>
  <si>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</si>
  <si>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</si>
  <si>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</si>
  <si>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</si>
  <si>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</si>
  <si>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Nota # 16</t>
  </si>
  <si>
    <t>Acumulaciones por pagar</t>
  </si>
  <si>
    <r>
      <t xml:space="preserve">Deducciones al personal </t>
    </r>
    <r>
      <rPr>
        <sz val="11"/>
        <color indexed="8"/>
        <rFont val="Times New Roman"/>
        <family val="1"/>
      </rPr>
      <t>(Histórico Antiguo PP)</t>
    </r>
  </si>
  <si>
    <t>Nomina por pagar</t>
  </si>
  <si>
    <t>Total Acumulaciones por pagar</t>
  </si>
  <si>
    <t>Nota # 17</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</si>
  <si>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</si>
  <si>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</si>
  <si>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</si>
  <si>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</si>
  <si>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</si>
  <si>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</si>
  <si>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</si>
  <si>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</si>
  <si>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</si>
  <si>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Nota # 18</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</si>
  <si>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</si>
  <si>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</si>
  <si>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</si>
  <si>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</si>
  <si>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</si>
  <si>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</si>
  <si>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</si>
  <si>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19</t>
  </si>
  <si>
    <t>Ingresos por transacciones con contraprestaciones</t>
  </si>
  <si>
    <t>AÑOS</t>
  </si>
  <si>
    <t>Ventas de servicios de APS</t>
  </si>
  <si>
    <t>Total de Ingresos por transacciones con contraprestaciones</t>
  </si>
  <si>
    <t>Nota # 20</t>
  </si>
  <si>
    <t xml:space="preserve">Transferencias y donaciones </t>
  </si>
  <si>
    <t>Transferencias Recibidas:</t>
  </si>
  <si>
    <t>Transferencias de la Adm. Central: corriente</t>
  </si>
  <si>
    <t>Transferencias de la Adm. Central: capital</t>
  </si>
  <si>
    <t>Transferencias de la Adm. Central: energía no cortable</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</si>
  <si>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</si>
  <si>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</si>
  <si>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</si>
  <si>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</si>
  <si>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</si>
  <si>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</si>
  <si>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</si>
  <si>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</si>
  <si>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</si>
  <si>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</si>
  <si>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</si>
  <si>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</si>
  <si>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</si>
  <si>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</si>
  <si>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</si>
  <si>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 xml:space="preserve"> Nota # 21</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</si>
  <si>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</si>
  <si>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</si>
  <si>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</si>
  <si>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</si>
  <si>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</si>
  <si>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</si>
  <si>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</si>
  <si>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</si>
  <si>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</si>
  <si>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</si>
  <si>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</si>
  <si>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</si>
  <si>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22</t>
  </si>
  <si>
    <t>Subvenciones y otros pagos por transferencias</t>
  </si>
  <si>
    <t>PARTIDAS</t>
  </si>
  <si>
    <t xml:space="preserve">Transferencias al Sector Privado  </t>
  </si>
  <si>
    <t>Total Subvenciones y otros pagos por transferencias</t>
  </si>
  <si>
    <t>Nota # 23</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</si>
  <si>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</si>
  <si>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</si>
  <si>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</si>
  <si>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</si>
  <si>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</si>
  <si>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</si>
  <si>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</si>
  <si>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</si>
  <si>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</si>
  <si>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24</t>
  </si>
  <si>
    <t>Gasto de Depreciación y Amortización</t>
  </si>
  <si>
    <t>Depreciación</t>
  </si>
  <si>
    <t>Amortización</t>
  </si>
  <si>
    <t>Nota # 25</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</si>
  <si>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</si>
  <si>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</si>
  <si>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</si>
  <si>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</si>
  <si>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</si>
  <si>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</si>
  <si>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</si>
  <si>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</si>
  <si>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</si>
  <si>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</si>
  <si>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</si>
  <si>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</si>
  <si>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26</t>
  </si>
  <si>
    <t xml:space="preserve">Gastos Financieros </t>
  </si>
  <si>
    <t>Comisiones y gastos bancarios</t>
  </si>
  <si>
    <t>Intereses</t>
  </si>
  <si>
    <t xml:space="preserve">Total Gastos Financieros </t>
  </si>
  <si>
    <t>Nota # 27</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</si>
  <si>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</si>
  <si>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</si>
  <si>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</si>
  <si>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</si>
  <si>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</si>
  <si>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ORZANIZACION</t>
  </si>
  <si>
    <t>COMERCIAL</t>
  </si>
  <si>
    <t>ESPECIAL</t>
  </si>
  <si>
    <t>PUBLICO</t>
  </si>
  <si>
    <t>RESIDENCIAL</t>
  </si>
  <si>
    <t>SIN DATOS</t>
  </si>
  <si>
    <t>TOTAL ORZANIZACION</t>
  </si>
  <si>
    <t>HOTELES</t>
  </si>
  <si>
    <t>INDUSTRIAL</t>
  </si>
  <si>
    <t>TOTAL PERSONAL</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</si>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</sst>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6"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9"/>
      <color theme="1"/>
      <name val="Times New Roman"/>
      <family val="1"/>
    </font>
    <font>
      <sz val="11"/>
      <color theme="0" tint="-0.249977111117893"/>
      <name val="Times New Roman"/>
      <family val="1"/>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3">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xf numFmtId="0" fontId="7" fillId="0" borderId="0" xfId="0" applyFont="1" applyAlignment="1">
      <alignment horizontal="left" vertical="center" wrapText="1"/>
    </xf>
    <xf numFmtId="43" fontId="7" fillId="0" borderId="0" xfId="1" applyFont="1" applyAlignment="1">
      <alignment horizontal="left" vertical="center" wrapText="1"/>
    </xf>
    <xf numFmtId="43" fontId="7" fillId="0" borderId="0" xfId="1" applyFont="1"/>
    <xf numFmtId="0" fontId="7" fillId="2" borderId="0" xfId="0" applyFont="1" applyFill="1"/>
    <xf numFmtId="43" fontId="3" fillId="0" borderId="0" xfId="1" applyFont="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 fontId="6" fillId="0" borderId="1" xfId="0" applyNumberFormat="1" applyFont="1" applyBorder="1" applyAlignment="1">
      <alignment horizontal="right" vertical="center"/>
    </xf>
    <xf numFmtId="43" fontId="6" fillId="0" borderId="1" xfId="1" applyFont="1" applyBorder="1" applyAlignment="1">
      <alignment horizontal="right" vertical="center" wrapText="1"/>
    </xf>
    <xf numFmtId="4" fontId="5" fillId="0" borderId="1" xfId="0" applyNumberFormat="1" applyFont="1" applyBorder="1" applyAlignment="1">
      <alignment horizontal="right"/>
    </xf>
    <xf numFmtId="43" fontId="6" fillId="0" borderId="1" xfId="1" applyFont="1" applyBorder="1" applyAlignment="1">
      <alignment horizontal="right" vertical="center"/>
    </xf>
    <xf numFmtId="0" fontId="6" fillId="0" borderId="1" xfId="0" applyFont="1" applyBorder="1" applyAlignment="1">
      <alignment horizontal="left" vertical="center" wrapText="1"/>
    </xf>
    <xf numFmtId="4" fontId="5" fillId="0" borderId="1" xfId="0" applyNumberFormat="1" applyFont="1" applyBorder="1" applyAlignment="1"/>
    <xf numFmtId="0" fontId="3" fillId="0" borderId="1" xfId="0" applyFont="1" applyBorder="1" applyAlignment="1">
      <alignment vertical="center"/>
    </xf>
    <xf numFmtId="4" fontId="3" fillId="0" borderId="1" xfId="0" applyNumberFormat="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 fontId="9" fillId="4" borderId="0" xfId="0" applyNumberFormat="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0" borderId="0" xfId="0" applyFont="1" applyAlignment="1">
      <alignment vertical="center" wrapText="1"/>
    </xf>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4" borderId="0" xfId="0" applyFont="1" applyFill="1" applyBorder="1" applyAlignment="1">
      <alignment horizontal="left" vertical="center" wrapText="1"/>
    </xf>
    <xf numFmtId="4" fontId="9" fillId="4" borderId="0" xfId="0" applyNumberFormat="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2" fillId="0" borderId="2" xfId="0" applyFont="1" applyBorder="1" applyAlignment="1">
      <alignment horizontal="left" wrapText="1"/>
    </xf>
    <xf numFmtId="0" fontId="2" fillId="0" borderId="3" xfId="0" applyFont="1" applyBorder="1" applyAlignment="1">
      <alignment horizontal="left" wrapText="1"/>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5" borderId="1" xfId="0" applyFont="1" applyFill="1" applyBorder="1" applyAlignment="1">
      <alignment vertical="center" wrapText="1"/>
    </xf>
    <xf numFmtId="165" fontId="6" fillId="5" borderId="1" xfId="0" applyNumberFormat="1" applyFont="1" applyFill="1" applyBorder="1" applyAlignment="1">
      <alignment horizontal="right" vertical="center"/>
    </xf>
    <xf numFmtId="43" fontId="6" fillId="5" borderId="1" xfId="1" applyFont="1" applyFill="1" applyBorder="1" applyAlignment="1">
      <alignment horizontal="center" vertical="center"/>
    </xf>
    <xf numFmtId="4" fontId="3" fillId="5"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4" fontId="9" fillId="0" borderId="0" xfId="0" applyNumberFormat="1" applyFont="1" applyFill="1" applyBorder="1" applyAlignment="1">
      <alignment horizontal="right"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0" fontId="5" fillId="0" borderId="2" xfId="0" applyFont="1" applyBorder="1" applyAlignment="1">
      <alignment horizontal="left" wrapText="1"/>
    </xf>
    <xf numFmtId="0" fontId="5" fillId="0" borderId="3" xfId="0" applyFont="1" applyBorder="1" applyAlignment="1">
      <alignment horizontal="left" wrapText="1"/>
    </xf>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6" borderId="1" xfId="0" applyFont="1" applyFill="1" applyBorder="1" applyAlignment="1">
      <alignment horizontal="center" vertical="center" wrapText="1"/>
    </xf>
    <xf numFmtId="43" fontId="2" fillId="6" borderId="1" xfId="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vertical="center" wrapText="1"/>
    </xf>
    <xf numFmtId="0" fontId="8" fillId="8" borderId="1" xfId="0" applyFont="1" applyFill="1" applyBorder="1" applyAlignment="1">
      <alignment horizontal="center" vertical="center" wrapText="1"/>
    </xf>
    <xf numFmtId="43" fontId="2" fillId="8" borderId="1" xfId="1" applyFont="1" applyFill="1" applyBorder="1" applyAlignment="1">
      <alignment horizontal="center" vertical="center" wrapText="1"/>
    </xf>
    <xf numFmtId="0" fontId="3" fillId="8"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7" borderId="1" xfId="0" applyFont="1" applyFill="1" applyBorder="1" applyAlignment="1">
      <alignment vertical="center" wrapText="1"/>
    </xf>
    <xf numFmtId="4" fontId="2" fillId="7" borderId="1" xfId="0" applyNumberFormat="1" applyFont="1" applyFill="1" applyBorder="1" applyAlignment="1">
      <alignment horizontal="right" vertical="center"/>
    </xf>
    <xf numFmtId="43" fontId="2" fillId="7" borderId="1" xfId="1" applyFont="1" applyFill="1" applyBorder="1" applyAlignment="1">
      <alignment horizontal="right" vertical="center"/>
    </xf>
    <xf numFmtId="4" fontId="3" fillId="7" borderId="1" xfId="0" applyNumberFormat="1" applyFont="1" applyFill="1" applyBorder="1" applyAlignment="1">
      <alignment horizontal="right" vertical="center"/>
    </xf>
    <xf numFmtId="43" fontId="3" fillId="7" borderId="1" xfId="1" applyFont="1" applyFill="1" applyBorder="1" applyAlignment="1">
      <alignment horizontal="right" vertical="center" wrapText="1"/>
    </xf>
    <xf numFmtId="4" fontId="3" fillId="7" borderId="1" xfId="0" applyNumberFormat="1" applyFont="1" applyFill="1" applyBorder="1"/>
    <xf numFmtId="0" fontId="3" fillId="8" borderId="1" xfId="0"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8" fillId="7"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7" borderId="1" xfId="0" applyNumberFormat="1" applyFont="1" applyFill="1" applyBorder="1" applyAlignment="1">
      <alignment horizontal="right" vertical="center"/>
    </xf>
    <xf numFmtId="43" fontId="8" fillId="7" borderId="1" xfId="1" applyFont="1" applyFill="1" applyBorder="1" applyAlignment="1">
      <alignment horizontal="right" vertical="center"/>
    </xf>
    <xf numFmtId="0" fontId="3" fillId="7"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7" borderId="1" xfId="0" applyNumberFormat="1" applyFont="1" applyFill="1" applyBorder="1" applyAlignment="1">
      <alignment horizontal="right" vertical="center" wrapText="1"/>
    </xf>
    <xf numFmtId="43" fontId="2" fillId="7" borderId="1" xfId="1" applyFont="1" applyFill="1" applyBorder="1" applyAlignment="1">
      <alignment horizontal="right" vertical="center" wrapText="1"/>
    </xf>
    <xf numFmtId="4" fontId="3" fillId="7"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 fontId="3" fillId="0" borderId="1" xfId="0" applyNumberFormat="1" applyFont="1" applyBorder="1" applyAlignment="1">
      <alignment horizontal="right"/>
    </xf>
    <xf numFmtId="4" fontId="2" fillId="4" borderId="1" xfId="0" applyNumberFormat="1" applyFont="1" applyFill="1" applyBorder="1" applyAlignment="1">
      <alignment vertical="center"/>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0" fontId="3" fillId="0" borderId="2" xfId="0" applyFont="1" applyBorder="1" applyAlignment="1">
      <alignment horizontal="left" wrapText="1"/>
    </xf>
    <xf numFmtId="0" fontId="3" fillId="0" borderId="3" xfId="0" applyFont="1" applyBorder="1" applyAlignment="1">
      <alignment horizontal="left" wrapText="1"/>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horizont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5" xfId="0" applyFont="1" applyBorder="1" applyAlignment="1">
      <alignment vertical="center" wrapText="1"/>
    </xf>
    <xf numFmtId="0" fontId="2" fillId="9" borderId="1" xfId="0" applyFont="1" applyFill="1" applyBorder="1" applyAlignment="1">
      <alignment horizontal="center"/>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 fontId="6" fillId="0" borderId="1" xfId="0" applyNumberFormat="1" applyFont="1" applyBorder="1" applyAlignment="1">
      <alignment vertical="center" wrapText="1"/>
    </xf>
    <xf numFmtId="43" fontId="6" fillId="0" borderId="1" xfId="1" applyFont="1" applyBorder="1" applyAlignment="1">
      <alignment vertical="center" wrapText="1"/>
    </xf>
    <xf numFmtId="43" fontId="3" fillId="2" borderId="0" xfId="0" applyNumberFormat="1" applyFont="1" applyFill="1"/>
    <xf numFmtId="4" fontId="6" fillId="0" borderId="1" xfId="0" applyNumberFormat="1" applyFont="1" applyBorder="1" applyAlignment="1">
      <alignment vertical="center"/>
    </xf>
    <xf numFmtId="43" fontId="6" fillId="0" borderId="1" xfId="1" applyFont="1" applyBorder="1" applyAlignment="1">
      <alignment vertical="center"/>
    </xf>
    <xf numFmtId="4" fontId="8" fillId="4" borderId="1" xfId="0" applyNumberFormat="1" applyFont="1" applyFill="1" applyBorder="1" applyAlignment="1">
      <alignment vertical="center" wrapText="1"/>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 fontId="9" fillId="0" borderId="6" xfId="0" applyNumberFormat="1" applyFont="1" applyFill="1" applyBorder="1" applyAlignment="1">
      <alignment vertical="center" wrapText="1"/>
    </xf>
    <xf numFmtId="43" fontId="8"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 fontId="9" fillId="4" borderId="0" xfId="0" applyNumberFormat="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43" fontId="5" fillId="0" borderId="1" xfId="1" applyFont="1" applyBorder="1" applyAlignment="1">
      <alignment horizontal="right" vertical="center" wrapText="1"/>
    </xf>
    <xf numFmtId="0" fontId="3" fillId="10"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4" fontId="14" fillId="2" borderId="0" xfId="0" applyNumberFormat="1" applyFont="1" applyFill="1"/>
    <xf numFmtId="0" fontId="4" fillId="9"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9" borderId="1" xfId="0" applyFont="1" applyFill="1" applyBorder="1" applyAlignment="1">
      <alignment horizontal="left" vertical="center" wrapText="1"/>
    </xf>
    <xf numFmtId="43" fontId="4" fillId="9" borderId="1" xfId="1" applyFont="1" applyFill="1" applyBorder="1" applyAlignment="1">
      <alignment horizontal="left" vertical="center" wrapText="1"/>
    </xf>
    <xf numFmtId="43" fontId="3" fillId="0" borderId="0" xfId="0" applyNumberFormat="1" applyFont="1"/>
    <xf numFmtId="0" fontId="3" fillId="5" borderId="1" xfId="0" applyFont="1" applyFill="1" applyBorder="1" applyAlignment="1">
      <alignment vertical="center" wrapText="1"/>
    </xf>
    <xf numFmtId="43" fontId="3" fillId="5"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 fontId="15" fillId="0" borderId="0" xfId="0" applyNumberFormat="1" applyFont="1"/>
    <xf numFmtId="43" fontId="2" fillId="10" borderId="1" xfId="1" applyFont="1" applyFill="1" applyBorder="1" applyAlignment="1">
      <alignment horizontal="right" wrapText="1"/>
    </xf>
    <xf numFmtId="10" fontId="2" fillId="10" borderId="1" xfId="0" applyNumberFormat="1" applyFont="1" applyFill="1" applyBorder="1"/>
    <xf numFmtId="0" fontId="3" fillId="5"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9" borderId="1" xfId="0" applyNumberFormat="1" applyFont="1" applyFill="1" applyBorder="1" applyAlignment="1">
      <alignment vertical="center"/>
    </xf>
    <xf numFmtId="0" fontId="2" fillId="0" borderId="0" xfId="0" applyFont="1" applyFill="1" applyBorder="1" applyAlignment="1">
      <alignment horizontal="justify" vertical="center" wrapText="1"/>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43" fontId="2" fillId="0" borderId="0" xfId="1" applyFont="1" applyBorder="1" applyAlignment="1">
      <alignment horizontal="left" wrapText="1"/>
    </xf>
    <xf numFmtId="0" fontId="2" fillId="10" borderId="0" xfId="0" applyFont="1" applyFill="1"/>
    <xf numFmtId="4" fontId="6" fillId="5" borderId="1" xfId="0" applyNumberFormat="1" applyFont="1" applyFill="1" applyBorder="1" applyAlignment="1">
      <alignment horizontal="right" vertical="center"/>
    </xf>
    <xf numFmtId="43" fontId="6" fillId="5" borderId="1" xfId="1" applyFont="1" applyFill="1" applyBorder="1" applyAlignment="1">
      <alignment horizontal="right" vertical="center"/>
    </xf>
    <xf numFmtId="4" fontId="3" fillId="0" borderId="1" xfId="0" applyNumberFormat="1" applyFont="1" applyBorder="1" applyAlignment="1">
      <alignment horizont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3" fontId="2" fillId="0" borderId="1" xfId="1" applyFont="1" applyFill="1" applyBorder="1" applyAlignment="1">
      <alignment horizontal="right" wrapText="1"/>
    </xf>
    <xf numFmtId="10" fontId="2" fillId="0" borderId="1"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43" fontId="3" fillId="0" borderId="1" xfId="1" applyFont="1" applyBorder="1"/>
    <xf numFmtId="0" fontId="3" fillId="0" borderId="1" xfId="0" applyFont="1" applyBorder="1" applyAlignment="1">
      <alignment horizontal="center"/>
    </xf>
    <xf numFmtId="3" fontId="3" fillId="0" borderId="1" xfId="0" applyNumberFormat="1" applyFont="1" applyBorder="1" applyAlignment="1">
      <alignment horizontal="right"/>
    </xf>
    <xf numFmtId="0" fontId="2" fillId="9" borderId="1" xfId="0" applyFont="1" applyFill="1" applyBorder="1"/>
    <xf numFmtId="3" fontId="2" fillId="9" borderId="1" xfId="0" applyNumberFormat="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704850</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670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97</xdr:row>
      <xdr:rowOff>114300</xdr:rowOff>
    </xdr:from>
    <xdr:to>
      <xdr:col>5</xdr:col>
      <xdr:colOff>0</xdr:colOff>
      <xdr:row>99</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1179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128</xdr:row>
      <xdr:rowOff>19050</xdr:rowOff>
    </xdr:from>
    <xdr:to>
      <xdr:col>5</xdr:col>
      <xdr:colOff>0</xdr:colOff>
      <xdr:row>131</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26205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170</xdr:row>
      <xdr:rowOff>123825</xdr:rowOff>
    </xdr:from>
    <xdr:to>
      <xdr:col>5</xdr:col>
      <xdr:colOff>0</xdr:colOff>
      <xdr:row>173</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1966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227</xdr:row>
      <xdr:rowOff>95250</xdr:rowOff>
    </xdr:from>
    <xdr:to>
      <xdr:col>5</xdr:col>
      <xdr:colOff>0</xdr:colOff>
      <xdr:row>230</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3117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408</xdr:row>
      <xdr:rowOff>28575</xdr:rowOff>
    </xdr:from>
    <xdr:to>
      <xdr:col>5</xdr:col>
      <xdr:colOff>0</xdr:colOff>
      <xdr:row>411</xdr:row>
      <xdr:rowOff>85725</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8809850"/>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448</xdr:row>
      <xdr:rowOff>76200</xdr:rowOff>
    </xdr:from>
    <xdr:to>
      <xdr:col>5</xdr:col>
      <xdr:colOff>0</xdr:colOff>
      <xdr:row>450</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43010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486</xdr:row>
      <xdr:rowOff>85725</xdr:rowOff>
    </xdr:from>
    <xdr:to>
      <xdr:col>5</xdr:col>
      <xdr:colOff>0</xdr:colOff>
      <xdr:row>489</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28847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531</xdr:row>
      <xdr:rowOff>57150</xdr:rowOff>
    </xdr:from>
    <xdr:to>
      <xdr:col>5</xdr:col>
      <xdr:colOff>0</xdr:colOff>
      <xdr:row>534</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1754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580</xdr:row>
      <xdr:rowOff>104775</xdr:rowOff>
    </xdr:from>
    <xdr:to>
      <xdr:col>5</xdr:col>
      <xdr:colOff>0</xdr:colOff>
      <xdr:row>582</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81195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354</xdr:row>
      <xdr:rowOff>133350</xdr:rowOff>
    </xdr:from>
    <xdr:to>
      <xdr:col>5</xdr:col>
      <xdr:colOff>0</xdr:colOff>
      <xdr:row>357</xdr:row>
      <xdr:rowOff>76200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9038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315</xdr:row>
      <xdr:rowOff>161925</xdr:rowOff>
    </xdr:from>
    <xdr:to>
      <xdr:col>5</xdr:col>
      <xdr:colOff>0</xdr:colOff>
      <xdr:row>345</xdr:row>
      <xdr:rowOff>0</xdr:rowOff>
    </xdr:to>
    <xdr:pic>
      <xdr:nvPicPr>
        <xdr:cNvPr id="15" name="Imagen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61617225"/>
          <a:ext cx="6467475" cy="555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627</xdr:row>
      <xdr:rowOff>76200</xdr:rowOff>
    </xdr:from>
    <xdr:to>
      <xdr:col>5</xdr:col>
      <xdr:colOff>0</xdr:colOff>
      <xdr:row>630</xdr:row>
      <xdr:rowOff>142875</xdr:rowOff>
    </xdr:to>
    <xdr:pic>
      <xdr:nvPicPr>
        <xdr:cNvPr id="16"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281493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C-CONTABILIDAD/Downloads/ESTADO%20CORAAMOCA%20CG%2012%202022%201%20j%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BALANZA"/>
      <sheetName val="BALANZA G"/>
      <sheetName val="DE"/>
      <sheetName val="Pres A"/>
      <sheetName val="25A"/>
      <sheetName val="Mat"/>
      <sheetName val="Notas NF"/>
      <sheetName val="nota13"/>
      <sheetName val="ESF  (2)"/>
      <sheetName val="ES F "/>
      <sheetName val="ERF"/>
      <sheetName val="EFE2"/>
      <sheetName val="EP2"/>
      <sheetName val="EEP2"/>
      <sheetName val="A"/>
      <sheetName val="Hoja8"/>
      <sheetName val="nota10inventario"/>
      <sheetName val="Rt"/>
      <sheetName val="ELAI"/>
      <sheetName val="I"/>
      <sheetName val="G"/>
      <sheetName val="V"/>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row r="3">
          <cell r="B3" t="str">
            <v>31 de diciembre del 2022</v>
          </cell>
          <cell r="C3" t="str">
            <v>- 2021</v>
          </cell>
        </row>
        <row r="4">
          <cell r="B4">
            <v>2022</v>
          </cell>
          <cell r="C4">
            <v>2021</v>
          </cell>
        </row>
        <row r="6">
          <cell r="B6">
            <v>492268.04</v>
          </cell>
        </row>
        <row r="21">
          <cell r="B21" t="str">
            <v xml:space="preserve"> RESERVAS CTA. 100011701027264</v>
          </cell>
          <cell r="C21">
            <v>1407193.25</v>
          </cell>
        </row>
      </sheetData>
      <sheetData sheetId="2">
        <row r="12">
          <cell r="C12">
            <v>0</v>
          </cell>
          <cell r="E12">
            <v>1988</v>
          </cell>
        </row>
        <row r="13">
          <cell r="C13">
            <v>110000</v>
          </cell>
          <cell r="E13">
            <v>110000</v>
          </cell>
        </row>
        <row r="15">
          <cell r="C15">
            <v>80000</v>
          </cell>
          <cell r="E15">
            <v>80000</v>
          </cell>
        </row>
        <row r="22">
          <cell r="C22">
            <v>183166.15</v>
          </cell>
        </row>
        <row r="23">
          <cell r="C23">
            <v>254050.45</v>
          </cell>
          <cell r="E23">
            <v>128944.45</v>
          </cell>
        </row>
        <row r="24">
          <cell r="C24">
            <v>62922140.32</v>
          </cell>
          <cell r="E24">
            <v>129002853.29000001</v>
          </cell>
        </row>
        <row r="25">
          <cell r="C25">
            <v>1407193.25</v>
          </cell>
          <cell r="E25">
            <v>6981052.3700000001</v>
          </cell>
        </row>
        <row r="26">
          <cell r="C26">
            <v>669885.98</v>
          </cell>
          <cell r="E26">
            <v>0</v>
          </cell>
        </row>
        <row r="27">
          <cell r="C27">
            <v>111649794.59</v>
          </cell>
          <cell r="E27">
            <v>0</v>
          </cell>
        </row>
        <row r="28">
          <cell r="C28">
            <v>0</v>
          </cell>
        </row>
        <row r="30">
          <cell r="C30">
            <v>453000</v>
          </cell>
          <cell r="E30">
            <v>453000</v>
          </cell>
        </row>
        <row r="34">
          <cell r="C34">
            <v>98501350.120000005</v>
          </cell>
          <cell r="E34">
            <v>4784</v>
          </cell>
        </row>
        <row r="35">
          <cell r="C35">
            <v>1350.12</v>
          </cell>
        </row>
        <row r="40">
          <cell r="C40">
            <v>0</v>
          </cell>
          <cell r="E40">
            <v>0</v>
          </cell>
        </row>
        <row r="41">
          <cell r="C41">
            <v>11489568.57</v>
          </cell>
          <cell r="E41">
            <v>11211777.699999999</v>
          </cell>
        </row>
        <row r="48">
          <cell r="C48">
            <v>317600.45</v>
          </cell>
          <cell r="E48">
            <v>166084.95000000001</v>
          </cell>
        </row>
        <row r="55">
          <cell r="C55">
            <v>1623675</v>
          </cell>
          <cell r="E55">
            <v>1623675</v>
          </cell>
          <cell r="G55">
            <v>0</v>
          </cell>
        </row>
        <row r="58">
          <cell r="C58">
            <v>953149176.46000004</v>
          </cell>
          <cell r="E58">
            <v>953149176.46000004</v>
          </cell>
        </row>
        <row r="59">
          <cell r="C59">
            <v>3176700</v>
          </cell>
          <cell r="E59">
            <v>3176700</v>
          </cell>
        </row>
        <row r="61">
          <cell r="C61">
            <v>45922302.979999997</v>
          </cell>
          <cell r="E61">
            <v>38171024.979999997</v>
          </cell>
          <cell r="G61">
            <v>7751278</v>
          </cell>
        </row>
        <row r="62">
          <cell r="C62">
            <v>9225825.5199999996</v>
          </cell>
          <cell r="E62">
            <v>9225825.5199999996</v>
          </cell>
        </row>
        <row r="64">
          <cell r="C64">
            <v>74900</v>
          </cell>
          <cell r="E64">
            <v>74900</v>
          </cell>
          <cell r="G64">
            <v>0</v>
          </cell>
        </row>
        <row r="65">
          <cell r="C65">
            <v>5037429.07</v>
          </cell>
          <cell r="E65">
            <v>2605517.0699999998</v>
          </cell>
        </row>
        <row r="67">
          <cell r="C67">
            <v>243708</v>
          </cell>
          <cell r="E67">
            <v>0</v>
          </cell>
        </row>
        <row r="68">
          <cell r="C68">
            <v>23107903.5</v>
          </cell>
          <cell r="E68">
            <v>23107903.5</v>
          </cell>
        </row>
        <row r="69">
          <cell r="C69">
            <v>259166.88</v>
          </cell>
        </row>
        <row r="79">
          <cell r="C79">
            <v>20309</v>
          </cell>
          <cell r="E79">
            <v>0</v>
          </cell>
        </row>
        <row r="83">
          <cell r="C83">
            <v>0</v>
          </cell>
          <cell r="E83">
            <v>59383.34</v>
          </cell>
        </row>
        <row r="84">
          <cell r="C84">
            <v>2740.6</v>
          </cell>
        </row>
        <row r="85">
          <cell r="C85">
            <v>0</v>
          </cell>
          <cell r="E85">
            <v>4238.6899999999996</v>
          </cell>
        </row>
        <row r="86">
          <cell r="C86">
            <v>117707.76</v>
          </cell>
          <cell r="E86">
            <v>1153741.83</v>
          </cell>
        </row>
        <row r="87">
          <cell r="C87">
            <v>124960.17</v>
          </cell>
          <cell r="E87">
            <v>6200</v>
          </cell>
        </row>
        <row r="88">
          <cell r="C88">
            <v>35960</v>
          </cell>
          <cell r="E88">
            <v>21912.17</v>
          </cell>
        </row>
        <row r="89">
          <cell r="C89">
            <v>0</v>
          </cell>
          <cell r="E89">
            <v>1190.1199999999999</v>
          </cell>
        </row>
        <row r="90">
          <cell r="C90">
            <v>283259.64</v>
          </cell>
          <cell r="E90">
            <v>1173228.1399999999</v>
          </cell>
        </row>
        <row r="93">
          <cell r="C93">
            <v>0</v>
          </cell>
          <cell r="E93">
            <v>125715.51</v>
          </cell>
        </row>
        <row r="94">
          <cell r="C94">
            <v>0</v>
          </cell>
          <cell r="E94">
            <v>176217.2</v>
          </cell>
        </row>
        <row r="96">
          <cell r="C96">
            <v>2380290.0699999998</v>
          </cell>
          <cell r="E96">
            <v>1924693</v>
          </cell>
        </row>
        <row r="97">
          <cell r="C97">
            <v>7106.65</v>
          </cell>
          <cell r="E97">
            <v>0</v>
          </cell>
        </row>
        <row r="98">
          <cell r="C98">
            <v>1419668.51</v>
          </cell>
          <cell r="E98">
            <v>1369387.51</v>
          </cell>
        </row>
        <row r="103">
          <cell r="C103">
            <v>252299.3</v>
          </cell>
          <cell r="E103">
            <v>252299.3</v>
          </cell>
        </row>
        <row r="104">
          <cell r="C104">
            <v>0</v>
          </cell>
          <cell r="E104">
            <v>0</v>
          </cell>
        </row>
        <row r="107">
          <cell r="C107">
            <v>0</v>
          </cell>
          <cell r="E107">
            <v>0</v>
          </cell>
        </row>
        <row r="116">
          <cell r="C116">
            <v>808793054.60000002</v>
          </cell>
          <cell r="E116">
            <v>808793054.60000002</v>
          </cell>
        </row>
        <row r="124">
          <cell r="C124">
            <v>179181043.14000002</v>
          </cell>
          <cell r="E124">
            <v>193707659.61000001</v>
          </cell>
        </row>
        <row r="136">
          <cell r="C136">
            <v>0</v>
          </cell>
        </row>
        <row r="140">
          <cell r="C140">
            <v>105296634.7</v>
          </cell>
        </row>
        <row r="141">
          <cell r="C141">
            <v>138488350</v>
          </cell>
        </row>
        <row r="142">
          <cell r="C142">
            <v>47161752.5</v>
          </cell>
        </row>
        <row r="148">
          <cell r="C148">
            <v>148261285.41</v>
          </cell>
          <cell r="E148">
            <v>145603784.88</v>
          </cell>
        </row>
        <row r="149">
          <cell r="C149">
            <v>257399.35</v>
          </cell>
          <cell r="E149">
            <v>0</v>
          </cell>
        </row>
        <row r="150">
          <cell r="C150">
            <v>0</v>
          </cell>
          <cell r="E150">
            <v>0</v>
          </cell>
        </row>
        <row r="151">
          <cell r="C151">
            <v>0</v>
          </cell>
          <cell r="E151">
            <v>0</v>
          </cell>
        </row>
        <row r="152">
          <cell r="C152">
            <v>0</v>
          </cell>
          <cell r="E152">
            <v>0</v>
          </cell>
        </row>
        <row r="153">
          <cell r="C153">
            <v>0</v>
          </cell>
          <cell r="E153">
            <v>1819679.37</v>
          </cell>
        </row>
        <row r="154">
          <cell r="C154">
            <v>3594823.2</v>
          </cell>
          <cell r="E154">
            <v>229082.18</v>
          </cell>
        </row>
        <row r="155">
          <cell r="C155">
            <v>752800</v>
          </cell>
          <cell r="E155">
            <v>0</v>
          </cell>
        </row>
        <row r="156">
          <cell r="C156">
            <v>6671093.3300000001</v>
          </cell>
          <cell r="E156">
            <v>5607914.5599999996</v>
          </cell>
        </row>
        <row r="157">
          <cell r="C157">
            <v>0</v>
          </cell>
          <cell r="E157">
            <v>949580.56</v>
          </cell>
        </row>
        <row r="158">
          <cell r="C158">
            <v>439588.24</v>
          </cell>
          <cell r="E158">
            <v>1753745.7</v>
          </cell>
        </row>
        <row r="159">
          <cell r="C159">
            <v>0</v>
          </cell>
          <cell r="E159">
            <v>0</v>
          </cell>
        </row>
        <row r="160">
          <cell r="C160">
            <v>0</v>
          </cell>
          <cell r="E160">
            <v>0</v>
          </cell>
        </row>
        <row r="162">
          <cell r="C162">
            <v>0</v>
          </cell>
          <cell r="E162">
            <v>0</v>
          </cell>
        </row>
        <row r="163">
          <cell r="C163">
            <v>2277251.9</v>
          </cell>
          <cell r="E163">
            <v>820000</v>
          </cell>
        </row>
        <row r="164">
          <cell r="C164">
            <v>0</v>
          </cell>
          <cell r="E164">
            <v>0</v>
          </cell>
        </row>
        <row r="165">
          <cell r="C165">
            <v>0</v>
          </cell>
          <cell r="E165">
            <v>0</v>
          </cell>
        </row>
        <row r="166">
          <cell r="C166">
            <v>0</v>
          </cell>
          <cell r="E166">
            <v>20000</v>
          </cell>
        </row>
        <row r="168">
          <cell r="C168">
            <v>11657228.08</v>
          </cell>
          <cell r="E168">
            <v>12214068.529999999</v>
          </cell>
        </row>
        <row r="169">
          <cell r="C169">
            <v>0</v>
          </cell>
          <cell r="E169">
            <v>0</v>
          </cell>
        </row>
        <row r="170">
          <cell r="C170">
            <v>0</v>
          </cell>
          <cell r="E170">
            <v>0</v>
          </cell>
        </row>
        <row r="173">
          <cell r="C173">
            <v>10541829.699999999</v>
          </cell>
          <cell r="E173">
            <v>10571008.960000001</v>
          </cell>
        </row>
        <row r="174">
          <cell r="C174">
            <v>10548583.02</v>
          </cell>
          <cell r="E174">
            <v>10633440.560000001</v>
          </cell>
        </row>
        <row r="175">
          <cell r="C175">
            <v>1764308.33</v>
          </cell>
          <cell r="E175">
            <v>1794306.96</v>
          </cell>
        </row>
        <row r="181">
          <cell r="C181">
            <v>372813</v>
          </cell>
          <cell r="E181">
            <v>187891.56</v>
          </cell>
        </row>
        <row r="182">
          <cell r="C182">
            <v>0</v>
          </cell>
          <cell r="E182">
            <v>203792.35</v>
          </cell>
        </row>
        <row r="186">
          <cell r="C186">
            <v>722825</v>
          </cell>
          <cell r="E186">
            <v>0</v>
          </cell>
        </row>
        <row r="187">
          <cell r="C187">
            <v>1429272.63</v>
          </cell>
          <cell r="E187">
            <v>1686166.2</v>
          </cell>
        </row>
        <row r="188">
          <cell r="C188">
            <v>974124.6</v>
          </cell>
          <cell r="E188">
            <v>1104179.52</v>
          </cell>
        </row>
        <row r="189">
          <cell r="C189">
            <v>0</v>
          </cell>
          <cell r="E189">
            <v>0</v>
          </cell>
        </row>
        <row r="190">
          <cell r="C190">
            <v>492532.01</v>
          </cell>
          <cell r="E190">
            <v>661936.74</v>
          </cell>
        </row>
        <row r="191">
          <cell r="C191">
            <v>49506589.280000001</v>
          </cell>
          <cell r="E191">
            <v>27809071.010000002</v>
          </cell>
        </row>
        <row r="192">
          <cell r="C192">
            <v>359463</v>
          </cell>
          <cell r="E192">
            <v>1155995.58</v>
          </cell>
        </row>
        <row r="193">
          <cell r="C193">
            <v>1023705</v>
          </cell>
          <cell r="E193">
            <v>961300</v>
          </cell>
        </row>
        <row r="194">
          <cell r="C194">
            <v>411028</v>
          </cell>
          <cell r="E194">
            <v>266716</v>
          </cell>
        </row>
        <row r="195">
          <cell r="C195">
            <v>0</v>
          </cell>
          <cell r="E195">
            <v>0</v>
          </cell>
        </row>
        <row r="196">
          <cell r="C196">
            <v>0</v>
          </cell>
          <cell r="E196">
            <v>0</v>
          </cell>
        </row>
        <row r="197">
          <cell r="C197">
            <v>136090</v>
          </cell>
          <cell r="E197">
            <v>1300330.6200000001</v>
          </cell>
        </row>
        <row r="198">
          <cell r="C198">
            <v>0</v>
          </cell>
          <cell r="E198">
            <v>0</v>
          </cell>
        </row>
        <row r="200">
          <cell r="C200">
            <v>1619351.58</v>
          </cell>
          <cell r="E200">
            <v>1237096.27</v>
          </cell>
        </row>
        <row r="201">
          <cell r="C201">
            <v>110425.46</v>
          </cell>
          <cell r="E201">
            <v>285935.5</v>
          </cell>
        </row>
        <row r="202">
          <cell r="C202">
            <v>0</v>
          </cell>
          <cell r="E202">
            <v>2000</v>
          </cell>
        </row>
        <row r="203">
          <cell r="C203">
            <v>202335</v>
          </cell>
          <cell r="E203">
            <v>888625</v>
          </cell>
        </row>
        <row r="204">
          <cell r="C204">
            <v>849625</v>
          </cell>
          <cell r="E204">
            <v>1572725</v>
          </cell>
        </row>
        <row r="205">
          <cell r="C205">
            <v>0</v>
          </cell>
          <cell r="E205">
            <v>79650</v>
          </cell>
        </row>
        <row r="206">
          <cell r="C206">
            <v>296718.03000000003</v>
          </cell>
          <cell r="E206">
            <v>137968.4</v>
          </cell>
        </row>
        <row r="207">
          <cell r="C207">
            <v>45048.24</v>
          </cell>
          <cell r="E207">
            <v>0</v>
          </cell>
        </row>
        <row r="209">
          <cell r="C209">
            <v>0</v>
          </cell>
          <cell r="E209">
            <v>0</v>
          </cell>
        </row>
        <row r="210">
          <cell r="C210">
            <v>97048.82</v>
          </cell>
          <cell r="E210">
            <v>213112.65</v>
          </cell>
        </row>
        <row r="211">
          <cell r="C211">
            <v>2147228.69</v>
          </cell>
          <cell r="E211">
            <v>4103802.01</v>
          </cell>
        </row>
        <row r="212">
          <cell r="C212">
            <v>989675.77</v>
          </cell>
          <cell r="E212">
            <v>5386985.9699999997</v>
          </cell>
        </row>
        <row r="213">
          <cell r="C213">
            <v>4450</v>
          </cell>
          <cell r="E213">
            <v>0</v>
          </cell>
        </row>
        <row r="214">
          <cell r="C214">
            <v>0</v>
          </cell>
          <cell r="E214">
            <v>255399.47</v>
          </cell>
        </row>
        <row r="215">
          <cell r="C215">
            <v>5710</v>
          </cell>
          <cell r="E215">
            <v>77676.58</v>
          </cell>
        </row>
        <row r="216">
          <cell r="C216">
            <v>0</v>
          </cell>
          <cell r="E216">
            <v>6560</v>
          </cell>
        </row>
        <row r="217">
          <cell r="C217">
            <v>0</v>
          </cell>
          <cell r="E217">
            <v>0</v>
          </cell>
        </row>
        <row r="218">
          <cell r="C218">
            <v>0</v>
          </cell>
          <cell r="E218">
            <v>0</v>
          </cell>
        </row>
        <row r="219">
          <cell r="C219">
            <v>1127346.52</v>
          </cell>
          <cell r="E219">
            <v>1189132.42</v>
          </cell>
        </row>
        <row r="220">
          <cell r="C220">
            <v>17505.73</v>
          </cell>
          <cell r="E220">
            <v>27085</v>
          </cell>
        </row>
        <row r="221">
          <cell r="C221">
            <v>26744.32</v>
          </cell>
          <cell r="E221">
            <v>357731.53</v>
          </cell>
        </row>
        <row r="222">
          <cell r="C222">
            <v>0</v>
          </cell>
          <cell r="E222">
            <v>0</v>
          </cell>
        </row>
        <row r="224">
          <cell r="C224">
            <v>12331</v>
          </cell>
          <cell r="E224">
            <v>1724400</v>
          </cell>
        </row>
        <row r="225">
          <cell r="C225">
            <v>30296.61</v>
          </cell>
          <cell r="E225">
            <v>2350</v>
          </cell>
        </row>
        <row r="226">
          <cell r="C226">
            <v>820190.61</v>
          </cell>
          <cell r="E226">
            <v>1332758.1100000001</v>
          </cell>
        </row>
        <row r="227">
          <cell r="C227">
            <v>6600</v>
          </cell>
          <cell r="E227">
            <v>0</v>
          </cell>
        </row>
        <row r="228">
          <cell r="C228">
            <v>0</v>
          </cell>
          <cell r="E228">
            <v>18900</v>
          </cell>
        </row>
        <row r="229">
          <cell r="C229">
            <v>1745796.62</v>
          </cell>
          <cell r="E229">
            <v>807590.52</v>
          </cell>
        </row>
        <row r="230">
          <cell r="C230">
            <v>6903842.8899999997</v>
          </cell>
          <cell r="E230">
            <v>9394230.1300000008</v>
          </cell>
        </row>
        <row r="231">
          <cell r="C231">
            <v>0</v>
          </cell>
          <cell r="E231">
            <v>0</v>
          </cell>
        </row>
        <row r="236">
          <cell r="C236">
            <v>233879.76</v>
          </cell>
          <cell r="E236">
            <v>445405.24</v>
          </cell>
        </row>
        <row r="237">
          <cell r="C237">
            <v>774384.74</v>
          </cell>
          <cell r="E237">
            <v>631382.43000000005</v>
          </cell>
        </row>
        <row r="238">
          <cell r="C238">
            <v>1300</v>
          </cell>
          <cell r="E238">
            <v>2565</v>
          </cell>
        </row>
        <row r="239">
          <cell r="C239">
            <v>0</v>
          </cell>
          <cell r="E239">
            <v>657584.78</v>
          </cell>
        </row>
        <row r="240">
          <cell r="C240">
            <v>132582</v>
          </cell>
          <cell r="E240">
            <v>118371</v>
          </cell>
        </row>
        <row r="241">
          <cell r="C241">
            <v>198120</v>
          </cell>
          <cell r="E241">
            <v>184500</v>
          </cell>
        </row>
        <row r="243">
          <cell r="C243">
            <v>5338750</v>
          </cell>
          <cell r="E243">
            <v>4413540</v>
          </cell>
        </row>
        <row r="244">
          <cell r="C244">
            <v>2226500</v>
          </cell>
          <cell r="E244">
            <v>1743547.9</v>
          </cell>
        </row>
        <row r="245">
          <cell r="C245">
            <v>530</v>
          </cell>
          <cell r="E245">
            <v>23062.880000000001</v>
          </cell>
        </row>
        <row r="246">
          <cell r="C246">
            <v>6763737.2699999996</v>
          </cell>
          <cell r="E246">
            <v>5843836.5099999998</v>
          </cell>
        </row>
        <row r="247">
          <cell r="C247">
            <v>1016021.1</v>
          </cell>
          <cell r="E247">
            <v>0</v>
          </cell>
        </row>
        <row r="248">
          <cell r="C248">
            <v>6600</v>
          </cell>
          <cell r="E248">
            <v>0</v>
          </cell>
        </row>
        <row r="249">
          <cell r="C249">
            <v>15019</v>
          </cell>
          <cell r="E249">
            <v>25311.119999999999</v>
          </cell>
        </row>
        <row r="250">
          <cell r="C250">
            <v>0</v>
          </cell>
          <cell r="E250">
            <v>86140</v>
          </cell>
        </row>
        <row r="252">
          <cell r="C252">
            <v>85950.21</v>
          </cell>
          <cell r="E252">
            <v>78251.199999999997</v>
          </cell>
        </row>
        <row r="253">
          <cell r="C253">
            <v>1023621.59</v>
          </cell>
          <cell r="E253">
            <v>668686.27</v>
          </cell>
        </row>
        <row r="254">
          <cell r="C254">
            <v>100121.82</v>
          </cell>
          <cell r="E254">
            <v>119920.97</v>
          </cell>
        </row>
        <row r="255">
          <cell r="C255">
            <v>189487.24</v>
          </cell>
          <cell r="E255">
            <v>81417.61</v>
          </cell>
        </row>
        <row r="256">
          <cell r="C256">
            <v>8236.7800000000007</v>
          </cell>
          <cell r="E256">
            <v>2692.37</v>
          </cell>
        </row>
        <row r="257">
          <cell r="C257">
            <v>247888.99</v>
          </cell>
          <cell r="E257">
            <v>853559.55</v>
          </cell>
        </row>
        <row r="258">
          <cell r="C258">
            <v>266775.63</v>
          </cell>
        </row>
        <row r="259">
          <cell r="C259">
            <v>15102.89</v>
          </cell>
        </row>
        <row r="260">
          <cell r="C260">
            <v>5228</v>
          </cell>
        </row>
        <row r="261">
          <cell r="C261">
            <v>1388842.55</v>
          </cell>
          <cell r="E261">
            <v>0</v>
          </cell>
        </row>
        <row r="262">
          <cell r="C262">
            <v>85160</v>
          </cell>
          <cell r="E262">
            <v>0</v>
          </cell>
        </row>
        <row r="263">
          <cell r="C263">
            <v>6750</v>
          </cell>
        </row>
        <row r="267">
          <cell r="C267">
            <v>0</v>
          </cell>
          <cell r="E267">
            <v>0</v>
          </cell>
        </row>
        <row r="268">
          <cell r="C268">
            <v>0</v>
          </cell>
          <cell r="E268">
            <v>0</v>
          </cell>
        </row>
        <row r="271">
          <cell r="C271">
            <v>6003857.7199999997</v>
          </cell>
          <cell r="E271">
            <v>57171022.710000001</v>
          </cell>
        </row>
        <row r="272">
          <cell r="C272">
            <v>613908.4</v>
          </cell>
          <cell r="E272">
            <v>1598878</v>
          </cell>
        </row>
        <row r="273">
          <cell r="E273">
            <v>0</v>
          </cell>
        </row>
      </sheetData>
      <sheetData sheetId="3"/>
      <sheetData sheetId="4">
        <row r="289">
          <cell r="E289">
            <v>83018405</v>
          </cell>
        </row>
        <row r="290">
          <cell r="E290">
            <v>54671753</v>
          </cell>
        </row>
        <row r="291">
          <cell r="E291">
            <v>153265877</v>
          </cell>
        </row>
        <row r="295">
          <cell r="E295">
            <v>228000000</v>
          </cell>
        </row>
      </sheetData>
      <sheetData sheetId="5"/>
      <sheetData sheetId="6"/>
      <sheetData sheetId="7">
        <row r="594">
          <cell r="C594">
            <v>341766.27</v>
          </cell>
          <cell r="D594">
            <v>137968.4</v>
          </cell>
        </row>
      </sheetData>
      <sheetData sheetId="8">
        <row r="14">
          <cell r="K14">
            <v>47033171.399999991</v>
          </cell>
        </row>
        <row r="28">
          <cell r="E28">
            <v>136491958</v>
          </cell>
          <cell r="F28">
            <v>20832554</v>
          </cell>
          <cell r="H28">
            <v>7933418.1600000001</v>
          </cell>
          <cell r="I28">
            <v>27327066.359999999</v>
          </cell>
        </row>
        <row r="29">
          <cell r="E29">
            <v>42812769.550000012</v>
          </cell>
          <cell r="F29">
            <v>1762440.6599999995</v>
          </cell>
          <cell r="G29">
            <v>10532.82</v>
          </cell>
          <cell r="H29">
            <v>1500459.0999999996</v>
          </cell>
          <cell r="I29">
            <v>4699435.41</v>
          </cell>
          <cell r="K29">
            <v>50785637.540000007</v>
          </cell>
        </row>
      </sheetData>
      <sheetData sheetId="9"/>
      <sheetData sheetId="10">
        <row r="11">
          <cell r="B11">
            <v>177196230.74000001</v>
          </cell>
        </row>
        <row r="12">
          <cell r="B12">
            <v>453000</v>
          </cell>
        </row>
        <row r="15">
          <cell r="B15">
            <v>11489568.57</v>
          </cell>
        </row>
        <row r="16">
          <cell r="B16">
            <v>317600.45</v>
          </cell>
        </row>
        <row r="17">
          <cell r="B17">
            <v>193172</v>
          </cell>
          <cell r="C17">
            <v>193172</v>
          </cell>
        </row>
        <row r="36">
          <cell r="B36">
            <v>816927.47</v>
          </cell>
        </row>
        <row r="59">
          <cell r="B59">
            <v>1133188732.25</v>
          </cell>
        </row>
      </sheetData>
      <sheetData sheetId="11">
        <row r="11">
          <cell r="B11">
            <v>179181043.14000002</v>
          </cell>
        </row>
        <row r="12">
          <cell r="B12">
            <v>290946737.19999999</v>
          </cell>
        </row>
        <row r="13">
          <cell r="B13">
            <v>0</v>
          </cell>
        </row>
        <row r="17">
          <cell r="B17">
            <v>202770048.28000003</v>
          </cell>
        </row>
        <row r="18">
          <cell r="B18">
            <v>613908.4</v>
          </cell>
        </row>
        <row r="19">
          <cell r="B19">
            <v>20130589.57</v>
          </cell>
        </row>
        <row r="20">
          <cell r="B20">
            <v>50805946.540000007</v>
          </cell>
        </row>
        <row r="22">
          <cell r="B22">
            <v>71666522.800000012</v>
          </cell>
        </row>
        <row r="23">
          <cell r="B23">
            <v>820190.61</v>
          </cell>
        </row>
        <row r="35">
          <cell r="B35">
            <v>123320574.13999999</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0">
          <cell r="E10">
            <v>223742906.56</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25">
          <cell r="D25">
            <v>0</v>
          </cell>
          <cell r="E25">
            <v>1598764</v>
          </cell>
          <cell r="F25">
            <v>3197528</v>
          </cell>
          <cell r="G25">
            <v>1598764</v>
          </cell>
          <cell r="H25">
            <v>1598764</v>
          </cell>
          <cell r="I25">
            <v>6399816.79</v>
          </cell>
          <cell r="J25">
            <v>1598764</v>
          </cell>
          <cell r="K25">
            <v>1598764</v>
          </cell>
          <cell r="L25">
            <v>1598764</v>
          </cell>
          <cell r="M25">
            <v>1598764</v>
          </cell>
          <cell r="N25">
            <v>58119885.909999996</v>
          </cell>
          <cell r="O25">
            <v>43633153.5</v>
          </cell>
        </row>
        <row r="26">
          <cell r="D26">
            <v>0</v>
          </cell>
          <cell r="E26">
            <v>9850000</v>
          </cell>
          <cell r="F26">
            <v>9850000</v>
          </cell>
          <cell r="G26">
            <v>0</v>
          </cell>
          <cell r="H26">
            <v>0</v>
          </cell>
          <cell r="I26">
            <v>0</v>
          </cell>
          <cell r="J26">
            <v>0</v>
          </cell>
          <cell r="K26">
            <v>0</v>
          </cell>
          <cell r="L26">
            <v>0</v>
          </cell>
          <cell r="M26">
            <v>0</v>
          </cell>
          <cell r="N26">
            <v>0</v>
          </cell>
          <cell r="O26">
            <v>101543252.5</v>
          </cell>
        </row>
        <row r="27">
          <cell r="D27">
            <v>0</v>
          </cell>
          <cell r="E27">
            <v>3443521.5</v>
          </cell>
          <cell r="F27">
            <v>6887043</v>
          </cell>
          <cell r="G27">
            <v>3443521.5</v>
          </cell>
          <cell r="H27">
            <v>3443521.5</v>
          </cell>
          <cell r="I27">
            <v>3443521.5</v>
          </cell>
          <cell r="J27">
            <v>3443521.5</v>
          </cell>
          <cell r="K27">
            <v>3443521.5</v>
          </cell>
          <cell r="L27">
            <v>3443521.5</v>
          </cell>
          <cell r="M27">
            <v>3443521.5</v>
          </cell>
          <cell r="N27">
            <v>9283016.5</v>
          </cell>
          <cell r="O27">
            <v>3443521</v>
          </cell>
        </row>
      </sheetData>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B767"/>
  <sheetViews>
    <sheetView tabSelected="1" workbookViewId="0">
      <selection activeCell="Z5" sqref="Z5"/>
    </sheetView>
  </sheetViews>
  <sheetFormatPr baseColWidth="10" defaultColWidth="9.140625" defaultRowHeight="15" x14ac:dyDescent="0.25"/>
  <cols>
    <col min="1" max="1" width="1.28515625" style="2" customWidth="1"/>
    <col min="2" max="2" width="44.5703125" style="19" customWidth="1"/>
    <col min="3" max="3" width="17.140625" style="2" customWidth="1"/>
    <col min="4" max="4" width="18.5703125" style="3" customWidth="1"/>
    <col min="5" max="5" width="17.140625" style="2" customWidth="1"/>
    <col min="6" max="6" width="1" style="2" customWidth="1"/>
    <col min="7" max="7" width="6.5703125" style="2" customWidth="1"/>
    <col min="8" max="8" width="7" style="2" hidden="1" customWidth="1"/>
    <col min="9" max="9" width="31" style="2" hidden="1" customWidth="1"/>
    <col min="10" max="10" width="31" style="3" hidden="1" customWidth="1"/>
    <col min="11" max="13" width="31" style="2" hidden="1" customWidth="1"/>
    <col min="14" max="14" width="31" style="3" hidden="1" customWidth="1"/>
    <col min="15" max="15" width="31" style="2" hidden="1" customWidth="1"/>
    <col min="16" max="16" width="5.5703125" style="2" hidden="1" customWidth="1"/>
    <col min="17" max="17" width="31" style="2" hidden="1" customWidth="1"/>
    <col min="18" max="18" width="14.85546875" style="4" hidden="1" customWidth="1"/>
    <col min="19" max="24" width="8.140625" style="4" hidden="1" customWidth="1"/>
    <col min="25" max="25" width="31" style="4" hidden="1" customWidth="1"/>
    <col min="26" max="26" width="31" style="3" customWidth="1"/>
    <col min="27" max="27" width="8" style="2" customWidth="1"/>
    <col min="28" max="28" width="8.85546875" style="2" customWidth="1"/>
    <col min="29" max="256" width="9.140625" style="2"/>
    <col min="257" max="257" width="1.28515625" style="2" customWidth="1"/>
    <col min="258" max="258" width="44.5703125" style="2" customWidth="1"/>
    <col min="259" max="259" width="17.140625" style="2" customWidth="1"/>
    <col min="260" max="260" width="18.5703125" style="2" customWidth="1"/>
    <col min="261" max="261" width="17.140625" style="2" customWidth="1"/>
    <col min="262" max="262" width="1" style="2" customWidth="1"/>
    <col min="263" max="263" width="6.5703125" style="2" customWidth="1"/>
    <col min="264" max="281" width="0" style="2" hidden="1" customWidth="1"/>
    <col min="282" max="282" width="31" style="2" customWidth="1"/>
    <col min="283" max="283" width="8" style="2" customWidth="1"/>
    <col min="284" max="284" width="8.85546875" style="2" customWidth="1"/>
    <col min="285" max="512" width="9.140625" style="2"/>
    <col min="513" max="513" width="1.28515625" style="2" customWidth="1"/>
    <col min="514" max="514" width="44.5703125" style="2" customWidth="1"/>
    <col min="515" max="515" width="17.140625" style="2" customWidth="1"/>
    <col min="516" max="516" width="18.5703125" style="2" customWidth="1"/>
    <col min="517" max="517" width="17.140625" style="2" customWidth="1"/>
    <col min="518" max="518" width="1" style="2" customWidth="1"/>
    <col min="519" max="519" width="6.5703125" style="2" customWidth="1"/>
    <col min="520" max="537" width="0" style="2" hidden="1" customWidth="1"/>
    <col min="538" max="538" width="31" style="2" customWidth="1"/>
    <col min="539" max="539" width="8" style="2" customWidth="1"/>
    <col min="540" max="540" width="8.85546875" style="2" customWidth="1"/>
    <col min="541" max="768" width="9.140625" style="2"/>
    <col min="769" max="769" width="1.28515625" style="2" customWidth="1"/>
    <col min="770" max="770" width="44.5703125" style="2" customWidth="1"/>
    <col min="771" max="771" width="17.140625" style="2" customWidth="1"/>
    <col min="772" max="772" width="18.5703125" style="2" customWidth="1"/>
    <col min="773" max="773" width="17.140625" style="2" customWidth="1"/>
    <col min="774" max="774" width="1" style="2" customWidth="1"/>
    <col min="775" max="775" width="6.5703125" style="2" customWidth="1"/>
    <col min="776" max="793" width="0" style="2" hidden="1" customWidth="1"/>
    <col min="794" max="794" width="31" style="2" customWidth="1"/>
    <col min="795" max="795" width="8" style="2" customWidth="1"/>
    <col min="796" max="796" width="8.85546875" style="2" customWidth="1"/>
    <col min="797" max="1024" width="9.140625" style="2"/>
    <col min="1025" max="1025" width="1.28515625" style="2" customWidth="1"/>
    <col min="1026" max="1026" width="44.5703125" style="2" customWidth="1"/>
    <col min="1027" max="1027" width="17.140625" style="2" customWidth="1"/>
    <col min="1028" max="1028" width="18.5703125" style="2" customWidth="1"/>
    <col min="1029" max="1029" width="17.140625" style="2" customWidth="1"/>
    <col min="1030" max="1030" width="1" style="2" customWidth="1"/>
    <col min="1031" max="1031" width="6.5703125" style="2" customWidth="1"/>
    <col min="1032" max="1049" width="0" style="2" hidden="1" customWidth="1"/>
    <col min="1050" max="1050" width="31" style="2" customWidth="1"/>
    <col min="1051" max="1051" width="8" style="2" customWidth="1"/>
    <col min="1052" max="1052" width="8.85546875" style="2" customWidth="1"/>
    <col min="1053" max="1280" width="9.140625" style="2"/>
    <col min="1281" max="1281" width="1.28515625" style="2" customWidth="1"/>
    <col min="1282" max="1282" width="44.5703125" style="2" customWidth="1"/>
    <col min="1283" max="1283" width="17.140625" style="2" customWidth="1"/>
    <col min="1284" max="1284" width="18.5703125" style="2" customWidth="1"/>
    <col min="1285" max="1285" width="17.140625" style="2" customWidth="1"/>
    <col min="1286" max="1286" width="1" style="2" customWidth="1"/>
    <col min="1287" max="1287" width="6.5703125" style="2" customWidth="1"/>
    <col min="1288" max="1305" width="0" style="2" hidden="1" customWidth="1"/>
    <col min="1306" max="1306" width="31" style="2" customWidth="1"/>
    <col min="1307" max="1307" width="8" style="2" customWidth="1"/>
    <col min="1308" max="1308" width="8.85546875" style="2" customWidth="1"/>
    <col min="1309" max="1536" width="9.140625" style="2"/>
    <col min="1537" max="1537" width="1.28515625" style="2" customWidth="1"/>
    <col min="1538" max="1538" width="44.5703125" style="2" customWidth="1"/>
    <col min="1539" max="1539" width="17.140625" style="2" customWidth="1"/>
    <col min="1540" max="1540" width="18.5703125" style="2" customWidth="1"/>
    <col min="1541" max="1541" width="17.140625" style="2" customWidth="1"/>
    <col min="1542" max="1542" width="1" style="2" customWidth="1"/>
    <col min="1543" max="1543" width="6.5703125" style="2" customWidth="1"/>
    <col min="1544" max="1561" width="0" style="2" hidden="1" customWidth="1"/>
    <col min="1562" max="1562" width="31" style="2" customWidth="1"/>
    <col min="1563" max="1563" width="8" style="2" customWidth="1"/>
    <col min="1564" max="1564" width="8.85546875" style="2" customWidth="1"/>
    <col min="1565" max="1792" width="9.140625" style="2"/>
    <col min="1793" max="1793" width="1.28515625" style="2" customWidth="1"/>
    <col min="1794" max="1794" width="44.5703125" style="2" customWidth="1"/>
    <col min="1795" max="1795" width="17.140625" style="2" customWidth="1"/>
    <col min="1796" max="1796" width="18.5703125" style="2" customWidth="1"/>
    <col min="1797" max="1797" width="17.140625" style="2" customWidth="1"/>
    <col min="1798" max="1798" width="1" style="2" customWidth="1"/>
    <col min="1799" max="1799" width="6.5703125" style="2" customWidth="1"/>
    <col min="1800" max="1817" width="0" style="2" hidden="1" customWidth="1"/>
    <col min="1818" max="1818" width="31" style="2" customWidth="1"/>
    <col min="1819" max="1819" width="8" style="2" customWidth="1"/>
    <col min="1820" max="1820" width="8.85546875" style="2" customWidth="1"/>
    <col min="1821" max="2048" width="9.140625" style="2"/>
    <col min="2049" max="2049" width="1.28515625" style="2" customWidth="1"/>
    <col min="2050" max="2050" width="44.5703125" style="2" customWidth="1"/>
    <col min="2051" max="2051" width="17.140625" style="2" customWidth="1"/>
    <col min="2052" max="2052" width="18.5703125" style="2" customWidth="1"/>
    <col min="2053" max="2053" width="17.140625" style="2" customWidth="1"/>
    <col min="2054" max="2054" width="1" style="2" customWidth="1"/>
    <col min="2055" max="2055" width="6.5703125" style="2" customWidth="1"/>
    <col min="2056" max="2073" width="0" style="2" hidden="1" customWidth="1"/>
    <col min="2074" max="2074" width="31" style="2" customWidth="1"/>
    <col min="2075" max="2075" width="8" style="2" customWidth="1"/>
    <col min="2076" max="2076" width="8.85546875" style="2" customWidth="1"/>
    <col min="2077" max="2304" width="9.140625" style="2"/>
    <col min="2305" max="2305" width="1.28515625" style="2" customWidth="1"/>
    <col min="2306" max="2306" width="44.5703125" style="2" customWidth="1"/>
    <col min="2307" max="2307" width="17.140625" style="2" customWidth="1"/>
    <col min="2308" max="2308" width="18.5703125" style="2" customWidth="1"/>
    <col min="2309" max="2309" width="17.140625" style="2" customWidth="1"/>
    <col min="2310" max="2310" width="1" style="2" customWidth="1"/>
    <col min="2311" max="2311" width="6.5703125" style="2" customWidth="1"/>
    <col min="2312" max="2329" width="0" style="2" hidden="1" customWidth="1"/>
    <col min="2330" max="2330" width="31" style="2" customWidth="1"/>
    <col min="2331" max="2331" width="8" style="2" customWidth="1"/>
    <col min="2332" max="2332" width="8.85546875" style="2" customWidth="1"/>
    <col min="2333" max="2560" width="9.140625" style="2"/>
    <col min="2561" max="2561" width="1.28515625" style="2" customWidth="1"/>
    <col min="2562" max="2562" width="44.5703125" style="2" customWidth="1"/>
    <col min="2563" max="2563" width="17.140625" style="2" customWidth="1"/>
    <col min="2564" max="2564" width="18.5703125" style="2" customWidth="1"/>
    <col min="2565" max="2565" width="17.140625" style="2" customWidth="1"/>
    <col min="2566" max="2566" width="1" style="2" customWidth="1"/>
    <col min="2567" max="2567" width="6.5703125" style="2" customWidth="1"/>
    <col min="2568" max="2585" width="0" style="2" hidden="1" customWidth="1"/>
    <col min="2586" max="2586" width="31" style="2" customWidth="1"/>
    <col min="2587" max="2587" width="8" style="2" customWidth="1"/>
    <col min="2588" max="2588" width="8.85546875" style="2" customWidth="1"/>
    <col min="2589" max="2816" width="9.140625" style="2"/>
    <col min="2817" max="2817" width="1.28515625" style="2" customWidth="1"/>
    <col min="2818" max="2818" width="44.5703125" style="2" customWidth="1"/>
    <col min="2819" max="2819" width="17.140625" style="2" customWidth="1"/>
    <col min="2820" max="2820" width="18.5703125" style="2" customWidth="1"/>
    <col min="2821" max="2821" width="17.140625" style="2" customWidth="1"/>
    <col min="2822" max="2822" width="1" style="2" customWidth="1"/>
    <col min="2823" max="2823" width="6.5703125" style="2" customWidth="1"/>
    <col min="2824" max="2841" width="0" style="2" hidden="1" customWidth="1"/>
    <col min="2842" max="2842" width="31" style="2" customWidth="1"/>
    <col min="2843" max="2843" width="8" style="2" customWidth="1"/>
    <col min="2844" max="2844" width="8.85546875" style="2" customWidth="1"/>
    <col min="2845" max="3072" width="9.140625" style="2"/>
    <col min="3073" max="3073" width="1.28515625" style="2" customWidth="1"/>
    <col min="3074" max="3074" width="44.5703125" style="2" customWidth="1"/>
    <col min="3075" max="3075" width="17.140625" style="2" customWidth="1"/>
    <col min="3076" max="3076" width="18.5703125" style="2" customWidth="1"/>
    <col min="3077" max="3077" width="17.140625" style="2" customWidth="1"/>
    <col min="3078" max="3078" width="1" style="2" customWidth="1"/>
    <col min="3079" max="3079" width="6.5703125" style="2" customWidth="1"/>
    <col min="3080" max="3097" width="0" style="2" hidden="1" customWidth="1"/>
    <col min="3098" max="3098" width="31" style="2" customWidth="1"/>
    <col min="3099" max="3099" width="8" style="2" customWidth="1"/>
    <col min="3100" max="3100" width="8.85546875" style="2" customWidth="1"/>
    <col min="3101" max="3328" width="9.140625" style="2"/>
    <col min="3329" max="3329" width="1.28515625" style="2" customWidth="1"/>
    <col min="3330" max="3330" width="44.5703125" style="2" customWidth="1"/>
    <col min="3331" max="3331" width="17.140625" style="2" customWidth="1"/>
    <col min="3332" max="3332" width="18.5703125" style="2" customWidth="1"/>
    <col min="3333" max="3333" width="17.140625" style="2" customWidth="1"/>
    <col min="3334" max="3334" width="1" style="2" customWidth="1"/>
    <col min="3335" max="3335" width="6.5703125" style="2" customWidth="1"/>
    <col min="3336" max="3353" width="0" style="2" hidden="1" customWidth="1"/>
    <col min="3354" max="3354" width="31" style="2" customWidth="1"/>
    <col min="3355" max="3355" width="8" style="2" customWidth="1"/>
    <col min="3356" max="3356" width="8.85546875" style="2" customWidth="1"/>
    <col min="3357" max="3584" width="9.140625" style="2"/>
    <col min="3585" max="3585" width="1.28515625" style="2" customWidth="1"/>
    <col min="3586" max="3586" width="44.5703125" style="2" customWidth="1"/>
    <col min="3587" max="3587" width="17.140625" style="2" customWidth="1"/>
    <col min="3588" max="3588" width="18.5703125" style="2" customWidth="1"/>
    <col min="3589" max="3589" width="17.140625" style="2" customWidth="1"/>
    <col min="3590" max="3590" width="1" style="2" customWidth="1"/>
    <col min="3591" max="3591" width="6.5703125" style="2" customWidth="1"/>
    <col min="3592" max="3609" width="0" style="2" hidden="1" customWidth="1"/>
    <col min="3610" max="3610" width="31" style="2" customWidth="1"/>
    <col min="3611" max="3611" width="8" style="2" customWidth="1"/>
    <col min="3612" max="3612" width="8.85546875" style="2" customWidth="1"/>
    <col min="3613" max="3840" width="9.140625" style="2"/>
    <col min="3841" max="3841" width="1.28515625" style="2" customWidth="1"/>
    <col min="3842" max="3842" width="44.5703125" style="2" customWidth="1"/>
    <col min="3843" max="3843" width="17.140625" style="2" customWidth="1"/>
    <col min="3844" max="3844" width="18.5703125" style="2" customWidth="1"/>
    <col min="3845" max="3845" width="17.140625" style="2" customWidth="1"/>
    <col min="3846" max="3846" width="1" style="2" customWidth="1"/>
    <col min="3847" max="3847" width="6.5703125" style="2" customWidth="1"/>
    <col min="3848" max="3865" width="0" style="2" hidden="1" customWidth="1"/>
    <col min="3866" max="3866" width="31" style="2" customWidth="1"/>
    <col min="3867" max="3867" width="8" style="2" customWidth="1"/>
    <col min="3868" max="3868" width="8.85546875" style="2" customWidth="1"/>
    <col min="3869" max="4096" width="9.140625" style="2"/>
    <col min="4097" max="4097" width="1.28515625" style="2" customWidth="1"/>
    <col min="4098" max="4098" width="44.5703125" style="2" customWidth="1"/>
    <col min="4099" max="4099" width="17.140625" style="2" customWidth="1"/>
    <col min="4100" max="4100" width="18.5703125" style="2" customWidth="1"/>
    <col min="4101" max="4101" width="17.140625" style="2" customWidth="1"/>
    <col min="4102" max="4102" width="1" style="2" customWidth="1"/>
    <col min="4103" max="4103" width="6.5703125" style="2" customWidth="1"/>
    <col min="4104" max="4121" width="0" style="2" hidden="1" customWidth="1"/>
    <col min="4122" max="4122" width="31" style="2" customWidth="1"/>
    <col min="4123" max="4123" width="8" style="2" customWidth="1"/>
    <col min="4124" max="4124" width="8.85546875" style="2" customWidth="1"/>
    <col min="4125" max="4352" width="9.140625" style="2"/>
    <col min="4353" max="4353" width="1.28515625" style="2" customWidth="1"/>
    <col min="4354" max="4354" width="44.5703125" style="2" customWidth="1"/>
    <col min="4355" max="4355" width="17.140625" style="2" customWidth="1"/>
    <col min="4356" max="4356" width="18.5703125" style="2" customWidth="1"/>
    <col min="4357" max="4357" width="17.140625" style="2" customWidth="1"/>
    <col min="4358" max="4358" width="1" style="2" customWidth="1"/>
    <col min="4359" max="4359" width="6.5703125" style="2" customWidth="1"/>
    <col min="4360" max="4377" width="0" style="2" hidden="1" customWidth="1"/>
    <col min="4378" max="4378" width="31" style="2" customWidth="1"/>
    <col min="4379" max="4379" width="8" style="2" customWidth="1"/>
    <col min="4380" max="4380" width="8.85546875" style="2" customWidth="1"/>
    <col min="4381" max="4608" width="9.140625" style="2"/>
    <col min="4609" max="4609" width="1.28515625" style="2" customWidth="1"/>
    <col min="4610" max="4610" width="44.5703125" style="2" customWidth="1"/>
    <col min="4611" max="4611" width="17.140625" style="2" customWidth="1"/>
    <col min="4612" max="4612" width="18.5703125" style="2" customWidth="1"/>
    <col min="4613" max="4613" width="17.140625" style="2" customWidth="1"/>
    <col min="4614" max="4614" width="1" style="2" customWidth="1"/>
    <col min="4615" max="4615" width="6.5703125" style="2" customWidth="1"/>
    <col min="4616" max="4633" width="0" style="2" hidden="1" customWidth="1"/>
    <col min="4634" max="4634" width="31" style="2" customWidth="1"/>
    <col min="4635" max="4635" width="8" style="2" customWidth="1"/>
    <col min="4636" max="4636" width="8.85546875" style="2" customWidth="1"/>
    <col min="4637" max="4864" width="9.140625" style="2"/>
    <col min="4865" max="4865" width="1.28515625" style="2" customWidth="1"/>
    <col min="4866" max="4866" width="44.5703125" style="2" customWidth="1"/>
    <col min="4867" max="4867" width="17.140625" style="2" customWidth="1"/>
    <col min="4868" max="4868" width="18.5703125" style="2" customWidth="1"/>
    <col min="4869" max="4869" width="17.140625" style="2" customWidth="1"/>
    <col min="4870" max="4870" width="1" style="2" customWidth="1"/>
    <col min="4871" max="4871" width="6.5703125" style="2" customWidth="1"/>
    <col min="4872" max="4889" width="0" style="2" hidden="1" customWidth="1"/>
    <col min="4890" max="4890" width="31" style="2" customWidth="1"/>
    <col min="4891" max="4891" width="8" style="2" customWidth="1"/>
    <col min="4892" max="4892" width="8.85546875" style="2" customWidth="1"/>
    <col min="4893" max="5120" width="9.140625" style="2"/>
    <col min="5121" max="5121" width="1.28515625" style="2" customWidth="1"/>
    <col min="5122" max="5122" width="44.5703125" style="2" customWidth="1"/>
    <col min="5123" max="5123" width="17.140625" style="2" customWidth="1"/>
    <col min="5124" max="5124" width="18.5703125" style="2" customWidth="1"/>
    <col min="5125" max="5125" width="17.140625" style="2" customWidth="1"/>
    <col min="5126" max="5126" width="1" style="2" customWidth="1"/>
    <col min="5127" max="5127" width="6.5703125" style="2" customWidth="1"/>
    <col min="5128" max="5145" width="0" style="2" hidden="1" customWidth="1"/>
    <col min="5146" max="5146" width="31" style="2" customWidth="1"/>
    <col min="5147" max="5147" width="8" style="2" customWidth="1"/>
    <col min="5148" max="5148" width="8.85546875" style="2" customWidth="1"/>
    <col min="5149" max="5376" width="9.140625" style="2"/>
    <col min="5377" max="5377" width="1.28515625" style="2" customWidth="1"/>
    <col min="5378" max="5378" width="44.5703125" style="2" customWidth="1"/>
    <col min="5379" max="5379" width="17.140625" style="2" customWidth="1"/>
    <col min="5380" max="5380" width="18.5703125" style="2" customWidth="1"/>
    <col min="5381" max="5381" width="17.140625" style="2" customWidth="1"/>
    <col min="5382" max="5382" width="1" style="2" customWidth="1"/>
    <col min="5383" max="5383" width="6.5703125" style="2" customWidth="1"/>
    <col min="5384" max="5401" width="0" style="2" hidden="1" customWidth="1"/>
    <col min="5402" max="5402" width="31" style="2" customWidth="1"/>
    <col min="5403" max="5403" width="8" style="2" customWidth="1"/>
    <col min="5404" max="5404" width="8.85546875" style="2" customWidth="1"/>
    <col min="5405" max="5632" width="9.140625" style="2"/>
    <col min="5633" max="5633" width="1.28515625" style="2" customWidth="1"/>
    <col min="5634" max="5634" width="44.5703125" style="2" customWidth="1"/>
    <col min="5635" max="5635" width="17.140625" style="2" customWidth="1"/>
    <col min="5636" max="5636" width="18.5703125" style="2" customWidth="1"/>
    <col min="5637" max="5637" width="17.140625" style="2" customWidth="1"/>
    <col min="5638" max="5638" width="1" style="2" customWidth="1"/>
    <col min="5639" max="5639" width="6.5703125" style="2" customWidth="1"/>
    <col min="5640" max="5657" width="0" style="2" hidden="1" customWidth="1"/>
    <col min="5658" max="5658" width="31" style="2" customWidth="1"/>
    <col min="5659" max="5659" width="8" style="2" customWidth="1"/>
    <col min="5660" max="5660" width="8.85546875" style="2" customWidth="1"/>
    <col min="5661" max="5888" width="9.140625" style="2"/>
    <col min="5889" max="5889" width="1.28515625" style="2" customWidth="1"/>
    <col min="5890" max="5890" width="44.5703125" style="2" customWidth="1"/>
    <col min="5891" max="5891" width="17.140625" style="2" customWidth="1"/>
    <col min="5892" max="5892" width="18.5703125" style="2" customWidth="1"/>
    <col min="5893" max="5893" width="17.140625" style="2" customWidth="1"/>
    <col min="5894" max="5894" width="1" style="2" customWidth="1"/>
    <col min="5895" max="5895" width="6.5703125" style="2" customWidth="1"/>
    <col min="5896" max="5913" width="0" style="2" hidden="1" customWidth="1"/>
    <col min="5914" max="5914" width="31" style="2" customWidth="1"/>
    <col min="5915" max="5915" width="8" style="2" customWidth="1"/>
    <col min="5916" max="5916" width="8.85546875" style="2" customWidth="1"/>
    <col min="5917" max="6144" width="9.140625" style="2"/>
    <col min="6145" max="6145" width="1.28515625" style="2" customWidth="1"/>
    <col min="6146" max="6146" width="44.5703125" style="2" customWidth="1"/>
    <col min="6147" max="6147" width="17.140625" style="2" customWidth="1"/>
    <col min="6148" max="6148" width="18.5703125" style="2" customWidth="1"/>
    <col min="6149" max="6149" width="17.140625" style="2" customWidth="1"/>
    <col min="6150" max="6150" width="1" style="2" customWidth="1"/>
    <col min="6151" max="6151" width="6.5703125" style="2" customWidth="1"/>
    <col min="6152" max="6169" width="0" style="2" hidden="1" customWidth="1"/>
    <col min="6170" max="6170" width="31" style="2" customWidth="1"/>
    <col min="6171" max="6171" width="8" style="2" customWidth="1"/>
    <col min="6172" max="6172" width="8.85546875" style="2" customWidth="1"/>
    <col min="6173" max="6400" width="9.140625" style="2"/>
    <col min="6401" max="6401" width="1.28515625" style="2" customWidth="1"/>
    <col min="6402" max="6402" width="44.5703125" style="2" customWidth="1"/>
    <col min="6403" max="6403" width="17.140625" style="2" customWidth="1"/>
    <col min="6404" max="6404" width="18.5703125" style="2" customWidth="1"/>
    <col min="6405" max="6405" width="17.140625" style="2" customWidth="1"/>
    <col min="6406" max="6406" width="1" style="2" customWidth="1"/>
    <col min="6407" max="6407" width="6.5703125" style="2" customWidth="1"/>
    <col min="6408" max="6425" width="0" style="2" hidden="1" customWidth="1"/>
    <col min="6426" max="6426" width="31" style="2" customWidth="1"/>
    <col min="6427" max="6427" width="8" style="2" customWidth="1"/>
    <col min="6428" max="6428" width="8.85546875" style="2" customWidth="1"/>
    <col min="6429" max="6656" width="9.140625" style="2"/>
    <col min="6657" max="6657" width="1.28515625" style="2" customWidth="1"/>
    <col min="6658" max="6658" width="44.5703125" style="2" customWidth="1"/>
    <col min="6659" max="6659" width="17.140625" style="2" customWidth="1"/>
    <col min="6660" max="6660" width="18.5703125" style="2" customWidth="1"/>
    <col min="6661" max="6661" width="17.140625" style="2" customWidth="1"/>
    <col min="6662" max="6662" width="1" style="2" customWidth="1"/>
    <col min="6663" max="6663" width="6.5703125" style="2" customWidth="1"/>
    <col min="6664" max="6681" width="0" style="2" hidden="1" customWidth="1"/>
    <col min="6682" max="6682" width="31" style="2" customWidth="1"/>
    <col min="6683" max="6683" width="8" style="2" customWidth="1"/>
    <col min="6684" max="6684" width="8.85546875" style="2" customWidth="1"/>
    <col min="6685" max="6912" width="9.140625" style="2"/>
    <col min="6913" max="6913" width="1.28515625" style="2" customWidth="1"/>
    <col min="6914" max="6914" width="44.5703125" style="2" customWidth="1"/>
    <col min="6915" max="6915" width="17.140625" style="2" customWidth="1"/>
    <col min="6916" max="6916" width="18.5703125" style="2" customWidth="1"/>
    <col min="6917" max="6917" width="17.140625" style="2" customWidth="1"/>
    <col min="6918" max="6918" width="1" style="2" customWidth="1"/>
    <col min="6919" max="6919" width="6.5703125" style="2" customWidth="1"/>
    <col min="6920" max="6937" width="0" style="2" hidden="1" customWidth="1"/>
    <col min="6938" max="6938" width="31" style="2" customWidth="1"/>
    <col min="6939" max="6939" width="8" style="2" customWidth="1"/>
    <col min="6940" max="6940" width="8.85546875" style="2" customWidth="1"/>
    <col min="6941" max="7168" width="9.140625" style="2"/>
    <col min="7169" max="7169" width="1.28515625" style="2" customWidth="1"/>
    <col min="7170" max="7170" width="44.5703125" style="2" customWidth="1"/>
    <col min="7171" max="7171" width="17.140625" style="2" customWidth="1"/>
    <col min="7172" max="7172" width="18.5703125" style="2" customWidth="1"/>
    <col min="7173" max="7173" width="17.140625" style="2" customWidth="1"/>
    <col min="7174" max="7174" width="1" style="2" customWidth="1"/>
    <col min="7175" max="7175" width="6.5703125" style="2" customWidth="1"/>
    <col min="7176" max="7193" width="0" style="2" hidden="1" customWidth="1"/>
    <col min="7194" max="7194" width="31" style="2" customWidth="1"/>
    <col min="7195" max="7195" width="8" style="2" customWidth="1"/>
    <col min="7196" max="7196" width="8.85546875" style="2" customWidth="1"/>
    <col min="7197" max="7424" width="9.140625" style="2"/>
    <col min="7425" max="7425" width="1.28515625" style="2" customWidth="1"/>
    <col min="7426" max="7426" width="44.5703125" style="2" customWidth="1"/>
    <col min="7427" max="7427" width="17.140625" style="2" customWidth="1"/>
    <col min="7428" max="7428" width="18.5703125" style="2" customWidth="1"/>
    <col min="7429" max="7429" width="17.140625" style="2" customWidth="1"/>
    <col min="7430" max="7430" width="1" style="2" customWidth="1"/>
    <col min="7431" max="7431" width="6.5703125" style="2" customWidth="1"/>
    <col min="7432" max="7449" width="0" style="2" hidden="1" customWidth="1"/>
    <col min="7450" max="7450" width="31" style="2" customWidth="1"/>
    <col min="7451" max="7451" width="8" style="2" customWidth="1"/>
    <col min="7452" max="7452" width="8.85546875" style="2" customWidth="1"/>
    <col min="7453" max="7680" width="9.140625" style="2"/>
    <col min="7681" max="7681" width="1.28515625" style="2" customWidth="1"/>
    <col min="7682" max="7682" width="44.5703125" style="2" customWidth="1"/>
    <col min="7683" max="7683" width="17.140625" style="2" customWidth="1"/>
    <col min="7684" max="7684" width="18.5703125" style="2" customWidth="1"/>
    <col min="7685" max="7685" width="17.140625" style="2" customWidth="1"/>
    <col min="7686" max="7686" width="1" style="2" customWidth="1"/>
    <col min="7687" max="7687" width="6.5703125" style="2" customWidth="1"/>
    <col min="7688" max="7705" width="0" style="2" hidden="1" customWidth="1"/>
    <col min="7706" max="7706" width="31" style="2" customWidth="1"/>
    <col min="7707" max="7707" width="8" style="2" customWidth="1"/>
    <col min="7708" max="7708" width="8.85546875" style="2" customWidth="1"/>
    <col min="7709" max="7936" width="9.140625" style="2"/>
    <col min="7937" max="7937" width="1.28515625" style="2" customWidth="1"/>
    <col min="7938" max="7938" width="44.5703125" style="2" customWidth="1"/>
    <col min="7939" max="7939" width="17.140625" style="2" customWidth="1"/>
    <col min="7940" max="7940" width="18.5703125" style="2" customWidth="1"/>
    <col min="7941" max="7941" width="17.140625" style="2" customWidth="1"/>
    <col min="7942" max="7942" width="1" style="2" customWidth="1"/>
    <col min="7943" max="7943" width="6.5703125" style="2" customWidth="1"/>
    <col min="7944" max="7961" width="0" style="2" hidden="1" customWidth="1"/>
    <col min="7962" max="7962" width="31" style="2" customWidth="1"/>
    <col min="7963" max="7963" width="8" style="2" customWidth="1"/>
    <col min="7964" max="7964" width="8.85546875" style="2" customWidth="1"/>
    <col min="7965" max="8192" width="9.140625" style="2"/>
    <col min="8193" max="8193" width="1.28515625" style="2" customWidth="1"/>
    <col min="8194" max="8194" width="44.5703125" style="2" customWidth="1"/>
    <col min="8195" max="8195" width="17.140625" style="2" customWidth="1"/>
    <col min="8196" max="8196" width="18.5703125" style="2" customWidth="1"/>
    <col min="8197" max="8197" width="17.140625" style="2" customWidth="1"/>
    <col min="8198" max="8198" width="1" style="2" customWidth="1"/>
    <col min="8199" max="8199" width="6.5703125" style="2" customWidth="1"/>
    <col min="8200" max="8217" width="0" style="2" hidden="1" customWidth="1"/>
    <col min="8218" max="8218" width="31" style="2" customWidth="1"/>
    <col min="8219" max="8219" width="8" style="2" customWidth="1"/>
    <col min="8220" max="8220" width="8.85546875" style="2" customWidth="1"/>
    <col min="8221" max="8448" width="9.140625" style="2"/>
    <col min="8449" max="8449" width="1.28515625" style="2" customWidth="1"/>
    <col min="8450" max="8450" width="44.5703125" style="2" customWidth="1"/>
    <col min="8451" max="8451" width="17.140625" style="2" customWidth="1"/>
    <col min="8452" max="8452" width="18.5703125" style="2" customWidth="1"/>
    <col min="8453" max="8453" width="17.140625" style="2" customWidth="1"/>
    <col min="8454" max="8454" width="1" style="2" customWidth="1"/>
    <col min="8455" max="8455" width="6.5703125" style="2" customWidth="1"/>
    <col min="8456" max="8473" width="0" style="2" hidden="1" customWidth="1"/>
    <col min="8474" max="8474" width="31" style="2" customWidth="1"/>
    <col min="8475" max="8475" width="8" style="2" customWidth="1"/>
    <col min="8476" max="8476" width="8.85546875" style="2" customWidth="1"/>
    <col min="8477" max="8704" width="9.140625" style="2"/>
    <col min="8705" max="8705" width="1.28515625" style="2" customWidth="1"/>
    <col min="8706" max="8706" width="44.5703125" style="2" customWidth="1"/>
    <col min="8707" max="8707" width="17.140625" style="2" customWidth="1"/>
    <col min="8708" max="8708" width="18.5703125" style="2" customWidth="1"/>
    <col min="8709" max="8709" width="17.140625" style="2" customWidth="1"/>
    <col min="8710" max="8710" width="1" style="2" customWidth="1"/>
    <col min="8711" max="8711" width="6.5703125" style="2" customWidth="1"/>
    <col min="8712" max="8729" width="0" style="2" hidden="1" customWidth="1"/>
    <col min="8730" max="8730" width="31" style="2" customWidth="1"/>
    <col min="8731" max="8731" width="8" style="2" customWidth="1"/>
    <col min="8732" max="8732" width="8.85546875" style="2" customWidth="1"/>
    <col min="8733" max="8960" width="9.140625" style="2"/>
    <col min="8961" max="8961" width="1.28515625" style="2" customWidth="1"/>
    <col min="8962" max="8962" width="44.5703125" style="2" customWidth="1"/>
    <col min="8963" max="8963" width="17.140625" style="2" customWidth="1"/>
    <col min="8964" max="8964" width="18.5703125" style="2" customWidth="1"/>
    <col min="8965" max="8965" width="17.140625" style="2" customWidth="1"/>
    <col min="8966" max="8966" width="1" style="2" customWidth="1"/>
    <col min="8967" max="8967" width="6.5703125" style="2" customWidth="1"/>
    <col min="8968" max="8985" width="0" style="2" hidden="1" customWidth="1"/>
    <col min="8986" max="8986" width="31" style="2" customWidth="1"/>
    <col min="8987" max="8987" width="8" style="2" customWidth="1"/>
    <col min="8988" max="8988" width="8.85546875" style="2" customWidth="1"/>
    <col min="8989" max="9216" width="9.140625" style="2"/>
    <col min="9217" max="9217" width="1.28515625" style="2" customWidth="1"/>
    <col min="9218" max="9218" width="44.5703125" style="2" customWidth="1"/>
    <col min="9219" max="9219" width="17.140625" style="2" customWidth="1"/>
    <col min="9220" max="9220" width="18.5703125" style="2" customWidth="1"/>
    <col min="9221" max="9221" width="17.140625" style="2" customWidth="1"/>
    <col min="9222" max="9222" width="1" style="2" customWidth="1"/>
    <col min="9223" max="9223" width="6.5703125" style="2" customWidth="1"/>
    <col min="9224" max="9241" width="0" style="2" hidden="1" customWidth="1"/>
    <col min="9242" max="9242" width="31" style="2" customWidth="1"/>
    <col min="9243" max="9243" width="8" style="2" customWidth="1"/>
    <col min="9244" max="9244" width="8.85546875" style="2" customWidth="1"/>
    <col min="9245" max="9472" width="9.140625" style="2"/>
    <col min="9473" max="9473" width="1.28515625" style="2" customWidth="1"/>
    <col min="9474" max="9474" width="44.5703125" style="2" customWidth="1"/>
    <col min="9475" max="9475" width="17.140625" style="2" customWidth="1"/>
    <col min="9476" max="9476" width="18.5703125" style="2" customWidth="1"/>
    <col min="9477" max="9477" width="17.140625" style="2" customWidth="1"/>
    <col min="9478" max="9478" width="1" style="2" customWidth="1"/>
    <col min="9479" max="9479" width="6.5703125" style="2" customWidth="1"/>
    <col min="9480" max="9497" width="0" style="2" hidden="1" customWidth="1"/>
    <col min="9498" max="9498" width="31" style="2" customWidth="1"/>
    <col min="9499" max="9499" width="8" style="2" customWidth="1"/>
    <col min="9500" max="9500" width="8.85546875" style="2" customWidth="1"/>
    <col min="9501" max="9728" width="9.140625" style="2"/>
    <col min="9729" max="9729" width="1.28515625" style="2" customWidth="1"/>
    <col min="9730" max="9730" width="44.5703125" style="2" customWidth="1"/>
    <col min="9731" max="9731" width="17.140625" style="2" customWidth="1"/>
    <col min="9732" max="9732" width="18.5703125" style="2" customWidth="1"/>
    <col min="9733" max="9733" width="17.140625" style="2" customWidth="1"/>
    <col min="9734" max="9734" width="1" style="2" customWidth="1"/>
    <col min="9735" max="9735" width="6.5703125" style="2" customWidth="1"/>
    <col min="9736" max="9753" width="0" style="2" hidden="1" customWidth="1"/>
    <col min="9754" max="9754" width="31" style="2" customWidth="1"/>
    <col min="9755" max="9755" width="8" style="2" customWidth="1"/>
    <col min="9756" max="9756" width="8.85546875" style="2" customWidth="1"/>
    <col min="9757" max="9984" width="9.140625" style="2"/>
    <col min="9985" max="9985" width="1.28515625" style="2" customWidth="1"/>
    <col min="9986" max="9986" width="44.5703125" style="2" customWidth="1"/>
    <col min="9987" max="9987" width="17.140625" style="2" customWidth="1"/>
    <col min="9988" max="9988" width="18.5703125" style="2" customWidth="1"/>
    <col min="9989" max="9989" width="17.140625" style="2" customWidth="1"/>
    <col min="9990" max="9990" width="1" style="2" customWidth="1"/>
    <col min="9991" max="9991" width="6.5703125" style="2" customWidth="1"/>
    <col min="9992" max="10009" width="0" style="2" hidden="1" customWidth="1"/>
    <col min="10010" max="10010" width="31" style="2" customWidth="1"/>
    <col min="10011" max="10011" width="8" style="2" customWidth="1"/>
    <col min="10012" max="10012" width="8.85546875" style="2" customWidth="1"/>
    <col min="10013" max="10240" width="9.140625" style="2"/>
    <col min="10241" max="10241" width="1.28515625" style="2" customWidth="1"/>
    <col min="10242" max="10242" width="44.5703125" style="2" customWidth="1"/>
    <col min="10243" max="10243" width="17.140625" style="2" customWidth="1"/>
    <col min="10244" max="10244" width="18.5703125" style="2" customWidth="1"/>
    <col min="10245" max="10245" width="17.140625" style="2" customWidth="1"/>
    <col min="10246" max="10246" width="1" style="2" customWidth="1"/>
    <col min="10247" max="10247" width="6.5703125" style="2" customWidth="1"/>
    <col min="10248" max="10265" width="0" style="2" hidden="1" customWidth="1"/>
    <col min="10266" max="10266" width="31" style="2" customWidth="1"/>
    <col min="10267" max="10267" width="8" style="2" customWidth="1"/>
    <col min="10268" max="10268" width="8.85546875" style="2" customWidth="1"/>
    <col min="10269" max="10496" width="9.140625" style="2"/>
    <col min="10497" max="10497" width="1.28515625" style="2" customWidth="1"/>
    <col min="10498" max="10498" width="44.5703125" style="2" customWidth="1"/>
    <col min="10499" max="10499" width="17.140625" style="2" customWidth="1"/>
    <col min="10500" max="10500" width="18.5703125" style="2" customWidth="1"/>
    <col min="10501" max="10501" width="17.140625" style="2" customWidth="1"/>
    <col min="10502" max="10502" width="1" style="2" customWidth="1"/>
    <col min="10503" max="10503" width="6.5703125" style="2" customWidth="1"/>
    <col min="10504" max="10521" width="0" style="2" hidden="1" customWidth="1"/>
    <col min="10522" max="10522" width="31" style="2" customWidth="1"/>
    <col min="10523" max="10523" width="8" style="2" customWidth="1"/>
    <col min="10524" max="10524" width="8.85546875" style="2" customWidth="1"/>
    <col min="10525" max="10752" width="9.140625" style="2"/>
    <col min="10753" max="10753" width="1.28515625" style="2" customWidth="1"/>
    <col min="10754" max="10754" width="44.5703125" style="2" customWidth="1"/>
    <col min="10755" max="10755" width="17.140625" style="2" customWidth="1"/>
    <col min="10756" max="10756" width="18.5703125" style="2" customWidth="1"/>
    <col min="10757" max="10757" width="17.140625" style="2" customWidth="1"/>
    <col min="10758" max="10758" width="1" style="2" customWidth="1"/>
    <col min="10759" max="10759" width="6.5703125" style="2" customWidth="1"/>
    <col min="10760" max="10777" width="0" style="2" hidden="1" customWidth="1"/>
    <col min="10778" max="10778" width="31" style="2" customWidth="1"/>
    <col min="10779" max="10779" width="8" style="2" customWidth="1"/>
    <col min="10780" max="10780" width="8.85546875" style="2" customWidth="1"/>
    <col min="10781" max="11008" width="9.140625" style="2"/>
    <col min="11009" max="11009" width="1.28515625" style="2" customWidth="1"/>
    <col min="11010" max="11010" width="44.5703125" style="2" customWidth="1"/>
    <col min="11011" max="11011" width="17.140625" style="2" customWidth="1"/>
    <col min="11012" max="11012" width="18.5703125" style="2" customWidth="1"/>
    <col min="11013" max="11013" width="17.140625" style="2" customWidth="1"/>
    <col min="11014" max="11014" width="1" style="2" customWidth="1"/>
    <col min="11015" max="11015" width="6.5703125" style="2" customWidth="1"/>
    <col min="11016" max="11033" width="0" style="2" hidden="1" customWidth="1"/>
    <col min="11034" max="11034" width="31" style="2" customWidth="1"/>
    <col min="11035" max="11035" width="8" style="2" customWidth="1"/>
    <col min="11036" max="11036" width="8.85546875" style="2" customWidth="1"/>
    <col min="11037" max="11264" width="9.140625" style="2"/>
    <col min="11265" max="11265" width="1.28515625" style="2" customWidth="1"/>
    <col min="11266" max="11266" width="44.5703125" style="2" customWidth="1"/>
    <col min="11267" max="11267" width="17.140625" style="2" customWidth="1"/>
    <col min="11268" max="11268" width="18.5703125" style="2" customWidth="1"/>
    <col min="11269" max="11269" width="17.140625" style="2" customWidth="1"/>
    <col min="11270" max="11270" width="1" style="2" customWidth="1"/>
    <col min="11271" max="11271" width="6.5703125" style="2" customWidth="1"/>
    <col min="11272" max="11289" width="0" style="2" hidden="1" customWidth="1"/>
    <col min="11290" max="11290" width="31" style="2" customWidth="1"/>
    <col min="11291" max="11291" width="8" style="2" customWidth="1"/>
    <col min="11292" max="11292" width="8.85546875" style="2" customWidth="1"/>
    <col min="11293" max="11520" width="9.140625" style="2"/>
    <col min="11521" max="11521" width="1.28515625" style="2" customWidth="1"/>
    <col min="11522" max="11522" width="44.5703125" style="2" customWidth="1"/>
    <col min="11523" max="11523" width="17.140625" style="2" customWidth="1"/>
    <col min="11524" max="11524" width="18.5703125" style="2" customWidth="1"/>
    <col min="11525" max="11525" width="17.140625" style="2" customWidth="1"/>
    <col min="11526" max="11526" width="1" style="2" customWidth="1"/>
    <col min="11527" max="11527" width="6.5703125" style="2" customWidth="1"/>
    <col min="11528" max="11545" width="0" style="2" hidden="1" customWidth="1"/>
    <col min="11546" max="11546" width="31" style="2" customWidth="1"/>
    <col min="11547" max="11547" width="8" style="2" customWidth="1"/>
    <col min="11548" max="11548" width="8.85546875" style="2" customWidth="1"/>
    <col min="11549" max="11776" width="9.140625" style="2"/>
    <col min="11777" max="11777" width="1.28515625" style="2" customWidth="1"/>
    <col min="11778" max="11778" width="44.5703125" style="2" customWidth="1"/>
    <col min="11779" max="11779" width="17.140625" style="2" customWidth="1"/>
    <col min="11780" max="11780" width="18.5703125" style="2" customWidth="1"/>
    <col min="11781" max="11781" width="17.140625" style="2" customWidth="1"/>
    <col min="11782" max="11782" width="1" style="2" customWidth="1"/>
    <col min="11783" max="11783" width="6.5703125" style="2" customWidth="1"/>
    <col min="11784" max="11801" width="0" style="2" hidden="1" customWidth="1"/>
    <col min="11802" max="11802" width="31" style="2" customWidth="1"/>
    <col min="11803" max="11803" width="8" style="2" customWidth="1"/>
    <col min="11804" max="11804" width="8.85546875" style="2" customWidth="1"/>
    <col min="11805" max="12032" width="9.140625" style="2"/>
    <col min="12033" max="12033" width="1.28515625" style="2" customWidth="1"/>
    <col min="12034" max="12034" width="44.5703125" style="2" customWidth="1"/>
    <col min="12035" max="12035" width="17.140625" style="2" customWidth="1"/>
    <col min="12036" max="12036" width="18.5703125" style="2" customWidth="1"/>
    <col min="12037" max="12037" width="17.140625" style="2" customWidth="1"/>
    <col min="12038" max="12038" width="1" style="2" customWidth="1"/>
    <col min="12039" max="12039" width="6.5703125" style="2" customWidth="1"/>
    <col min="12040" max="12057" width="0" style="2" hidden="1" customWidth="1"/>
    <col min="12058" max="12058" width="31" style="2" customWidth="1"/>
    <col min="12059" max="12059" width="8" style="2" customWidth="1"/>
    <col min="12060" max="12060" width="8.85546875" style="2" customWidth="1"/>
    <col min="12061" max="12288" width="9.140625" style="2"/>
    <col min="12289" max="12289" width="1.28515625" style="2" customWidth="1"/>
    <col min="12290" max="12290" width="44.5703125" style="2" customWidth="1"/>
    <col min="12291" max="12291" width="17.140625" style="2" customWidth="1"/>
    <col min="12292" max="12292" width="18.5703125" style="2" customWidth="1"/>
    <col min="12293" max="12293" width="17.140625" style="2" customWidth="1"/>
    <col min="12294" max="12294" width="1" style="2" customWidth="1"/>
    <col min="12295" max="12295" width="6.5703125" style="2" customWidth="1"/>
    <col min="12296" max="12313" width="0" style="2" hidden="1" customWidth="1"/>
    <col min="12314" max="12314" width="31" style="2" customWidth="1"/>
    <col min="12315" max="12315" width="8" style="2" customWidth="1"/>
    <col min="12316" max="12316" width="8.85546875" style="2" customWidth="1"/>
    <col min="12317" max="12544" width="9.140625" style="2"/>
    <col min="12545" max="12545" width="1.28515625" style="2" customWidth="1"/>
    <col min="12546" max="12546" width="44.5703125" style="2" customWidth="1"/>
    <col min="12547" max="12547" width="17.140625" style="2" customWidth="1"/>
    <col min="12548" max="12548" width="18.5703125" style="2" customWidth="1"/>
    <col min="12549" max="12549" width="17.140625" style="2" customWidth="1"/>
    <col min="12550" max="12550" width="1" style="2" customWidth="1"/>
    <col min="12551" max="12551" width="6.5703125" style="2" customWidth="1"/>
    <col min="12552" max="12569" width="0" style="2" hidden="1" customWidth="1"/>
    <col min="12570" max="12570" width="31" style="2" customWidth="1"/>
    <col min="12571" max="12571" width="8" style="2" customWidth="1"/>
    <col min="12572" max="12572" width="8.85546875" style="2" customWidth="1"/>
    <col min="12573" max="12800" width="9.140625" style="2"/>
    <col min="12801" max="12801" width="1.28515625" style="2" customWidth="1"/>
    <col min="12802" max="12802" width="44.5703125" style="2" customWidth="1"/>
    <col min="12803" max="12803" width="17.140625" style="2" customWidth="1"/>
    <col min="12804" max="12804" width="18.5703125" style="2" customWidth="1"/>
    <col min="12805" max="12805" width="17.140625" style="2" customWidth="1"/>
    <col min="12806" max="12806" width="1" style="2" customWidth="1"/>
    <col min="12807" max="12807" width="6.5703125" style="2" customWidth="1"/>
    <col min="12808" max="12825" width="0" style="2" hidden="1" customWidth="1"/>
    <col min="12826" max="12826" width="31" style="2" customWidth="1"/>
    <col min="12827" max="12827" width="8" style="2" customWidth="1"/>
    <col min="12828" max="12828" width="8.85546875" style="2" customWidth="1"/>
    <col min="12829" max="13056" width="9.140625" style="2"/>
    <col min="13057" max="13057" width="1.28515625" style="2" customWidth="1"/>
    <col min="13058" max="13058" width="44.5703125" style="2" customWidth="1"/>
    <col min="13059" max="13059" width="17.140625" style="2" customWidth="1"/>
    <col min="13060" max="13060" width="18.5703125" style="2" customWidth="1"/>
    <col min="13061" max="13061" width="17.140625" style="2" customWidth="1"/>
    <col min="13062" max="13062" width="1" style="2" customWidth="1"/>
    <col min="13063" max="13063" width="6.5703125" style="2" customWidth="1"/>
    <col min="13064" max="13081" width="0" style="2" hidden="1" customWidth="1"/>
    <col min="13082" max="13082" width="31" style="2" customWidth="1"/>
    <col min="13083" max="13083" width="8" style="2" customWidth="1"/>
    <col min="13084" max="13084" width="8.85546875" style="2" customWidth="1"/>
    <col min="13085" max="13312" width="9.140625" style="2"/>
    <col min="13313" max="13313" width="1.28515625" style="2" customWidth="1"/>
    <col min="13314" max="13314" width="44.5703125" style="2" customWidth="1"/>
    <col min="13315" max="13315" width="17.140625" style="2" customWidth="1"/>
    <col min="13316" max="13316" width="18.5703125" style="2" customWidth="1"/>
    <col min="13317" max="13317" width="17.140625" style="2" customWidth="1"/>
    <col min="13318" max="13318" width="1" style="2" customWidth="1"/>
    <col min="13319" max="13319" width="6.5703125" style="2" customWidth="1"/>
    <col min="13320" max="13337" width="0" style="2" hidden="1" customWidth="1"/>
    <col min="13338" max="13338" width="31" style="2" customWidth="1"/>
    <col min="13339" max="13339" width="8" style="2" customWidth="1"/>
    <col min="13340" max="13340" width="8.85546875" style="2" customWidth="1"/>
    <col min="13341" max="13568" width="9.140625" style="2"/>
    <col min="13569" max="13569" width="1.28515625" style="2" customWidth="1"/>
    <col min="13570" max="13570" width="44.5703125" style="2" customWidth="1"/>
    <col min="13571" max="13571" width="17.140625" style="2" customWidth="1"/>
    <col min="13572" max="13572" width="18.5703125" style="2" customWidth="1"/>
    <col min="13573" max="13573" width="17.140625" style="2" customWidth="1"/>
    <col min="13574" max="13574" width="1" style="2" customWidth="1"/>
    <col min="13575" max="13575" width="6.5703125" style="2" customWidth="1"/>
    <col min="13576" max="13593" width="0" style="2" hidden="1" customWidth="1"/>
    <col min="13594" max="13594" width="31" style="2" customWidth="1"/>
    <col min="13595" max="13595" width="8" style="2" customWidth="1"/>
    <col min="13596" max="13596" width="8.85546875" style="2" customWidth="1"/>
    <col min="13597" max="13824" width="9.140625" style="2"/>
    <col min="13825" max="13825" width="1.28515625" style="2" customWidth="1"/>
    <col min="13826" max="13826" width="44.5703125" style="2" customWidth="1"/>
    <col min="13827" max="13827" width="17.140625" style="2" customWidth="1"/>
    <col min="13828" max="13828" width="18.5703125" style="2" customWidth="1"/>
    <col min="13829" max="13829" width="17.140625" style="2" customWidth="1"/>
    <col min="13830" max="13830" width="1" style="2" customWidth="1"/>
    <col min="13831" max="13831" width="6.5703125" style="2" customWidth="1"/>
    <col min="13832" max="13849" width="0" style="2" hidden="1" customWidth="1"/>
    <col min="13850" max="13850" width="31" style="2" customWidth="1"/>
    <col min="13851" max="13851" width="8" style="2" customWidth="1"/>
    <col min="13852" max="13852" width="8.85546875" style="2" customWidth="1"/>
    <col min="13853" max="14080" width="9.140625" style="2"/>
    <col min="14081" max="14081" width="1.28515625" style="2" customWidth="1"/>
    <col min="14082" max="14082" width="44.5703125" style="2" customWidth="1"/>
    <col min="14083" max="14083" width="17.140625" style="2" customWidth="1"/>
    <col min="14084" max="14084" width="18.5703125" style="2" customWidth="1"/>
    <col min="14085" max="14085" width="17.140625" style="2" customWidth="1"/>
    <col min="14086" max="14086" width="1" style="2" customWidth="1"/>
    <col min="14087" max="14087" width="6.5703125" style="2" customWidth="1"/>
    <col min="14088" max="14105" width="0" style="2" hidden="1" customWidth="1"/>
    <col min="14106" max="14106" width="31" style="2" customWidth="1"/>
    <col min="14107" max="14107" width="8" style="2" customWidth="1"/>
    <col min="14108" max="14108" width="8.85546875" style="2" customWidth="1"/>
    <col min="14109" max="14336" width="9.140625" style="2"/>
    <col min="14337" max="14337" width="1.28515625" style="2" customWidth="1"/>
    <col min="14338" max="14338" width="44.5703125" style="2" customWidth="1"/>
    <col min="14339" max="14339" width="17.140625" style="2" customWidth="1"/>
    <col min="14340" max="14340" width="18.5703125" style="2" customWidth="1"/>
    <col min="14341" max="14341" width="17.140625" style="2" customWidth="1"/>
    <col min="14342" max="14342" width="1" style="2" customWidth="1"/>
    <col min="14343" max="14343" width="6.5703125" style="2" customWidth="1"/>
    <col min="14344" max="14361" width="0" style="2" hidden="1" customWidth="1"/>
    <col min="14362" max="14362" width="31" style="2" customWidth="1"/>
    <col min="14363" max="14363" width="8" style="2" customWidth="1"/>
    <col min="14364" max="14364" width="8.85546875" style="2" customWidth="1"/>
    <col min="14365" max="14592" width="9.140625" style="2"/>
    <col min="14593" max="14593" width="1.28515625" style="2" customWidth="1"/>
    <col min="14594" max="14594" width="44.5703125" style="2" customWidth="1"/>
    <col min="14595" max="14595" width="17.140625" style="2" customWidth="1"/>
    <col min="14596" max="14596" width="18.5703125" style="2" customWidth="1"/>
    <col min="14597" max="14597" width="17.140625" style="2" customWidth="1"/>
    <col min="14598" max="14598" width="1" style="2" customWidth="1"/>
    <col min="14599" max="14599" width="6.5703125" style="2" customWidth="1"/>
    <col min="14600" max="14617" width="0" style="2" hidden="1" customWidth="1"/>
    <col min="14618" max="14618" width="31" style="2" customWidth="1"/>
    <col min="14619" max="14619" width="8" style="2" customWidth="1"/>
    <col min="14620" max="14620" width="8.85546875" style="2" customWidth="1"/>
    <col min="14621" max="14848" width="9.140625" style="2"/>
    <col min="14849" max="14849" width="1.28515625" style="2" customWidth="1"/>
    <col min="14850" max="14850" width="44.5703125" style="2" customWidth="1"/>
    <col min="14851" max="14851" width="17.140625" style="2" customWidth="1"/>
    <col min="14852" max="14852" width="18.5703125" style="2" customWidth="1"/>
    <col min="14853" max="14853" width="17.140625" style="2" customWidth="1"/>
    <col min="14854" max="14854" width="1" style="2" customWidth="1"/>
    <col min="14855" max="14855" width="6.5703125" style="2" customWidth="1"/>
    <col min="14856" max="14873" width="0" style="2" hidden="1" customWidth="1"/>
    <col min="14874" max="14874" width="31" style="2" customWidth="1"/>
    <col min="14875" max="14875" width="8" style="2" customWidth="1"/>
    <col min="14876" max="14876" width="8.85546875" style="2" customWidth="1"/>
    <col min="14877" max="15104" width="9.140625" style="2"/>
    <col min="15105" max="15105" width="1.28515625" style="2" customWidth="1"/>
    <col min="15106" max="15106" width="44.5703125" style="2" customWidth="1"/>
    <col min="15107" max="15107" width="17.140625" style="2" customWidth="1"/>
    <col min="15108" max="15108" width="18.5703125" style="2" customWidth="1"/>
    <col min="15109" max="15109" width="17.140625" style="2" customWidth="1"/>
    <col min="15110" max="15110" width="1" style="2" customWidth="1"/>
    <col min="15111" max="15111" width="6.5703125" style="2" customWidth="1"/>
    <col min="15112" max="15129" width="0" style="2" hidden="1" customWidth="1"/>
    <col min="15130" max="15130" width="31" style="2" customWidth="1"/>
    <col min="15131" max="15131" width="8" style="2" customWidth="1"/>
    <col min="15132" max="15132" width="8.85546875" style="2" customWidth="1"/>
    <col min="15133" max="15360" width="9.140625" style="2"/>
    <col min="15361" max="15361" width="1.28515625" style="2" customWidth="1"/>
    <col min="15362" max="15362" width="44.5703125" style="2" customWidth="1"/>
    <col min="15363" max="15363" width="17.140625" style="2" customWidth="1"/>
    <col min="15364" max="15364" width="18.5703125" style="2" customWidth="1"/>
    <col min="15365" max="15365" width="17.140625" style="2" customWidth="1"/>
    <col min="15366" max="15366" width="1" style="2" customWidth="1"/>
    <col min="15367" max="15367" width="6.5703125" style="2" customWidth="1"/>
    <col min="15368" max="15385" width="0" style="2" hidden="1" customWidth="1"/>
    <col min="15386" max="15386" width="31" style="2" customWidth="1"/>
    <col min="15387" max="15387" width="8" style="2" customWidth="1"/>
    <col min="15388" max="15388" width="8.85546875" style="2" customWidth="1"/>
    <col min="15389" max="15616" width="9.140625" style="2"/>
    <col min="15617" max="15617" width="1.28515625" style="2" customWidth="1"/>
    <col min="15618" max="15618" width="44.5703125" style="2" customWidth="1"/>
    <col min="15619" max="15619" width="17.140625" style="2" customWidth="1"/>
    <col min="15620" max="15620" width="18.5703125" style="2" customWidth="1"/>
    <col min="15621" max="15621" width="17.140625" style="2" customWidth="1"/>
    <col min="15622" max="15622" width="1" style="2" customWidth="1"/>
    <col min="15623" max="15623" width="6.5703125" style="2" customWidth="1"/>
    <col min="15624" max="15641" width="0" style="2" hidden="1" customWidth="1"/>
    <col min="15642" max="15642" width="31" style="2" customWidth="1"/>
    <col min="15643" max="15643" width="8" style="2" customWidth="1"/>
    <col min="15644" max="15644" width="8.85546875" style="2" customWidth="1"/>
    <col min="15645" max="15872" width="9.140625" style="2"/>
    <col min="15873" max="15873" width="1.28515625" style="2" customWidth="1"/>
    <col min="15874" max="15874" width="44.5703125" style="2" customWidth="1"/>
    <col min="15875" max="15875" width="17.140625" style="2" customWidth="1"/>
    <col min="15876" max="15876" width="18.5703125" style="2" customWidth="1"/>
    <col min="15877" max="15877" width="17.140625" style="2" customWidth="1"/>
    <col min="15878" max="15878" width="1" style="2" customWidth="1"/>
    <col min="15879" max="15879" width="6.5703125" style="2" customWidth="1"/>
    <col min="15880" max="15897" width="0" style="2" hidden="1" customWidth="1"/>
    <col min="15898" max="15898" width="31" style="2" customWidth="1"/>
    <col min="15899" max="15899" width="8" style="2" customWidth="1"/>
    <col min="15900" max="15900" width="8.85546875" style="2" customWidth="1"/>
    <col min="15901" max="16128" width="9.140625" style="2"/>
    <col min="16129" max="16129" width="1.28515625" style="2" customWidth="1"/>
    <col min="16130" max="16130" width="44.5703125" style="2" customWidth="1"/>
    <col min="16131" max="16131" width="17.140625" style="2" customWidth="1"/>
    <col min="16132" max="16132" width="18.5703125" style="2" customWidth="1"/>
    <col min="16133" max="16133" width="17.140625" style="2" customWidth="1"/>
    <col min="16134" max="16134" width="1" style="2" customWidth="1"/>
    <col min="16135" max="16135" width="6.5703125" style="2" customWidth="1"/>
    <col min="16136" max="16153" width="0" style="2" hidden="1" customWidth="1"/>
    <col min="16154" max="16154" width="31" style="2" customWidth="1"/>
    <col min="16155" max="16155" width="8" style="2"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31 de diciembre del 2022.</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19"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0" t="s">
        <v>39</v>
      </c>
      <c r="C46" s="20"/>
      <c r="D46" s="20"/>
      <c r="E46" s="20"/>
    </row>
    <row r="47" spans="2:5" ht="56.25" customHeight="1" x14ac:dyDescent="0.25">
      <c r="B47" s="20" t="s">
        <v>40</v>
      </c>
      <c r="C47" s="20"/>
      <c r="D47" s="20"/>
      <c r="E47" s="20"/>
    </row>
    <row r="48" spans="2:5" ht="69.75" customHeight="1" x14ac:dyDescent="0.25">
      <c r="B48" s="14" t="s">
        <v>41</v>
      </c>
      <c r="C48" s="14"/>
      <c r="D48" s="14"/>
      <c r="E48" s="14"/>
    </row>
    <row r="49" spans="2:5" ht="13.5" customHeight="1" x14ac:dyDescent="0.25">
      <c r="B49" s="21"/>
      <c r="C49" s="21"/>
      <c r="D49" s="21"/>
      <c r="E49" s="21"/>
    </row>
    <row r="50" spans="2:5" ht="13.5" customHeight="1" x14ac:dyDescent="0.25">
      <c r="B50" s="21"/>
      <c r="C50" s="21"/>
      <c r="D50" s="21"/>
      <c r="E50" s="21"/>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2" t="s">
        <v>44</v>
      </c>
      <c r="C54" s="22"/>
      <c r="D54" s="22"/>
      <c r="E54" s="22"/>
    </row>
    <row r="55" spans="2:5" ht="14.25" customHeight="1" x14ac:dyDescent="0.25">
      <c r="B55" s="23"/>
      <c r="C55" s="23"/>
      <c r="D55" s="23"/>
      <c r="E55" s="23"/>
    </row>
    <row r="56" spans="2:5" ht="14.25" customHeight="1" x14ac:dyDescent="0.25">
      <c r="B56" s="23"/>
      <c r="C56" s="23"/>
      <c r="D56" s="23"/>
      <c r="E56" s="23"/>
    </row>
    <row r="57" spans="2:5" ht="25.5" customHeight="1" x14ac:dyDescent="0.25">
      <c r="B57" s="17" t="s">
        <v>45</v>
      </c>
      <c r="C57" s="23"/>
      <c r="D57" s="24"/>
      <c r="E57" s="23"/>
    </row>
    <row r="58" spans="2:5" x14ac:dyDescent="0.25">
      <c r="B58" s="17" t="s">
        <v>46</v>
      </c>
    </row>
    <row r="59" spans="2:5" ht="55.5" customHeight="1" x14ac:dyDescent="0.25">
      <c r="B59" s="20" t="s">
        <v>47</v>
      </c>
      <c r="C59" s="20"/>
      <c r="D59" s="20"/>
      <c r="E59" s="20"/>
    </row>
    <row r="60" spans="2:5" ht="27" customHeight="1" x14ac:dyDescent="0.25">
      <c r="B60" s="20" t="s">
        <v>48</v>
      </c>
      <c r="C60" s="20"/>
      <c r="D60" s="20"/>
      <c r="E60" s="20"/>
    </row>
    <row r="61" spans="2:5" x14ac:dyDescent="0.25">
      <c r="B61" s="7" t="s">
        <v>49</v>
      </c>
      <c r="C61" s="7"/>
      <c r="D61" s="7"/>
      <c r="E61" s="7"/>
    </row>
    <row r="62" spans="2:5" ht="73.5" customHeight="1" x14ac:dyDescent="0.25">
      <c r="B62" s="25" t="s">
        <v>50</v>
      </c>
      <c r="C62" s="25"/>
      <c r="D62" s="25"/>
      <c r="E62" s="25"/>
    </row>
    <row r="63" spans="2:5" x14ac:dyDescent="0.25">
      <c r="B63" s="7" t="s">
        <v>51</v>
      </c>
      <c r="C63" s="7"/>
      <c r="D63" s="7"/>
      <c r="E63" s="7"/>
    </row>
    <row r="64" spans="2:5" ht="68.25" customHeight="1" x14ac:dyDescent="0.25">
      <c r="B64" s="14" t="s">
        <v>52</v>
      </c>
      <c r="C64" s="14"/>
      <c r="D64" s="14"/>
      <c r="E64" s="14"/>
    </row>
    <row r="65" spans="2:5" ht="68.25" customHeight="1" x14ac:dyDescent="0.25">
      <c r="B65" s="21"/>
      <c r="C65" s="21"/>
      <c r="D65" s="21"/>
      <c r="E65" s="21"/>
    </row>
    <row r="66" spans="2:5" ht="25.5" customHeight="1" x14ac:dyDescent="0.25">
      <c r="B66" s="7" t="s">
        <v>53</v>
      </c>
      <c r="C66" s="7"/>
      <c r="D66" s="7"/>
      <c r="E66" s="7"/>
    </row>
    <row r="67" spans="2:5" ht="46.5" customHeight="1" x14ac:dyDescent="0.25">
      <c r="B67" s="20" t="s">
        <v>54</v>
      </c>
      <c r="C67" s="20"/>
      <c r="D67" s="20"/>
      <c r="E67" s="20"/>
    </row>
    <row r="68" spans="2:5" ht="43.5" hidden="1" customHeight="1" x14ac:dyDescent="0.25">
      <c r="B68" s="26" t="s">
        <v>55</v>
      </c>
      <c r="C68" s="26"/>
      <c r="D68" s="26"/>
      <c r="E68" s="26"/>
    </row>
    <row r="69" spans="2:5" ht="58.5" hidden="1" customHeight="1" x14ac:dyDescent="0.25">
      <c r="B69" s="26" t="s">
        <v>56</v>
      </c>
      <c r="C69" s="26"/>
      <c r="D69" s="26"/>
      <c r="E69" s="26"/>
    </row>
    <row r="70" spans="2:5" ht="30" hidden="1" customHeight="1" x14ac:dyDescent="0.25">
      <c r="B70" s="26" t="s">
        <v>57</v>
      </c>
      <c r="C70" s="26"/>
      <c r="D70" s="26"/>
      <c r="E70" s="26"/>
    </row>
    <row r="71" spans="2:5" hidden="1" x14ac:dyDescent="0.25">
      <c r="B71" s="26" t="s">
        <v>58</v>
      </c>
      <c r="C71" s="26"/>
      <c r="D71" s="26"/>
      <c r="E71" s="26"/>
    </row>
    <row r="72" spans="2:5" ht="63.75" hidden="1" customHeight="1" x14ac:dyDescent="0.25">
      <c r="B72" s="26" t="s">
        <v>59</v>
      </c>
      <c r="C72" s="26"/>
      <c r="D72" s="26"/>
      <c r="E72" s="26"/>
    </row>
    <row r="73" spans="2:5" ht="42" hidden="1" customHeight="1" x14ac:dyDescent="0.25">
      <c r="B73" s="26" t="s">
        <v>60</v>
      </c>
      <c r="C73" s="26"/>
      <c r="D73" s="26"/>
      <c r="E73" s="26"/>
    </row>
    <row r="74" spans="2:5" ht="78.75" hidden="1" customHeight="1" x14ac:dyDescent="0.25">
      <c r="B74" s="26" t="s">
        <v>61</v>
      </c>
      <c r="C74" s="26"/>
      <c r="D74" s="26"/>
      <c r="E74" s="26"/>
    </row>
    <row r="75" spans="2:5" ht="66" hidden="1" customHeight="1" x14ac:dyDescent="0.25">
      <c r="B75" s="26" t="s">
        <v>62</v>
      </c>
      <c r="C75" s="26"/>
      <c r="D75" s="26"/>
      <c r="E75" s="26"/>
    </row>
    <row r="76" spans="2:5" ht="13.5" customHeight="1" x14ac:dyDescent="0.25">
      <c r="B76" s="27"/>
      <c r="C76" s="27"/>
      <c r="D76" s="28"/>
      <c r="E76" s="27"/>
    </row>
    <row r="77" spans="2:5" ht="26.25" customHeight="1" x14ac:dyDescent="0.25">
      <c r="B77" s="7" t="s">
        <v>63</v>
      </c>
      <c r="C77" s="7"/>
      <c r="D77" s="7"/>
      <c r="E77" s="7"/>
    </row>
    <row r="78" spans="2:5" ht="34.5" customHeight="1" x14ac:dyDescent="0.25">
      <c r="B78" s="29" t="s">
        <v>64</v>
      </c>
      <c r="C78" s="29"/>
      <c r="D78" s="29"/>
      <c r="E78" s="29"/>
    </row>
    <row r="79" spans="2:5" ht="15.75" customHeight="1" x14ac:dyDescent="0.25">
      <c r="B79" s="27"/>
      <c r="C79" s="27"/>
      <c r="D79" s="27"/>
      <c r="E79" s="27"/>
    </row>
    <row r="80" spans="2:5" ht="15.75" customHeight="1" x14ac:dyDescent="0.25">
      <c r="B80" s="30" t="s">
        <v>65</v>
      </c>
      <c r="C80" s="27"/>
      <c r="D80" s="28"/>
      <c r="E80" s="27"/>
    </row>
    <row r="81" spans="2:5" ht="20.25" customHeight="1" x14ac:dyDescent="0.25">
      <c r="B81" s="7" t="s">
        <v>66</v>
      </c>
      <c r="C81" s="7"/>
      <c r="D81" s="7"/>
      <c r="E81" s="7"/>
    </row>
    <row r="82" spans="2:5" x14ac:dyDescent="0.25">
      <c r="B82" s="7" t="s">
        <v>67</v>
      </c>
      <c r="C82" s="7"/>
      <c r="D82" s="7"/>
      <c r="E82" s="7"/>
    </row>
    <row r="83" spans="2:5" ht="49.5" customHeight="1" x14ac:dyDescent="0.25">
      <c r="B83" s="29" t="s">
        <v>68</v>
      </c>
      <c r="C83" s="29"/>
      <c r="D83" s="29"/>
      <c r="E83" s="29"/>
    </row>
    <row r="84" spans="2:5" x14ac:dyDescent="0.25">
      <c r="B84" s="7" t="s">
        <v>69</v>
      </c>
      <c r="C84" s="7"/>
      <c r="D84" s="7"/>
      <c r="E84" s="7"/>
    </row>
    <row r="85" spans="2:5" ht="45" customHeight="1" x14ac:dyDescent="0.25">
      <c r="B85" s="20" t="s">
        <v>70</v>
      </c>
      <c r="C85" s="20"/>
      <c r="D85" s="20"/>
      <c r="E85" s="20"/>
    </row>
    <row r="86" spans="2:5" x14ac:dyDescent="0.25">
      <c r="B86" s="7" t="s">
        <v>71</v>
      </c>
      <c r="C86" s="7"/>
      <c r="D86" s="7"/>
      <c r="E86" s="7"/>
    </row>
    <row r="87" spans="2:5" ht="39.75" customHeight="1" x14ac:dyDescent="0.25">
      <c r="B87" s="20" t="s">
        <v>72</v>
      </c>
      <c r="C87" s="20"/>
      <c r="D87" s="20"/>
      <c r="E87" s="20"/>
    </row>
    <row r="88" spans="2:5" x14ac:dyDescent="0.25">
      <c r="B88" s="7" t="s">
        <v>73</v>
      </c>
      <c r="C88" s="7"/>
      <c r="D88" s="7"/>
      <c r="E88" s="7"/>
    </row>
    <row r="89" spans="2:5" ht="40.5" customHeight="1" x14ac:dyDescent="0.25">
      <c r="B89" s="20" t="s">
        <v>74</v>
      </c>
      <c r="C89" s="20"/>
      <c r="D89" s="20"/>
      <c r="E89" s="20"/>
    </row>
    <row r="90" spans="2:5" x14ac:dyDescent="0.25">
      <c r="B90" s="7" t="s">
        <v>75</v>
      </c>
      <c r="C90" s="7"/>
      <c r="D90" s="7"/>
      <c r="E90" s="7"/>
    </row>
    <row r="91" spans="2:5" ht="39" customHeight="1" x14ac:dyDescent="0.25">
      <c r="B91" s="20" t="s">
        <v>76</v>
      </c>
      <c r="C91" s="20"/>
      <c r="D91" s="20"/>
      <c r="E91" s="20"/>
    </row>
    <row r="92" spans="2:5" x14ac:dyDescent="0.25">
      <c r="B92" s="7" t="s">
        <v>77</v>
      </c>
      <c r="C92" s="7"/>
      <c r="D92" s="7"/>
      <c r="E92" s="7"/>
    </row>
    <row r="93" spans="2:5" ht="25.5" customHeight="1" x14ac:dyDescent="0.25">
      <c r="B93" s="7" t="s">
        <v>78</v>
      </c>
      <c r="C93" s="7"/>
      <c r="D93" s="7"/>
      <c r="E93" s="7"/>
    </row>
    <row r="94" spans="2:5" ht="45" customHeight="1" x14ac:dyDescent="0.25">
      <c r="B94" s="20" t="s">
        <v>79</v>
      </c>
      <c r="C94" s="20"/>
      <c r="D94" s="20"/>
      <c r="E94" s="20"/>
    </row>
    <row r="95" spans="2:5" ht="35.25" customHeight="1" x14ac:dyDescent="0.25">
      <c r="B95" s="20" t="s">
        <v>80</v>
      </c>
      <c r="C95" s="20"/>
      <c r="D95" s="20"/>
      <c r="E95" s="20"/>
    </row>
    <row r="96" spans="2:5" ht="39.75" customHeight="1" x14ac:dyDescent="0.25">
      <c r="B96" s="14" t="s">
        <v>81</v>
      </c>
      <c r="C96" s="14"/>
      <c r="D96" s="14"/>
      <c r="E96" s="14"/>
    </row>
    <row r="97" spans="2:26" ht="51.75" customHeight="1" x14ac:dyDescent="0.25">
      <c r="B97" s="20" t="s">
        <v>82</v>
      </c>
      <c r="C97" s="20"/>
      <c r="D97" s="20"/>
      <c r="E97" s="20"/>
    </row>
    <row r="98" spans="2:26" ht="24.75" customHeight="1" x14ac:dyDescent="0.25">
      <c r="B98" s="16"/>
      <c r="C98" s="16"/>
      <c r="D98" s="16"/>
      <c r="E98" s="16"/>
    </row>
    <row r="99" spans="2:26" ht="33" customHeight="1" x14ac:dyDescent="0.25">
      <c r="B99" s="16"/>
      <c r="C99" s="16"/>
      <c r="D99" s="16"/>
      <c r="E99" s="16"/>
    </row>
    <row r="100" spans="2:26" ht="36.75" customHeight="1" x14ac:dyDescent="0.25">
      <c r="B100" s="20" t="s">
        <v>83</v>
      </c>
      <c r="C100" s="20"/>
      <c r="D100" s="20"/>
      <c r="E100" s="20"/>
    </row>
    <row r="101" spans="2:26" ht="87.75" customHeight="1" x14ac:dyDescent="0.25">
      <c r="B101" s="20" t="s">
        <v>84</v>
      </c>
      <c r="C101" s="20"/>
      <c r="D101" s="20"/>
      <c r="E101" s="20"/>
    </row>
    <row r="102" spans="2:26" s="31" customFormat="1" ht="11.25" customHeight="1" x14ac:dyDescent="0.25">
      <c r="B102" s="32"/>
      <c r="C102" s="32"/>
      <c r="D102" s="33"/>
      <c r="E102" s="32"/>
      <c r="J102" s="34"/>
      <c r="N102" s="34"/>
      <c r="R102" s="35"/>
      <c r="S102" s="35"/>
      <c r="T102" s="35"/>
      <c r="U102" s="35"/>
      <c r="V102" s="35"/>
      <c r="W102" s="35"/>
      <c r="X102" s="35"/>
      <c r="Y102" s="35"/>
      <c r="Z102" s="34"/>
    </row>
    <row r="103" spans="2:26" ht="11.25" customHeight="1" x14ac:dyDescent="0.25">
      <c r="B103" s="16"/>
      <c r="C103" s="16"/>
      <c r="D103" s="36"/>
      <c r="E103" s="16"/>
    </row>
    <row r="104" spans="2:26" ht="18.75" customHeight="1" x14ac:dyDescent="0.25">
      <c r="B104" s="12" t="s">
        <v>85</v>
      </c>
      <c r="C104" s="12"/>
      <c r="D104" s="12"/>
      <c r="E104" s="12"/>
    </row>
    <row r="105" spans="2:26" ht="66.75" customHeight="1" x14ac:dyDescent="0.25">
      <c r="B105" s="20" t="s">
        <v>86</v>
      </c>
      <c r="C105" s="20"/>
      <c r="D105" s="20"/>
      <c r="E105" s="20"/>
    </row>
    <row r="106" spans="2:26" ht="55.5" customHeight="1" x14ac:dyDescent="0.25">
      <c r="B106" s="20" t="s">
        <v>87</v>
      </c>
      <c r="C106" s="20"/>
      <c r="D106" s="20"/>
      <c r="E106" s="20"/>
    </row>
    <row r="107" spans="2:26" ht="18.75" customHeight="1" x14ac:dyDescent="0.25">
      <c r="B107" s="12" t="s">
        <v>88</v>
      </c>
      <c r="C107" s="12"/>
      <c r="D107" s="12"/>
      <c r="E107" s="12"/>
    </row>
    <row r="108" spans="2:26" ht="42" customHeight="1" x14ac:dyDescent="0.25">
      <c r="B108" s="20" t="s">
        <v>89</v>
      </c>
      <c r="C108" s="20"/>
      <c r="D108" s="20"/>
      <c r="E108" s="20"/>
    </row>
    <row r="109" spans="2:26" x14ac:dyDescent="0.25">
      <c r="B109" s="16"/>
      <c r="C109" s="16"/>
      <c r="D109" s="36"/>
      <c r="E109" s="16"/>
    </row>
    <row r="110" spans="2:26" x14ac:dyDescent="0.25">
      <c r="B110" s="7" t="s">
        <v>90</v>
      </c>
      <c r="C110" s="7"/>
      <c r="D110" s="7"/>
      <c r="E110" s="7"/>
    </row>
    <row r="111" spans="2:26" ht="27" customHeight="1" x14ac:dyDescent="0.25">
      <c r="B111" s="7" t="s">
        <v>91</v>
      </c>
      <c r="C111" s="7"/>
      <c r="D111" s="7"/>
      <c r="E111" s="7"/>
    </row>
    <row r="112" spans="2:26" ht="37.5" customHeight="1" x14ac:dyDescent="0.25">
      <c r="B112" s="14" t="str">
        <f>("Un detalle del "&amp;_Toc208202813&amp;" al "&amp;[1]BALANZA!$B$3&amp;" "&amp;[1]BALANZA!$C$3&amp;" es como se detalla a continuación:")</f>
        <v>Un detalle del Efectivo y equivalentes de efectivo. al 31 de diciembre del 2022 - 2021 es como se detalla a continuación:</v>
      </c>
      <c r="C112" s="37"/>
      <c r="D112" s="37"/>
      <c r="E112" s="37"/>
    </row>
    <row r="113" spans="2:26" ht="41.25" customHeight="1" x14ac:dyDescent="0.25">
      <c r="B113" s="20" t="str">
        <f>("El efectivo disponible en caja y cuentas bancarias presenta los siguientes ascenso  para el "&amp;C115&amp;" RD$"&amp;R124&amp;"  y para el "&amp;D115&amp;" fue de RD$ "&amp;R125&amp;" , el cual se detalla a continuación:")</f>
        <v>El efectivo disponible en caja y cuentas bancarias presenta los siguientes ascenso  para el 2022 RD$177,196,230.74  y para el 2021 fue de RD$ 136,224,838.11 , el cual se detalla a continuación:</v>
      </c>
      <c r="C113" s="20"/>
      <c r="D113" s="20"/>
      <c r="E113" s="20"/>
    </row>
    <row r="114" spans="2:26" x14ac:dyDescent="0.25">
      <c r="B114" s="13"/>
    </row>
    <row r="115" spans="2:26" x14ac:dyDescent="0.25">
      <c r="B115" s="38" t="s">
        <v>92</v>
      </c>
      <c r="C115" s="39">
        <f>+[1]BALANZA!B4</f>
        <v>2022</v>
      </c>
      <c r="D115" s="40">
        <f>+[1]BALANZA!C4</f>
        <v>2021</v>
      </c>
      <c r="E115" s="41" t="s">
        <v>93</v>
      </c>
    </row>
    <row r="116" spans="2:26" ht="18" customHeight="1" x14ac:dyDescent="0.25">
      <c r="B116" s="42" t="s">
        <v>94</v>
      </c>
      <c r="C116" s="43">
        <f>+'[1]BALANZA G'!C12</f>
        <v>0</v>
      </c>
      <c r="D116" s="44">
        <f>+'[1]BALANZA G'!E12</f>
        <v>1988</v>
      </c>
      <c r="E116" s="45">
        <f t="shared" ref="E116:E122" si="0">+C116-D116</f>
        <v>-1988</v>
      </c>
    </row>
    <row r="117" spans="2:26" ht="18" customHeight="1" x14ac:dyDescent="0.25">
      <c r="B117" s="42" t="s">
        <v>95</v>
      </c>
      <c r="C117" s="43">
        <f>+'[1]BALANZA G'!C13</f>
        <v>110000</v>
      </c>
      <c r="D117" s="44">
        <f>+'[1]BALANZA G'!E13</f>
        <v>110000</v>
      </c>
      <c r="E117" s="45">
        <f t="shared" si="0"/>
        <v>0</v>
      </c>
    </row>
    <row r="118" spans="2:26" ht="30.75" customHeight="1" x14ac:dyDescent="0.25">
      <c r="B118" s="42" t="s">
        <v>96</v>
      </c>
      <c r="C118" s="43">
        <f>+'[1]BALANZA G'!C23</f>
        <v>254050.45</v>
      </c>
      <c r="D118" s="46">
        <f>IF(+'[1]BALANZA G'!E23&gt;0,+'[1]BALANZA G'!E23,0)</f>
        <v>128944.45</v>
      </c>
      <c r="E118" s="45">
        <f t="shared" si="0"/>
        <v>125106.00000000001</v>
      </c>
    </row>
    <row r="119" spans="2:26" ht="28.5" customHeight="1" x14ac:dyDescent="0.25">
      <c r="B119" s="47" t="s">
        <v>97</v>
      </c>
      <c r="C119" s="43">
        <f>+'[1]BALANZA G'!C25</f>
        <v>1407193.25</v>
      </c>
      <c r="D119" s="46">
        <f>IF(+'[1]BALANZA G'!E25&gt;0,+'[1]BALANZA G'!E25,0)</f>
        <v>6981052.3700000001</v>
      </c>
      <c r="E119" s="48">
        <f t="shared" si="0"/>
        <v>-5573859.1200000001</v>
      </c>
    </row>
    <row r="120" spans="2:26" ht="30" customHeight="1" x14ac:dyDescent="0.25">
      <c r="B120" s="42" t="s">
        <v>98</v>
      </c>
      <c r="C120" s="43">
        <f>+'[1]BALANZA G'!C24</f>
        <v>62922140.32</v>
      </c>
      <c r="D120" s="46">
        <f>IF(+'[1]BALANZA G'!E24&gt;0,+'[1]BALANZA G'!E24,0)</f>
        <v>129002853.29000001</v>
      </c>
      <c r="E120" s="45">
        <f t="shared" si="0"/>
        <v>-66080712.970000006</v>
      </c>
    </row>
    <row r="121" spans="2:26" ht="17.25" customHeight="1" x14ac:dyDescent="0.25">
      <c r="B121" s="42" t="s">
        <v>99</v>
      </c>
      <c r="C121" s="43">
        <f>+'[1]BALANZA G'!C26</f>
        <v>669885.98</v>
      </c>
      <c r="D121" s="46">
        <f>+'[1]BALANZA G'!E26</f>
        <v>0</v>
      </c>
      <c r="E121" s="45">
        <f t="shared" si="0"/>
        <v>669885.98</v>
      </c>
    </row>
    <row r="122" spans="2:26" ht="17.25" customHeight="1" x14ac:dyDescent="0.25">
      <c r="B122" s="49" t="s">
        <v>100</v>
      </c>
      <c r="C122" s="50">
        <f>+'[1]BALANZA G'!C27+'[1]BALANZA G'!C22</f>
        <v>111832960.74000001</v>
      </c>
      <c r="D122" s="46">
        <f>+'[1]BALANZA G'!E27</f>
        <v>0</v>
      </c>
      <c r="E122" s="45">
        <f t="shared" si="0"/>
        <v>111832960.74000001</v>
      </c>
    </row>
    <row r="123" spans="2:26" ht="17.25" hidden="1" customHeight="1" x14ac:dyDescent="0.25">
      <c r="B123" s="49" t="s">
        <v>101</v>
      </c>
      <c r="C123" s="50">
        <f>+'[1]BALANZA G'!C28</f>
        <v>0</v>
      </c>
      <c r="D123" s="46">
        <f>+'[1]BALANZA G'!E28</f>
        <v>0</v>
      </c>
      <c r="E123" s="45"/>
    </row>
    <row r="124" spans="2:26" s="51" customFormat="1" ht="18.75" customHeight="1" x14ac:dyDescent="0.25">
      <c r="B124" s="52" t="s">
        <v>102</v>
      </c>
      <c r="C124" s="53">
        <f>SUM(C116:C123)</f>
        <v>177196230.74000001</v>
      </c>
      <c r="D124" s="53">
        <f>SUM(D116:D123)</f>
        <v>136224838.11000001</v>
      </c>
      <c r="E124" s="54">
        <f>SUM(E116:E120)</f>
        <v>-71531454.090000004</v>
      </c>
      <c r="J124" s="55"/>
      <c r="N124" s="55"/>
      <c r="R124" s="4" t="str">
        <f>+CONCATENATE(T124,",",U124,",",V124,W124)</f>
        <v>177,196,230.74</v>
      </c>
      <c r="S124" s="4"/>
      <c r="T124" s="4" t="str">
        <f>MID(C124,1,3)</f>
        <v>177</v>
      </c>
      <c r="U124" s="4" t="str">
        <f>MID(C124,4,3)</f>
        <v>196</v>
      </c>
      <c r="V124" s="4" t="str">
        <f>MID(C124,7,3)</f>
        <v>230</v>
      </c>
      <c r="W124" s="4" t="str">
        <f>MID(C124,10,3)</f>
        <v>.74</v>
      </c>
      <c r="X124" s="4"/>
      <c r="Y124" s="56"/>
      <c r="Z124" s="55"/>
    </row>
    <row r="125" spans="2:26" s="51" customFormat="1" x14ac:dyDescent="0.25">
      <c r="B125" s="57"/>
      <c r="C125" s="58">
        <f>+C124-'[1]ES F '!B11</f>
        <v>0</v>
      </c>
      <c r="D125" s="59"/>
      <c r="E125" s="60"/>
      <c r="J125" s="55"/>
      <c r="N125" s="55"/>
      <c r="R125" s="4" t="str">
        <f>+CONCATENATE(T125,",",U125,",",V125,W125)</f>
        <v>136,224,838.11</v>
      </c>
      <c r="S125" s="4"/>
      <c r="T125" s="4" t="str">
        <f>MID(D124,1,3)</f>
        <v>136</v>
      </c>
      <c r="U125" s="4" t="str">
        <f>MID(D124,4,3)</f>
        <v>224</v>
      </c>
      <c r="V125" s="4" t="str">
        <f>MID(D124,7,3)</f>
        <v>838</v>
      </c>
      <c r="W125" s="4" t="str">
        <f>MID(D124,10,3)</f>
        <v>.11</v>
      </c>
      <c r="X125" s="4" t="str">
        <f>MID(E125,7,3)</f>
        <v/>
      </c>
      <c r="Y125" s="4" t="str">
        <f>MID(C125,10,3)</f>
        <v/>
      </c>
      <c r="Z125" s="55"/>
    </row>
    <row r="126" spans="2:26" s="51" customFormat="1" x14ac:dyDescent="0.25">
      <c r="B126" s="61" t="s">
        <v>103</v>
      </c>
      <c r="C126" s="62"/>
      <c r="D126" s="63" t="str">
        <f>IF(E126&gt;=0,"Aumento","Disminución")</f>
        <v>Disminución</v>
      </c>
      <c r="E126" s="64">
        <f>+E124/D124</f>
        <v>-0.52509847016473721</v>
      </c>
      <c r="J126" s="55"/>
      <c r="N126" s="55"/>
      <c r="R126" s="56"/>
      <c r="S126" s="56"/>
      <c r="T126" s="56"/>
      <c r="U126" s="56"/>
      <c r="V126" s="56"/>
      <c r="W126" s="56"/>
      <c r="X126" s="56"/>
      <c r="Y126" s="56"/>
      <c r="Z126" s="55"/>
    </row>
    <row r="127" spans="2:26" s="51" customFormat="1" x14ac:dyDescent="0.25">
      <c r="B127" s="65"/>
      <c r="C127" s="65"/>
      <c r="D127" s="66"/>
      <c r="E127" s="67"/>
      <c r="J127" s="55"/>
      <c r="N127" s="55"/>
      <c r="R127" s="56"/>
      <c r="S127" s="56"/>
      <c r="T127" s="56"/>
      <c r="U127" s="56"/>
      <c r="V127" s="56"/>
      <c r="W127" s="56"/>
      <c r="X127" s="56"/>
      <c r="Y127" s="56"/>
      <c r="Z127" s="55"/>
    </row>
    <row r="128" spans="2:26" s="51" customFormat="1" ht="10.5" customHeight="1" x14ac:dyDescent="0.25">
      <c r="B128" s="68"/>
      <c r="C128" s="68"/>
      <c r="D128" s="66"/>
      <c r="E128" s="69"/>
      <c r="J128" s="55"/>
      <c r="N128" s="55"/>
      <c r="R128" s="56"/>
      <c r="S128" s="56"/>
      <c r="T128" s="56"/>
      <c r="U128" s="56"/>
      <c r="V128" s="56"/>
      <c r="W128" s="56"/>
      <c r="X128" s="56"/>
      <c r="Y128" s="56"/>
      <c r="Z128" s="55"/>
    </row>
    <row r="129" spans="2:26" s="51" customFormat="1" x14ac:dyDescent="0.25">
      <c r="B129" s="68"/>
      <c r="C129" s="68"/>
      <c r="D129" s="66"/>
      <c r="E129" s="69"/>
      <c r="J129" s="55"/>
      <c r="N129" s="55"/>
      <c r="R129" s="56"/>
      <c r="S129" s="56"/>
      <c r="T129" s="56"/>
      <c r="U129" s="56"/>
      <c r="V129" s="56"/>
      <c r="W129" s="56"/>
      <c r="X129" s="56"/>
      <c r="Y129" s="56"/>
      <c r="Z129" s="55"/>
    </row>
    <row r="130" spans="2:26" s="51" customFormat="1" x14ac:dyDescent="0.25">
      <c r="B130" s="68"/>
      <c r="C130" s="68"/>
      <c r="D130" s="66"/>
      <c r="E130" s="69"/>
      <c r="J130" s="55"/>
      <c r="N130" s="55"/>
      <c r="R130" s="56"/>
      <c r="S130" s="56"/>
      <c r="T130" s="56"/>
      <c r="U130" s="56"/>
      <c r="V130" s="56"/>
      <c r="W130" s="56"/>
      <c r="X130" s="56"/>
      <c r="Y130" s="56"/>
      <c r="Z130" s="55"/>
    </row>
    <row r="131" spans="2:26" s="51" customFormat="1" x14ac:dyDescent="0.25">
      <c r="B131" s="68"/>
      <c r="C131" s="68"/>
      <c r="D131" s="66"/>
      <c r="E131" s="69"/>
      <c r="J131" s="55"/>
      <c r="N131" s="55"/>
      <c r="R131" s="56"/>
      <c r="S131" s="56"/>
      <c r="T131" s="56"/>
      <c r="U131" s="56"/>
      <c r="V131" s="56"/>
      <c r="W131" s="56"/>
      <c r="X131" s="56"/>
      <c r="Y131" s="56"/>
      <c r="Z131" s="55"/>
    </row>
    <row r="132" spans="2:26" s="51" customFormat="1" x14ac:dyDescent="0.25">
      <c r="B132" s="68"/>
      <c r="C132" s="68"/>
      <c r="D132" s="66"/>
      <c r="E132" s="69"/>
      <c r="J132" s="55"/>
      <c r="N132" s="55"/>
      <c r="R132" s="56"/>
      <c r="S132" s="56"/>
      <c r="T132" s="56"/>
      <c r="U132" s="56"/>
      <c r="V132" s="56"/>
      <c r="W132" s="56"/>
      <c r="X132" s="56"/>
      <c r="Y132" s="56"/>
      <c r="Z132" s="55"/>
    </row>
    <row r="133" spans="2:26" x14ac:dyDescent="0.25">
      <c r="B133" s="11" t="s">
        <v>104</v>
      </c>
    </row>
    <row r="134" spans="2:26" x14ac:dyDescent="0.25">
      <c r="B134" s="70" t="s">
        <v>105</v>
      </c>
      <c r="C134" s="70"/>
      <c r="D134" s="70"/>
      <c r="E134" s="70"/>
    </row>
    <row r="135" spans="2:26" ht="23.25" customHeight="1" x14ac:dyDescent="0.25">
      <c r="B135" s="14" t="str">
        <f>("Un detalle del "&amp;B134&amp;" al "&amp;[1]BALANZA!$B$3&amp;" "&amp;[1]BALANZA!$C$3&amp;" es como se detalla a continuación:")</f>
        <v>Un detalle del Inversiones a corto plazo al 31 de diciembre del 2022 - 2021 es como se detalla a continuación:</v>
      </c>
      <c r="C135" s="37"/>
      <c r="D135" s="37"/>
      <c r="E135" s="37"/>
    </row>
    <row r="136" spans="2:26" ht="45" customHeight="1" x14ac:dyDescent="0.25">
      <c r="B136" s="20" t="str">
        <f>("Las inversiones a corto plazo enta integrado por un certificado financiero en el banco de reservas a un año renobable a la tasa de 0.12% anual, para el "&amp;C138&amp;" el total era de RD$ "&amp;R141&amp;" y para el "&amp;D138&amp;" el total fue de RD$ "&amp;R142&amp;" , Según el siguiente detalle:")</f>
        <v>Las inversiones a corto plazo enta integrado por un certificado financiero en el banco de reservas a un año renobable a la tasa de 0.12% anual, para el 2022 el total era de RD$ 453,000.00 y para el 2021 el total fue de RD$ 453,000.00 , Según el siguiente detalle:</v>
      </c>
      <c r="C136" s="20"/>
      <c r="D136" s="20"/>
      <c r="E136" s="20"/>
    </row>
    <row r="137" spans="2:26" x14ac:dyDescent="0.25">
      <c r="B137" s="71"/>
    </row>
    <row r="138" spans="2:26" x14ac:dyDescent="0.25">
      <c r="B138" s="41" t="s">
        <v>92</v>
      </c>
      <c r="C138" s="41">
        <f>+[1]BALANZA!B4</f>
        <v>2022</v>
      </c>
      <c r="D138" s="41">
        <f>+[1]BALANZA!C4</f>
        <v>2021</v>
      </c>
      <c r="E138" s="41" t="s">
        <v>93</v>
      </c>
    </row>
    <row r="139" spans="2:26" hidden="1" x14ac:dyDescent="0.25">
      <c r="B139" s="72" t="s">
        <v>106</v>
      </c>
      <c r="C139" s="73">
        <f>+'[1]BALANZA G'!C15</f>
        <v>80000</v>
      </c>
      <c r="D139" s="74">
        <f>+'[1]BALANZA G'!E15</f>
        <v>80000</v>
      </c>
      <c r="E139" s="75">
        <f>+C139-D139</f>
        <v>0</v>
      </c>
    </row>
    <row r="140" spans="2:26" x14ac:dyDescent="0.25">
      <c r="B140" s="72" t="s">
        <v>107</v>
      </c>
      <c r="C140" s="76">
        <f>+'[1]BALANZA G'!C30</f>
        <v>453000</v>
      </c>
      <c r="D140" s="77">
        <f>+'[1]BALANZA G'!E30</f>
        <v>453000</v>
      </c>
      <c r="E140" s="78">
        <f>+C140-D140</f>
        <v>0</v>
      </c>
    </row>
    <row r="141" spans="2:26" x14ac:dyDescent="0.25">
      <c r="B141" s="79" t="s">
        <v>108</v>
      </c>
      <c r="C141" s="54">
        <f>SUM(C140:C140)</f>
        <v>453000</v>
      </c>
      <c r="D141" s="80">
        <f>SUM(D140:D140)</f>
        <v>453000</v>
      </c>
      <c r="E141" s="54">
        <f>SUM(E139:E140)</f>
        <v>0</v>
      </c>
      <c r="R141" s="4" t="str">
        <f>+CONCATENATE(S141,",",T141,U141,".00")</f>
        <v>453,000.00</v>
      </c>
      <c r="S141" s="4" t="str">
        <f>MID(C141,1,3)</f>
        <v>453</v>
      </c>
      <c r="T141" s="4" t="str">
        <f>MID(C140,4,3)</f>
        <v>000</v>
      </c>
      <c r="U141" s="4" t="str">
        <f>MID(D140,7,3)</f>
        <v/>
      </c>
    </row>
    <row r="142" spans="2:26" x14ac:dyDescent="0.25">
      <c r="B142" s="81"/>
      <c r="C142" s="82">
        <f>+C141-'[1]ES F '!B12</f>
        <v>0</v>
      </c>
      <c r="D142" s="83"/>
      <c r="E142" s="82"/>
      <c r="R142" s="4" t="str">
        <f>+CONCATENATE(S142,",",T142,U142,".00")</f>
        <v>453,000.00</v>
      </c>
      <c r="S142" s="4" t="str">
        <f>MID(D141,1,3)</f>
        <v>453</v>
      </c>
      <c r="T142" s="4" t="str">
        <f>MID(D141,4,3)</f>
        <v>000</v>
      </c>
      <c r="U142" s="4" t="str">
        <f>MID(E141,7,3)</f>
        <v/>
      </c>
    </row>
    <row r="143" spans="2:26" s="51" customFormat="1" x14ac:dyDescent="0.25">
      <c r="B143" s="61" t="s">
        <v>103</v>
      </c>
      <c r="C143" s="62"/>
      <c r="D143" s="84" t="str">
        <f>IF(E143&gt;=0,"Aumento","Disminución")</f>
        <v>Aumento</v>
      </c>
      <c r="E143" s="64">
        <f>+E141/D141</f>
        <v>0</v>
      </c>
      <c r="J143" s="55"/>
      <c r="N143" s="55"/>
      <c r="R143" s="56"/>
      <c r="S143" s="56"/>
      <c r="T143" s="56"/>
      <c r="U143" s="56"/>
      <c r="V143" s="56"/>
      <c r="W143" s="56"/>
      <c r="X143" s="56"/>
      <c r="Y143" s="56"/>
      <c r="Z143" s="55"/>
    </row>
    <row r="144" spans="2:26" s="51" customFormat="1" x14ac:dyDescent="0.25">
      <c r="B144" s="68"/>
      <c r="C144" s="68"/>
      <c r="D144" s="66"/>
      <c r="E144" s="69"/>
      <c r="J144" s="55"/>
      <c r="N144" s="55"/>
      <c r="R144" s="56"/>
      <c r="S144" s="56"/>
      <c r="T144" s="56"/>
      <c r="U144" s="56"/>
      <c r="V144" s="56"/>
      <c r="W144" s="56"/>
      <c r="X144" s="56"/>
      <c r="Y144" s="56"/>
      <c r="Z144" s="55"/>
    </row>
    <row r="145" spans="2:26" x14ac:dyDescent="0.25">
      <c r="B145" s="71" t="s">
        <v>109</v>
      </c>
    </row>
    <row r="146" spans="2:26" ht="18.75" customHeight="1" x14ac:dyDescent="0.25">
      <c r="B146" s="70" t="s">
        <v>110</v>
      </c>
      <c r="C146" s="70"/>
      <c r="D146" s="70"/>
      <c r="E146" s="70"/>
    </row>
    <row r="147" spans="2:26" ht="36" customHeight="1" x14ac:dyDescent="0.25">
      <c r="B147" s="14" t="str">
        <f>("Un detalle de las "&amp;B146&amp;" al "&amp;[1]BALANZA!$B$3&amp;""&amp;[1]BALANZA!$C$3&amp;" es como se detalla a continuación:")</f>
        <v>Un detalle de las Cuentas por cobrar a corto plazo al 31 de diciembre del 2022- 2021 es como se detalla a continuación:</v>
      </c>
      <c r="C147" s="37"/>
      <c r="D147" s="37"/>
      <c r="E147" s="37"/>
    </row>
    <row r="148" spans="2:26" ht="51" customHeight="1" x14ac:dyDescent="0.25">
      <c r="B148" s="20" t="str">
        <f>("Las Cuentas por cobrar  están representados por las partidas  Cuentas por cobrar Empleados, Para el "&amp;C150&amp;" el monto total de estas partidas fue por RD$ "&amp;R153&amp;" y para el "&amp;D150&amp;" el monto era RD$ "&amp;R154&amp;"  ,   de Según el siguiente detalle:")</f>
        <v>Las Cuentas por cobrar  están representados por las partidas  Cuentas por cobrar Empleados, Para el 2022 el monto total de estas partidas fue por RD$ 9,850135 y para el 2021 el monto era RD$ 4,784.00  ,   de Según el siguiente detalle:</v>
      </c>
      <c r="C148" s="20"/>
      <c r="D148" s="20"/>
      <c r="E148" s="20"/>
    </row>
    <row r="149" spans="2:26" x14ac:dyDescent="0.25">
      <c r="B149" s="85"/>
    </row>
    <row r="150" spans="2:26" x14ac:dyDescent="0.25">
      <c r="B150" s="38" t="s">
        <v>92</v>
      </c>
      <c r="C150" s="38">
        <f>+C364</f>
        <v>2022</v>
      </c>
      <c r="D150" s="38">
        <f>+D364</f>
        <v>2021</v>
      </c>
      <c r="E150" s="38" t="s">
        <v>93</v>
      </c>
    </row>
    <row r="151" spans="2:26" ht="17.25" customHeight="1" x14ac:dyDescent="0.25">
      <c r="B151" s="47" t="s">
        <v>111</v>
      </c>
      <c r="C151" s="86">
        <f>+'[1]BALANZA G'!C34-C152</f>
        <v>98500000</v>
      </c>
      <c r="D151" s="87"/>
      <c r="E151" s="50">
        <f>+C151-D151</f>
        <v>98500000</v>
      </c>
    </row>
    <row r="152" spans="2:26" x14ac:dyDescent="0.25">
      <c r="B152" s="47" t="s">
        <v>112</v>
      </c>
      <c r="C152" s="88">
        <f>+'[1]BALANZA G'!C35</f>
        <v>1350.12</v>
      </c>
      <c r="D152" s="44">
        <f>+'[1]BALANZA G'!E34</f>
        <v>4784</v>
      </c>
      <c r="E152" s="50">
        <f>+C152-D152</f>
        <v>-3433.88</v>
      </c>
    </row>
    <row r="153" spans="2:26" x14ac:dyDescent="0.25">
      <c r="B153" s="89" t="s">
        <v>113</v>
      </c>
      <c r="C153" s="53">
        <f>SUM(C151:C152)</f>
        <v>98501350.120000005</v>
      </c>
      <c r="D153" s="53">
        <f>SUM(D151:D152)</f>
        <v>4784</v>
      </c>
      <c r="E153" s="53">
        <f>SUM(E151:E152)</f>
        <v>98496566.120000005</v>
      </c>
      <c r="R153" s="4" t="str">
        <f>+CONCATENATE(S153,",",T153,U153)</f>
        <v>9,850135</v>
      </c>
      <c r="S153" s="4" t="str">
        <f>MID(C153,1,1)</f>
        <v>9</v>
      </c>
      <c r="T153" s="4" t="str">
        <f>MID(C153,2,3)</f>
        <v>850</v>
      </c>
      <c r="U153" s="4" t="str">
        <f>MID(C153,5,3)</f>
        <v>135</v>
      </c>
    </row>
    <row r="154" spans="2:26" x14ac:dyDescent="0.25">
      <c r="B154" s="90"/>
      <c r="C154" s="91"/>
      <c r="D154" s="92"/>
      <c r="E154" s="93"/>
      <c r="R154" s="4" t="str">
        <f>+CONCATENATE(S154,",",T154,".00")</f>
        <v>4,784.00</v>
      </c>
      <c r="S154" s="4" t="str">
        <f>MID(D153,1,1)</f>
        <v>4</v>
      </c>
      <c r="T154" s="4" t="str">
        <f>MID(D153,2,3)</f>
        <v>784</v>
      </c>
    </row>
    <row r="155" spans="2:26" s="51" customFormat="1" x14ac:dyDescent="0.25">
      <c r="B155" s="61" t="s">
        <v>103</v>
      </c>
      <c r="C155" s="62"/>
      <c r="D155" s="63" t="str">
        <f>IF(E155&gt;=0,"Aumento","Disminución")</f>
        <v>Aumento</v>
      </c>
      <c r="E155" s="94">
        <f>IFERROR(+E153/D153,0)</f>
        <v>20588.747098662207</v>
      </c>
      <c r="J155" s="55"/>
      <c r="N155" s="55"/>
      <c r="R155" s="56"/>
      <c r="S155" s="56"/>
      <c r="T155" s="56"/>
      <c r="U155" s="56"/>
      <c r="V155" s="56"/>
      <c r="W155" s="56"/>
      <c r="X155" s="56"/>
      <c r="Y155" s="56"/>
      <c r="Z155" s="55"/>
    </row>
    <row r="156" spans="2:26" ht="9" customHeight="1" x14ac:dyDescent="0.25">
      <c r="B156" s="85"/>
    </row>
    <row r="157" spans="2:26" ht="61.5" customHeight="1" x14ac:dyDescent="0.25">
      <c r="B157" s="95" t="s">
        <v>114</v>
      </c>
      <c r="C157" s="95"/>
      <c r="D157" s="95"/>
      <c r="E157" s="95"/>
    </row>
    <row r="158" spans="2:26" x14ac:dyDescent="0.25">
      <c r="B158" s="85"/>
    </row>
    <row r="159" spans="2:26" x14ac:dyDescent="0.25">
      <c r="B159" s="70" t="s">
        <v>115</v>
      </c>
      <c r="C159" s="70"/>
      <c r="D159" s="70"/>
      <c r="E159" s="70"/>
    </row>
    <row r="160" spans="2:26" x14ac:dyDescent="0.25">
      <c r="B160" s="70" t="s">
        <v>116</v>
      </c>
      <c r="C160" s="70"/>
      <c r="D160" s="70"/>
      <c r="E160" s="70"/>
    </row>
    <row r="161" spans="2:26" ht="18.75" customHeight="1" x14ac:dyDescent="0.25">
      <c r="B161" s="14" t="str">
        <f>("Un detalle del "&amp;B160&amp;" al "&amp;[1]BALANZA!$B$3&amp;" "&amp;[1]BALANZA!$C$3&amp;" es como se detalla a continuación:")</f>
        <v>Un detalle del Inventario al 31 de diciembre del 2022 - 2021 es como se detalla a continuación:</v>
      </c>
      <c r="C161" s="37"/>
      <c r="D161" s="37"/>
      <c r="E161" s="37"/>
    </row>
    <row r="162" spans="2:26" ht="36" customHeight="1" x14ac:dyDescent="0.25">
      <c r="B162" s="20" t="str">
        <f>("Los  inventarios están representados por las partidas de materiales en existencia, Para el "&amp;[1]BALANZA!B4&amp;" RD$ "&amp;R167&amp;" y para el "&amp;[1]BALANZA!C4&amp;" RD$ "&amp;R168&amp;", Según el siguiente detalle:")</f>
        <v>Los  inventarios están representados por las partidas de materiales en existencia, Para el 2022 RD$ 11,489,568.57 y para el 2021 RD$ 11,211,777.70, Según el siguiente detalle:</v>
      </c>
      <c r="C162" s="20"/>
      <c r="D162" s="20"/>
      <c r="E162" s="20"/>
    </row>
    <row r="163" spans="2:26" ht="7.5" customHeight="1" x14ac:dyDescent="0.25">
      <c r="B163" s="85"/>
    </row>
    <row r="164" spans="2:26" x14ac:dyDescent="0.25">
      <c r="B164" s="38" t="s">
        <v>92</v>
      </c>
      <c r="C164" s="38">
        <f>+C364</f>
        <v>2022</v>
      </c>
      <c r="D164" s="38">
        <f>+D364</f>
        <v>2021</v>
      </c>
      <c r="E164" s="38" t="s">
        <v>93</v>
      </c>
    </row>
    <row r="165" spans="2:26" hidden="1" x14ac:dyDescent="0.25">
      <c r="B165" s="47" t="s">
        <v>106</v>
      </c>
      <c r="C165" s="88">
        <f>+'[1]BALANZA G'!C40</f>
        <v>0</v>
      </c>
      <c r="D165" s="44">
        <f>+'[1]BALANZA G'!E40</f>
        <v>0</v>
      </c>
      <c r="E165" s="96">
        <f>+C165-D165</f>
        <v>0</v>
      </c>
    </row>
    <row r="166" spans="2:26" ht="30" x14ac:dyDescent="0.25">
      <c r="B166" s="47" t="s">
        <v>117</v>
      </c>
      <c r="C166" s="88">
        <f>+'[1]BALANZA G'!C41</f>
        <v>11489568.57</v>
      </c>
      <c r="D166" s="97">
        <f>+'[1]BALANZA G'!E41</f>
        <v>11211777.699999999</v>
      </c>
      <c r="E166" s="98">
        <f>+C166-D166</f>
        <v>277790.87000000104</v>
      </c>
    </row>
    <row r="167" spans="2:26" x14ac:dyDescent="0.25">
      <c r="B167" s="89" t="s">
        <v>118</v>
      </c>
      <c r="C167" s="53">
        <f>SUM(C165:C166)</f>
        <v>11489568.57</v>
      </c>
      <c r="D167" s="99">
        <f>SUM(D165:D166)</f>
        <v>11211777.699999999</v>
      </c>
      <c r="E167" s="53">
        <f>SUM(E165:E166)</f>
        <v>277790.87000000104</v>
      </c>
      <c r="R167" s="4" t="str">
        <f>+CONCATENATE(S167,",",T167,",",U167,V167,AB167)</f>
        <v>11,489,568.57</v>
      </c>
      <c r="S167" s="4" t="str">
        <f>MID(C167,1,2)</f>
        <v>11</v>
      </c>
      <c r="T167" s="4" t="str">
        <f>MID(C167,3,3)</f>
        <v>489</v>
      </c>
      <c r="U167" s="4" t="str">
        <f>MID(C167,6,3)</f>
        <v>568</v>
      </c>
      <c r="V167" s="4" t="str">
        <f>MID(C167,9,3)</f>
        <v>.57</v>
      </c>
    </row>
    <row r="168" spans="2:26" x14ac:dyDescent="0.25">
      <c r="B168" s="90"/>
      <c r="C168" s="91">
        <f>+C167-'[1]ES F '!B15</f>
        <v>0</v>
      </c>
      <c r="D168" s="92"/>
      <c r="E168" s="93"/>
      <c r="R168" s="4" t="str">
        <f>+CONCATENATE(S168,",",T168,",",U168,V168,"0")</f>
        <v>11,211,777.70</v>
      </c>
      <c r="S168" s="4" t="str">
        <f>MID(D167,1,2)</f>
        <v>11</v>
      </c>
      <c r="T168" s="4" t="str">
        <f>MID(D167,3,3)</f>
        <v>211</v>
      </c>
      <c r="U168" s="4" t="str">
        <f>MID(D167,6,3)</f>
        <v>777</v>
      </c>
      <c r="V168" s="4" t="str">
        <f>MID(D167,9,3)</f>
        <v>.7</v>
      </c>
    </row>
    <row r="169" spans="2:26" s="51" customFormat="1" x14ac:dyDescent="0.25">
      <c r="B169" s="61" t="s">
        <v>103</v>
      </c>
      <c r="C169" s="62"/>
      <c r="D169" s="63" t="str">
        <f>IF(E169&gt;=0,"Aumento","Disminución")</f>
        <v>Aumento</v>
      </c>
      <c r="E169" s="94">
        <f>IFERROR((+E167/D167),0)</f>
        <v>2.477670155732762E-2</v>
      </c>
      <c r="J169" s="55"/>
      <c r="N169" s="55"/>
      <c r="R169" s="56"/>
      <c r="S169" s="56"/>
      <c r="T169" s="56"/>
      <c r="U169" s="56"/>
      <c r="V169" s="56"/>
      <c r="W169" s="56"/>
      <c r="X169" s="56"/>
      <c r="Y169" s="56"/>
      <c r="Z169" s="55"/>
    </row>
    <row r="170" spans="2:26" x14ac:dyDescent="0.25">
      <c r="B170" s="85"/>
    </row>
    <row r="171" spans="2:26" ht="16.5" customHeight="1" x14ac:dyDescent="0.25">
      <c r="B171" s="20"/>
      <c r="C171" s="20"/>
      <c r="D171" s="20"/>
      <c r="E171" s="20"/>
    </row>
    <row r="172" spans="2:26" ht="16.5" customHeight="1" x14ac:dyDescent="0.25">
      <c r="B172" s="16"/>
      <c r="C172" s="16"/>
      <c r="D172" s="16"/>
      <c r="E172" s="16"/>
    </row>
    <row r="173" spans="2:26" ht="16.5" customHeight="1" x14ac:dyDescent="0.25">
      <c r="B173" s="16"/>
      <c r="C173" s="16"/>
      <c r="D173" s="16"/>
      <c r="E173" s="16"/>
    </row>
    <row r="174" spans="2:26" ht="16.5" customHeight="1" x14ac:dyDescent="0.25">
      <c r="B174" s="16"/>
      <c r="C174" s="16"/>
      <c r="D174" s="16"/>
      <c r="E174" s="16"/>
    </row>
    <row r="175" spans="2:26" ht="16.5" customHeight="1" x14ac:dyDescent="0.25">
      <c r="B175" s="71" t="s">
        <v>119</v>
      </c>
      <c r="C175" s="16"/>
      <c r="D175" s="36"/>
      <c r="E175" s="16"/>
    </row>
    <row r="176" spans="2:26" ht="16.5" customHeight="1" x14ac:dyDescent="0.25">
      <c r="B176" s="71" t="s">
        <v>120</v>
      </c>
      <c r="C176" s="16"/>
      <c r="D176" s="36"/>
      <c r="E176" s="16"/>
    </row>
    <row r="177" spans="2:26" ht="27.75" customHeight="1" x14ac:dyDescent="0.25">
      <c r="B177" s="14" t="str">
        <f>("Un detalle del "&amp;B176&amp;" al "&amp;[1]BALANZA!$B$3&amp;" "&amp;[1]BALANZA!$C$3&amp;" es como se detalla a continuación:")</f>
        <v>Un detalle del Pagos anticipados al 31 de diciembre del 2022 - 2021 es como se detalla a continuación:</v>
      </c>
      <c r="C177" s="37"/>
      <c r="D177" s="37"/>
      <c r="E177" s="37"/>
    </row>
    <row r="178" spans="2:26" ht="41.25" customHeight="1" x14ac:dyDescent="0.25">
      <c r="B178" s="20" t="str">
        <f>("Los  pagos anticipados están representados por las partidas de seguros pagados por adelantado, Para el "&amp;[1]BALANZA!B4&amp;" el monto ascendio  a RD$ "&amp;R186&amp;" y para el "&amp;[1]BALANZA!C4&amp;" el monto era RD$ "&amp;R187&amp;", Según el siguiente detalle:")</f>
        <v>Los  pagos anticipados están representados por las partidas de seguros pagados por adelantado, Para el 2022 el monto ascendio  a RD$ 317,600.45 y para el 2021 el monto era RD$ 166,084.95, Según el siguiente detalle:</v>
      </c>
      <c r="C178" s="20"/>
      <c r="D178" s="20"/>
      <c r="E178" s="20"/>
    </row>
    <row r="179" spans="2:26" x14ac:dyDescent="0.25">
      <c r="B179" s="85"/>
    </row>
    <row r="180" spans="2:26" x14ac:dyDescent="0.25">
      <c r="B180" s="38" t="s">
        <v>92</v>
      </c>
      <c r="C180" s="41">
        <f>+C164</f>
        <v>2022</v>
      </c>
      <c r="D180" s="41">
        <f>+D164</f>
        <v>2021</v>
      </c>
      <c r="E180" s="38" t="s">
        <v>93</v>
      </c>
    </row>
    <row r="181" spans="2:26" ht="15" customHeight="1" x14ac:dyDescent="0.25">
      <c r="B181" s="47" t="s">
        <v>121</v>
      </c>
      <c r="C181" s="88">
        <f>+D185</f>
        <v>166084.95000000001</v>
      </c>
      <c r="D181" s="44">
        <f>+D185-D183-D182</f>
        <v>66155.839999999967</v>
      </c>
      <c r="E181" s="50">
        <f>+C181-D181</f>
        <v>99929.110000000044</v>
      </c>
    </row>
    <row r="182" spans="2:26" ht="15" customHeight="1" x14ac:dyDescent="0.25">
      <c r="B182" s="47" t="s">
        <v>122</v>
      </c>
      <c r="C182" s="88">
        <f>423467.27+24513.6+252.66+45048.24</f>
        <v>493281.76999999996</v>
      </c>
      <c r="D182" s="44">
        <f>205890.43+32007.08</f>
        <v>237897.51</v>
      </c>
      <c r="E182" s="50">
        <f>+C182-D182</f>
        <v>255384.25999999995</v>
      </c>
    </row>
    <row r="183" spans="2:26" ht="15" customHeight="1" x14ac:dyDescent="0.25">
      <c r="B183" s="47" t="s">
        <v>123</v>
      </c>
      <c r="C183" s="100">
        <f>-'[1]Notas NF'!C594</f>
        <v>-341766.27</v>
      </c>
      <c r="D183" s="100">
        <f>-'[1]Notas NF'!D594</f>
        <v>-137968.4</v>
      </c>
      <c r="E183" s="50">
        <f>+C183-D183</f>
        <v>-203797.87000000002</v>
      </c>
      <c r="U183" s="101"/>
    </row>
    <row r="184" spans="2:26" ht="15" customHeight="1" x14ac:dyDescent="0.25">
      <c r="B184" s="47"/>
      <c r="C184" s="88"/>
      <c r="D184" s="88"/>
      <c r="E184" s="50"/>
    </row>
    <row r="185" spans="2:26" x14ac:dyDescent="0.25">
      <c r="B185" s="47" t="s">
        <v>124</v>
      </c>
      <c r="C185" s="88">
        <f>+'[1]BALANZA G'!C48</f>
        <v>317600.45</v>
      </c>
      <c r="D185" s="97">
        <f>+'[1]BALANZA G'!E48</f>
        <v>166084.95000000001</v>
      </c>
      <c r="E185" s="50">
        <f>+C185-D185</f>
        <v>151515.5</v>
      </c>
    </row>
    <row r="186" spans="2:26" x14ac:dyDescent="0.25">
      <c r="B186" s="89" t="s">
        <v>125</v>
      </c>
      <c r="C186" s="53">
        <f>SUM(C185:C185)</f>
        <v>317600.45</v>
      </c>
      <c r="D186" s="53">
        <f>SUM(D185:D185)</f>
        <v>166084.95000000001</v>
      </c>
      <c r="E186" s="102">
        <f>+C186-D186</f>
        <v>151515.5</v>
      </c>
      <c r="R186" s="4" t="str">
        <f>+CONCATENATE(S186,",",T186,U186)</f>
        <v>317,600.45</v>
      </c>
      <c r="S186" s="4" t="str">
        <f>MID(C186,1,3)</f>
        <v>317</v>
      </c>
      <c r="T186" s="4" t="str">
        <f>MID(C186,4,3)</f>
        <v>600</v>
      </c>
      <c r="U186" s="4" t="str">
        <f>MID(C186,7,3)</f>
        <v>.45</v>
      </c>
      <c r="V186" s="4" t="str">
        <f>MID(C186,9,3)</f>
        <v>5</v>
      </c>
    </row>
    <row r="187" spans="2:26" x14ac:dyDescent="0.25">
      <c r="B187" s="90"/>
      <c r="C187" s="91">
        <f>+C186-'[1]ES F '!B16</f>
        <v>0</v>
      </c>
      <c r="D187" s="92"/>
      <c r="E187" s="93"/>
      <c r="R187" s="4" t="str">
        <f>+CONCATENATE(S187,",",T187,U187)</f>
        <v>166,084.95</v>
      </c>
      <c r="S187" s="4" t="str">
        <f>MID(D186,1,3)</f>
        <v>166</v>
      </c>
      <c r="T187" s="4" t="str">
        <f>MID(D186,4,3)</f>
        <v>084</v>
      </c>
      <c r="U187" s="4" t="str">
        <f>MID(D186,7,3)</f>
        <v>.95</v>
      </c>
    </row>
    <row r="188" spans="2:26" s="51" customFormat="1" x14ac:dyDescent="0.25">
      <c r="B188" s="103" t="s">
        <v>103</v>
      </c>
      <c r="C188" s="104"/>
      <c r="D188" s="63" t="str">
        <f>IF(E188&gt;=0,"Aumento","Disminución")</f>
        <v>Aumento</v>
      </c>
      <c r="E188" s="94">
        <f>IFERROR((+E186/D186),0)</f>
        <v>0.9122771208348498</v>
      </c>
      <c r="J188" s="55"/>
      <c r="N188" s="55"/>
      <c r="R188" s="56"/>
      <c r="S188" s="56"/>
      <c r="T188" s="56"/>
      <c r="U188" s="56"/>
      <c r="V188" s="56"/>
      <c r="W188" s="56"/>
      <c r="X188" s="56"/>
      <c r="Y188" s="56"/>
      <c r="Z188" s="55"/>
    </row>
    <row r="189" spans="2:26" ht="16.5" customHeight="1" x14ac:dyDescent="0.25">
      <c r="B189" s="71"/>
      <c r="C189" s="16"/>
      <c r="D189" s="36"/>
      <c r="E189" s="16"/>
    </row>
    <row r="190" spans="2:26" ht="16.5" customHeight="1" x14ac:dyDescent="0.25">
      <c r="B190" s="71"/>
      <c r="C190" s="105"/>
      <c r="D190" s="36"/>
      <c r="E190" s="16"/>
    </row>
    <row r="191" spans="2:26" ht="14.25" customHeight="1" x14ac:dyDescent="0.25">
      <c r="B191" s="71" t="s">
        <v>126</v>
      </c>
      <c r="C191" s="16"/>
      <c r="D191" s="36"/>
      <c r="E191" s="16"/>
    </row>
    <row r="192" spans="2:26" x14ac:dyDescent="0.25">
      <c r="B192" s="71" t="s">
        <v>127</v>
      </c>
    </row>
    <row r="193" spans="2:26" ht="28.5" customHeight="1" x14ac:dyDescent="0.25">
      <c r="B193" s="14" t="str">
        <f>("Un detalle de "&amp;B192&amp;" al "&amp;[1]BALANZA!$B$3&amp;" "&amp;[1]BALANZA!$C$3&amp;" es como se detalla a continuación:")</f>
        <v>Un detalle de Otros activos corrientes al 31 de diciembre del 2022 - 2021 es como se detalla a continuación:</v>
      </c>
      <c r="C193" s="37"/>
      <c r="D193" s="37"/>
      <c r="E193" s="37"/>
    </row>
    <row r="194" spans="2:26" ht="49.5" customHeight="1" x14ac:dyDescent="0.25">
      <c r="B194" s="20" t="str">
        <f>("Los depósitos o fianzas por los alquileres de locales de CORAAMOCA, vigentes, están registrado en el Estado de Balance General, dentro  de la partida de otros activos, en  periodos "&amp;[1]BALANZA!B4&amp;" el valor estaba en RD$ "&amp;R211&amp;".  Según detalles:")</f>
        <v>Los depósitos o fianzas por los alquileres de locales de CORAAMOCA, vigentes, están registrado en el Estado de Balance General, dentro  de la partida de otros activos, en  periodos 2022 el valor estaba en RD$ 193,172.00.  Según detalles:</v>
      </c>
      <c r="C194" s="20"/>
      <c r="D194" s="20"/>
      <c r="E194" s="20"/>
    </row>
    <row r="195" spans="2:26" ht="14.25" customHeight="1" x14ac:dyDescent="0.25">
      <c r="B195" s="106"/>
    </row>
    <row r="196" spans="2:26" s="107" customFormat="1" ht="19.5" hidden="1" customHeight="1" x14ac:dyDescent="0.25">
      <c r="B196" s="38" t="s">
        <v>128</v>
      </c>
      <c r="C196" s="38" t="s">
        <v>129</v>
      </c>
      <c r="D196" s="108" t="s">
        <v>130</v>
      </c>
      <c r="E196" s="39" t="s">
        <v>131</v>
      </c>
      <c r="J196" s="109"/>
      <c r="N196" s="109"/>
      <c r="R196" s="110"/>
      <c r="S196" s="110"/>
      <c r="T196" s="110"/>
      <c r="U196" s="110"/>
      <c r="V196" s="110"/>
      <c r="W196" s="110"/>
      <c r="X196" s="110"/>
      <c r="Y196" s="110"/>
      <c r="Z196" s="109"/>
    </row>
    <row r="197" spans="2:26" hidden="1" x14ac:dyDescent="0.25">
      <c r="B197" s="111" t="s">
        <v>132</v>
      </c>
      <c r="C197" s="112" t="s">
        <v>133</v>
      </c>
      <c r="D197" s="113">
        <v>12000</v>
      </c>
      <c r="E197" s="114">
        <f>+D197</f>
        <v>12000</v>
      </c>
    </row>
    <row r="198" spans="2:26" hidden="1" x14ac:dyDescent="0.25">
      <c r="B198" s="111" t="s">
        <v>134</v>
      </c>
      <c r="C198" s="112" t="s">
        <v>135</v>
      </c>
      <c r="D198" s="113">
        <v>21000</v>
      </c>
      <c r="E198" s="114">
        <f t="shared" ref="E198:E205" si="1">+D198</f>
        <v>21000</v>
      </c>
    </row>
    <row r="199" spans="2:26" hidden="1" x14ac:dyDescent="0.25">
      <c r="B199" s="111" t="s">
        <v>136</v>
      </c>
      <c r="C199" s="112" t="s">
        <v>137</v>
      </c>
      <c r="D199" s="113">
        <v>28500</v>
      </c>
      <c r="E199" s="114">
        <f t="shared" si="1"/>
        <v>28500</v>
      </c>
    </row>
    <row r="200" spans="2:26" hidden="1" x14ac:dyDescent="0.25">
      <c r="B200" s="111" t="s">
        <v>138</v>
      </c>
      <c r="C200" s="112" t="s">
        <v>139</v>
      </c>
      <c r="D200" s="113">
        <v>33336</v>
      </c>
      <c r="E200" s="114">
        <f t="shared" si="1"/>
        <v>33336</v>
      </c>
    </row>
    <row r="201" spans="2:26" hidden="1" x14ac:dyDescent="0.25">
      <c r="B201" s="115" t="s">
        <v>140</v>
      </c>
      <c r="C201" s="116" t="s">
        <v>141</v>
      </c>
      <c r="D201" s="117">
        <v>20000</v>
      </c>
      <c r="E201" s="114">
        <f t="shared" si="1"/>
        <v>20000</v>
      </c>
    </row>
    <row r="202" spans="2:26" hidden="1" x14ac:dyDescent="0.25">
      <c r="B202" s="115" t="s">
        <v>142</v>
      </c>
      <c r="C202" s="116" t="s">
        <v>143</v>
      </c>
      <c r="D202" s="117">
        <v>18000</v>
      </c>
      <c r="E202" s="114">
        <f t="shared" si="1"/>
        <v>18000</v>
      </c>
    </row>
    <row r="203" spans="2:26" hidden="1" x14ac:dyDescent="0.25">
      <c r="B203" s="115" t="s">
        <v>144</v>
      </c>
      <c r="C203" s="116" t="s">
        <v>145</v>
      </c>
      <c r="D203" s="117">
        <v>33336</v>
      </c>
      <c r="E203" s="114">
        <f t="shared" si="1"/>
        <v>33336</v>
      </c>
    </row>
    <row r="204" spans="2:26" hidden="1" x14ac:dyDescent="0.25">
      <c r="B204" s="115" t="s">
        <v>146</v>
      </c>
      <c r="C204" s="116" t="s">
        <v>147</v>
      </c>
      <c r="D204" s="117">
        <v>27000</v>
      </c>
      <c r="E204" s="114">
        <v>27000</v>
      </c>
    </row>
    <row r="205" spans="2:26" hidden="1" x14ac:dyDescent="0.25">
      <c r="B205" s="115"/>
      <c r="C205" s="116"/>
      <c r="D205" s="117"/>
      <c r="E205" s="114">
        <f t="shared" si="1"/>
        <v>0</v>
      </c>
    </row>
    <row r="206" spans="2:26" hidden="1" x14ac:dyDescent="0.25">
      <c r="B206" s="118" t="s">
        <v>148</v>
      </c>
      <c r="C206" s="118"/>
      <c r="D206" s="119"/>
      <c r="E206" s="120">
        <f>SUM(E197:E205)</f>
        <v>193172</v>
      </c>
    </row>
    <row r="207" spans="2:26" hidden="1" x14ac:dyDescent="0.25">
      <c r="B207" s="121"/>
      <c r="C207" s="121"/>
      <c r="D207" s="122"/>
      <c r="E207" s="123">
        <f>+E206-'[1]ES F '!B17</f>
        <v>0</v>
      </c>
    </row>
    <row r="208" spans="2:26" ht="26.25" customHeight="1" x14ac:dyDescent="0.25">
      <c r="B208" s="38" t="s">
        <v>92</v>
      </c>
      <c r="C208" s="38">
        <f>+C150</f>
        <v>2022</v>
      </c>
      <c r="D208" s="38">
        <f>+D150</f>
        <v>2021</v>
      </c>
      <c r="E208" s="38" t="s">
        <v>93</v>
      </c>
    </row>
    <row r="209" spans="2:26" ht="15.75" hidden="1" customHeight="1" x14ac:dyDescent="0.25">
      <c r="B209" s="47" t="s">
        <v>106</v>
      </c>
      <c r="C209" s="88">
        <v>0</v>
      </c>
      <c r="D209" s="44">
        <v>0</v>
      </c>
      <c r="E209" s="96">
        <f>+C209-D209</f>
        <v>0</v>
      </c>
    </row>
    <row r="210" spans="2:26" x14ac:dyDescent="0.25">
      <c r="B210" s="47" t="s">
        <v>149</v>
      </c>
      <c r="C210" s="88">
        <f>+E206</f>
        <v>193172</v>
      </c>
      <c r="D210" s="97">
        <f>+E206+10500-18000+13500-6000</f>
        <v>193172</v>
      </c>
      <c r="E210" s="96">
        <f>+C210-D210</f>
        <v>0</v>
      </c>
    </row>
    <row r="211" spans="2:26" s="124" customFormat="1" x14ac:dyDescent="0.25">
      <c r="B211" s="79" t="s">
        <v>150</v>
      </c>
      <c r="C211" s="54">
        <f>SUM(C209:C210)</f>
        <v>193172</v>
      </c>
      <c r="D211" s="80">
        <f>SUM(D209:D210)</f>
        <v>193172</v>
      </c>
      <c r="E211" s="54">
        <f>SUM(E209:E210)</f>
        <v>0</v>
      </c>
      <c r="J211" s="125"/>
      <c r="N211" s="125"/>
      <c r="R211" s="4" t="str">
        <f>+CONCATENATE(S211,",",T211,".00")</f>
        <v>193,172.00</v>
      </c>
      <c r="S211" s="4" t="str">
        <f>MID(C211,1,3)</f>
        <v>193</v>
      </c>
      <c r="T211" s="4" t="str">
        <f>MID(C211,4,3)</f>
        <v>172</v>
      </c>
      <c r="U211" s="4" t="str">
        <f>MID(C211,7,3)</f>
        <v/>
      </c>
      <c r="V211" s="4" t="str">
        <f>MID(C211,9,3)</f>
        <v/>
      </c>
      <c r="W211" s="126"/>
      <c r="X211" s="126"/>
      <c r="Y211" s="126"/>
      <c r="Z211" s="125"/>
    </row>
    <row r="212" spans="2:26" s="124" customFormat="1" x14ac:dyDescent="0.25">
      <c r="B212" s="127"/>
      <c r="C212" s="128">
        <f>+C211-'[1]ES F '!B17</f>
        <v>0</v>
      </c>
      <c r="D212" s="129">
        <f>+D211-'[1]ES F '!C17</f>
        <v>0</v>
      </c>
      <c r="E212" s="128"/>
      <c r="J212" s="125"/>
      <c r="N212" s="125"/>
      <c r="R212" s="4" t="str">
        <f>+CONCATENATE(S212,",",T212,".00")</f>
        <v>193,172.00</v>
      </c>
      <c r="S212" s="4" t="str">
        <f>MID(D211,1,3)</f>
        <v>193</v>
      </c>
      <c r="T212" s="4" t="str">
        <f>MID(D211,4,3)</f>
        <v>172</v>
      </c>
      <c r="U212" s="4" t="str">
        <f>MID(D211,7,3)</f>
        <v/>
      </c>
      <c r="V212" s="4" t="str">
        <f>MID(D211,8,3)</f>
        <v/>
      </c>
      <c r="W212" s="126"/>
      <c r="X212" s="126"/>
      <c r="Y212" s="126"/>
      <c r="Z212" s="125"/>
    </row>
    <row r="213" spans="2:26" s="130" customFormat="1" x14ac:dyDescent="0.25">
      <c r="B213" s="131" t="s">
        <v>103</v>
      </c>
      <c r="C213" s="132"/>
      <c r="D213" s="133" t="str">
        <f>IF(E213&gt;=0,"Aumento","Disminución")</f>
        <v>Aumento</v>
      </c>
      <c r="E213" s="134">
        <f>IFERROR((+E211/D211),0)</f>
        <v>0</v>
      </c>
      <c r="J213" s="135"/>
      <c r="N213" s="135"/>
      <c r="R213" s="136"/>
      <c r="S213" s="136"/>
      <c r="T213" s="136"/>
      <c r="U213" s="136"/>
      <c r="V213" s="136"/>
      <c r="W213" s="136"/>
      <c r="X213" s="136"/>
      <c r="Y213" s="136"/>
      <c r="Z213" s="135"/>
    </row>
    <row r="214" spans="2:26" s="130" customFormat="1" x14ac:dyDescent="0.25">
      <c r="B214" s="137"/>
      <c r="C214" s="137"/>
      <c r="D214" s="138"/>
      <c r="E214" s="139"/>
      <c r="J214" s="135"/>
      <c r="N214" s="135"/>
      <c r="R214" s="136"/>
      <c r="S214" s="136"/>
      <c r="T214" s="136"/>
      <c r="U214" s="136"/>
      <c r="V214" s="136"/>
      <c r="W214" s="136"/>
      <c r="X214" s="136"/>
      <c r="Y214" s="136"/>
      <c r="Z214" s="135"/>
    </row>
    <row r="215" spans="2:26" x14ac:dyDescent="0.25">
      <c r="B215" s="11"/>
    </row>
    <row r="216" spans="2:26" x14ac:dyDescent="0.25">
      <c r="B216" s="11"/>
    </row>
    <row r="217" spans="2:26" x14ac:dyDescent="0.25">
      <c r="B217" s="11"/>
    </row>
    <row r="218" spans="2:26" x14ac:dyDescent="0.25">
      <c r="B218" s="11"/>
    </row>
    <row r="219" spans="2:26" x14ac:dyDescent="0.25">
      <c r="B219" s="11"/>
    </row>
    <row r="220" spans="2:26" x14ac:dyDescent="0.25">
      <c r="B220" s="11"/>
    </row>
    <row r="221" spans="2:26" x14ac:dyDescent="0.25">
      <c r="B221" s="11"/>
    </row>
    <row r="222" spans="2:26" x14ac:dyDescent="0.25">
      <c r="B222" s="11"/>
    </row>
    <row r="223" spans="2:26" x14ac:dyDescent="0.25">
      <c r="B223" s="11"/>
    </row>
    <row r="224" spans="2:26" x14ac:dyDescent="0.25">
      <c r="B224" s="11"/>
    </row>
    <row r="225" spans="2:5" x14ac:dyDescent="0.25">
      <c r="B225" s="11"/>
    </row>
    <row r="226" spans="2:5" x14ac:dyDescent="0.25">
      <c r="B226" s="11"/>
    </row>
    <row r="227" spans="2:5" x14ac:dyDescent="0.25">
      <c r="B227" s="11"/>
    </row>
    <row r="228" spans="2:5" x14ac:dyDescent="0.25">
      <c r="B228" s="11"/>
    </row>
    <row r="229" spans="2:5" x14ac:dyDescent="0.25">
      <c r="B229" s="11"/>
    </row>
    <row r="230" spans="2:5" x14ac:dyDescent="0.25">
      <c r="B230" s="11"/>
    </row>
    <row r="231" spans="2:5" x14ac:dyDescent="0.25">
      <c r="B231" s="11"/>
    </row>
    <row r="232" spans="2:5" x14ac:dyDescent="0.25">
      <c r="B232" s="11" t="s">
        <v>151</v>
      </c>
    </row>
    <row r="233" spans="2:5" ht="19.5" customHeight="1" x14ac:dyDescent="0.25">
      <c r="B233" s="12" t="s">
        <v>152</v>
      </c>
      <c r="C233" s="12"/>
      <c r="D233" s="12"/>
      <c r="E233" s="12"/>
    </row>
    <row r="234" spans="2:5" ht="19.5" customHeight="1" x14ac:dyDescent="0.25">
      <c r="B234" s="14" t="str">
        <f>("Un detalle de "&amp;B233&amp;" al "&amp;[1]BALANZA!$B$3&amp;" "&amp;[1]BALANZA!$C$3&amp;" es como se detalla a continuación:")</f>
        <v>Un detalle de Propiedad planta y equipo al 31 de diciembre del 2022 - 2021 es como se detalla a continuación:</v>
      </c>
      <c r="C234" s="37"/>
      <c r="D234" s="37"/>
      <c r="E234" s="37"/>
    </row>
    <row r="235" spans="2:5" ht="19.5" customHeight="1" x14ac:dyDescent="0.25">
      <c r="B235" s="20" t="s">
        <v>153</v>
      </c>
      <c r="C235" s="20"/>
      <c r="D235" s="20"/>
      <c r="E235" s="20"/>
    </row>
    <row r="236" spans="2:5" ht="42.75" customHeight="1" x14ac:dyDescent="0.25">
      <c r="B236" s="29" t="s">
        <v>154</v>
      </c>
      <c r="C236" s="29"/>
      <c r="D236" s="29"/>
      <c r="E236" s="29"/>
    </row>
    <row r="237" spans="2:5" x14ac:dyDescent="0.25">
      <c r="B237" s="13" t="str">
        <f>+B233</f>
        <v>Propiedad planta y equipo</v>
      </c>
      <c r="C237" s="10" t="s">
        <v>155</v>
      </c>
      <c r="D237" s="15"/>
    </row>
    <row r="238" spans="2:5" hidden="1" x14ac:dyDescent="0.25">
      <c r="B238" s="140" t="s">
        <v>156</v>
      </c>
      <c r="C238" s="140">
        <f>+[1]BALANZA!B4</f>
        <v>2022</v>
      </c>
      <c r="D238" s="141">
        <f>+[1]BALANZA!C4</f>
        <v>2021</v>
      </c>
      <c r="E238" s="142" t="s">
        <v>93</v>
      </c>
    </row>
    <row r="239" spans="2:5" hidden="1" x14ac:dyDescent="0.25">
      <c r="B239" s="143" t="s">
        <v>157</v>
      </c>
      <c r="C239" s="144"/>
      <c r="D239" s="145"/>
      <c r="E239" s="146"/>
    </row>
    <row r="240" spans="2:5" ht="20.25" hidden="1" customHeight="1" x14ac:dyDescent="0.25">
      <c r="B240" s="115" t="s">
        <v>158</v>
      </c>
      <c r="C240" s="144"/>
      <c r="D240" s="145"/>
      <c r="E240" s="146"/>
    </row>
    <row r="241" spans="2:7" ht="20.25" hidden="1" customHeight="1" x14ac:dyDescent="0.25">
      <c r="B241" s="71" t="s">
        <v>159</v>
      </c>
      <c r="C241" s="88">
        <f>+D241+D242</f>
        <v>26284603.5</v>
      </c>
      <c r="D241" s="147">
        <f>+'[1]BALANZA G'!E68+'[1]BALANZA G'!E59-D242</f>
        <v>23107903.5</v>
      </c>
      <c r="E241" s="50">
        <f>+C241-D241</f>
        <v>3176700</v>
      </c>
    </row>
    <row r="242" spans="2:7" ht="20.25" hidden="1" customHeight="1" x14ac:dyDescent="0.25">
      <c r="B242" s="115" t="s">
        <v>160</v>
      </c>
      <c r="C242" s="88">
        <f>+'[1]BALANZA G'!C68-'[1]BALANZA G'!E68+'[1]BALANZA G'!C59+'[1]BALANZA G'!C69-E241</f>
        <v>259166.87999999989</v>
      </c>
      <c r="D242" s="148">
        <v>3176700</v>
      </c>
      <c r="E242" s="50">
        <f>+C242-D242</f>
        <v>-2917533.12</v>
      </c>
    </row>
    <row r="243" spans="2:7" ht="20.25" hidden="1" customHeight="1" x14ac:dyDescent="0.25">
      <c r="B243" s="115" t="s">
        <v>161</v>
      </c>
      <c r="C243" s="88"/>
      <c r="D243" s="147"/>
      <c r="E243" s="50">
        <f>+C243-D243</f>
        <v>0</v>
      </c>
    </row>
    <row r="244" spans="2:7" ht="20.25" hidden="1" customHeight="1" x14ac:dyDescent="0.25">
      <c r="B244" s="115" t="s">
        <v>162</v>
      </c>
      <c r="C244" s="88">
        <f>-[1]nota13!F28</f>
        <v>-20832554</v>
      </c>
      <c r="D244" s="147"/>
      <c r="E244" s="50"/>
    </row>
    <row r="245" spans="2:7" ht="20.25" hidden="1" customHeight="1" x14ac:dyDescent="0.25">
      <c r="B245" s="115" t="s">
        <v>163</v>
      </c>
      <c r="C245" s="88">
        <f>-[1]nota13!F29</f>
        <v>-1762440.6599999995</v>
      </c>
      <c r="D245" s="147"/>
      <c r="E245" s="50"/>
    </row>
    <row r="246" spans="2:7" hidden="1" x14ac:dyDescent="0.25">
      <c r="B246" s="149" t="s">
        <v>164</v>
      </c>
      <c r="C246" s="150">
        <f>SUM(C241:C245)</f>
        <v>3948775.7199999997</v>
      </c>
      <c r="D246" s="151">
        <f>SUM(D239:D243)</f>
        <v>26284603.5</v>
      </c>
      <c r="E246" s="150">
        <f>SUM(E239:E243)</f>
        <v>259166.87999999989</v>
      </c>
    </row>
    <row r="247" spans="2:7" ht="28.5" hidden="1" x14ac:dyDescent="0.25">
      <c r="B247" s="149" t="s">
        <v>165</v>
      </c>
      <c r="C247" s="152">
        <v>0</v>
      </c>
      <c r="D247" s="153">
        <v>0</v>
      </c>
      <c r="E247" s="154">
        <f>+C247-D247</f>
        <v>0</v>
      </c>
    </row>
    <row r="248" spans="2:7" ht="28.5" hidden="1" x14ac:dyDescent="0.25">
      <c r="B248" s="149" t="s">
        <v>166</v>
      </c>
      <c r="C248" s="150">
        <f>+C246-C247</f>
        <v>3948775.7199999997</v>
      </c>
      <c r="D248" s="151">
        <f>+D246-D247</f>
        <v>26284603.5</v>
      </c>
      <c r="E248" s="150">
        <f>+E246-E247</f>
        <v>259166.87999999989</v>
      </c>
    </row>
    <row r="249" spans="2:7" ht="23.25" hidden="1" customHeight="1" x14ac:dyDescent="0.25">
      <c r="B249" s="143" t="s">
        <v>167</v>
      </c>
      <c r="C249" s="155"/>
      <c r="D249" s="156"/>
      <c r="E249" s="157"/>
    </row>
    <row r="250" spans="2:7" hidden="1" x14ac:dyDescent="0.25">
      <c r="B250" s="115" t="str">
        <f>+B241</f>
        <v xml:space="preserve">Costos de adquisición  </v>
      </c>
      <c r="C250" s="88">
        <f>+'[1]BALANZA G'!C61</f>
        <v>45922302.979999997</v>
      </c>
      <c r="D250" s="147">
        <f>+'[1]BALANZA G'!E61</f>
        <v>38171024.979999997</v>
      </c>
      <c r="E250" s="50">
        <f>+C250-D250</f>
        <v>7751278</v>
      </c>
      <c r="G250" s="2" t="s">
        <v>168</v>
      </c>
    </row>
    <row r="251" spans="2:7" hidden="1" x14ac:dyDescent="0.25">
      <c r="B251" s="115" t="str">
        <f>+B242</f>
        <v>Adiciones</v>
      </c>
      <c r="C251" s="88"/>
      <c r="D251" s="147">
        <f>+'[1]BALANZA G'!G61</f>
        <v>7751278</v>
      </c>
      <c r="E251" s="50">
        <f>+C251-D251</f>
        <v>-7751278</v>
      </c>
    </row>
    <row r="252" spans="2:7" hidden="1" x14ac:dyDescent="0.25">
      <c r="B252" s="115" t="str">
        <f>+B243</f>
        <v>Retiros</v>
      </c>
      <c r="C252" s="88"/>
      <c r="D252" s="147"/>
      <c r="E252" s="50">
        <f>+C252-D252</f>
        <v>0</v>
      </c>
    </row>
    <row r="253" spans="2:7" hidden="1" x14ac:dyDescent="0.25">
      <c r="B253" s="115" t="str">
        <f>+B244</f>
        <v>Depreciación Acumulada</v>
      </c>
      <c r="C253" s="88">
        <f>-[1]nota13!I28</f>
        <v>-27327066.359999999</v>
      </c>
      <c r="D253" s="147"/>
      <c r="E253" s="50"/>
    </row>
    <row r="254" spans="2:7" hidden="1" x14ac:dyDescent="0.25">
      <c r="B254" s="115" t="str">
        <f>+B245</f>
        <v>Depreciación del periodo</v>
      </c>
      <c r="C254" s="88">
        <f>-[1]nota13!I29</f>
        <v>-4699435.41</v>
      </c>
      <c r="D254" s="147"/>
      <c r="E254" s="50"/>
    </row>
    <row r="255" spans="2:7" ht="28.5" hidden="1" x14ac:dyDescent="0.25">
      <c r="B255" s="158" t="s">
        <v>169</v>
      </c>
      <c r="C255" s="150">
        <f>SUM(C250:C254)</f>
        <v>13895801.209999997</v>
      </c>
      <c r="D255" s="151">
        <f>SUM(D250:D252)</f>
        <v>45922302.979999997</v>
      </c>
      <c r="E255" s="150">
        <f>SUM(E250:E252)</f>
        <v>0</v>
      </c>
    </row>
    <row r="256" spans="2:7" ht="28.5" hidden="1" x14ac:dyDescent="0.25">
      <c r="B256" s="149" t="s">
        <v>170</v>
      </c>
      <c r="C256" s="152">
        <v>0</v>
      </c>
      <c r="D256" s="153">
        <v>0</v>
      </c>
      <c r="E256" s="154">
        <f>+C256-D256</f>
        <v>0</v>
      </c>
    </row>
    <row r="257" spans="2:5" ht="42.75" hidden="1" x14ac:dyDescent="0.25">
      <c r="B257" s="149" t="s">
        <v>171</v>
      </c>
      <c r="C257" s="150">
        <f>+C255-C256</f>
        <v>13895801.209999997</v>
      </c>
      <c r="D257" s="151">
        <f>+D255-D256</f>
        <v>45922302.979999997</v>
      </c>
      <c r="E257" s="150">
        <f>+E255-E256</f>
        <v>0</v>
      </c>
    </row>
    <row r="258" spans="2:5" ht="26.25" hidden="1" customHeight="1" x14ac:dyDescent="0.25">
      <c r="B258" s="159" t="s">
        <v>172</v>
      </c>
      <c r="C258" s="155"/>
      <c r="D258" s="156"/>
      <c r="E258" s="157"/>
    </row>
    <row r="259" spans="2:5" hidden="1" x14ac:dyDescent="0.25">
      <c r="B259" s="115" t="str">
        <f>+B250</f>
        <v xml:space="preserve">Costos de adquisición  </v>
      </c>
      <c r="C259" s="88">
        <f>+'[1]BALANZA G'!C64</f>
        <v>74900</v>
      </c>
      <c r="D259" s="147">
        <f>+'[1]BALANZA G'!E64-D260</f>
        <v>74900</v>
      </c>
      <c r="E259" s="50">
        <f>+C259-D259</f>
        <v>0</v>
      </c>
    </row>
    <row r="260" spans="2:5" hidden="1" x14ac:dyDescent="0.25">
      <c r="B260" s="115" t="str">
        <f>+B251</f>
        <v>Adiciones</v>
      </c>
      <c r="C260" s="88"/>
      <c r="D260" s="147">
        <f>+'[1]BALANZA G'!G64</f>
        <v>0</v>
      </c>
      <c r="E260" s="50">
        <f>+C260-D260</f>
        <v>0</v>
      </c>
    </row>
    <row r="261" spans="2:5" hidden="1" x14ac:dyDescent="0.25">
      <c r="B261" s="115" t="str">
        <f>+B252</f>
        <v>Retiros</v>
      </c>
      <c r="C261" s="88"/>
      <c r="D261" s="147"/>
      <c r="E261" s="50">
        <f>+C261-D261</f>
        <v>0</v>
      </c>
    </row>
    <row r="262" spans="2:5" hidden="1" x14ac:dyDescent="0.25">
      <c r="B262" s="115" t="str">
        <f>+B253</f>
        <v>Depreciación Acumulada</v>
      </c>
      <c r="C262" s="88"/>
      <c r="D262" s="147"/>
      <c r="E262" s="50"/>
    </row>
    <row r="263" spans="2:5" hidden="1" x14ac:dyDescent="0.25">
      <c r="B263" s="115" t="str">
        <f>+B254</f>
        <v>Depreciación del periodo</v>
      </c>
      <c r="C263" s="88">
        <f>-[1]nota13!G29</f>
        <v>-10532.82</v>
      </c>
      <c r="D263" s="147"/>
      <c r="E263" s="50"/>
    </row>
    <row r="264" spans="2:5" ht="28.5" hidden="1" x14ac:dyDescent="0.25">
      <c r="B264" s="149" t="s">
        <v>173</v>
      </c>
      <c r="C264" s="150">
        <f>SUM(C259:C263)</f>
        <v>64367.18</v>
      </c>
      <c r="D264" s="151">
        <f>SUM(D259:D263)</f>
        <v>74900</v>
      </c>
      <c r="E264" s="150">
        <f>SUM(E259)</f>
        <v>0</v>
      </c>
    </row>
    <row r="265" spans="2:5" ht="27" hidden="1" customHeight="1" x14ac:dyDescent="0.25">
      <c r="B265" s="149" t="s">
        <v>174</v>
      </c>
      <c r="C265" s="152">
        <v>0</v>
      </c>
      <c r="D265" s="153">
        <v>0</v>
      </c>
      <c r="E265" s="154">
        <f>+C265-D265</f>
        <v>0</v>
      </c>
    </row>
    <row r="266" spans="2:5" ht="28.5" hidden="1" x14ac:dyDescent="0.25">
      <c r="B266" s="149" t="s">
        <v>175</v>
      </c>
      <c r="C266" s="150">
        <f>+C264-C265</f>
        <v>64367.18</v>
      </c>
      <c r="D266" s="151">
        <f>+D264-D265</f>
        <v>74900</v>
      </c>
      <c r="E266" s="150">
        <f>+E264-E265</f>
        <v>0</v>
      </c>
    </row>
    <row r="267" spans="2:5" hidden="1" x14ac:dyDescent="0.25">
      <c r="B267" s="143" t="s">
        <v>176</v>
      </c>
      <c r="C267" s="155"/>
      <c r="D267" s="156"/>
      <c r="E267" s="157"/>
    </row>
    <row r="268" spans="2:5" hidden="1" x14ac:dyDescent="0.25">
      <c r="B268" s="115" t="str">
        <f>+B259</f>
        <v xml:space="preserve">Costos de adquisición  </v>
      </c>
      <c r="C268" s="88">
        <f>+'[1]BALANZA G'!C62+'[1]BALANZA G'!C65-C269</f>
        <v>11831342.59</v>
      </c>
      <c r="D268" s="147">
        <f>+'[1]BALANZA G'!E62+'[1]BALANZA G'!E65-D269</f>
        <v>9225825.5199999996</v>
      </c>
      <c r="E268" s="50">
        <f>+C268-D268</f>
        <v>2605517.0700000003</v>
      </c>
    </row>
    <row r="269" spans="2:5" hidden="1" x14ac:dyDescent="0.25">
      <c r="B269" s="115" t="str">
        <f>+B260</f>
        <v>Adiciones</v>
      </c>
      <c r="C269" s="88">
        <f>+'[1]BALANZA G'!C65-D269+'[1]BALANZA G'!C62-'[1]BALANZA G'!E62</f>
        <v>2431912</v>
      </c>
      <c r="D269" s="97">
        <f>+'[1]BALANZA G'!E65</f>
        <v>2605517.0699999998</v>
      </c>
      <c r="E269" s="50">
        <f>+C269-D269</f>
        <v>-173605.06999999983</v>
      </c>
    </row>
    <row r="270" spans="2:5" hidden="1" x14ac:dyDescent="0.25">
      <c r="B270" s="115" t="str">
        <f>+B261</f>
        <v>Retiros</v>
      </c>
      <c r="C270" s="88"/>
      <c r="D270" s="147"/>
      <c r="E270" s="50">
        <f>+C270-D270</f>
        <v>0</v>
      </c>
    </row>
    <row r="271" spans="2:5" hidden="1" x14ac:dyDescent="0.25">
      <c r="B271" s="115" t="str">
        <f>+B262</f>
        <v>Depreciación Acumulada</v>
      </c>
      <c r="C271" s="88">
        <f>-[1]nota13!H28</f>
        <v>-7933418.1600000001</v>
      </c>
      <c r="D271" s="147"/>
      <c r="E271" s="50"/>
    </row>
    <row r="272" spans="2:5" hidden="1" x14ac:dyDescent="0.25">
      <c r="B272" s="115" t="str">
        <f>+B263</f>
        <v>Depreciación del periodo</v>
      </c>
      <c r="C272" s="88">
        <f>-[1]nota13!H29</f>
        <v>-1500459.0999999996</v>
      </c>
      <c r="D272" s="147"/>
      <c r="E272" s="50"/>
    </row>
    <row r="273" spans="2:5" ht="28.5" hidden="1" x14ac:dyDescent="0.25">
      <c r="B273" s="149" t="s">
        <v>177</v>
      </c>
      <c r="C273" s="150">
        <f>SUM(C268:C272)</f>
        <v>4829377.33</v>
      </c>
      <c r="D273" s="151">
        <f>SUM(D268:D270)</f>
        <v>11831342.59</v>
      </c>
      <c r="E273" s="150">
        <f>SUM(E268:E270)</f>
        <v>2431912.0000000005</v>
      </c>
    </row>
    <row r="274" spans="2:5" ht="28.5" hidden="1" x14ac:dyDescent="0.25">
      <c r="B274" s="149" t="s">
        <v>178</v>
      </c>
      <c r="C274" s="152"/>
      <c r="D274" s="153"/>
      <c r="E274" s="154"/>
    </row>
    <row r="275" spans="2:5" ht="28.5" hidden="1" x14ac:dyDescent="0.25">
      <c r="B275" s="149" t="s">
        <v>179</v>
      </c>
      <c r="C275" s="150">
        <f>+C273-C274</f>
        <v>4829377.33</v>
      </c>
      <c r="D275" s="151">
        <f>+D273-D274</f>
        <v>11831342.59</v>
      </c>
      <c r="E275" s="150">
        <f>+E273-E274</f>
        <v>2431912.0000000005</v>
      </c>
    </row>
    <row r="276" spans="2:5" hidden="1" x14ac:dyDescent="0.25">
      <c r="B276" s="143" t="s">
        <v>180</v>
      </c>
      <c r="C276" s="160"/>
      <c r="D276" s="147"/>
      <c r="E276" s="50">
        <f>+C276-D276</f>
        <v>0</v>
      </c>
    </row>
    <row r="277" spans="2:5" hidden="1" x14ac:dyDescent="0.25">
      <c r="B277" s="115" t="s">
        <v>181</v>
      </c>
      <c r="C277" s="88"/>
      <c r="D277" s="147"/>
      <c r="E277" s="50">
        <f>+C277-D277</f>
        <v>0</v>
      </c>
    </row>
    <row r="278" spans="2:5" hidden="1" x14ac:dyDescent="0.25">
      <c r="B278" s="161" t="s">
        <v>182</v>
      </c>
      <c r="C278" s="88"/>
      <c r="D278" s="147"/>
      <c r="E278" s="50">
        <f>+C278-D278</f>
        <v>0</v>
      </c>
    </row>
    <row r="279" spans="2:5" hidden="1" x14ac:dyDescent="0.25">
      <c r="B279" s="149" t="s">
        <v>183</v>
      </c>
      <c r="C279" s="162">
        <f>SUM(C277:C278)</f>
        <v>0</v>
      </c>
      <c r="D279" s="163">
        <f>SUM(D277:D278)</f>
        <v>0</v>
      </c>
      <c r="E279" s="162">
        <f>SUM(E277:E278)</f>
        <v>0</v>
      </c>
    </row>
    <row r="280" spans="2:5" ht="28.5" hidden="1" x14ac:dyDescent="0.25">
      <c r="B280" s="149" t="s">
        <v>184</v>
      </c>
      <c r="C280" s="164">
        <v>0</v>
      </c>
      <c r="D280" s="153">
        <v>0</v>
      </c>
      <c r="E280" s="154">
        <f>+C280-D280</f>
        <v>0</v>
      </c>
    </row>
    <row r="281" spans="2:5" ht="28.5" hidden="1" x14ac:dyDescent="0.25">
      <c r="B281" s="149" t="s">
        <v>185</v>
      </c>
      <c r="C281" s="162">
        <f>+C279-C280</f>
        <v>0</v>
      </c>
      <c r="D281" s="163">
        <f>+D279-D280</f>
        <v>0</v>
      </c>
      <c r="E281" s="162">
        <f>+E279-E280</f>
        <v>0</v>
      </c>
    </row>
    <row r="282" spans="2:5" hidden="1" x14ac:dyDescent="0.25">
      <c r="B282" s="159" t="s">
        <v>186</v>
      </c>
      <c r="C282" s="155"/>
      <c r="D282" s="156"/>
      <c r="E282" s="157"/>
    </row>
    <row r="283" spans="2:5" hidden="1" x14ac:dyDescent="0.25">
      <c r="B283" s="47" t="str">
        <f>+B268</f>
        <v xml:space="preserve">Costos de adquisición  </v>
      </c>
      <c r="C283" s="88">
        <f>+'[1]BALANZA G'!E55</f>
        <v>1623675</v>
      </c>
      <c r="D283" s="147">
        <f>+'[1]BALANZA G'!E55</f>
        <v>1623675</v>
      </c>
      <c r="E283" s="50">
        <f>+C283-D283</f>
        <v>0</v>
      </c>
    </row>
    <row r="284" spans="2:5" hidden="1" x14ac:dyDescent="0.25">
      <c r="B284" s="47" t="str">
        <f>+B269</f>
        <v>Adiciones</v>
      </c>
      <c r="C284" s="88">
        <f>+'[1]BALANZA G'!C55-'[1]BALANZA G'!E55</f>
        <v>0</v>
      </c>
      <c r="D284" s="147">
        <f>+'[1]BALANZA G'!G55</f>
        <v>0</v>
      </c>
      <c r="E284" s="50">
        <f>+C284-D284</f>
        <v>0</v>
      </c>
    </row>
    <row r="285" spans="2:5" hidden="1" x14ac:dyDescent="0.25">
      <c r="B285" s="47" t="str">
        <f>+B270</f>
        <v>Retiros</v>
      </c>
      <c r="C285" s="88"/>
      <c r="D285" s="147"/>
      <c r="E285" s="50">
        <f>+C285-D285</f>
        <v>0</v>
      </c>
    </row>
    <row r="286" spans="2:5" hidden="1" x14ac:dyDescent="0.25">
      <c r="B286" s="47" t="str">
        <f>+B271</f>
        <v>Depreciación Acumulada</v>
      </c>
      <c r="C286" s="88"/>
      <c r="D286" s="147"/>
      <c r="E286" s="50"/>
    </row>
    <row r="287" spans="2:5" hidden="1" x14ac:dyDescent="0.25">
      <c r="B287" s="47" t="str">
        <f>+B272</f>
        <v>Depreciación del periodo</v>
      </c>
      <c r="C287" s="88"/>
      <c r="D287" s="147"/>
      <c r="E287" s="50"/>
    </row>
    <row r="288" spans="2:5" hidden="1" x14ac:dyDescent="0.25">
      <c r="B288" s="149" t="s">
        <v>187</v>
      </c>
      <c r="C288" s="150">
        <f>SUM(C277:C284)</f>
        <v>1623675</v>
      </c>
      <c r="D288" s="151">
        <f>SUM(D277:D284)</f>
        <v>1623675</v>
      </c>
      <c r="E288" s="150">
        <f>SUM(E277:E284)</f>
        <v>0</v>
      </c>
    </row>
    <row r="289" spans="2:6" hidden="1" x14ac:dyDescent="0.25">
      <c r="B289" s="159" t="s">
        <v>188</v>
      </c>
      <c r="C289" s="155"/>
      <c r="D289" s="156"/>
      <c r="E289" s="157"/>
    </row>
    <row r="290" spans="2:6" hidden="1" x14ac:dyDescent="0.25">
      <c r="B290" s="47" t="str">
        <f>+B283</f>
        <v xml:space="preserve">Costos de adquisición  </v>
      </c>
      <c r="C290" s="88">
        <f>+'[1]BALANZA G'!E58</f>
        <v>953149176.46000004</v>
      </c>
      <c r="D290" s="147">
        <f>+'[1]BALANZA G'!E58</f>
        <v>953149176.46000004</v>
      </c>
      <c r="E290" s="50">
        <f>+C290-D290</f>
        <v>0</v>
      </c>
    </row>
    <row r="291" spans="2:6" hidden="1" x14ac:dyDescent="0.25">
      <c r="B291" s="47" t="str">
        <f>+B284</f>
        <v>Adiciones</v>
      </c>
      <c r="C291" s="88">
        <f>+'[1]BALANZA G'!C58-'[1]BALANZA G'!E58</f>
        <v>0</v>
      </c>
      <c r="D291" s="147">
        <f>+'[1]BALANZA G'!J57</f>
        <v>0</v>
      </c>
      <c r="E291" s="50">
        <f>+C291-D291</f>
        <v>0</v>
      </c>
    </row>
    <row r="292" spans="2:6" hidden="1" x14ac:dyDescent="0.25">
      <c r="B292" s="47" t="str">
        <f>+B285</f>
        <v>Retiros</v>
      </c>
      <c r="C292" s="88"/>
      <c r="D292" s="147"/>
      <c r="E292" s="50"/>
    </row>
    <row r="293" spans="2:6" hidden="1" x14ac:dyDescent="0.25">
      <c r="B293" s="47" t="str">
        <f>+B286</f>
        <v>Depreciación Acumulada</v>
      </c>
      <c r="C293" s="88">
        <f>-[1]nota13!E28</f>
        <v>-136491958</v>
      </c>
      <c r="D293" s="147"/>
      <c r="E293" s="50"/>
    </row>
    <row r="294" spans="2:6" hidden="1" x14ac:dyDescent="0.25">
      <c r="B294" s="47" t="str">
        <f>+B287</f>
        <v>Depreciación del periodo</v>
      </c>
      <c r="C294" s="88">
        <f>-[1]nota13!E29</f>
        <v>-42812769.550000012</v>
      </c>
      <c r="D294" s="147"/>
      <c r="E294" s="50"/>
    </row>
    <row r="295" spans="2:6" hidden="1" x14ac:dyDescent="0.25">
      <c r="B295" s="149" t="s">
        <v>189</v>
      </c>
      <c r="C295" s="150">
        <f>SUM(C290:C294)</f>
        <v>773844448.91000009</v>
      </c>
      <c r="D295" s="151">
        <f>+D290+D291-D292</f>
        <v>953149176.46000004</v>
      </c>
      <c r="E295" s="150">
        <f>+E290+E291-E292</f>
        <v>0</v>
      </c>
    </row>
    <row r="296" spans="2:6" hidden="1" x14ac:dyDescent="0.25">
      <c r="B296" s="149" t="s">
        <v>187</v>
      </c>
      <c r="C296" s="150">
        <f>+C295+C288</f>
        <v>775468123.91000009</v>
      </c>
      <c r="D296" s="151">
        <f>+D295+D288</f>
        <v>954772851.46000004</v>
      </c>
      <c r="E296" s="150">
        <f>+E295+E288</f>
        <v>0</v>
      </c>
      <c r="F296" s="165">
        <f>+F295+F288</f>
        <v>0</v>
      </c>
    </row>
    <row r="297" spans="2:6" hidden="1" x14ac:dyDescent="0.25">
      <c r="B297" s="149" t="s">
        <v>190</v>
      </c>
      <c r="C297" s="152"/>
      <c r="D297" s="153"/>
      <c r="E297" s="154">
        <f>+C297-D297</f>
        <v>0</v>
      </c>
    </row>
    <row r="298" spans="2:6" ht="27" hidden="1" customHeight="1" x14ac:dyDescent="0.25">
      <c r="B298" s="149" t="s">
        <v>191</v>
      </c>
      <c r="C298" s="150">
        <f>+C296-C297</f>
        <v>775468123.91000009</v>
      </c>
      <c r="D298" s="151">
        <f>+D296-D297</f>
        <v>954772851.46000004</v>
      </c>
      <c r="E298" s="150">
        <f>+E296-E297</f>
        <v>0</v>
      </c>
    </row>
    <row r="299" spans="2:6" hidden="1" x14ac:dyDescent="0.25">
      <c r="B299" s="166" t="s">
        <v>192</v>
      </c>
      <c r="C299" s="160"/>
      <c r="D299" s="147"/>
      <c r="E299" s="50">
        <f>+C299-D299</f>
        <v>0</v>
      </c>
    </row>
    <row r="300" spans="2:6" hidden="1" x14ac:dyDescent="0.25">
      <c r="B300" s="115" t="s">
        <v>193</v>
      </c>
      <c r="C300" s="88"/>
      <c r="D300" s="147"/>
      <c r="E300" s="50">
        <f>+C300-D300</f>
        <v>0</v>
      </c>
    </row>
    <row r="301" spans="2:6" hidden="1" x14ac:dyDescent="0.25">
      <c r="B301" s="149" t="s">
        <v>194</v>
      </c>
      <c r="C301" s="150">
        <f>SUM(C300)</f>
        <v>0</v>
      </c>
      <c r="D301" s="151">
        <f>SUM(D300)</f>
        <v>0</v>
      </c>
      <c r="E301" s="150">
        <f>SUM(E300)</f>
        <v>0</v>
      </c>
    </row>
    <row r="302" spans="2:6" hidden="1" x14ac:dyDescent="0.25">
      <c r="B302" s="149" t="s">
        <v>195</v>
      </c>
      <c r="C302" s="152"/>
      <c r="D302" s="153"/>
      <c r="E302" s="154">
        <f>+C302-D302</f>
        <v>0</v>
      </c>
    </row>
    <row r="303" spans="2:6" ht="28.5" hidden="1" x14ac:dyDescent="0.25">
      <c r="B303" s="149" t="s">
        <v>196</v>
      </c>
      <c r="C303" s="150">
        <f>+C301-C302</f>
        <v>0</v>
      </c>
      <c r="D303" s="151">
        <f>+D301-D302</f>
        <v>0</v>
      </c>
      <c r="E303" s="150">
        <f>+E301-E302</f>
        <v>0</v>
      </c>
    </row>
    <row r="304" spans="2:6" hidden="1" x14ac:dyDescent="0.25">
      <c r="B304" s="166" t="s">
        <v>197</v>
      </c>
      <c r="C304" s="160"/>
      <c r="D304" s="147"/>
      <c r="E304" s="50"/>
    </row>
    <row r="305" spans="2:26" hidden="1" x14ac:dyDescent="0.25">
      <c r="B305" s="161" t="s">
        <v>198</v>
      </c>
      <c r="C305" s="88"/>
      <c r="D305" s="147"/>
      <c r="E305" s="50">
        <f>+C305-D305</f>
        <v>0</v>
      </c>
    </row>
    <row r="306" spans="2:26" ht="12" hidden="1" customHeight="1" x14ac:dyDescent="0.25">
      <c r="B306" s="161" t="s">
        <v>199</v>
      </c>
      <c r="C306" s="88"/>
      <c r="D306" s="147"/>
      <c r="E306" s="50">
        <f>+C306-D306</f>
        <v>0</v>
      </c>
    </row>
    <row r="307" spans="2:26" ht="13.5" hidden="1" customHeight="1" x14ac:dyDescent="0.25">
      <c r="B307" s="161" t="s">
        <v>200</v>
      </c>
      <c r="C307" s="88"/>
      <c r="D307" s="147"/>
      <c r="E307" s="50">
        <f>+C307-D307</f>
        <v>0</v>
      </c>
    </row>
    <row r="308" spans="2:26" ht="24.75" hidden="1" customHeight="1" x14ac:dyDescent="0.25">
      <c r="B308" s="149" t="s">
        <v>201</v>
      </c>
      <c r="C308" s="150">
        <f>SUM(C305:C307)</f>
        <v>0</v>
      </c>
      <c r="D308" s="151">
        <f>SUM(D305:D307)</f>
        <v>0</v>
      </c>
      <c r="E308" s="150">
        <f>SUM(E305:E307)</f>
        <v>0</v>
      </c>
    </row>
    <row r="309" spans="2:26" ht="21" hidden="1" customHeight="1" x14ac:dyDescent="0.25">
      <c r="B309" s="149" t="s">
        <v>202</v>
      </c>
      <c r="C309" s="152"/>
      <c r="D309" s="153"/>
      <c r="E309" s="154">
        <f>+C309-D309</f>
        <v>0</v>
      </c>
    </row>
    <row r="310" spans="2:26" ht="33" hidden="1" customHeight="1" x14ac:dyDescent="0.25">
      <c r="B310" s="149" t="s">
        <v>203</v>
      </c>
      <c r="C310" s="150">
        <f>+C308-C309</f>
        <v>0</v>
      </c>
      <c r="D310" s="151">
        <f>+D308-D309</f>
        <v>0</v>
      </c>
      <c r="E310" s="150">
        <f>+E308-E309</f>
        <v>0</v>
      </c>
    </row>
    <row r="311" spans="2:26" hidden="1" x14ac:dyDescent="0.25">
      <c r="B311" s="149" t="s">
        <v>204</v>
      </c>
      <c r="C311" s="167">
        <f>+C310+C303+C298+C281+C275+C266+C257+C248</f>
        <v>798206445.35000014</v>
      </c>
      <c r="D311" s="168">
        <f>+D310+D303+D298+D281+D275+D266+D257+D248</f>
        <v>1038886000.5300001</v>
      </c>
      <c r="E311" s="167">
        <f>+E310+E303+E298+E281+E275+E266+E257+E248</f>
        <v>2691078.8800000004</v>
      </c>
    </row>
    <row r="312" spans="2:26" hidden="1" x14ac:dyDescent="0.25">
      <c r="B312" s="149" t="s">
        <v>205</v>
      </c>
      <c r="C312" s="169">
        <f>+C309+C302+C297+C280+C274+C265+C256+C247</f>
        <v>0</v>
      </c>
      <c r="D312" s="153">
        <f>+D309+D302+D297+D280+D274+D265+D256+D247</f>
        <v>0</v>
      </c>
      <c r="E312" s="154">
        <f>+C312-D312</f>
        <v>0</v>
      </c>
    </row>
    <row r="313" spans="2:26" hidden="1" x14ac:dyDescent="0.25">
      <c r="B313" s="149" t="s">
        <v>206</v>
      </c>
      <c r="C313" s="167">
        <f>+C296+C275+C266+C257+C248</f>
        <v>798206445.35000014</v>
      </c>
      <c r="D313" s="168">
        <f>+D296+D275+D266+D257+D248</f>
        <v>1038886000.5300001</v>
      </c>
      <c r="E313" s="167">
        <f>+E311-E312</f>
        <v>2691078.8800000004</v>
      </c>
    </row>
    <row r="314" spans="2:26" s="10" customFormat="1" ht="9.75" hidden="1" customHeight="1" x14ac:dyDescent="0.25">
      <c r="B314" s="170"/>
      <c r="C314" s="171"/>
      <c r="D314" s="172"/>
      <c r="E314" s="173"/>
      <c r="J314" s="15"/>
      <c r="N314" s="15"/>
      <c r="R314" s="4"/>
      <c r="S314" s="4"/>
      <c r="T314" s="4"/>
      <c r="U314" s="4"/>
      <c r="V314" s="4"/>
      <c r="W314" s="4"/>
      <c r="X314" s="4"/>
      <c r="Y314" s="4"/>
      <c r="Z314" s="15"/>
    </row>
    <row r="315" spans="2:26" s="51" customFormat="1" x14ac:dyDescent="0.25">
      <c r="B315" s="61" t="s">
        <v>103</v>
      </c>
      <c r="C315" s="62"/>
      <c r="D315" s="133" t="str">
        <f>IF(E315&gt;=0,"Aumento","Disminución")</f>
        <v>Aumento</v>
      </c>
      <c r="E315" s="134">
        <f>+E313/D313</f>
        <v>2.5903505087440915E-3</v>
      </c>
      <c r="J315" s="55"/>
      <c r="N315" s="55"/>
      <c r="R315" s="56"/>
      <c r="S315" s="56"/>
      <c r="T315" s="56"/>
      <c r="U315" s="56"/>
      <c r="V315" s="56"/>
      <c r="W315" s="56"/>
      <c r="X315" s="56"/>
      <c r="Y315" s="56"/>
      <c r="Z315" s="55"/>
    </row>
    <row r="316" spans="2:26" x14ac:dyDescent="0.25">
      <c r="B316" s="106"/>
    </row>
    <row r="317" spans="2:26" x14ac:dyDescent="0.25">
      <c r="B317" s="106"/>
    </row>
    <row r="318" spans="2:26" x14ac:dyDescent="0.25">
      <c r="B318" s="106"/>
    </row>
    <row r="319" spans="2:26" x14ac:dyDescent="0.25">
      <c r="B319" s="106"/>
    </row>
    <row r="320" spans="2:26" x14ac:dyDescent="0.25">
      <c r="B320" s="106"/>
    </row>
    <row r="321" spans="2:2" x14ac:dyDescent="0.25">
      <c r="B321" s="106"/>
    </row>
    <row r="322" spans="2:2" x14ac:dyDescent="0.25">
      <c r="B322" s="106"/>
    </row>
    <row r="323" spans="2:2" x14ac:dyDescent="0.25">
      <c r="B323" s="106"/>
    </row>
    <row r="324" spans="2:2" x14ac:dyDescent="0.25">
      <c r="B324" s="106"/>
    </row>
    <row r="325" spans="2:2" x14ac:dyDescent="0.25">
      <c r="B325" s="106"/>
    </row>
    <row r="326" spans="2:2" x14ac:dyDescent="0.25">
      <c r="B326" s="106"/>
    </row>
    <row r="327" spans="2:2" x14ac:dyDescent="0.25">
      <c r="B327" s="106"/>
    </row>
    <row r="328" spans="2:2" x14ac:dyDescent="0.25">
      <c r="B328" s="106"/>
    </row>
    <row r="329" spans="2:2" x14ac:dyDescent="0.25">
      <c r="B329" s="106"/>
    </row>
    <row r="330" spans="2:2" x14ac:dyDescent="0.25">
      <c r="B330" s="106"/>
    </row>
    <row r="331" spans="2:2" x14ac:dyDescent="0.25">
      <c r="B331" s="106"/>
    </row>
    <row r="332" spans="2:2" x14ac:dyDescent="0.25">
      <c r="B332" s="106"/>
    </row>
    <row r="333" spans="2:2" x14ac:dyDescent="0.25">
      <c r="B333" s="106"/>
    </row>
    <row r="334" spans="2:2" x14ac:dyDescent="0.25">
      <c r="B334" s="106"/>
    </row>
    <row r="335" spans="2:2" x14ac:dyDescent="0.25">
      <c r="B335" s="106"/>
    </row>
    <row r="336" spans="2:2" x14ac:dyDescent="0.25">
      <c r="B336" s="106"/>
    </row>
    <row r="337" spans="2:2" x14ac:dyDescent="0.25">
      <c r="B337" s="106"/>
    </row>
    <row r="338" spans="2:2" x14ac:dyDescent="0.25">
      <c r="B338" s="106"/>
    </row>
    <row r="339" spans="2:2" x14ac:dyDescent="0.25">
      <c r="B339" s="106"/>
    </row>
    <row r="340" spans="2:2" x14ac:dyDescent="0.25">
      <c r="B340" s="106"/>
    </row>
    <row r="341" spans="2:2" x14ac:dyDescent="0.25">
      <c r="B341" s="106"/>
    </row>
    <row r="342" spans="2:2" x14ac:dyDescent="0.25">
      <c r="B342" s="106"/>
    </row>
    <row r="343" spans="2:2" x14ac:dyDescent="0.25">
      <c r="B343" s="106"/>
    </row>
    <row r="344" spans="2:2" x14ac:dyDescent="0.25">
      <c r="B344" s="106"/>
    </row>
    <row r="345" spans="2:2" x14ac:dyDescent="0.25">
      <c r="B345" s="106"/>
    </row>
    <row r="346" spans="2:2" x14ac:dyDescent="0.25">
      <c r="B346" s="106"/>
    </row>
    <row r="347" spans="2:2" x14ac:dyDescent="0.25">
      <c r="B347" s="106"/>
    </row>
    <row r="348" spans="2:2" x14ac:dyDescent="0.25">
      <c r="B348" s="106"/>
    </row>
    <row r="349" spans="2:2" x14ac:dyDescent="0.25">
      <c r="B349" s="106"/>
    </row>
    <row r="350" spans="2:2" x14ac:dyDescent="0.25">
      <c r="B350" s="106"/>
    </row>
    <row r="351" spans="2:2" x14ac:dyDescent="0.25">
      <c r="B351" s="106"/>
    </row>
    <row r="352" spans="2:2" x14ac:dyDescent="0.25">
      <c r="B352" s="106"/>
    </row>
    <row r="353" spans="2:26" x14ac:dyDescent="0.25">
      <c r="B353" s="106"/>
    </row>
    <row r="354" spans="2:26" ht="6" customHeight="1" x14ac:dyDescent="0.25">
      <c r="B354" s="106"/>
    </row>
    <row r="355" spans="2:26" x14ac:dyDescent="0.25">
      <c r="B355" s="106"/>
    </row>
    <row r="356" spans="2:26" x14ac:dyDescent="0.25">
      <c r="B356" s="106"/>
    </row>
    <row r="357" spans="2:26" x14ac:dyDescent="0.25">
      <c r="B357" s="106"/>
    </row>
    <row r="358" spans="2:26" x14ac:dyDescent="0.25">
      <c r="B358" s="106"/>
    </row>
    <row r="359" spans="2:26" x14ac:dyDescent="0.25">
      <c r="B359" s="71" t="s">
        <v>207</v>
      </c>
    </row>
    <row r="360" spans="2:26" x14ac:dyDescent="0.25">
      <c r="B360" s="71" t="s">
        <v>208</v>
      </c>
    </row>
    <row r="361" spans="2:26" ht="15" customHeight="1" x14ac:dyDescent="0.25">
      <c r="B361" s="14" t="str">
        <f>("Un detalle de las  "&amp;B360&amp;" al "&amp;[1]BALANZA!$B$3&amp;" "&amp;[1]BALANZA!$C$3&amp;" es como se detalla a continuación:")</f>
        <v>Un detalle de las  Activos Intangible  al 31 de diciembre del 2022 - 2021 es como se detalla a continuación:</v>
      </c>
      <c r="C361" s="37"/>
      <c r="D361" s="37"/>
      <c r="E361" s="37"/>
    </row>
    <row r="362" spans="2:26" ht="33.75" customHeight="1" x14ac:dyDescent="0.25">
      <c r="B362" s="20" t="str">
        <f>("Las "&amp;B360&amp;" está integrado siguientes cuentas, para el "&amp;C364&amp;" el total era de RD$"&amp;R367&amp;".00 y para el "&amp;D364&amp;" el total fue de RD$"&amp;R368&amp;".00 , Según el siguiente detalle:")</f>
        <v>Las Activos Intangible  está integrado siguientes cuentas, para el 2022 el total era de RD$223,399.00 y para el 2021 el total fue de RD$0.00 , Según el siguiente detalle:</v>
      </c>
      <c r="C362" s="20"/>
      <c r="D362" s="20"/>
      <c r="E362" s="20"/>
      <c r="I362" s="174"/>
      <c r="J362" s="175"/>
    </row>
    <row r="363" spans="2:26" s="51" customFormat="1" ht="12.75" customHeight="1" x14ac:dyDescent="0.25">
      <c r="B363" s="176"/>
      <c r="C363" s="176"/>
      <c r="D363" s="177"/>
      <c r="E363" s="178"/>
      <c r="J363" s="55"/>
      <c r="N363" s="55"/>
      <c r="R363" s="56"/>
      <c r="S363" s="56"/>
      <c r="T363" s="56"/>
      <c r="U363" s="56"/>
      <c r="V363" s="56"/>
      <c r="W363" s="56"/>
      <c r="X363" s="56"/>
      <c r="Y363" s="56"/>
      <c r="Z363" s="55"/>
    </row>
    <row r="364" spans="2:26" x14ac:dyDescent="0.25">
      <c r="B364" s="179" t="s">
        <v>92</v>
      </c>
      <c r="C364" s="180">
        <f>+[1]BALANZA!B4</f>
        <v>2022</v>
      </c>
      <c r="D364" s="180">
        <f>+[1]BALANZA!C4</f>
        <v>2021</v>
      </c>
      <c r="E364" s="179" t="s">
        <v>93</v>
      </c>
    </row>
    <row r="365" spans="2:26" x14ac:dyDescent="0.25">
      <c r="B365" s="181" t="s">
        <v>209</v>
      </c>
      <c r="C365" s="88">
        <f>+'[1]BALANZA G'!C67</f>
        <v>243708</v>
      </c>
      <c r="D365" s="97">
        <f>+'[1]BALANZA G'!E67</f>
        <v>0</v>
      </c>
      <c r="E365" s="182">
        <f>+C365-D365</f>
        <v>243708</v>
      </c>
    </row>
    <row r="366" spans="2:26" x14ac:dyDescent="0.25">
      <c r="B366" s="181" t="s">
        <v>210</v>
      </c>
      <c r="C366" s="88">
        <f>+'[1]BALANZA G'!C79</f>
        <v>20309</v>
      </c>
      <c r="D366" s="97">
        <f>+'[1]BALANZA G'!E79</f>
        <v>0</v>
      </c>
      <c r="E366" s="182">
        <f>+C366-D366</f>
        <v>20309</v>
      </c>
    </row>
    <row r="367" spans="2:26" x14ac:dyDescent="0.25">
      <c r="B367" s="118" t="s">
        <v>211</v>
      </c>
      <c r="C367" s="183">
        <f>SUM(C365:C365)-C366</f>
        <v>223399</v>
      </c>
      <c r="D367" s="183">
        <f>SUM(D365:D365)-D366</f>
        <v>0</v>
      </c>
      <c r="E367" s="183">
        <f>SUM(E365:E365)</f>
        <v>243708</v>
      </c>
      <c r="R367" s="4" t="str">
        <f>+CONCATENATE(S367,",",T367,U367)</f>
        <v>223,399</v>
      </c>
      <c r="S367" s="4" t="str">
        <f>MID(C367,1,3)</f>
        <v>223</v>
      </c>
      <c r="T367" s="4" t="str">
        <f>MID(C367,4,3)</f>
        <v>399</v>
      </c>
      <c r="U367" s="4" t="str">
        <f>MID(C367,7,3)</f>
        <v/>
      </c>
      <c r="V367" s="4" t="str">
        <f>MID(C367,9,3)</f>
        <v/>
      </c>
    </row>
    <row r="368" spans="2:26" ht="10.5" customHeight="1" x14ac:dyDescent="0.25">
      <c r="B368" s="184"/>
      <c r="C368" s="185"/>
      <c r="D368" s="186"/>
      <c r="E368" s="187"/>
      <c r="R368" s="4">
        <v>0</v>
      </c>
      <c r="S368" s="4" t="str">
        <f>MID(D367,1,3)</f>
        <v>0</v>
      </c>
      <c r="T368" s="4" t="str">
        <f>MID(D367,4,3)</f>
        <v/>
      </c>
      <c r="U368" s="4" t="str">
        <f>MID(D367,7,3)</f>
        <v/>
      </c>
    </row>
    <row r="369" spans="2:26" s="51" customFormat="1" x14ac:dyDescent="0.25">
      <c r="B369" s="188" t="s">
        <v>103</v>
      </c>
      <c r="C369" s="189"/>
      <c r="D369" s="190">
        <v>0</v>
      </c>
      <c r="E369" s="94">
        <f>IFERROR(+E367/D367,0)</f>
        <v>0</v>
      </c>
      <c r="J369" s="55"/>
      <c r="N369" s="55"/>
      <c r="R369" s="56"/>
      <c r="S369" s="56"/>
      <c r="T369" s="56"/>
      <c r="U369" s="56"/>
      <c r="V369" s="56"/>
      <c r="W369" s="56"/>
      <c r="X369" s="56"/>
      <c r="Y369" s="56"/>
      <c r="Z369" s="55"/>
    </row>
    <row r="370" spans="2:26" s="51" customFormat="1" x14ac:dyDescent="0.25">
      <c r="B370" s="176"/>
      <c r="C370" s="176"/>
      <c r="D370" s="191"/>
      <c r="E370" s="178"/>
      <c r="J370" s="55"/>
      <c r="N370" s="55"/>
      <c r="R370" s="56"/>
      <c r="S370" s="56"/>
      <c r="T370" s="56"/>
      <c r="U370" s="56"/>
      <c r="V370" s="56"/>
      <c r="W370" s="56"/>
      <c r="X370" s="56"/>
      <c r="Y370" s="56"/>
      <c r="Z370" s="55"/>
    </row>
    <row r="371" spans="2:26" s="51" customFormat="1" ht="8.25" customHeight="1" x14ac:dyDescent="0.25">
      <c r="B371" s="192"/>
      <c r="C371" s="192"/>
      <c r="D371" s="193"/>
      <c r="E371" s="194"/>
      <c r="J371" s="55"/>
      <c r="N371" s="55"/>
      <c r="R371" s="56"/>
      <c r="S371" s="56"/>
      <c r="T371" s="56"/>
      <c r="U371" s="56"/>
      <c r="V371" s="56"/>
      <c r="W371" s="56"/>
      <c r="X371" s="56"/>
      <c r="Y371" s="56"/>
      <c r="Z371" s="55"/>
    </row>
    <row r="372" spans="2:26" x14ac:dyDescent="0.25">
      <c r="B372" s="195" t="s">
        <v>212</v>
      </c>
      <c r="C372" s="31"/>
      <c r="D372" s="34"/>
      <c r="E372" s="31"/>
    </row>
    <row r="373" spans="2:26" ht="21.75" customHeight="1" x14ac:dyDescent="0.25">
      <c r="B373" s="7" t="s">
        <v>213</v>
      </c>
      <c r="C373" s="7"/>
      <c r="D373" s="7"/>
      <c r="E373" s="7"/>
    </row>
    <row r="374" spans="2:26" ht="27.75" customHeight="1" x14ac:dyDescent="0.25">
      <c r="B374" s="14" t="str">
        <f>("Un detalle de las  "&amp;B373&amp;" al "&amp;[1]BALANZA!$B$3&amp;" "&amp;[1]BALANZA!$C$3&amp;" es como se detalla a continuación:")</f>
        <v>Un detalle de las  Cuentas por pagar a corto plazo al 31 de diciembre del 2022 - 2021 es como se detalla a continuación:</v>
      </c>
      <c r="C374" s="37"/>
      <c r="D374" s="37"/>
      <c r="E374" s="37"/>
    </row>
    <row r="375" spans="2:26" ht="59.25" customHeight="1" x14ac:dyDescent="0.25">
      <c r="B375" s="20" t="str">
        <f>("Las Cuentas por Pagar está integrado por las deudas y compromisos de pago que tiene la institución con los suplidores de servicios, retenciones impositivas y documentos por pagar, con una disminucion en el "&amp;C378&amp;"  el total era de RD$ "&amp;R382&amp;" y para el "&amp;D378&amp;" el total fue de RD$ "&amp;R383&amp;" , Según el siguiente detalle:")</f>
        <v>Las Cuentas por Pagar está integrado por las deudas y compromisos de pago que tiene la institución con los suplidores de servicios, retenciones impositivas y documentos por pagar, con una disminucion en el 2022  el total era de RD$ 3,807,065.23 y para el 2021 el total fue de RD$ 3,294,080.51 , Según el siguiente detalle:</v>
      </c>
      <c r="C375" s="20"/>
      <c r="D375" s="20"/>
      <c r="E375" s="20"/>
    </row>
    <row r="376" spans="2:26" ht="45" customHeight="1" x14ac:dyDescent="0.25">
      <c r="B376" s="14" t="s">
        <v>214</v>
      </c>
      <c r="C376" s="14"/>
      <c r="D376" s="14"/>
      <c r="E376" s="14"/>
    </row>
    <row r="377" spans="2:26" x14ac:dyDescent="0.25">
      <c r="B377" s="13" t="s">
        <v>215</v>
      </c>
    </row>
    <row r="378" spans="2:26" x14ac:dyDescent="0.25">
      <c r="B378" s="196" t="s">
        <v>216</v>
      </c>
      <c r="C378" s="180">
        <f>+[1]BALANZA!B4</f>
        <v>2022</v>
      </c>
      <c r="D378" s="180">
        <f>+[1]BALANZA!C4</f>
        <v>2021</v>
      </c>
      <c r="E378" s="197" t="s">
        <v>217</v>
      </c>
    </row>
    <row r="379" spans="2:26" x14ac:dyDescent="0.25">
      <c r="B379" s="161" t="s">
        <v>218</v>
      </c>
      <c r="C379" s="88">
        <f>+'[1]BALANZA G'!C96-C380</f>
        <v>1580290.0699999998</v>
      </c>
      <c r="D379" s="97">
        <f>+'[1]BALANZA G'!E96-D380</f>
        <v>1124693</v>
      </c>
      <c r="E379" s="50">
        <f>+C379-D379</f>
        <v>455597.06999999983</v>
      </c>
    </row>
    <row r="380" spans="2:26" x14ac:dyDescent="0.25">
      <c r="B380" s="161" t="s">
        <v>219</v>
      </c>
      <c r="C380" s="88">
        <v>800000</v>
      </c>
      <c r="D380" s="97">
        <v>800000</v>
      </c>
      <c r="E380" s="50">
        <f>+C380-D380</f>
        <v>0</v>
      </c>
    </row>
    <row r="381" spans="2:26" x14ac:dyDescent="0.25">
      <c r="B381" s="161" t="s">
        <v>220</v>
      </c>
      <c r="C381" s="88">
        <f>+'[1]BALANZA G'!C97+'[1]BALANZA G'!C98</f>
        <v>1426775.16</v>
      </c>
      <c r="D381" s="97">
        <f>+'[1]BALANZA G'!E97+'[1]BALANZA G'!E98</f>
        <v>1369387.51</v>
      </c>
      <c r="E381" s="50">
        <f>+C381-D381</f>
        <v>57387.649999999907</v>
      </c>
    </row>
    <row r="382" spans="2:26" x14ac:dyDescent="0.25">
      <c r="B382" s="196" t="s">
        <v>221</v>
      </c>
      <c r="C382" s="120">
        <f>SUM(C379:C381)</f>
        <v>3807065.2299999995</v>
      </c>
      <c r="D382" s="198">
        <f>SUM(D379:D381)</f>
        <v>3294080.51</v>
      </c>
      <c r="E382" s="120">
        <f>SUM(E379:E381)</f>
        <v>512984.71999999974</v>
      </c>
      <c r="R382" s="4" t="str">
        <f>+CONCATENATE(S382,",",T382,",",U382,V382,AB382)</f>
        <v>3,807,065.23</v>
      </c>
      <c r="S382" s="4" t="str">
        <f>MID(C382,1,1)</f>
        <v>3</v>
      </c>
      <c r="T382" s="4" t="str">
        <f>MID(C382,2,3)</f>
        <v>807</v>
      </c>
      <c r="U382" s="4" t="str">
        <f>MID(C382,5,3)</f>
        <v>065</v>
      </c>
      <c r="V382" s="4" t="str">
        <f>MID(C382,8,3)</f>
        <v>.23</v>
      </c>
    </row>
    <row r="383" spans="2:26" x14ac:dyDescent="0.25">
      <c r="B383" s="199"/>
      <c r="C383" s="200"/>
      <c r="D383" s="201"/>
      <c r="R383" s="4" t="str">
        <f>+CONCATENATE(S383,",",T383,",",U383,V383,AB383)</f>
        <v>3,294,080.51</v>
      </c>
      <c r="S383" s="4" t="str">
        <f>MID(D382,1,1)</f>
        <v>3</v>
      </c>
      <c r="T383" s="4" t="str">
        <f>MID(D382,2,3)</f>
        <v>294</v>
      </c>
      <c r="U383" s="4" t="str">
        <f>MID(D382,5,3)</f>
        <v>080</v>
      </c>
      <c r="V383" s="4" t="str">
        <f>MID(D382,8,3)</f>
        <v>.51</v>
      </c>
    </row>
    <row r="384" spans="2:26" s="51" customFormat="1" x14ac:dyDescent="0.25">
      <c r="B384" s="61" t="s">
        <v>103</v>
      </c>
      <c r="C384" s="62"/>
      <c r="D384" s="63" t="str">
        <f>IF(E384&gt;=0,"Aumento","Disminución")</f>
        <v>Aumento</v>
      </c>
      <c r="E384" s="94">
        <f>+E382/D382</f>
        <v>0.15572925993845846</v>
      </c>
      <c r="J384" s="55"/>
      <c r="N384" s="55"/>
      <c r="R384" s="56"/>
      <c r="S384" s="56"/>
      <c r="T384" s="56"/>
      <c r="U384" s="56"/>
      <c r="V384" s="56"/>
      <c r="W384" s="56"/>
      <c r="X384" s="56"/>
      <c r="Y384" s="56"/>
      <c r="Z384" s="55"/>
    </row>
    <row r="385" spans="2:26" ht="22.5" customHeight="1" x14ac:dyDescent="0.25">
      <c r="B385" s="7" t="s">
        <v>222</v>
      </c>
      <c r="C385" s="7"/>
      <c r="D385" s="7"/>
      <c r="E385" s="7"/>
    </row>
    <row r="386" spans="2:26" ht="12.75" customHeight="1" x14ac:dyDescent="0.25">
      <c r="B386" s="202"/>
      <c r="C386" s="202"/>
      <c r="D386" s="203"/>
      <c r="E386" s="202"/>
    </row>
    <row r="387" spans="2:26" hidden="1" x14ac:dyDescent="0.25">
      <c r="B387" s="71" t="s">
        <v>223</v>
      </c>
    </row>
    <row r="388" spans="2:26" ht="24" hidden="1" customHeight="1" x14ac:dyDescent="0.25">
      <c r="B388" s="20" t="str">
        <f>+B135</f>
        <v>Un detalle del Inversiones a corto plazo al 31 de diciembre del 2022 - 2021 es como se detalla a continuación:</v>
      </c>
      <c r="C388" s="20"/>
      <c r="D388" s="20"/>
      <c r="E388" s="20"/>
    </row>
    <row r="389" spans="2:26" ht="78" hidden="1" customHeight="1" x14ac:dyDescent="0.25">
      <c r="B389" s="20" t="str">
        <f>("Los Prestamos por Pagar está integrado por las deudas y compromisos de pago que tiene la institución con los bancos, para el "&amp;C391&amp;" el total era de RD$"&amp;C393&amp;" y para el "&amp;D391&amp;" el total fue de RD$"&amp;D393&amp;" , Según el siguiente detalle:")</f>
        <v>Los Prestamos por Pagar está integrado por las deudas y compromisos de pago que tiene la institución con los bancos, para el 2022 el total era de RD$0 y para el 2021 el total fue de RD$0 , Según el siguiente detalle:</v>
      </c>
      <c r="C389" s="20"/>
      <c r="D389" s="20"/>
      <c r="E389" s="20"/>
    </row>
    <row r="390" spans="2:26" hidden="1" x14ac:dyDescent="0.25">
      <c r="B390" s="13" t="s">
        <v>215</v>
      </c>
    </row>
    <row r="391" spans="2:26" hidden="1" x14ac:dyDescent="0.25">
      <c r="B391" s="196" t="s">
        <v>216</v>
      </c>
      <c r="C391" s="180">
        <f>+C138</f>
        <v>2022</v>
      </c>
      <c r="D391" s="204">
        <f>+D138</f>
        <v>2021</v>
      </c>
      <c r="E391" s="197" t="s">
        <v>217</v>
      </c>
    </row>
    <row r="392" spans="2:26" hidden="1" x14ac:dyDescent="0.25">
      <c r="B392" s="161" t="s">
        <v>224</v>
      </c>
      <c r="C392" s="88">
        <f>+'[1]BALANZA G'!C107</f>
        <v>0</v>
      </c>
      <c r="D392" s="97">
        <f>+'[1]BALANZA G'!E107</f>
        <v>0</v>
      </c>
      <c r="E392" s="50">
        <f>+C392-D392</f>
        <v>0</v>
      </c>
    </row>
    <row r="393" spans="2:26" hidden="1" x14ac:dyDescent="0.25">
      <c r="B393" s="196" t="s">
        <v>225</v>
      </c>
      <c r="C393" s="120">
        <f>SUM(C392:C392)</f>
        <v>0</v>
      </c>
      <c r="D393" s="198">
        <f>SUM(D392:D392)</f>
        <v>0</v>
      </c>
      <c r="E393" s="120">
        <f>SUM(E392:E392)</f>
        <v>0</v>
      </c>
    </row>
    <row r="394" spans="2:26" hidden="1" x14ac:dyDescent="0.25">
      <c r="B394" s="199"/>
      <c r="C394" s="123"/>
      <c r="D394" s="201"/>
    </row>
    <row r="395" spans="2:26" s="51" customFormat="1" hidden="1" x14ac:dyDescent="0.25">
      <c r="B395" s="103" t="s">
        <v>103</v>
      </c>
      <c r="C395" s="104"/>
      <c r="D395" s="63" t="e">
        <f>IF(E395&gt;=0,"Aumento","Disminución")</f>
        <v>#DIV/0!</v>
      </c>
      <c r="E395" s="94" t="e">
        <f>+E393/D393</f>
        <v>#DIV/0!</v>
      </c>
      <c r="J395" s="55"/>
      <c r="N395" s="55"/>
      <c r="R395" s="56"/>
      <c r="S395" s="56"/>
      <c r="T395" s="56"/>
      <c r="U395" s="56"/>
      <c r="V395" s="56"/>
      <c r="W395" s="56"/>
      <c r="X395" s="56"/>
      <c r="Y395" s="56"/>
      <c r="Z395" s="55"/>
    </row>
    <row r="396" spans="2:26" s="51" customFormat="1" ht="17.25" customHeight="1" x14ac:dyDescent="0.25">
      <c r="B396" s="68" t="s">
        <v>226</v>
      </c>
      <c r="C396" s="68"/>
      <c r="D396" s="66"/>
      <c r="E396" s="69"/>
      <c r="J396" s="55"/>
      <c r="N396" s="55"/>
      <c r="R396" s="56"/>
      <c r="S396" s="56"/>
      <c r="T396" s="56"/>
      <c r="U396" s="56"/>
      <c r="V396" s="56"/>
      <c r="W396" s="56"/>
      <c r="X396" s="56"/>
      <c r="Y396" s="56"/>
      <c r="Z396" s="55"/>
    </row>
    <row r="397" spans="2:26" x14ac:dyDescent="0.25">
      <c r="B397" s="71" t="s">
        <v>227</v>
      </c>
    </row>
    <row r="398" spans="2:26" ht="22.5" customHeight="1" x14ac:dyDescent="0.25">
      <c r="B398" s="14" t="str">
        <f>("Un detalle de las  "&amp;B397&amp;" al "&amp;[1]BALANZA!$B$3&amp;" "&amp;[1]BALANZA!$C$3&amp;" es como se detalla a continuación:")</f>
        <v>Un detalle de las  Acumulaciones por pagar al 31 de diciembre del 2022 - 2021 es como se detalla a continuación:</v>
      </c>
      <c r="C398" s="37"/>
      <c r="D398" s="37"/>
      <c r="E398" s="37"/>
    </row>
    <row r="399" spans="2:26" ht="36" customHeight="1" x14ac:dyDescent="0.25">
      <c r="B399" s="20" t="str">
        <f>("Las acumulaciones por pagar  disminuye para el "&amp;C401&amp;" el total era RD$ "&amp;R405&amp;" y para el "&amp;D401&amp;" el total fue de RD$ "&amp;R406&amp;" , Según el siguiente detalle:")</f>
        <v>Las acumulaciones por pagar  disminuye para el 2022 el total era RD$ 252,299.30 y para el 2021 el total fue de RD$ 554,232.01 , Según el siguiente detalle:</v>
      </c>
      <c r="C399" s="20"/>
      <c r="D399" s="20"/>
      <c r="E399" s="20"/>
    </row>
    <row r="400" spans="2:26" ht="9" customHeight="1" x14ac:dyDescent="0.25">
      <c r="B400" s="205"/>
      <c r="C400" s="205"/>
      <c r="D400" s="205"/>
      <c r="E400" s="205"/>
    </row>
    <row r="401" spans="2:26" x14ac:dyDescent="0.25">
      <c r="B401" s="196" t="s">
        <v>216</v>
      </c>
      <c r="C401" s="180">
        <f>+C138</f>
        <v>2022</v>
      </c>
      <c r="D401" s="180">
        <f>+D138</f>
        <v>2021</v>
      </c>
      <c r="E401" s="197" t="s">
        <v>217</v>
      </c>
    </row>
    <row r="402" spans="2:26" x14ac:dyDescent="0.25">
      <c r="B402" s="161" t="s">
        <v>228</v>
      </c>
      <c r="C402" s="88">
        <f>+'[1]BALANZA G'!C103+'[1]BALANZA G'!C104</f>
        <v>252299.3</v>
      </c>
      <c r="D402" s="97">
        <f>+'[1]BALANZA G'!E103+'[1]BALANZA G'!E104</f>
        <v>252299.3</v>
      </c>
      <c r="E402" s="50">
        <f>+C402-D402</f>
        <v>0</v>
      </c>
    </row>
    <row r="403" spans="2:26" ht="14.25" customHeight="1" x14ac:dyDescent="0.25">
      <c r="B403" s="161" t="s">
        <v>229</v>
      </c>
      <c r="C403" s="88">
        <f>+'[1]BALANZA G'!C93+'[1]BALANZA G'!C94</f>
        <v>0</v>
      </c>
      <c r="D403" s="97">
        <f>+'[1]BALANZA G'!E93+'[1]BALANZA G'!E94</f>
        <v>301932.71000000002</v>
      </c>
      <c r="E403" s="50">
        <f>+C403-D403</f>
        <v>-301932.71000000002</v>
      </c>
    </row>
    <row r="404" spans="2:26" hidden="1" x14ac:dyDescent="0.25">
      <c r="B404" s="161"/>
      <c r="C404" s="88"/>
      <c r="D404" s="97"/>
      <c r="E404" s="50"/>
    </row>
    <row r="405" spans="2:26" x14ac:dyDescent="0.25">
      <c r="B405" s="196" t="s">
        <v>230</v>
      </c>
      <c r="C405" s="120">
        <f>SUM(C402:C404)</f>
        <v>252299.3</v>
      </c>
      <c r="D405" s="198">
        <f>SUM(D402:D404)</f>
        <v>554232.01</v>
      </c>
      <c r="E405" s="120">
        <f>SUM(E402:E404)</f>
        <v>-301932.71000000002</v>
      </c>
      <c r="R405" s="4" t="str">
        <f>+CONCATENATE(T405,",",U405,"",V405,"0")</f>
        <v>252,299.30</v>
      </c>
      <c r="T405" s="4" t="str">
        <f>MID(C405,1,3)</f>
        <v>252</v>
      </c>
      <c r="U405" s="4" t="str">
        <f>MID(C405,4,3)</f>
        <v>299</v>
      </c>
      <c r="V405" s="4" t="str">
        <f>MID(C405,7,3)</f>
        <v>.3</v>
      </c>
    </row>
    <row r="406" spans="2:26" x14ac:dyDescent="0.25">
      <c r="B406" s="199"/>
      <c r="C406" s="123">
        <f>+C405-'[1]ES F '!B36</f>
        <v>-564628.16999999993</v>
      </c>
      <c r="D406" s="201"/>
      <c r="R406" s="4" t="str">
        <f>+CONCATENATE(S406,",",T406,U406,V406,AB406)</f>
        <v>554,232.01</v>
      </c>
      <c r="S406" s="4" t="str">
        <f>MID(D405,1,3)</f>
        <v>554</v>
      </c>
      <c r="T406" s="4" t="str">
        <f>MID(D405,4,3)</f>
        <v>232</v>
      </c>
      <c r="U406" s="4" t="str">
        <f>MID(D405,7,3)</f>
        <v>.01</v>
      </c>
    </row>
    <row r="407" spans="2:26" s="51" customFormat="1" x14ac:dyDescent="0.25">
      <c r="B407" s="103" t="s">
        <v>103</v>
      </c>
      <c r="C407" s="104"/>
      <c r="D407" s="63" t="str">
        <f>IF(E407&gt;=0,"Aumento","Disminución")</f>
        <v>Disminución</v>
      </c>
      <c r="E407" s="94">
        <f>+E405/D405</f>
        <v>-0.54477674430966194</v>
      </c>
      <c r="J407" s="55"/>
      <c r="N407" s="55"/>
      <c r="R407" s="56"/>
      <c r="S407" s="56"/>
      <c r="T407" s="56"/>
      <c r="U407" s="56"/>
      <c r="V407" s="56"/>
      <c r="W407" s="56"/>
      <c r="X407" s="56"/>
      <c r="Y407" s="56"/>
      <c r="Z407" s="55"/>
    </row>
    <row r="408" spans="2:26" s="51" customFormat="1" x14ac:dyDescent="0.25">
      <c r="B408" s="68"/>
      <c r="C408" s="68"/>
      <c r="D408" s="66"/>
      <c r="E408" s="69"/>
      <c r="J408" s="55"/>
      <c r="N408" s="55"/>
      <c r="R408" s="56"/>
      <c r="S408" s="56"/>
      <c r="T408" s="56"/>
      <c r="U408" s="56"/>
      <c r="V408" s="56"/>
      <c r="W408" s="56"/>
      <c r="X408" s="56"/>
      <c r="Y408" s="56"/>
      <c r="Z408" s="55"/>
    </row>
    <row r="409" spans="2:26" s="51" customFormat="1" ht="14.25" customHeight="1" x14ac:dyDescent="0.25">
      <c r="B409" s="68"/>
      <c r="C409" s="68"/>
      <c r="D409" s="66"/>
      <c r="E409" s="69"/>
      <c r="J409" s="55"/>
      <c r="N409" s="55"/>
      <c r="R409" s="56"/>
      <c r="S409" s="56"/>
      <c r="T409" s="56"/>
      <c r="U409" s="56"/>
      <c r="V409" s="56"/>
      <c r="W409" s="56"/>
      <c r="X409" s="56"/>
      <c r="Y409" s="56"/>
      <c r="Z409" s="55"/>
    </row>
    <row r="410" spans="2:26" s="51" customFormat="1" ht="14.25" customHeight="1" x14ac:dyDescent="0.25">
      <c r="B410" s="68"/>
      <c r="C410" s="68"/>
      <c r="D410" s="66"/>
      <c r="E410" s="69"/>
      <c r="J410" s="55"/>
      <c r="N410" s="55"/>
      <c r="R410" s="56"/>
      <c r="S410" s="56"/>
      <c r="T410" s="56"/>
      <c r="U410" s="56"/>
      <c r="V410" s="56"/>
      <c r="W410" s="56"/>
      <c r="X410" s="56"/>
      <c r="Y410" s="56"/>
      <c r="Z410" s="55"/>
    </row>
    <row r="411" spans="2:26" s="51" customFormat="1" ht="14.25" customHeight="1" x14ac:dyDescent="0.25">
      <c r="B411" s="68"/>
      <c r="C411" s="68"/>
      <c r="D411" s="66"/>
      <c r="E411" s="69"/>
      <c r="J411" s="55"/>
      <c r="N411" s="55"/>
      <c r="R411" s="56"/>
      <c r="S411" s="56"/>
      <c r="T411" s="56"/>
      <c r="U411" s="56"/>
      <c r="V411" s="56"/>
      <c r="W411" s="56"/>
      <c r="X411" s="56"/>
      <c r="Y411" s="56"/>
      <c r="Z411" s="55"/>
    </row>
    <row r="412" spans="2:26" s="51" customFormat="1" ht="14.25" customHeight="1" x14ac:dyDescent="0.25">
      <c r="B412" s="68"/>
      <c r="C412" s="68"/>
      <c r="D412" s="66"/>
      <c r="E412" s="69"/>
      <c r="J412" s="55"/>
      <c r="N412" s="55"/>
      <c r="R412" s="56"/>
      <c r="S412" s="56"/>
      <c r="T412" s="56"/>
      <c r="U412" s="56"/>
      <c r="V412" s="56"/>
      <c r="W412" s="56"/>
      <c r="X412" s="56"/>
      <c r="Y412" s="56"/>
      <c r="Z412" s="55"/>
    </row>
    <row r="413" spans="2:26" ht="14.25" customHeight="1" x14ac:dyDescent="0.25">
      <c r="B413" s="7"/>
      <c r="C413" s="7"/>
      <c r="D413" s="7"/>
      <c r="E413" s="7"/>
    </row>
    <row r="414" spans="2:26" ht="14.25" customHeight="1" x14ac:dyDescent="0.25">
      <c r="B414" s="71" t="s">
        <v>231</v>
      </c>
      <c r="C414" s="202"/>
      <c r="D414" s="202"/>
      <c r="E414" s="202"/>
    </row>
    <row r="415" spans="2:26" ht="14.25" customHeight="1" x14ac:dyDescent="0.25">
      <c r="B415" s="71" t="s">
        <v>232</v>
      </c>
      <c r="C415" s="202"/>
      <c r="D415" s="202"/>
      <c r="E415" s="202"/>
    </row>
    <row r="416" spans="2:26" ht="36" customHeight="1" x14ac:dyDescent="0.25">
      <c r="B416" s="14" t="str">
        <f>("Un detalle de las "&amp;B415&amp;" al "&amp;[1]BALANZA!$B$3&amp;" "&amp;[1]BALANZA!$C$3&amp;" es como se detalla a continuación:")</f>
        <v>Un detalle de las Retenciones por pagar al 31 de diciembre del 2022 - 2021 es como se detalla a continuación:</v>
      </c>
      <c r="C416" s="37"/>
      <c r="D416" s="37"/>
      <c r="E416" s="37"/>
    </row>
    <row r="417" spans="2:28" ht="47.25" customHeight="1" x14ac:dyDescent="0.25">
      <c r="B417" s="20" t="str">
        <f>("Las  retenciones impositivas  por pagar disminiye para el "&amp;C420&amp;" el total era RD$ "&amp;R428&amp;" y para el "&amp;D420&amp;" el total fue de RD$ "&amp;R429&amp;" , Según el siguiente detalle:")</f>
        <v>Las  retenciones impositivas  por pagar disminiye para el 2022 el total era RD$ 564,628.17 y para el 2021 el total fue de RD$ 2,419,894.29 , Según el siguiente detalle:</v>
      </c>
      <c r="C417" s="20"/>
      <c r="D417" s="20"/>
      <c r="E417" s="20"/>
    </row>
    <row r="418" spans="2:28" ht="14.25" customHeight="1" x14ac:dyDescent="0.25">
      <c r="B418" s="71"/>
      <c r="C418" s="202"/>
      <c r="D418" s="202"/>
      <c r="E418" s="202"/>
    </row>
    <row r="419" spans="2:28" ht="14.25" customHeight="1" x14ac:dyDescent="0.25">
      <c r="B419" s="71"/>
      <c r="C419" s="202"/>
      <c r="D419" s="202"/>
      <c r="E419" s="202"/>
    </row>
    <row r="420" spans="2:28" ht="17.25" customHeight="1" x14ac:dyDescent="0.25">
      <c r="B420" s="196" t="s">
        <v>216</v>
      </c>
      <c r="C420" s="180">
        <f>+C401</f>
        <v>2022</v>
      </c>
      <c r="D420" s="180">
        <f>+D401</f>
        <v>2021</v>
      </c>
      <c r="E420" s="206" t="s">
        <v>217</v>
      </c>
    </row>
    <row r="421" spans="2:28" ht="17.25" customHeight="1" x14ac:dyDescent="0.25">
      <c r="B421" s="115" t="s">
        <v>233</v>
      </c>
      <c r="C421" s="88">
        <f>+'[1]BALANZA G'!C83</f>
        <v>0</v>
      </c>
      <c r="D421" s="97">
        <f>+'[1]BALANZA G'!E83</f>
        <v>59383.34</v>
      </c>
      <c r="E421" s="50">
        <f>+C421-D421</f>
        <v>-59383.34</v>
      </c>
    </row>
    <row r="422" spans="2:28" ht="17.25" customHeight="1" x14ac:dyDescent="0.25">
      <c r="B422" s="115" t="s">
        <v>234</v>
      </c>
      <c r="C422" s="88">
        <f>+'[1]BALANZA G'!C85</f>
        <v>0</v>
      </c>
      <c r="D422" s="97">
        <f>+'[1]BALANZA G'!E85</f>
        <v>4238.6899999999996</v>
      </c>
      <c r="E422" s="50">
        <f t="shared" ref="E422:E427" si="2">+C422-D422</f>
        <v>-4238.6899999999996</v>
      </c>
    </row>
    <row r="423" spans="2:28" ht="17.25" customHeight="1" x14ac:dyDescent="0.25">
      <c r="B423" s="115" t="s">
        <v>235</v>
      </c>
      <c r="C423" s="88">
        <f>+'[1]BALANZA G'!C86</f>
        <v>117707.76</v>
      </c>
      <c r="D423" s="97">
        <f>+'[1]BALANZA G'!E86</f>
        <v>1153741.83</v>
      </c>
      <c r="E423" s="50">
        <f t="shared" si="2"/>
        <v>-1036034.0700000001</v>
      </c>
    </row>
    <row r="424" spans="2:28" ht="17.25" customHeight="1" x14ac:dyDescent="0.25">
      <c r="B424" s="115" t="s">
        <v>236</v>
      </c>
      <c r="C424" s="88">
        <f>+'[1]BALANZA G'!C87</f>
        <v>124960.17</v>
      </c>
      <c r="D424" s="97">
        <f>+'[1]BALANZA G'!E87</f>
        <v>6200</v>
      </c>
      <c r="E424" s="50">
        <f t="shared" si="2"/>
        <v>118760.17</v>
      </c>
    </row>
    <row r="425" spans="2:28" ht="17.25" customHeight="1" x14ac:dyDescent="0.25">
      <c r="B425" s="115" t="s">
        <v>237</v>
      </c>
      <c r="C425" s="88">
        <f>+'[1]BALANZA G'!C88</f>
        <v>35960</v>
      </c>
      <c r="D425" s="97">
        <f>+'[1]BALANZA G'!E88</f>
        <v>21912.17</v>
      </c>
      <c r="E425" s="50">
        <f t="shared" si="2"/>
        <v>14047.830000000002</v>
      </c>
    </row>
    <row r="426" spans="2:28" ht="15" customHeight="1" x14ac:dyDescent="0.25">
      <c r="B426" s="115" t="s">
        <v>238</v>
      </c>
      <c r="C426" s="88">
        <f>+'[1]BALANZA G'!C89+'[1]BALANZA G'!C84</f>
        <v>2740.6</v>
      </c>
      <c r="D426" s="97">
        <f>+'[1]BALANZA G'!E89</f>
        <v>1190.1199999999999</v>
      </c>
      <c r="E426" s="50">
        <f t="shared" si="2"/>
        <v>1550.48</v>
      </c>
    </row>
    <row r="427" spans="2:28" ht="17.25" customHeight="1" x14ac:dyDescent="0.25">
      <c r="B427" s="115" t="s">
        <v>239</v>
      </c>
      <c r="C427" s="88">
        <f>+'[1]BALANZA G'!C90</f>
        <v>283259.64</v>
      </c>
      <c r="D427" s="97">
        <f>+'[1]BALANZA G'!E90</f>
        <v>1173228.1399999999</v>
      </c>
      <c r="E427" s="50">
        <f t="shared" si="2"/>
        <v>-889968.49999999988</v>
      </c>
    </row>
    <row r="428" spans="2:28" ht="17.25" customHeight="1" x14ac:dyDescent="0.25">
      <c r="B428" s="196" t="s">
        <v>240</v>
      </c>
      <c r="C428" s="120">
        <f>SUM(C421:C427)</f>
        <v>564628.16999999993</v>
      </c>
      <c r="D428" s="198">
        <f>SUM(D421:D427)</f>
        <v>2419894.29</v>
      </c>
      <c r="E428" s="120">
        <f>SUM(E421:E427)</f>
        <v>-1855266.12</v>
      </c>
      <c r="R428" s="4" t="str">
        <f>+CONCATENATE(T428,",",U428,"",V428,AB428)</f>
        <v>564,628.17</v>
      </c>
      <c r="T428" s="4" t="str">
        <f>MID(C428,1,3)</f>
        <v>564</v>
      </c>
      <c r="U428" s="4" t="str">
        <f>MID(C428,4,3)</f>
        <v>628</v>
      </c>
      <c r="V428" s="4" t="str">
        <f t="shared" ref="V428:AA428" si="3">MID(C428,7,3)</f>
        <v>.17</v>
      </c>
      <c r="W428" s="4" t="str">
        <f t="shared" si="3"/>
        <v>4.2</v>
      </c>
      <c r="X428" s="4" t="str">
        <f t="shared" si="3"/>
        <v>66.</v>
      </c>
      <c r="Y428" s="4" t="str">
        <f t="shared" si="3"/>
        <v/>
      </c>
      <c r="Z428" s="2"/>
      <c r="AA428" s="2" t="str">
        <f t="shared" si="3"/>
        <v/>
      </c>
      <c r="AB428" s="2" t="str">
        <f>MID(C428,10,3)</f>
        <v/>
      </c>
    </row>
    <row r="429" spans="2:28" ht="14.25" customHeight="1" x14ac:dyDescent="0.25">
      <c r="B429" s="199"/>
      <c r="C429" s="123">
        <f>+C428-'[1]ES F '!B39</f>
        <v>564628.16999999993</v>
      </c>
      <c r="D429" s="201"/>
      <c r="R429" s="4" t="str">
        <f>+CONCATENATE(S429,",",T429,",",U429,V429,AB429)</f>
        <v>2,419,894.29</v>
      </c>
      <c r="S429" s="4" t="str">
        <f>MID(D428,1,1)</f>
        <v>2</v>
      </c>
      <c r="T429" s="4" t="str">
        <f>MID(D428,2,3)</f>
        <v>419</v>
      </c>
      <c r="U429" s="4" t="str">
        <f>MID(D428,5,3)</f>
        <v>894</v>
      </c>
      <c r="V429" s="4" t="str">
        <f>MID(D428,8,3)</f>
        <v>.29</v>
      </c>
      <c r="W429" s="4" t="str">
        <f>MID(H428,1,3)</f>
        <v/>
      </c>
      <c r="X429" s="4" t="str">
        <f>MID(I428,1,3)</f>
        <v/>
      </c>
      <c r="Y429" s="4" t="str">
        <f>MID(J428,1,3)</f>
        <v/>
      </c>
      <c r="Z429" s="2"/>
      <c r="AA429" s="2" t="str">
        <f>MID(L428,1,3)</f>
        <v/>
      </c>
      <c r="AB429" s="2" t="str">
        <f>MID(D428,11,3)</f>
        <v/>
      </c>
    </row>
    <row r="430" spans="2:28" ht="14.25" customHeight="1" x14ac:dyDescent="0.25">
      <c r="B430" s="103" t="s">
        <v>103</v>
      </c>
      <c r="C430" s="104"/>
      <c r="D430" s="63" t="str">
        <f>IF(E430&gt;=0,"Aumento","Disminución")</f>
        <v>Disminución</v>
      </c>
      <c r="E430" s="94">
        <f>+E428/D428</f>
        <v>-0.76667238220558798</v>
      </c>
    </row>
    <row r="431" spans="2:28" ht="14.25" customHeight="1" x14ac:dyDescent="0.25">
      <c r="B431" s="202"/>
      <c r="C431" s="202"/>
      <c r="D431" s="202"/>
      <c r="E431" s="202"/>
    </row>
    <row r="432" spans="2:28" ht="14.25" customHeight="1" x14ac:dyDescent="0.25">
      <c r="B432" s="202"/>
      <c r="C432" s="202"/>
      <c r="D432" s="202"/>
      <c r="E432" s="202"/>
    </row>
    <row r="433" spans="2:27" ht="14.25" customHeight="1" x14ac:dyDescent="0.25">
      <c r="B433" s="71" t="s">
        <v>241</v>
      </c>
      <c r="C433" s="202"/>
      <c r="D433" s="202"/>
      <c r="E433" s="202"/>
    </row>
    <row r="434" spans="2:27" ht="19.5" customHeight="1" x14ac:dyDescent="0.25">
      <c r="B434" s="71" t="s">
        <v>242</v>
      </c>
      <c r="C434" s="202"/>
      <c r="D434" s="36"/>
      <c r="E434" s="202"/>
    </row>
    <row r="435" spans="2:27" ht="39.75" customHeight="1" x14ac:dyDescent="0.25">
      <c r="B435" s="14" t="str">
        <f>("Un detalle del "&amp;B434&amp;" al "&amp;[1]BALANZA!$B$3&amp;" "&amp;[1]BALANZA!$C$3&amp;" es como se detalla a continuación:")</f>
        <v>Un detalle del Activos Netos/Patrimonio al 31 de diciembre del 2022 - 2021 es como se detalla a continuación:</v>
      </c>
      <c r="C435" s="37"/>
      <c r="D435" s="37"/>
      <c r="E435" s="37"/>
    </row>
    <row r="436" spans="2:27" ht="47.25" customHeight="1" x14ac:dyDescent="0.25">
      <c r="B436" s="207" t="str">
        <f>("El patrimonio institucional  para el "&amp;C438&amp;" tenia monto por RD$ "&amp;R443&amp;" y para el "&amp;D438&amp;" el monto fue de RD$ "&amp;R444&amp;" y está conformado con las siguientes partidas: ")</f>
        <v xml:space="preserve">El patrimonio institucional  para el 2022 tenia monto por RD$ 1,133,188,732.250 y para el 2021 el monto fue de RD$ 1,009,375,890.07 y está conformado con las siguientes partidas: </v>
      </c>
      <c r="C436" s="20"/>
      <c r="D436" s="20"/>
      <c r="E436" s="20"/>
    </row>
    <row r="437" spans="2:27" x14ac:dyDescent="0.25">
      <c r="B437" s="13"/>
    </row>
    <row r="438" spans="2:27" x14ac:dyDescent="0.25">
      <c r="B438" s="196" t="s">
        <v>216</v>
      </c>
      <c r="C438" s="38">
        <f>+C587</f>
        <v>2022</v>
      </c>
      <c r="D438" s="38">
        <f>+D587</f>
        <v>2021</v>
      </c>
      <c r="E438" s="206" t="s">
        <v>217</v>
      </c>
    </row>
    <row r="439" spans="2:27" x14ac:dyDescent="0.25">
      <c r="B439" s="208" t="s">
        <v>243</v>
      </c>
      <c r="C439" s="209">
        <f>+'[1]BALANZA G'!C116</f>
        <v>808793054.60000002</v>
      </c>
      <c r="D439" s="210">
        <f>+'[1]BALANZA G'!E116</f>
        <v>808793054.60000002</v>
      </c>
      <c r="E439" s="50">
        <f>+C439-D439</f>
        <v>0</v>
      </c>
      <c r="U439" s="211"/>
    </row>
    <row r="440" spans="2:27" x14ac:dyDescent="0.25">
      <c r="B440" s="208" t="s">
        <v>244</v>
      </c>
      <c r="C440" s="212">
        <f>+D442+D441+D440</f>
        <v>200582835.47000006</v>
      </c>
      <c r="D440" s="213">
        <v>160637647.79000008</v>
      </c>
      <c r="E440" s="50">
        <f>+C440-D440</f>
        <v>39945187.679999977</v>
      </c>
      <c r="I440" s="96"/>
      <c r="U440" s="211"/>
    </row>
    <row r="441" spans="2:27" x14ac:dyDescent="0.25">
      <c r="B441" s="42" t="s">
        <v>245</v>
      </c>
      <c r="C441" s="212">
        <f>+[1]BALANZA!B6</f>
        <v>492268.04</v>
      </c>
      <c r="D441" s="213">
        <v>733174.85</v>
      </c>
      <c r="E441" s="50">
        <f>+C441-D441</f>
        <v>-240906.81</v>
      </c>
      <c r="I441" s="96"/>
      <c r="U441" s="211"/>
    </row>
    <row r="442" spans="2:27" x14ac:dyDescent="0.25">
      <c r="B442" s="42" t="s">
        <v>246</v>
      </c>
      <c r="C442" s="212">
        <f>+[1]ERF!B35</f>
        <v>123320574.13999999</v>
      </c>
      <c r="D442" s="213">
        <v>39212012.829999983</v>
      </c>
      <c r="E442" s="50">
        <f>+C442-D442</f>
        <v>84108561.310000002</v>
      </c>
      <c r="I442" s="96"/>
      <c r="U442" s="211"/>
    </row>
    <row r="443" spans="2:27" x14ac:dyDescent="0.25">
      <c r="B443" s="89" t="s">
        <v>247</v>
      </c>
      <c r="C443" s="214">
        <f>SUM(C439:C442)</f>
        <v>1133188732.25</v>
      </c>
      <c r="D443" s="215">
        <f>SUM(D439:D442)</f>
        <v>1009375890.0700002</v>
      </c>
      <c r="E443" s="214">
        <f>SUM(E439:E442)</f>
        <v>123812842.17999998</v>
      </c>
      <c r="I443" s="96"/>
      <c r="R443" s="4" t="str">
        <f>+CONCATENATE(S443,",",T443,",",U443,",",V443,W443,0,)</f>
        <v>1,133,188,732.250</v>
      </c>
      <c r="S443" s="4" t="str">
        <f>MID(C443,1,1)</f>
        <v>1</v>
      </c>
      <c r="T443" s="4" t="str">
        <f>MID(C443,2,3)</f>
        <v>133</v>
      </c>
      <c r="U443" s="4" t="str">
        <f>MID(C443,5,3)</f>
        <v>188</v>
      </c>
      <c r="V443" s="4" t="str">
        <f>MID(C443,8,3)</f>
        <v>732</v>
      </c>
      <c r="W443" s="4" t="str">
        <f>MID(C443,11,3)</f>
        <v>.25</v>
      </c>
      <c r="Z443" s="2"/>
      <c r="AA443" s="2" t="str">
        <f>MID(H443,7,3)</f>
        <v/>
      </c>
    </row>
    <row r="444" spans="2:27" x14ac:dyDescent="0.25">
      <c r="B444" s="216"/>
      <c r="C444" s="217">
        <f>+C443-'[1]ES F '!B59</f>
        <v>0</v>
      </c>
      <c r="D444" s="218"/>
      <c r="E444" s="219"/>
      <c r="R444" s="4" t="str">
        <f>+CONCATENATE(S444,",",T444,",",U444,",",V444,W444)</f>
        <v>1,009,375,890.07</v>
      </c>
      <c r="S444" s="4" t="str">
        <f>MID(D443,1,1)</f>
        <v>1</v>
      </c>
      <c r="T444" s="4" t="str">
        <f>MID(D443,2,3)</f>
        <v>009</v>
      </c>
      <c r="U444" s="4" t="str">
        <f>MID(D443,5,3)</f>
        <v>375</v>
      </c>
      <c r="V444" s="4" t="str">
        <f>MID(D443,8,3)</f>
        <v>890</v>
      </c>
      <c r="W444" s="4" t="str">
        <f>MID(D443,11,3)</f>
        <v>.07</v>
      </c>
      <c r="X444" s="4" t="str">
        <f>MID(I443,1,3)</f>
        <v/>
      </c>
      <c r="Z444" s="2"/>
      <c r="AA444" s="2" t="str">
        <f>MID(L443,1,3)</f>
        <v/>
      </c>
    </row>
    <row r="445" spans="2:27" s="51" customFormat="1" x14ac:dyDescent="0.25">
      <c r="B445" s="61" t="s">
        <v>103</v>
      </c>
      <c r="C445" s="62"/>
      <c r="D445" s="63" t="str">
        <f>IF(E445&gt;=0,"Aumento","Disminución")</f>
        <v>Aumento</v>
      </c>
      <c r="E445" s="94">
        <f>+E443/D443</f>
        <v>0.12266276953713801</v>
      </c>
      <c r="J445" s="55"/>
      <c r="N445" s="55"/>
      <c r="R445" s="56"/>
      <c r="S445" s="56"/>
      <c r="T445" s="56"/>
      <c r="U445" s="56"/>
      <c r="V445" s="56"/>
      <c r="W445" s="56"/>
      <c r="X445" s="56"/>
      <c r="Y445" s="56"/>
      <c r="Z445" s="55"/>
    </row>
    <row r="446" spans="2:27" ht="31.5" customHeight="1" x14ac:dyDescent="0.25">
      <c r="B446" s="220" t="s">
        <v>248</v>
      </c>
      <c r="C446" s="220"/>
      <c r="D446" s="220"/>
      <c r="E446" s="220"/>
    </row>
    <row r="447" spans="2:27" ht="31.5" customHeight="1" x14ac:dyDescent="0.25">
      <c r="B447" s="221"/>
      <c r="C447" s="221"/>
      <c r="D447" s="221"/>
      <c r="E447" s="221"/>
    </row>
    <row r="448" spans="2:27" ht="13.5" customHeight="1" x14ac:dyDescent="0.25">
      <c r="B448" s="221"/>
      <c r="C448" s="221"/>
      <c r="D448" s="221"/>
      <c r="E448" s="221"/>
    </row>
    <row r="449" spans="2:26" ht="31.5" customHeight="1" x14ac:dyDescent="0.25">
      <c r="B449" s="221"/>
      <c r="C449" s="221"/>
      <c r="D449" s="221"/>
      <c r="E449" s="221"/>
    </row>
    <row r="450" spans="2:26" ht="12" customHeight="1" x14ac:dyDescent="0.25">
      <c r="B450" s="221"/>
      <c r="C450" s="221"/>
      <c r="D450" s="221"/>
      <c r="E450" s="221"/>
    </row>
    <row r="451" spans="2:26" ht="12" customHeight="1" x14ac:dyDescent="0.25">
      <c r="B451" s="221"/>
      <c r="C451" s="221"/>
      <c r="D451" s="221"/>
      <c r="E451" s="221"/>
    </row>
    <row r="452" spans="2:26" ht="12" customHeight="1" x14ac:dyDescent="0.25">
      <c r="B452" s="85"/>
    </row>
    <row r="453" spans="2:26" ht="13.5" customHeight="1" x14ac:dyDescent="0.25">
      <c r="B453" s="71" t="s">
        <v>249</v>
      </c>
    </row>
    <row r="454" spans="2:26" x14ac:dyDescent="0.25">
      <c r="B454" s="71" t="s">
        <v>250</v>
      </c>
    </row>
    <row r="455" spans="2:26" ht="39.75" customHeight="1" x14ac:dyDescent="0.25">
      <c r="B455" s="14" t="str">
        <f>("Un detalle del "&amp;B454&amp;" al "&amp;[1]BALANZA!$B$3&amp;" "&amp;[1]BALANZA!$C$3&amp;" es como se detalla a continuación:")</f>
        <v>Un detalle del Ingresos por transacciones con contraprestaciones al 31 de diciembre del 2022 - 2021 es como se detalla a continuación:</v>
      </c>
      <c r="C455" s="37"/>
      <c r="D455" s="37"/>
      <c r="E455" s="37"/>
    </row>
    <row r="456" spans="2:26" ht="42.75" customHeight="1" x14ac:dyDescent="0.25">
      <c r="B456" s="207" t="str">
        <f>("Los ingresos recibidos por cobros de  servicios de aguas potable y saneamiento (APS) para en el  "&amp;C459&amp;" es RD$ "&amp;R462&amp;" y del "&amp;D459&amp;" es RD$ "&amp;R463&amp;" :")</f>
        <v>Los ingresos recibidos por cobros de  servicios de aguas potable y saneamiento (APS) para en el  2022 es RD$ 179,181,043.14 y del 2021 es RD$ 193,707,659.61 :</v>
      </c>
      <c r="C456" s="207"/>
      <c r="D456" s="207"/>
      <c r="E456" s="207"/>
    </row>
    <row r="457" spans="2:26" x14ac:dyDescent="0.25">
      <c r="B457" s="222"/>
    </row>
    <row r="458" spans="2:26" x14ac:dyDescent="0.25">
      <c r="B458" s="196"/>
      <c r="C458" s="223" t="s">
        <v>251</v>
      </c>
      <c r="D458" s="223"/>
      <c r="E458" s="224"/>
    </row>
    <row r="459" spans="2:26" x14ac:dyDescent="0.25">
      <c r="B459" s="196" t="s">
        <v>216</v>
      </c>
      <c r="C459" s="225">
        <f>+C138</f>
        <v>2022</v>
      </c>
      <c r="D459" s="225">
        <f>+D138</f>
        <v>2021</v>
      </c>
      <c r="E459" s="197" t="s">
        <v>217</v>
      </c>
    </row>
    <row r="460" spans="2:26" x14ac:dyDescent="0.25">
      <c r="B460" s="161" t="s">
        <v>252</v>
      </c>
      <c r="C460" s="226">
        <f>+'[1]BALANZA G'!C124</f>
        <v>179181043.14000002</v>
      </c>
      <c r="D460" s="147">
        <f>+'[1]BALANZA G'!E124</f>
        <v>193707659.61000001</v>
      </c>
      <c r="E460" s="50">
        <f>+C460-D460</f>
        <v>-14526616.469999999</v>
      </c>
      <c r="H460" s="96"/>
    </row>
    <row r="461" spans="2:26" x14ac:dyDescent="0.25">
      <c r="B461" s="161"/>
      <c r="C461" s="226"/>
      <c r="D461" s="147"/>
      <c r="E461" s="50"/>
      <c r="H461" s="96"/>
    </row>
    <row r="462" spans="2:26" ht="28.5" x14ac:dyDescent="0.25">
      <c r="B462" s="227" t="s">
        <v>253</v>
      </c>
      <c r="C462" s="228">
        <f>SUM(C460:C460)</f>
        <v>179181043.14000002</v>
      </c>
      <c r="D462" s="229">
        <f>SUM(D460:D460)</f>
        <v>193707659.61000001</v>
      </c>
      <c r="E462" s="228">
        <f>SUM(E460:E460)</f>
        <v>-14526616.469999999</v>
      </c>
      <c r="H462" s="96"/>
      <c r="R462" s="4" t="str">
        <f>+CONCATENATE(S462,",",T462,",",U462,V462)</f>
        <v>179,181,043.14</v>
      </c>
      <c r="S462" s="4" t="str">
        <f>MID(C462,1,3)</f>
        <v>179</v>
      </c>
      <c r="T462" s="4" t="str">
        <f>MID(C462,4,3)</f>
        <v>181</v>
      </c>
      <c r="U462" s="4" t="str">
        <f>MID(C462,7,3)</f>
        <v>043</v>
      </c>
      <c r="V462" s="4" t="str">
        <f>MID(C462,10,3)</f>
        <v>.14</v>
      </c>
    </row>
    <row r="463" spans="2:26" x14ac:dyDescent="0.25">
      <c r="B463" s="230"/>
      <c r="C463" s="231">
        <f>+C462-[1]ERF!B11-[1]ERF!B13</f>
        <v>0</v>
      </c>
      <c r="D463" s="232"/>
      <c r="E463" s="233"/>
      <c r="H463" s="96"/>
      <c r="R463" s="4" t="str">
        <f>+CONCATENATE(S463,",",T463,",",U463,V463,AB463)</f>
        <v>193,707,659.61</v>
      </c>
      <c r="S463" s="4" t="str">
        <f>MID(D462,1,3)</f>
        <v>193</v>
      </c>
      <c r="T463" s="4" t="str">
        <f>MID(D462,4,3)</f>
        <v>707</v>
      </c>
      <c r="U463" s="4" t="str">
        <f>MID(D462,7,3)</f>
        <v>659</v>
      </c>
      <c r="V463" s="4" t="str">
        <f>MID(D462,10,3)</f>
        <v>.61</v>
      </c>
    </row>
    <row r="464" spans="2:26" s="51" customFormat="1" x14ac:dyDescent="0.25">
      <c r="B464" s="61" t="s">
        <v>103</v>
      </c>
      <c r="C464" s="62"/>
      <c r="D464" s="63" t="str">
        <f>IF(E464&gt;=0,"Aumento","Disminución")</f>
        <v>Disminución</v>
      </c>
      <c r="E464" s="94">
        <f>+E462/D462</f>
        <v>-7.4992473189997036E-2</v>
      </c>
      <c r="J464" s="55"/>
      <c r="N464" s="55"/>
      <c r="R464" s="56"/>
      <c r="S464" s="56"/>
      <c r="T464" s="56"/>
      <c r="U464" s="56"/>
      <c r="V464" s="56"/>
      <c r="W464" s="56"/>
      <c r="X464" s="56"/>
      <c r="Y464" s="56"/>
      <c r="Z464" s="55"/>
    </row>
    <row r="465" spans="2:26" x14ac:dyDescent="0.25">
      <c r="B465" s="85"/>
    </row>
    <row r="467" spans="2:26" x14ac:dyDescent="0.25">
      <c r="B467" s="71" t="s">
        <v>254</v>
      </c>
    </row>
    <row r="468" spans="2:26" x14ac:dyDescent="0.25">
      <c r="B468" s="71" t="s">
        <v>255</v>
      </c>
    </row>
    <row r="469" spans="2:26" ht="32.25" customHeight="1" x14ac:dyDescent="0.25">
      <c r="B469" s="14" t="str">
        <f>("Un detalle de las "&amp;B468&amp;" al "&amp;[1]BALANZA!$B$3&amp;" "&amp;[1]BALANZA!$C$3&amp;" es como se detalla a continuación:")</f>
        <v>Un detalle de las Transferencias y donaciones  al 31 de diciembre del 2022 - 2021 es como se detalla a continuación:</v>
      </c>
      <c r="C469" s="37"/>
      <c r="D469" s="37"/>
      <c r="E469" s="37"/>
    </row>
    <row r="470" spans="2:26" ht="61.5" customHeight="1" x14ac:dyDescent="0.25">
      <c r="B470" s="207" t="str">
        <f>("Los recursos recibidos por transferencias fueron por los montos según el siguiente detalle:  para el "&amp;C473&amp;" transferencia de para Gasto  Corrientes RD$ "&amp;R474&amp;", para Gasto de  Capital RD$ "&amp;R475&amp;" y para Energia no cortable RD$ "&amp;R476&amp;" y para el "&amp;D473&amp;" Transferencia para Gasto  Corrientes RD$ "&amp;R479&amp;", para Gasto  de Capital RD$ "&amp;R480&amp;" y para Energia no cortable RD$ "&amp;R481&amp;" ")</f>
        <v xml:space="preserve">Los recursos recibidos por transferencias fueron por los montos según el siguiente detalle:  para el 2022 transferencia de para Gasto  Corrientes RD$ 105,296,634.70, para Gasto de  Capital RD$ 13,848,8350.00 y para Energia no cortable RD$ 47,161,752.50 y para el 2021 Transferencia para Gasto  Corrientes RD$ 65,653,438.98, para Gasto  de Capital RD$ 139,999,995.23 y para Energia no cortable RD$ 18,089,472.35 </v>
      </c>
      <c r="C470" s="207"/>
      <c r="D470" s="207"/>
      <c r="E470" s="207"/>
    </row>
    <row r="471" spans="2:26" x14ac:dyDescent="0.25">
      <c r="B471" s="13"/>
    </row>
    <row r="472" spans="2:26" x14ac:dyDescent="0.25">
      <c r="B472" s="179" t="str">
        <f>+B459</f>
        <v>Cuenta</v>
      </c>
      <c r="C472" s="223" t="s">
        <v>251</v>
      </c>
      <c r="D472" s="223"/>
      <c r="E472" s="224"/>
    </row>
    <row r="473" spans="2:26" x14ac:dyDescent="0.25">
      <c r="B473" s="179" t="s">
        <v>256</v>
      </c>
      <c r="C473" s="225">
        <f>+[1]BALANZA!B4</f>
        <v>2022</v>
      </c>
      <c r="D473" s="225">
        <f>+[1]BALANZA!C4</f>
        <v>2021</v>
      </c>
      <c r="E473" s="197" t="s">
        <v>217</v>
      </c>
    </row>
    <row r="474" spans="2:26" ht="15.75" customHeight="1" x14ac:dyDescent="0.25">
      <c r="B474" s="161" t="s">
        <v>257</v>
      </c>
      <c r="C474" s="226">
        <f>+'[1]BALANZA G'!C136+'[1]BALANZA G'!C140</f>
        <v>105296634.7</v>
      </c>
      <c r="D474" s="147">
        <f>+[1]RESULTADO!E10-D475-D476</f>
        <v>65653438.979999982</v>
      </c>
      <c r="E474" s="50">
        <f>+C474-D474</f>
        <v>39643195.720000021</v>
      </c>
      <c r="R474" s="4" t="str">
        <f>+CONCATENATE(S474,",",T474,",",U474,V474,0)</f>
        <v>105,296,634.70</v>
      </c>
      <c r="S474" s="4" t="str">
        <f>MID(C474,1,3)</f>
        <v>105</v>
      </c>
      <c r="T474" s="4" t="str">
        <f>MID(C474,4,3)</f>
        <v>296</v>
      </c>
      <c r="U474" s="4" t="str">
        <f>MID(C474,7,3)</f>
        <v>634</v>
      </c>
      <c r="V474" s="4" t="str">
        <f>MID(C474,10,3)</f>
        <v>.7</v>
      </c>
    </row>
    <row r="475" spans="2:26" ht="15.75" customHeight="1" x14ac:dyDescent="0.25">
      <c r="B475" s="161" t="s">
        <v>258</v>
      </c>
      <c r="C475" s="234">
        <f>+'[1]BALANZA G'!C141</f>
        <v>138488350</v>
      </c>
      <c r="D475" s="235">
        <v>139999995.23000002</v>
      </c>
      <c r="E475" s="50">
        <f>+C475-D475</f>
        <v>-1511645.2300000191</v>
      </c>
      <c r="R475" s="4" t="str">
        <f>+CONCATENATE(S475,",",T475,",",U475,V475,".00")</f>
        <v>13,848,8350.00</v>
      </c>
      <c r="S475" s="4" t="str">
        <f>MID(C475,1,2)</f>
        <v>13</v>
      </c>
      <c r="T475" s="4" t="str">
        <f>MID(C475,3,3)</f>
        <v>848</v>
      </c>
      <c r="U475" s="4" t="str">
        <f>MID(C475,6,3)</f>
        <v>835</v>
      </c>
      <c r="V475" s="4" t="str">
        <f>MID(C475,9,3)</f>
        <v>0</v>
      </c>
    </row>
    <row r="476" spans="2:26" ht="28.5" customHeight="1" x14ac:dyDescent="0.25">
      <c r="B476" s="236" t="s">
        <v>259</v>
      </c>
      <c r="C476" s="234">
        <f>+'[1]BALANZA G'!C142</f>
        <v>47161752.5</v>
      </c>
      <c r="D476" s="235">
        <v>18089472.350000001</v>
      </c>
      <c r="E476" s="237">
        <f>+C476-D476</f>
        <v>29072280.149999999</v>
      </c>
      <c r="N476" s="3">
        <f>3106590.67*5</f>
        <v>15532953.35</v>
      </c>
      <c r="R476" s="4" t="str">
        <f>+CONCATENATE(S476,",",T476,",",U476,V476,"0")</f>
        <v>47,161,752.50</v>
      </c>
      <c r="S476" s="4" t="str">
        <f>MID(C476,1,2)</f>
        <v>47</v>
      </c>
      <c r="T476" s="4" t="str">
        <f>MID(C476,3,3)</f>
        <v>161</v>
      </c>
      <c r="U476" s="4" t="str">
        <f>MID(C476,6,3)</f>
        <v>752</v>
      </c>
      <c r="V476" s="4" t="str">
        <f>MID(C476,9,3)</f>
        <v>.5</v>
      </c>
    </row>
    <row r="477" spans="2:26" x14ac:dyDescent="0.25">
      <c r="B477" s="179" t="s">
        <v>260</v>
      </c>
      <c r="C477" s="228">
        <f>SUM(C474:C476)</f>
        <v>290946737.19999999</v>
      </c>
      <c r="D477" s="229">
        <f>SUM(D474:D476)</f>
        <v>223742906.56</v>
      </c>
      <c r="E477" s="228">
        <f>SUM(E474:E476)</f>
        <v>67203830.640000001</v>
      </c>
      <c r="H477" s="96"/>
      <c r="N477" s="3">
        <v>2556519</v>
      </c>
      <c r="R477" s="4" t="str">
        <f>+CONCATENATE(S477,",",T477,",",U477,V477,AB477)</f>
        <v>29,094,6737.2</v>
      </c>
      <c r="S477" s="4" t="str">
        <f>MID(C477,1,2)</f>
        <v>29</v>
      </c>
      <c r="T477" s="4" t="str">
        <f>MID(C477,3,3)</f>
        <v>094</v>
      </c>
      <c r="U477" s="4" t="str">
        <f>MID(C477,6,3)</f>
        <v>673</v>
      </c>
      <c r="V477" s="4" t="str">
        <f>MID(C477,9,3)</f>
        <v>7.2</v>
      </c>
    </row>
    <row r="478" spans="2:26" x14ac:dyDescent="0.25">
      <c r="B478" s="230"/>
      <c r="C478" s="231">
        <f>+C477-[1]ERF!B12</f>
        <v>0</v>
      </c>
      <c r="D478" s="232"/>
      <c r="E478" s="233"/>
      <c r="H478" s="96"/>
      <c r="N478" s="3">
        <f>+N476+N477</f>
        <v>18089472.350000001</v>
      </c>
      <c r="R478" s="4" t="str">
        <f>+CONCATENATE(S478,",",T478,",",U478,V478,AB478)</f>
        <v>223,742,906.56</v>
      </c>
      <c r="S478" s="4" t="str">
        <f>MID(D477,1,3)</f>
        <v>223</v>
      </c>
      <c r="T478" s="4" t="str">
        <f>MID(D477,4,3)</f>
        <v>742</v>
      </c>
      <c r="U478" s="4" t="str">
        <f>MID(D477,7,3)</f>
        <v>906</v>
      </c>
      <c r="V478" s="4" t="str">
        <f>MID(D477,10,3)</f>
        <v>.56</v>
      </c>
    </row>
    <row r="479" spans="2:26" s="51" customFormat="1" x14ac:dyDescent="0.25">
      <c r="B479" s="103" t="s">
        <v>103</v>
      </c>
      <c r="C479" s="104"/>
      <c r="D479" s="63" t="str">
        <f>IF(E479&gt;=0,"Aumento","Disminución")</f>
        <v>Aumento</v>
      </c>
      <c r="E479" s="94">
        <f>+E477/D477</f>
        <v>0.30036183793821541</v>
      </c>
      <c r="J479" s="55"/>
      <c r="N479" s="55"/>
      <c r="R479" s="4" t="str">
        <f>+CONCATENATE(S479,",",T479,",",U479,V479,AB479)</f>
        <v>65,653,438.98</v>
      </c>
      <c r="S479" s="4" t="str">
        <f>MID(D474,1,2)</f>
        <v>65</v>
      </c>
      <c r="T479" s="4" t="str">
        <f>MID(D474,3,3)</f>
        <v>653</v>
      </c>
      <c r="U479" s="4" t="str">
        <f>MID(D474,6,3)</f>
        <v>438</v>
      </c>
      <c r="V479" s="4" t="str">
        <f>MID(D474,9,3)</f>
        <v>.98</v>
      </c>
      <c r="W479" s="56"/>
      <c r="X479" s="56"/>
      <c r="Y479" s="56"/>
      <c r="Z479" s="55"/>
    </row>
    <row r="480" spans="2:26" x14ac:dyDescent="0.25">
      <c r="B480" s="13"/>
      <c r="H480" s="96"/>
      <c r="R480" s="4" t="str">
        <f>+CONCATENATE(S480,",",T480,",",U480,V480,AB480)</f>
        <v>139,999,995.23</v>
      </c>
      <c r="S480" s="4" t="str">
        <f>MID(D475,1,3)</f>
        <v>139</v>
      </c>
      <c r="T480" s="4" t="str">
        <f>MID(D475,4,3)</f>
        <v>999</v>
      </c>
      <c r="U480" s="4" t="str">
        <f>MID(D475,7,3)</f>
        <v>995</v>
      </c>
      <c r="V480" s="4" t="str">
        <f>MID(D475,10,3)</f>
        <v>.23</v>
      </c>
    </row>
    <row r="481" spans="2:23" ht="28.5" customHeight="1" x14ac:dyDescent="0.25">
      <c r="B481" s="14" t="str">
        <f>("Nota: CORAAMOCA tiene un presupuesto aprobado para el "&amp;C473&amp;" por un valor de RD$ "&amp;R486&amp;" ")</f>
        <v xml:space="preserve">Nota: CORAAMOCA tiene un presupuesto aprobado para el 2022 por un valor de RD$ 518,956,035.00 </v>
      </c>
      <c r="C481" s="14"/>
      <c r="D481" s="14"/>
      <c r="E481" s="14"/>
      <c r="R481" s="4" t="str">
        <f>+CONCATENATE(S481,",",T481,",",U481,V481,AB481)</f>
        <v>18,089,472.35</v>
      </c>
      <c r="S481" s="4" t="str">
        <f>MID(D476,1,2)</f>
        <v>18</v>
      </c>
      <c r="T481" s="4" t="str">
        <f>MID(D476,3,3)</f>
        <v>089</v>
      </c>
      <c r="U481" s="4" t="str">
        <f>MID(D476,6,3)</f>
        <v>472</v>
      </c>
      <c r="V481" s="4" t="str">
        <f>MID(D476,9,3)</f>
        <v>.35</v>
      </c>
    </row>
    <row r="482" spans="2:23" ht="53.25" customHeight="1" x14ac:dyDescent="0.25">
      <c r="B482" s="14" t="str">
        <f>("El cual  recibirá mediante asignación de fondos del Gobierno Central,  para gastos corriente RD$ "&amp;R482&amp;" , para Gasto de capital RD$ "&amp;R484&amp;" y para  Energia Electrica de  RD$ "&amp;R483&amp;" y la Institución ingresará por ventas de servicios agua y saneamiento  un monto de RD$ "&amp;R485&amp;".")</f>
        <v>El cual  recibirá mediante asignación de fondos del Gobierno Central,  para gastos corriente RD$ 83,018,405.00 , para Gasto de capital RD$ 153,265,877.00 y para  Energia Electrica de  RD$ 54,671,753.00 y la Institución ingresará por ventas de servicios agua y saneamiento  un monto de RD$ 228,000,000.00.</v>
      </c>
      <c r="C482" s="14"/>
      <c r="D482" s="14"/>
      <c r="E482" s="14"/>
      <c r="R482" s="4" t="str">
        <f>+CONCATENATE(T482,",",U482,",",V482,W482,".00")</f>
        <v>83,018,405.00</v>
      </c>
      <c r="S482" s="238">
        <f>+'[1]Pres A'!E289</f>
        <v>83018405</v>
      </c>
      <c r="T482" s="4" t="str">
        <f>MID(S482,1,2)</f>
        <v>83</v>
      </c>
      <c r="U482" s="4" t="str">
        <f>MID(S482,3,3)</f>
        <v>018</v>
      </c>
      <c r="V482" s="4" t="str">
        <f>MID(S482,6,3)</f>
        <v>405</v>
      </c>
    </row>
    <row r="483" spans="2:23" ht="15.75" customHeight="1" x14ac:dyDescent="0.25">
      <c r="B483" s="21"/>
      <c r="C483" s="21"/>
      <c r="D483" s="21"/>
      <c r="E483" s="21"/>
      <c r="R483" s="4" t="str">
        <f>+CONCATENATE(T483,",",U483,",",V483,W483,".00")</f>
        <v>54,671,753.00</v>
      </c>
      <c r="S483" s="238">
        <f>+'[1]Pres A'!E290</f>
        <v>54671753</v>
      </c>
      <c r="T483" s="4" t="str">
        <f>MID(S483,1,2)</f>
        <v>54</v>
      </c>
      <c r="U483" s="4" t="str">
        <f>MID(S483,3,3)</f>
        <v>671</v>
      </c>
      <c r="V483" s="4" t="str">
        <f>MID(S483,6,3)</f>
        <v>753</v>
      </c>
      <c r="W483" s="4" t="str">
        <f>MID(S483,9,3)</f>
        <v/>
      </c>
    </row>
    <row r="484" spans="2:23" ht="15.75" customHeight="1" x14ac:dyDescent="0.25">
      <c r="B484" s="21"/>
      <c r="C484" s="21"/>
      <c r="D484" s="21"/>
      <c r="E484" s="21"/>
      <c r="R484" s="4" t="str">
        <f>+CONCATENATE(T484,",",U484,",",V484,W484,".00")</f>
        <v>153,265,877.00</v>
      </c>
      <c r="S484" s="238">
        <f>+'[1]Pres A'!E291</f>
        <v>153265877</v>
      </c>
      <c r="T484" s="4" t="str">
        <f>MID(S484,1,3)</f>
        <v>153</v>
      </c>
      <c r="U484" s="4" t="str">
        <f>MID(S484,4,3)</f>
        <v>265</v>
      </c>
      <c r="V484" s="4" t="str">
        <f>MID(S484,7,3)</f>
        <v>877</v>
      </c>
      <c r="W484" s="4" t="str">
        <f>MID(S484,10,3)</f>
        <v/>
      </c>
    </row>
    <row r="485" spans="2:23" ht="15.75" customHeight="1" x14ac:dyDescent="0.25">
      <c r="B485" s="21"/>
      <c r="C485" s="21"/>
      <c r="D485" s="21"/>
      <c r="E485" s="21"/>
      <c r="R485" s="4" t="str">
        <f>+CONCATENATE(T485,",",U485,",",V485,W485,".00")</f>
        <v>228,000,000.00</v>
      </c>
      <c r="S485" s="238">
        <f>+'[1]Pres A'!E295</f>
        <v>228000000</v>
      </c>
      <c r="T485" s="4" t="str">
        <f>MID(S485,1,3)</f>
        <v>228</v>
      </c>
      <c r="U485" s="4" t="str">
        <f>MID(S485,4,3)</f>
        <v>000</v>
      </c>
      <c r="V485" s="4" t="str">
        <f>MID(S485,7,3)</f>
        <v>000</v>
      </c>
    </row>
    <row r="486" spans="2:23" ht="15.75" customHeight="1" x14ac:dyDescent="0.25">
      <c r="B486" s="21"/>
      <c r="C486" s="21"/>
      <c r="D486" s="21"/>
      <c r="E486" s="21"/>
      <c r="R486" s="4" t="str">
        <f>+CONCATENATE(T486,",",U486,",",V486,W486,".00")</f>
        <v>518,956,035.00</v>
      </c>
      <c r="S486" s="239">
        <f>SUM(S482:S485)</f>
        <v>518956035</v>
      </c>
      <c r="T486" s="4" t="str">
        <f>MID(S486,1,3)</f>
        <v>518</v>
      </c>
      <c r="U486" s="4" t="str">
        <f>MID(S486,4,3)</f>
        <v>956</v>
      </c>
      <c r="V486" s="4" t="str">
        <f>MID(S486,7,3)</f>
        <v>035</v>
      </c>
    </row>
    <row r="487" spans="2:23" ht="15.75" customHeight="1" x14ac:dyDescent="0.25">
      <c r="B487" s="21"/>
      <c r="C487" s="21"/>
      <c r="D487" s="21"/>
      <c r="E487" s="21"/>
    </row>
    <row r="488" spans="2:23" ht="15.75" customHeight="1" x14ac:dyDescent="0.25">
      <c r="B488" s="21"/>
      <c r="C488" s="21"/>
      <c r="D488" s="21"/>
      <c r="E488" s="21"/>
    </row>
    <row r="489" spans="2:23" ht="15.75" customHeight="1" x14ac:dyDescent="0.25">
      <c r="B489" s="21"/>
      <c r="C489" s="21"/>
      <c r="D489" s="21"/>
      <c r="E489" s="21"/>
    </row>
    <row r="490" spans="2:23" ht="15.75" customHeight="1" x14ac:dyDescent="0.25">
      <c r="B490" s="21"/>
      <c r="C490" s="21"/>
      <c r="D490" s="21"/>
      <c r="E490" s="21"/>
    </row>
    <row r="491" spans="2:23" ht="32.25" customHeight="1" x14ac:dyDescent="0.25">
      <c r="B491" s="179" t="s">
        <v>256</v>
      </c>
      <c r="C491" s="240" t="s">
        <v>261</v>
      </c>
      <c r="D491" s="240" t="s">
        <v>243</v>
      </c>
      <c r="E491" s="240" t="s">
        <v>262</v>
      </c>
    </row>
    <row r="492" spans="2:23" ht="15.75" customHeight="1" x14ac:dyDescent="0.25">
      <c r="B492" s="72" t="s">
        <v>263</v>
      </c>
      <c r="C492" s="241">
        <f>+'[1]19'!$D$25</f>
        <v>0</v>
      </c>
      <c r="D492" s="241">
        <f>+'[1]19'!$D$26</f>
        <v>0</v>
      </c>
      <c r="E492" s="241">
        <f>+'[1]19'!$D$27</f>
        <v>0</v>
      </c>
    </row>
    <row r="493" spans="2:23" ht="15.75" customHeight="1" x14ac:dyDescent="0.25">
      <c r="B493" s="72" t="s">
        <v>264</v>
      </c>
      <c r="C493" s="241">
        <f>+'[1]19'!$E$25</f>
        <v>1598764</v>
      </c>
      <c r="D493" s="241">
        <f>+'[1]19'!$E$26</f>
        <v>9850000</v>
      </c>
      <c r="E493" s="241">
        <f>+'[1]19'!$E$27</f>
        <v>3443521.5</v>
      </c>
    </row>
    <row r="494" spans="2:23" ht="15.75" customHeight="1" x14ac:dyDescent="0.25">
      <c r="B494" s="72" t="s">
        <v>265</v>
      </c>
      <c r="C494" s="241">
        <f>+'[1]19'!$F$25</f>
        <v>3197528</v>
      </c>
      <c r="D494" s="241">
        <f>+'[1]19'!$F$26</f>
        <v>9850000</v>
      </c>
      <c r="E494" s="241">
        <f>+'[1]19'!$F$27</f>
        <v>6887043</v>
      </c>
    </row>
    <row r="495" spans="2:23" ht="15.75" customHeight="1" x14ac:dyDescent="0.25">
      <c r="B495" s="72" t="s">
        <v>266</v>
      </c>
      <c r="C495" s="241">
        <f>+'[1]19'!$G$25</f>
        <v>1598764</v>
      </c>
      <c r="D495" s="241">
        <f>+'[1]19'!$G$26</f>
        <v>0</v>
      </c>
      <c r="E495" s="241">
        <f>+'[1]19'!$G$27</f>
        <v>3443521.5</v>
      </c>
    </row>
    <row r="496" spans="2:23" ht="15.75" customHeight="1" x14ac:dyDescent="0.25">
      <c r="B496" s="72" t="s">
        <v>267</v>
      </c>
      <c r="C496" s="241">
        <f>+'[1]19'!$H$25</f>
        <v>1598764</v>
      </c>
      <c r="D496" s="241">
        <f>+'[1]19'!$H$26</f>
        <v>0</v>
      </c>
      <c r="E496" s="241">
        <f>+'[1]19'!$H$27</f>
        <v>3443521.5</v>
      </c>
    </row>
    <row r="497" spans="2:21" ht="15.75" customHeight="1" x14ac:dyDescent="0.25">
      <c r="B497" s="72" t="s">
        <v>268</v>
      </c>
      <c r="C497" s="241">
        <f>+'[1]19'!$I$25</f>
        <v>6399816.79</v>
      </c>
      <c r="D497" s="241">
        <f>+'[1]19'!$I$26</f>
        <v>0</v>
      </c>
      <c r="E497" s="241">
        <f>+'[1]19'!$I$27</f>
        <v>3443521.5</v>
      </c>
    </row>
    <row r="498" spans="2:21" ht="15.75" customHeight="1" x14ac:dyDescent="0.25">
      <c r="B498" s="72" t="s">
        <v>269</v>
      </c>
      <c r="C498" s="241">
        <f>+'[1]19'!$J$25</f>
        <v>1598764</v>
      </c>
      <c r="D498" s="241">
        <f>+'[1]19'!$J$26</f>
        <v>0</v>
      </c>
      <c r="E498" s="241">
        <f>+'[1]19'!$J$27</f>
        <v>3443521.5</v>
      </c>
    </row>
    <row r="499" spans="2:21" ht="15.75" customHeight="1" x14ac:dyDescent="0.25">
      <c r="B499" s="72" t="s">
        <v>270</v>
      </c>
      <c r="C499" s="241">
        <f>+'[1]19'!$K$25</f>
        <v>1598764</v>
      </c>
      <c r="D499" s="241">
        <f>+'[1]19'!$K$26</f>
        <v>0</v>
      </c>
      <c r="E499" s="241">
        <f>+'[1]19'!$K$27</f>
        <v>3443521.5</v>
      </c>
    </row>
    <row r="500" spans="2:21" ht="15.75" customHeight="1" x14ac:dyDescent="0.25">
      <c r="B500" s="72" t="s">
        <v>271</v>
      </c>
      <c r="C500" s="241">
        <f>+'[1]19'!$L$25</f>
        <v>1598764</v>
      </c>
      <c r="D500" s="241">
        <f>+'[1]19'!$L$26</f>
        <v>0</v>
      </c>
      <c r="E500" s="241">
        <f>+'[1]19'!$L$27</f>
        <v>3443521.5</v>
      </c>
    </row>
    <row r="501" spans="2:21" ht="15.75" customHeight="1" x14ac:dyDescent="0.25">
      <c r="B501" s="72" t="s">
        <v>272</v>
      </c>
      <c r="C501" s="241">
        <f>+'[1]19'!$M$25</f>
        <v>1598764</v>
      </c>
      <c r="D501" s="241">
        <f>+'[1]19'!$M$26</f>
        <v>0</v>
      </c>
      <c r="E501" s="241">
        <f>+'[1]19'!$M$27</f>
        <v>3443521.5</v>
      </c>
    </row>
    <row r="502" spans="2:21" ht="15.75" customHeight="1" x14ac:dyDescent="0.25">
      <c r="B502" s="72" t="s">
        <v>273</v>
      </c>
      <c r="C502" s="241">
        <f>+'[1]19'!$N$25</f>
        <v>58119885.909999996</v>
      </c>
      <c r="D502" s="241">
        <f>+'[1]19'!$N$26</f>
        <v>0</v>
      </c>
      <c r="E502" s="241">
        <f>+'[1]19'!$N$27</f>
        <v>9283016.5</v>
      </c>
    </row>
    <row r="503" spans="2:21" ht="15.75" customHeight="1" x14ac:dyDescent="0.25">
      <c r="B503" s="72" t="s">
        <v>274</v>
      </c>
      <c r="C503" s="241">
        <f>+'[1]19'!$O$25</f>
        <v>43633153.5</v>
      </c>
      <c r="D503" s="241">
        <f>+'[1]19'!$O$26</f>
        <v>101543252.5</v>
      </c>
      <c r="E503" s="241">
        <f>+'[1]19'!$O$27</f>
        <v>3443521</v>
      </c>
    </row>
    <row r="504" spans="2:21" ht="15.75" customHeight="1" x14ac:dyDescent="0.25">
      <c r="B504" s="242" t="s">
        <v>211</v>
      </c>
      <c r="C504" s="243">
        <f>SUM(C492:C503)</f>
        <v>122541732.19999999</v>
      </c>
      <c r="D504" s="243">
        <f>SUM(D492:D503)</f>
        <v>121243252.5</v>
      </c>
      <c r="E504" s="243">
        <f>SUM(E492:E503)</f>
        <v>47161752.5</v>
      </c>
    </row>
    <row r="505" spans="2:21" ht="15.75" customHeight="1" x14ac:dyDescent="0.25">
      <c r="B505" s="21"/>
      <c r="C505" s="21"/>
      <c r="D505" s="21"/>
      <c r="E505" s="21"/>
    </row>
    <row r="506" spans="2:21" ht="23.25" customHeight="1" x14ac:dyDescent="0.25">
      <c r="B506" s="71" t="s">
        <v>275</v>
      </c>
      <c r="J506" s="3">
        <v>192000000</v>
      </c>
      <c r="K506" s="244">
        <f>J506/12</f>
        <v>16000000</v>
      </c>
    </row>
    <row r="507" spans="2:21" x14ac:dyDescent="0.25">
      <c r="B507" s="71" t="s">
        <v>276</v>
      </c>
      <c r="J507" s="3">
        <v>21106726</v>
      </c>
      <c r="K507" s="244">
        <f>J507/12</f>
        <v>1758893.8333333333</v>
      </c>
    </row>
    <row r="508" spans="2:21" ht="36.75" customHeight="1" x14ac:dyDescent="0.25">
      <c r="B508" s="14" t="str">
        <f>("Un detalle de los "&amp;B507&amp;" al "&amp;[1]BALANZA!$B$3&amp;" "&amp;[1]BALANZA!$C$3&amp;" es como se detalla a continuación:")</f>
        <v>Un detalle de los Sueldos, Salarios y beneficios a empleados al 31 de diciembre del 2022 - 2021 es como se detalla a continuación:</v>
      </c>
      <c r="C508" s="37"/>
      <c r="D508" s="37"/>
      <c r="E508" s="37"/>
      <c r="J508" s="3">
        <v>70000000</v>
      </c>
      <c r="K508" s="244">
        <f>J508/12</f>
        <v>5833333.333333333</v>
      </c>
      <c r="L508" s="3">
        <f>4666666*3</f>
        <v>13999998</v>
      </c>
    </row>
    <row r="509" spans="2:21" ht="16.5" customHeight="1" x14ac:dyDescent="0.25">
      <c r="B509" s="207"/>
      <c r="C509" s="20"/>
      <c r="D509" s="20"/>
      <c r="E509" s="20"/>
      <c r="J509" s="3">
        <v>37279088</v>
      </c>
      <c r="K509" s="244"/>
      <c r="L509" s="3">
        <f>1598764*5</f>
        <v>7993820</v>
      </c>
    </row>
    <row r="510" spans="2:21" x14ac:dyDescent="0.25">
      <c r="B510" s="179" t="str">
        <f>+B459</f>
        <v>Cuenta</v>
      </c>
      <c r="C510" s="180">
        <f>+[1]BALANZA!B4</f>
        <v>2022</v>
      </c>
      <c r="D510" s="180">
        <f>+[1]BALANZA!C4</f>
        <v>2021</v>
      </c>
      <c r="E510" s="197" t="s">
        <v>217</v>
      </c>
      <c r="K510" s="244">
        <f>J507+J508+J509</f>
        <v>128385814</v>
      </c>
      <c r="L510" s="3">
        <f>10296372.36+13618335.6</f>
        <v>23914707.960000001</v>
      </c>
    </row>
    <row r="511" spans="2:21" x14ac:dyDescent="0.25">
      <c r="B511" s="245" t="s">
        <v>277</v>
      </c>
      <c r="C511" s="114">
        <f>+'[1]BALANZA G'!C148</f>
        <v>148261285.41</v>
      </c>
      <c r="D511" s="246">
        <f>+'[1]BALANZA G'!E148</f>
        <v>145603784.88</v>
      </c>
      <c r="E511" s="50">
        <f t="shared" ref="E511:E516" si="4">+C511-D511</f>
        <v>2657500.5300000012</v>
      </c>
      <c r="J511" s="3">
        <f>+J509+J506+J508+J507</f>
        <v>320385814</v>
      </c>
      <c r="U511" s="211"/>
    </row>
    <row r="512" spans="2:21" x14ac:dyDescent="0.25">
      <c r="B512" s="245" t="s">
        <v>278</v>
      </c>
      <c r="C512" s="114">
        <f>+'[1]BALANZA G'!C150+'[1]BALANZA G'!C151+'[1]BALANZA G'!C152+'[1]BALANZA G'!C153+'[1]BALANZA G'!C149</f>
        <v>257399.35</v>
      </c>
      <c r="D512" s="246">
        <f>+'[1]BALANZA G'!E150+'[1]BALANZA G'!E151+'[1]BALANZA G'!E152+'[1]BALANZA G'!E153+'[1]BALANZA G'!E149</f>
        <v>1819679.37</v>
      </c>
      <c r="E512" s="50">
        <f t="shared" si="4"/>
        <v>-1562280.02</v>
      </c>
      <c r="L512" s="244">
        <f>L510+L509+L508</f>
        <v>45908525.960000001</v>
      </c>
      <c r="U512" s="211"/>
    </row>
    <row r="513" spans="2:26" ht="45" x14ac:dyDescent="0.25">
      <c r="B513" s="245" t="s">
        <v>279</v>
      </c>
      <c r="C513" s="114">
        <f>+'[1]BALANZA G'!C156+'[1]BALANZA G'!C157+'[1]BALANZA G'!C154+'[1]BALANZA G'!C158+'[1]BALANZA G'!C160+'[1]BALANZA G'!C155</f>
        <v>11458304.770000001</v>
      </c>
      <c r="D513" s="246">
        <f>+'[1]BALANZA G'!E154+'[1]BALANZA G'!E156+'[1]BALANZA G'!E157+'[1]BALANZA G'!E158+'[1]BALANZA G'!E160+'[1]BALANZA G'!E155</f>
        <v>8540322.9999999981</v>
      </c>
      <c r="E513" s="50">
        <f t="shared" si="4"/>
        <v>2917981.7700000033</v>
      </c>
      <c r="U513" s="211"/>
    </row>
    <row r="514" spans="2:26" x14ac:dyDescent="0.25">
      <c r="B514" s="245" t="s">
        <v>280</v>
      </c>
      <c r="C514" s="114">
        <f>+'[1]BALANZA G'!C162</f>
        <v>0</v>
      </c>
      <c r="D514" s="246">
        <f>+'[1]BALANZA G'!E162</f>
        <v>0</v>
      </c>
      <c r="E514" s="50">
        <f t="shared" si="4"/>
        <v>0</v>
      </c>
      <c r="U514" s="211"/>
    </row>
    <row r="515" spans="2:26" x14ac:dyDescent="0.25">
      <c r="B515" s="245" t="s">
        <v>281</v>
      </c>
      <c r="C515" s="114">
        <f>+'[1]BALANZA G'!C163+'[1]BALANZA G'!C164+'[1]BALANZA G'!C165+'[1]BALANZA G'!C167</f>
        <v>2277251.9</v>
      </c>
      <c r="D515" s="246">
        <f>+'[1]BALANZA G'!E163+'[1]BALANZA G'!E164+'[1]BALANZA G'!E165+'[1]BALANZA G'!E167</f>
        <v>820000</v>
      </c>
      <c r="E515" s="50">
        <f t="shared" si="4"/>
        <v>1457251.9</v>
      </c>
      <c r="U515" s="211"/>
    </row>
    <row r="516" spans="2:26" x14ac:dyDescent="0.25">
      <c r="B516" s="245" t="s">
        <v>282</v>
      </c>
      <c r="C516" s="114">
        <f>+'[1]BALANZA G'!C168+'[1]BALANZA G'!C170+'[1]BALANZA G'!C167+'[1]BALANZA G'!C169+'[1]BALANZA G'!C166+'[1]BALANZA G'!C159</f>
        <v>11657228.08</v>
      </c>
      <c r="D516" s="246">
        <f>+'[1]BALANZA G'!E167+'[1]BALANZA G'!E168+'[1]BALANZA G'!E169+'[1]BALANZA G'!E170+'[1]BALANZA G'!E166+'[1]BALANZA G'!E159</f>
        <v>12234068.529999999</v>
      </c>
      <c r="E516" s="50">
        <f t="shared" si="4"/>
        <v>-576840.44999999925</v>
      </c>
      <c r="U516" s="211"/>
    </row>
    <row r="517" spans="2:26" x14ac:dyDescent="0.25">
      <c r="B517" s="245" t="s">
        <v>283</v>
      </c>
      <c r="C517" s="114">
        <f>+'[1]BALANZA G'!C271</f>
        <v>6003857.7199999997</v>
      </c>
      <c r="D517" s="246">
        <f>+'[1]BALANZA G'!E271</f>
        <v>57171022.710000001</v>
      </c>
      <c r="E517" s="50">
        <f>+C517-D517</f>
        <v>-51167164.990000002</v>
      </c>
      <c r="U517" s="211"/>
    </row>
    <row r="518" spans="2:26" x14ac:dyDescent="0.25">
      <c r="B518" s="245" t="s">
        <v>284</v>
      </c>
      <c r="C518" s="114">
        <f>+'[1]BALANZA G'!C173</f>
        <v>10541829.699999999</v>
      </c>
      <c r="D518" s="246">
        <f>+'[1]BALANZA G'!E173</f>
        <v>10571008.960000001</v>
      </c>
      <c r="E518" s="50">
        <f>+C518-D518</f>
        <v>-29179.260000001639</v>
      </c>
      <c r="U518" s="211"/>
    </row>
    <row r="519" spans="2:26" x14ac:dyDescent="0.25">
      <c r="B519" s="245" t="s">
        <v>285</v>
      </c>
      <c r="C519" s="114">
        <f>+'[1]BALANZA G'!C174</f>
        <v>10548583.02</v>
      </c>
      <c r="D519" s="246">
        <f>+'[1]BALANZA G'!E174</f>
        <v>10633440.560000001</v>
      </c>
      <c r="E519" s="50">
        <f>+C519-D519</f>
        <v>-84857.540000000969</v>
      </c>
      <c r="U519" s="211"/>
    </row>
    <row r="520" spans="2:26" x14ac:dyDescent="0.25">
      <c r="B520" s="245" t="s">
        <v>286</v>
      </c>
      <c r="C520" s="114">
        <f>+'[1]BALANZA G'!C175</f>
        <v>1764308.33</v>
      </c>
      <c r="D520" s="246">
        <f>+'[1]BALANZA G'!E175</f>
        <v>1794306.96</v>
      </c>
      <c r="E520" s="50">
        <f>+C520-D520</f>
        <v>-29998.629999999888</v>
      </c>
      <c r="U520" s="211"/>
    </row>
    <row r="521" spans="2:26" ht="28.5" x14ac:dyDescent="0.25">
      <c r="B521" s="247" t="s">
        <v>287</v>
      </c>
      <c r="C521" s="120">
        <f>SUM(C511:C520)</f>
        <v>202770048.28000003</v>
      </c>
      <c r="D521" s="198">
        <f>SUM(D511:D520)</f>
        <v>249187634.97000003</v>
      </c>
      <c r="E521" s="248">
        <f>SUM(E511:E520)</f>
        <v>-46417586.689999998</v>
      </c>
    </row>
    <row r="522" spans="2:26" x14ac:dyDescent="0.25">
      <c r="B522" s="11"/>
      <c r="C522" s="249">
        <f>+C521-[1]ERF!B17</f>
        <v>0</v>
      </c>
      <c r="J522" s="55"/>
    </row>
    <row r="523" spans="2:26" s="51" customFormat="1" x14ac:dyDescent="0.25">
      <c r="B523" s="103" t="s">
        <v>103</v>
      </c>
      <c r="C523" s="104"/>
      <c r="D523" s="250" t="str">
        <f>IF(E523&gt;=0,"Aumento","Disminución")</f>
        <v>Aumento</v>
      </c>
      <c r="E523" s="251">
        <f>+C521/D521</f>
        <v>0.81372435796989584</v>
      </c>
      <c r="J523" s="3"/>
      <c r="N523" s="55"/>
      <c r="R523" s="56"/>
      <c r="S523" s="56"/>
      <c r="T523" s="56"/>
      <c r="U523" s="56"/>
      <c r="V523" s="56"/>
      <c r="W523" s="56"/>
      <c r="X523" s="56"/>
      <c r="Y523" s="56"/>
      <c r="Z523" s="55"/>
    </row>
    <row r="524" spans="2:26" x14ac:dyDescent="0.25">
      <c r="B524" s="11"/>
    </row>
    <row r="525" spans="2:26" x14ac:dyDescent="0.25">
      <c r="B525" s="11"/>
    </row>
    <row r="526" spans="2:26" x14ac:dyDescent="0.25">
      <c r="B526" s="11"/>
    </row>
    <row r="527" spans="2:26" x14ac:dyDescent="0.25">
      <c r="B527" s="11"/>
    </row>
    <row r="528" spans="2:26" x14ac:dyDescent="0.25">
      <c r="B528" s="11"/>
    </row>
    <row r="529" spans="2:11" x14ac:dyDescent="0.25">
      <c r="B529" s="11"/>
    </row>
    <row r="530" spans="2:11" x14ac:dyDescent="0.25">
      <c r="B530" s="11"/>
    </row>
    <row r="531" spans="2:11" x14ac:dyDescent="0.25">
      <c r="B531" s="11"/>
    </row>
    <row r="532" spans="2:11" x14ac:dyDescent="0.25">
      <c r="B532" s="11"/>
    </row>
    <row r="533" spans="2:11" x14ac:dyDescent="0.25">
      <c r="B533" s="11"/>
    </row>
    <row r="534" spans="2:11" x14ac:dyDescent="0.25">
      <c r="B534" s="11"/>
    </row>
    <row r="535" spans="2:11" ht="9.75" customHeight="1" x14ac:dyDescent="0.25">
      <c r="B535" s="11"/>
    </row>
    <row r="536" spans="2:11" x14ac:dyDescent="0.25">
      <c r="B536" s="71" t="s">
        <v>288</v>
      </c>
    </row>
    <row r="537" spans="2:11" x14ac:dyDescent="0.25">
      <c r="B537" s="71" t="s">
        <v>289</v>
      </c>
    </row>
    <row r="538" spans="2:11" ht="38.25" customHeight="1" x14ac:dyDescent="0.25">
      <c r="B538" s="14" t="str">
        <f>("Un detalle de  "&amp;B537&amp;" al "&amp;[1]BALANZA!$B$3&amp;" "&amp;[1]BALANZA!$C$3&amp;" es como se detalla a continuación:")</f>
        <v>Un detalle de  Subvenciones y otros pagos por transferencias al 31 de diciembre del 2022 - 2021 es como se detalla a continuación:</v>
      </c>
      <c r="C538" s="37"/>
      <c r="D538" s="37"/>
      <c r="E538" s="37"/>
    </row>
    <row r="539" spans="2:11" ht="9" customHeight="1" x14ac:dyDescent="0.25">
      <c r="B539" s="13"/>
    </row>
    <row r="540" spans="2:11" x14ac:dyDescent="0.25">
      <c r="B540" s="179" t="s">
        <v>290</v>
      </c>
      <c r="C540" s="180">
        <f>+C552</f>
        <v>2022</v>
      </c>
      <c r="D540" s="180">
        <f>+D552</f>
        <v>2021</v>
      </c>
      <c r="E540" s="206" t="s">
        <v>217</v>
      </c>
    </row>
    <row r="541" spans="2:11" ht="16.5" customHeight="1" x14ac:dyDescent="0.25">
      <c r="B541" s="252" t="s">
        <v>291</v>
      </c>
      <c r="C541" s="114">
        <f>+'[1]BALANZA G'!C272</f>
        <v>613908.4</v>
      </c>
      <c r="D541" s="246">
        <f>+'[1]BALANZA G'!E272+'[1]BALANZA G'!E273</f>
        <v>1598878</v>
      </c>
      <c r="E541" s="50">
        <f>+C541-D541</f>
        <v>-984969.6</v>
      </c>
    </row>
    <row r="542" spans="2:11" ht="23.25" hidden="1" customHeight="1" x14ac:dyDescent="0.25">
      <c r="B542" s="253"/>
      <c r="C542" s="254"/>
      <c r="D542" s="255"/>
      <c r="E542" s="256"/>
      <c r="I542" s="174"/>
      <c r="J542" s="175"/>
      <c r="K542" s="174"/>
    </row>
    <row r="543" spans="2:11" ht="28.5" x14ac:dyDescent="0.25">
      <c r="B543" s="247" t="s">
        <v>292</v>
      </c>
      <c r="C543" s="120">
        <f>SUM(C541+C542)</f>
        <v>613908.4</v>
      </c>
      <c r="D543" s="198">
        <f>SUM(D541)</f>
        <v>1598878</v>
      </c>
      <c r="E543" s="257">
        <f>+C543-D543</f>
        <v>-984969.6</v>
      </c>
    </row>
    <row r="544" spans="2:11" x14ac:dyDescent="0.25">
      <c r="B544" s="106"/>
      <c r="C544" s="249">
        <f>+C543-[1]ERF!B18</f>
        <v>0</v>
      </c>
      <c r="J544" s="55"/>
    </row>
    <row r="545" spans="2:26" s="51" customFormat="1" x14ac:dyDescent="0.25">
      <c r="B545" s="103" t="s">
        <v>103</v>
      </c>
      <c r="C545" s="104"/>
      <c r="D545" s="63" t="str">
        <f>IF(E545&gt;=0,"Aumento","Disminución")</f>
        <v>Disminución</v>
      </c>
      <c r="E545" s="94">
        <f>+E543/D543</f>
        <v>-0.61603799664514736</v>
      </c>
      <c r="J545" s="55"/>
      <c r="N545" s="55"/>
      <c r="R545" s="56"/>
      <c r="S545" s="56"/>
      <c r="T545" s="56"/>
      <c r="U545" s="56"/>
      <c r="V545" s="56"/>
      <c r="W545" s="56"/>
      <c r="X545" s="56"/>
      <c r="Y545" s="56"/>
      <c r="Z545" s="55"/>
    </row>
    <row r="546" spans="2:26" s="51" customFormat="1" ht="17.25" customHeight="1" x14ac:dyDescent="0.25">
      <c r="B546" s="68"/>
      <c r="C546" s="68"/>
      <c r="D546" s="66"/>
      <c r="E546" s="69"/>
      <c r="J546" s="55"/>
      <c r="N546" s="55"/>
      <c r="R546" s="56"/>
      <c r="S546" s="56"/>
      <c r="T546" s="56"/>
      <c r="U546" s="56"/>
      <c r="V546" s="56"/>
      <c r="W546" s="56"/>
      <c r="X546" s="56"/>
      <c r="Y546" s="56"/>
      <c r="Z546" s="55"/>
    </row>
    <row r="547" spans="2:26" s="51" customFormat="1" ht="36.75" customHeight="1" x14ac:dyDescent="0.25">
      <c r="B547" s="68"/>
      <c r="C547" s="68"/>
      <c r="D547" s="66"/>
      <c r="E547" s="69"/>
      <c r="J547" s="3"/>
      <c r="N547" s="55"/>
      <c r="R547" s="56"/>
      <c r="S547" s="56"/>
      <c r="T547" s="56"/>
      <c r="U547" s="56"/>
      <c r="V547" s="56"/>
      <c r="W547" s="56"/>
      <c r="X547" s="56"/>
      <c r="Y547" s="56"/>
      <c r="Z547" s="55"/>
    </row>
    <row r="548" spans="2:26" x14ac:dyDescent="0.25">
      <c r="B548" s="71" t="s">
        <v>293</v>
      </c>
    </row>
    <row r="549" spans="2:26" x14ac:dyDescent="0.25">
      <c r="B549" s="71" t="s">
        <v>294</v>
      </c>
    </row>
    <row r="550" spans="2:26" ht="36.75" customHeight="1" x14ac:dyDescent="0.25">
      <c r="B550" s="14" t="str">
        <f>("Un detalle del "&amp;B549&amp;" al "&amp;[1]BALANZA!$B$3&amp;" "&amp;[1]BALANZA!$C$3&amp;" es como se detalla a continuación:")</f>
        <v>Un detalle del Suministro y materiales para consumo al 31 de diciembre del 2022 - 2021 es como se detalla a continuación:</v>
      </c>
      <c r="C550" s="37"/>
      <c r="D550" s="37"/>
      <c r="E550" s="37"/>
    </row>
    <row r="551" spans="2:26" ht="8.25" customHeight="1" x14ac:dyDescent="0.25">
      <c r="B551" s="13"/>
    </row>
    <row r="552" spans="2:26" x14ac:dyDescent="0.25">
      <c r="B552" s="179" t="s">
        <v>290</v>
      </c>
      <c r="C552" s="180">
        <f>+[1]BALANZA!B4</f>
        <v>2022</v>
      </c>
      <c r="D552" s="180">
        <f>+[1]BALANZA!C4</f>
        <v>2021</v>
      </c>
      <c r="E552" s="206" t="s">
        <v>217</v>
      </c>
    </row>
    <row r="553" spans="2:26" x14ac:dyDescent="0.25">
      <c r="B553" s="161" t="s">
        <v>295</v>
      </c>
      <c r="C553" s="43">
        <f>+'[1]BALANZA G'!C236+'[1]BALANZA G'!C237</f>
        <v>1008264.5</v>
      </c>
      <c r="D553" s="46">
        <f>+'[1]BALANZA G'!E236+'[1]BALANZA G'!E237</f>
        <v>1076787.67</v>
      </c>
      <c r="E553" s="50">
        <f t="shared" ref="E553:E559" si="5">+C553-D553</f>
        <v>-68523.169999999925</v>
      </c>
      <c r="T553" s="101"/>
    </row>
    <row r="554" spans="2:26" x14ac:dyDescent="0.25">
      <c r="B554" s="161" t="s">
        <v>296</v>
      </c>
      <c r="C554" s="43">
        <f>+'[1]BALANZA G'!C238+'[1]BALANZA G'!C239</f>
        <v>1300</v>
      </c>
      <c r="D554" s="46">
        <f>+'[1]BALANZA G'!E238+'[1]BALANZA G'!E239</f>
        <v>660149.78</v>
      </c>
      <c r="E554" s="50">
        <f t="shared" si="5"/>
        <v>-658849.78</v>
      </c>
      <c r="T554" s="101"/>
    </row>
    <row r="555" spans="2:26" x14ac:dyDescent="0.25">
      <c r="B555" s="161" t="s">
        <v>297</v>
      </c>
      <c r="C555" s="43">
        <f>+'[1]BALANZA G'!C240+'[1]BALANZA G'!C241</f>
        <v>330702</v>
      </c>
      <c r="D555" s="46">
        <f>+'[1]BALANZA G'!E240+'[1]BALANZA G'!E241</f>
        <v>302871</v>
      </c>
      <c r="E555" s="50">
        <f t="shared" si="5"/>
        <v>27831</v>
      </c>
      <c r="T555" s="101"/>
    </row>
    <row r="556" spans="2:26" x14ac:dyDescent="0.25">
      <c r="B556" s="161" t="s">
        <v>298</v>
      </c>
      <c r="C556" s="43">
        <f>+'[1]BALANZA G'!C243+'[1]BALANZA G'!C245+'[1]BALANZA G'!C249+'[1]BALANZA G'!C244</f>
        <v>7580799</v>
      </c>
      <c r="D556" s="46">
        <f>+'[1]BALANZA G'!E243+'[1]BALANZA G'!E245+'[1]BALANZA G'!E249+'[1]BALANZA G'!E244</f>
        <v>6205461.9000000004</v>
      </c>
      <c r="E556" s="50">
        <f t="shared" si="5"/>
        <v>1375337.0999999996</v>
      </c>
      <c r="T556" s="101"/>
    </row>
    <row r="557" spans="2:26" x14ac:dyDescent="0.25">
      <c r="B557" s="161" t="s">
        <v>299</v>
      </c>
      <c r="C557" s="43">
        <f>+'[1]BALANZA G'!C246+'[1]BALANZA G'!C250+'[1]BALANZA G'!C248+'[1]BALANZA G'!C247</f>
        <v>7786358.3699999992</v>
      </c>
      <c r="D557" s="46">
        <f>+'[1]BALANZA G'!E246+'[1]BALANZA G'!E250+'[1]BALANZA G'!E248+'[1]BALANZA G'!E247</f>
        <v>5929976.5099999998</v>
      </c>
      <c r="E557" s="50">
        <f t="shared" si="5"/>
        <v>1856381.8599999994</v>
      </c>
      <c r="T557" s="101"/>
    </row>
    <row r="558" spans="2:26" x14ac:dyDescent="0.25">
      <c r="B558" s="161" t="s">
        <v>300</v>
      </c>
      <c r="C558" s="43">
        <f>+'[1]BALANZA G'!C252+'[1]BALANZA G'!C253+'[1]BALANZA G'!C254+'[1]BALANZA G'!C255+'[1]BALANZA G'!C256+'[1]BALANZA G'!C257+'[1]BALANZA G'!C267+'[1]BALANZA G'!C263+'[1]BALANZA G'!C264+'[1]BALANZA G'!C261+'[1]BALANZA G'!C262+'[1]BALANZA G'!C258+'[1]BALANZA G'!C259+'[1]BALANZA G'!C260</f>
        <v>3423165.7</v>
      </c>
      <c r="D558" s="46">
        <f>+'[1]BALANZA G'!E252+'[1]BALANZA G'!E253+'[1]BALANZA G'!E254+'[1]BALANZA G'!E255+'[1]BALANZA G'!E256+'[1]BALANZA G'!E257+'[1]BALANZA G'!E267+'[1]BALANZA G'!E263+'[1]BALANZA G'!E264+'[1]BALANZA G'!E261+'[1]BALANZA G'!E262</f>
        <v>1804527.97</v>
      </c>
      <c r="E558" s="50">
        <f t="shared" si="5"/>
        <v>1618637.7300000002</v>
      </c>
      <c r="T558" s="101"/>
    </row>
    <row r="559" spans="2:26" hidden="1" x14ac:dyDescent="0.25">
      <c r="B559" s="161" t="s">
        <v>301</v>
      </c>
      <c r="C559" s="43">
        <f>+'[1]BALANZA G'!C268</f>
        <v>0</v>
      </c>
      <c r="D559" s="46">
        <f>+'[1]BALANZA G'!E268</f>
        <v>0</v>
      </c>
      <c r="E559" s="50">
        <f t="shared" si="5"/>
        <v>0</v>
      </c>
    </row>
    <row r="560" spans="2:26" x14ac:dyDescent="0.25">
      <c r="B560" s="247" t="s">
        <v>302</v>
      </c>
      <c r="C560" s="53">
        <f>SUM(C553:C559)</f>
        <v>20130589.57</v>
      </c>
      <c r="D560" s="99">
        <f>SUM(D553:D559)</f>
        <v>15979774.83</v>
      </c>
      <c r="E560" s="53">
        <f>SUM(E553:E559)</f>
        <v>4150814.7399999993</v>
      </c>
    </row>
    <row r="561" spans="2:26" x14ac:dyDescent="0.25">
      <c r="B561" s="258"/>
      <c r="C561" s="123">
        <f>+C560-[1]ERF!B19</f>
        <v>0</v>
      </c>
      <c r="D561" s="259"/>
      <c r="E561" s="260"/>
      <c r="J561" s="55"/>
    </row>
    <row r="562" spans="2:26" s="51" customFormat="1" x14ac:dyDescent="0.25">
      <c r="B562" s="103" t="s">
        <v>103</v>
      </c>
      <c r="C562" s="104"/>
      <c r="D562" s="63" t="str">
        <f>IF(E562&gt;=0,"Aumento","Disminución")</f>
        <v>Aumento</v>
      </c>
      <c r="E562" s="94">
        <f>+E560/D560</f>
        <v>0.25975426964135762</v>
      </c>
      <c r="J562" s="3"/>
      <c r="N562" s="55"/>
      <c r="R562" s="56"/>
      <c r="S562" s="56"/>
      <c r="T562" s="56"/>
      <c r="U562" s="56"/>
      <c r="V562" s="56"/>
      <c r="W562" s="56"/>
      <c r="X562" s="56"/>
      <c r="Y562" s="56"/>
      <c r="Z562" s="55"/>
    </row>
    <row r="563" spans="2:26" x14ac:dyDescent="0.25">
      <c r="B563" s="68"/>
      <c r="C563" s="68"/>
      <c r="D563" s="261"/>
      <c r="E563" s="69"/>
    </row>
    <row r="564" spans="2:26" ht="44.25" customHeight="1" x14ac:dyDescent="0.25">
      <c r="B564" s="68"/>
      <c r="C564" s="68"/>
      <c r="D564" s="261"/>
      <c r="E564" s="69"/>
    </row>
    <row r="565" spans="2:26" x14ac:dyDescent="0.25">
      <c r="B565" s="71" t="s">
        <v>303</v>
      </c>
    </row>
    <row r="566" spans="2:26" x14ac:dyDescent="0.25">
      <c r="B566" s="71" t="s">
        <v>304</v>
      </c>
    </row>
    <row r="567" spans="2:26" x14ac:dyDescent="0.25">
      <c r="B567" s="14" t="str">
        <f>("Un detalle del "&amp;B566&amp;" al "&amp;[1]BALANZA!$B$3&amp;" "&amp;[1]BALANZA!$C$3&amp;" es como se detalla a continuación:")</f>
        <v>Un detalle del Gasto de Depreciación y Amortización al 31 de diciembre del 2022 - 2021 es como se detalla a continuación:</v>
      </c>
      <c r="C567" s="37"/>
      <c r="D567" s="37"/>
      <c r="E567" s="37"/>
    </row>
    <row r="568" spans="2:26" x14ac:dyDescent="0.25">
      <c r="B568" s="13"/>
    </row>
    <row r="569" spans="2:26" x14ac:dyDescent="0.25">
      <c r="B569" s="179" t="s">
        <v>290</v>
      </c>
      <c r="C569" s="180" t="str">
        <f>+[1]BALANZA!B21</f>
        <v xml:space="preserve"> RESERVAS CTA. 100011701027264</v>
      </c>
      <c r="D569" s="180">
        <f>+[1]BALANZA!C21</f>
        <v>1407193.25</v>
      </c>
      <c r="E569" s="206" t="s">
        <v>217</v>
      </c>
    </row>
    <row r="570" spans="2:26" x14ac:dyDescent="0.25">
      <c r="B570" s="161" t="s">
        <v>305</v>
      </c>
      <c r="C570" s="43">
        <f>+[1]nota13!K29</f>
        <v>50785637.540000007</v>
      </c>
      <c r="D570" s="46">
        <f>+[1]nota13!K14</f>
        <v>47033171.399999991</v>
      </c>
      <c r="E570" s="50">
        <f>+C570-D570</f>
        <v>3752466.1400000155</v>
      </c>
    </row>
    <row r="571" spans="2:26" x14ac:dyDescent="0.25">
      <c r="B571" s="161" t="s">
        <v>306</v>
      </c>
      <c r="C571" s="43">
        <f>+C366</f>
        <v>20309</v>
      </c>
      <c r="D571" s="43">
        <f>+D366</f>
        <v>0</v>
      </c>
      <c r="E571" s="50">
        <f>+C571-D571</f>
        <v>20309</v>
      </c>
    </row>
    <row r="572" spans="2:26" x14ac:dyDescent="0.25">
      <c r="B572" s="161"/>
      <c r="C572" s="43"/>
      <c r="D572" s="46"/>
      <c r="E572" s="50">
        <f>+C572-D572</f>
        <v>0</v>
      </c>
    </row>
    <row r="573" spans="2:26" x14ac:dyDescent="0.25">
      <c r="B573" s="247" t="s">
        <v>302</v>
      </c>
      <c r="C573" s="53">
        <f>SUM(C570:C572)</f>
        <v>50805946.540000007</v>
      </c>
      <c r="D573" s="99">
        <f>SUM(D570:D572)</f>
        <v>47033171.399999991</v>
      </c>
      <c r="E573" s="53">
        <f>SUM(E570:E572)</f>
        <v>3772775.1400000155</v>
      </c>
    </row>
    <row r="574" spans="2:26" x14ac:dyDescent="0.25">
      <c r="B574" s="258"/>
      <c r="C574" s="123">
        <f>+C573-[1]ERF!B20</f>
        <v>0</v>
      </c>
      <c r="D574" s="259"/>
      <c r="E574" s="260"/>
    </row>
    <row r="575" spans="2:26" x14ac:dyDescent="0.25">
      <c r="B575" s="103" t="s">
        <v>103</v>
      </c>
      <c r="C575" s="104"/>
      <c r="D575" s="63" t="str">
        <f>IF(E575&gt;=0,"Aumento","Disminución")</f>
        <v>Aumento</v>
      </c>
      <c r="E575" s="94">
        <f>+E573/D573</f>
        <v>8.0215197650907635E-2</v>
      </c>
    </row>
    <row r="576" spans="2:26" x14ac:dyDescent="0.25">
      <c r="B576" s="68"/>
      <c r="C576" s="68"/>
      <c r="D576" s="261"/>
      <c r="E576" s="69"/>
    </row>
    <row r="577" spans="2:21" ht="9.75" customHeight="1" x14ac:dyDescent="0.25">
      <c r="B577" s="68"/>
      <c r="C577" s="68"/>
      <c r="D577" s="261"/>
      <c r="E577" s="69"/>
    </row>
    <row r="578" spans="2:21" ht="9.75" customHeight="1" x14ac:dyDescent="0.25">
      <c r="B578" s="68"/>
      <c r="C578" s="68"/>
      <c r="D578" s="261"/>
      <c r="E578" s="69"/>
    </row>
    <row r="579" spans="2:21" ht="9.75" customHeight="1" x14ac:dyDescent="0.25">
      <c r="B579" s="68"/>
      <c r="C579" s="68"/>
      <c r="D579" s="261"/>
      <c r="E579" s="69"/>
    </row>
    <row r="580" spans="2:21" ht="9.75" customHeight="1" x14ac:dyDescent="0.25">
      <c r="B580" s="68"/>
      <c r="C580" s="68"/>
      <c r="D580" s="261"/>
      <c r="E580" s="69"/>
    </row>
    <row r="581" spans="2:21" ht="9.75" customHeight="1" x14ac:dyDescent="0.25">
      <c r="B581" s="68"/>
      <c r="C581" s="68"/>
      <c r="D581" s="261"/>
      <c r="E581" s="69"/>
    </row>
    <row r="582" spans="2:21" ht="60" customHeight="1" x14ac:dyDescent="0.25">
      <c r="B582" s="68"/>
      <c r="C582" s="68"/>
      <c r="D582" s="261"/>
      <c r="E582" s="69"/>
    </row>
    <row r="583" spans="2:21" ht="16.5" customHeight="1" x14ac:dyDescent="0.25">
      <c r="B583" s="262" t="s">
        <v>307</v>
      </c>
    </row>
    <row r="584" spans="2:21" x14ac:dyDescent="0.25">
      <c r="B584" s="262" t="s">
        <v>308</v>
      </c>
    </row>
    <row r="585" spans="2:21" ht="18.75" customHeight="1" x14ac:dyDescent="0.25">
      <c r="B585" s="14" t="str">
        <f>("Un detalle de "&amp;B584&amp;" al "&amp;[1]BALANZA!$B$3&amp;" "&amp;[1]BALANZA!$C$3&amp;" es como se detalla a continuación:")</f>
        <v>Un detalle de Otros gastos  al 31 de diciembre del 2022 - 2021 es como se detalla a continuación:</v>
      </c>
      <c r="C585" s="37"/>
      <c r="D585" s="37"/>
      <c r="E585" s="37"/>
    </row>
    <row r="586" spans="2:21" ht="8.25" customHeight="1" x14ac:dyDescent="0.25">
      <c r="B586" s="13"/>
      <c r="G586" s="10"/>
    </row>
    <row r="587" spans="2:21" ht="18.75" customHeight="1" x14ac:dyDescent="0.25">
      <c r="B587" s="38" t="s">
        <v>309</v>
      </c>
      <c r="C587" s="39">
        <f>+[1]BALANZA!B4</f>
        <v>2022</v>
      </c>
      <c r="D587" s="39">
        <f>+[1]BALANZA!C4</f>
        <v>2021</v>
      </c>
      <c r="E587" s="206" t="s">
        <v>217</v>
      </c>
    </row>
    <row r="588" spans="2:21" x14ac:dyDescent="0.25">
      <c r="B588" s="115" t="s">
        <v>310</v>
      </c>
      <c r="C588" s="263">
        <f>+'[1]BALANZA G'!C187+'[1]BALANZA G'!C188+'[1]BALANZA G'!C189+'[1]BALANZA G'!C190</f>
        <v>2895929.24</v>
      </c>
      <c r="D588" s="264">
        <f>+'[1]BALANZA G'!E187+'[1]BALANZA G'!E188+'[1]BALANZA G'!E189+'[1]BALANZA G'!E190</f>
        <v>3452282.46</v>
      </c>
      <c r="E588" s="50">
        <f>+C588-D588</f>
        <v>-556353.21999999974</v>
      </c>
      <c r="I588" s="96"/>
      <c r="U588" s="211"/>
    </row>
    <row r="589" spans="2:21" x14ac:dyDescent="0.25">
      <c r="B589" s="115" t="s">
        <v>311</v>
      </c>
      <c r="C589" s="263">
        <f>+'[1]BALANZA G'!C191</f>
        <v>49506589.280000001</v>
      </c>
      <c r="D589" s="264">
        <f>+'[1]BALANZA G'!E191</f>
        <v>27809071.010000002</v>
      </c>
      <c r="E589" s="50">
        <f>+C589-D589</f>
        <v>21697518.27</v>
      </c>
      <c r="I589" s="96"/>
      <c r="U589" s="211"/>
    </row>
    <row r="590" spans="2:21" x14ac:dyDescent="0.25">
      <c r="B590" s="161" t="s">
        <v>312</v>
      </c>
      <c r="C590" s="263">
        <f>+'[1]BALANZA G'!C194+'[1]BALANZA G'!C192</f>
        <v>770491</v>
      </c>
      <c r="D590" s="264">
        <f>+'[1]BALANZA G'!E194+'[1]BALANZA G'!E192</f>
        <v>1422711.58</v>
      </c>
      <c r="E590" s="50">
        <f t="shared" ref="E590:E596" si="6">+C590-D590</f>
        <v>-652220.58000000007</v>
      </c>
      <c r="I590" s="96"/>
      <c r="U590" s="211"/>
    </row>
    <row r="591" spans="2:21" x14ac:dyDescent="0.25">
      <c r="B591" s="161" t="s">
        <v>313</v>
      </c>
      <c r="C591" s="263">
        <f>+'[1]BALANZA G'!C196+'[1]BALANZA G'!C195+'[1]BALANZA G'!C193</f>
        <v>1023705</v>
      </c>
      <c r="D591" s="264">
        <f>+'[1]BALANZA G'!E193+'[1]BALANZA G'!E195+'[1]BALANZA G'!E196</f>
        <v>961300</v>
      </c>
      <c r="E591" s="50">
        <f t="shared" si="6"/>
        <v>62405</v>
      </c>
      <c r="I591" s="96"/>
      <c r="U591" s="211"/>
    </row>
    <row r="592" spans="2:21" x14ac:dyDescent="0.25">
      <c r="B592" s="161" t="s">
        <v>314</v>
      </c>
      <c r="C592" s="263">
        <f>+'[1]BALANZA G'!C198+'[1]BALANZA G'!C197</f>
        <v>136090</v>
      </c>
      <c r="D592" s="264">
        <f>+'[1]BALANZA G'!E198+'[1]BALANZA G'!E197</f>
        <v>1300330.6200000001</v>
      </c>
      <c r="E592" s="50">
        <f t="shared" si="6"/>
        <v>-1164240.6200000001</v>
      </c>
      <c r="I592" s="96"/>
      <c r="U592" s="211"/>
    </row>
    <row r="593" spans="2:26" x14ac:dyDescent="0.25">
      <c r="B593" s="115" t="s">
        <v>315</v>
      </c>
      <c r="C593" s="263">
        <f>+'[1]BALANZA G'!C200+'[1]BALANZA G'!C201+'[1]BALANZA G'!C203+'[1]BALANZA G'!C204+'[1]BALANZA G'!C205+'[1]BALANZA G'!C202</f>
        <v>2781737.04</v>
      </c>
      <c r="D593" s="264">
        <f>+'[1]BALANZA G'!E200+'[1]BALANZA G'!E201+'[1]BALANZA G'!E203+'[1]BALANZA G'!E204+'[1]BALANZA G'!E205+'[1]BALANZA G'!E202</f>
        <v>4066031.77</v>
      </c>
      <c r="E593" s="50">
        <f t="shared" si="6"/>
        <v>-1284294.73</v>
      </c>
      <c r="I593" s="96"/>
      <c r="U593" s="211"/>
    </row>
    <row r="594" spans="2:26" x14ac:dyDescent="0.25">
      <c r="B594" s="115" t="s">
        <v>316</v>
      </c>
      <c r="C594" s="263">
        <f>+'[1]BALANZA G'!C206+'[1]BALANZA G'!C207</f>
        <v>341766.27</v>
      </c>
      <c r="D594" s="264">
        <f>+'[1]BALANZA G'!E207+'[1]BALANZA G'!E206</f>
        <v>137968.4</v>
      </c>
      <c r="E594" s="50">
        <f t="shared" si="6"/>
        <v>203797.87000000002</v>
      </c>
      <c r="I594" s="96"/>
      <c r="U594" s="211"/>
    </row>
    <row r="595" spans="2:26" ht="30" x14ac:dyDescent="0.25">
      <c r="B595" s="161" t="s">
        <v>317</v>
      </c>
      <c r="C595" s="263">
        <f>+'[1]BALANZA G'!C209+'[1]BALANZA G'!C210+'[1]BALANZA G'!C211+'[1]BALANZA G'!C212+'[1]BALANZA G'!C213+'[1]BALANZA G'!C215+'[1]BALANZA G'!C216+'[1]BALANZA G'!C217+'[1]BALANZA G'!C218+'[1]BALANZA G'!C219+'[1]BALANZA G'!C220+'[1]BALANZA G'!C221+'[1]BALANZA G'!C222+'[1]BALANZA G'!C214</f>
        <v>4415709.8500000006</v>
      </c>
      <c r="D595" s="264">
        <f>+'[1]BALANZA G'!E209+'[1]BALANZA G'!E210+'[1]BALANZA G'!E211+'[1]BALANZA G'!E212+'[1]BALANZA G'!E213+'[1]BALANZA G'!E215+'[1]BALANZA G'!E216+'[1]BALANZA G'!E217+'[1]BALANZA G'!E218+'[1]BALANZA G'!E219+'[1]BALANZA G'!E220+'[1]BALANZA G'!E221+'[1]BALANZA G'!E222+'[1]BALANZA G'!E214</f>
        <v>11617485.629999999</v>
      </c>
      <c r="E595" s="50">
        <f t="shared" si="6"/>
        <v>-7201775.7799999984</v>
      </c>
      <c r="I595" s="96"/>
      <c r="U595" s="211"/>
    </row>
    <row r="596" spans="2:26" ht="21.75" customHeight="1" x14ac:dyDescent="0.25">
      <c r="B596" s="161" t="s">
        <v>318</v>
      </c>
      <c r="C596" s="263">
        <f>+'[1]BALANZA G'!C224+'[1]BALANZA G'!C225+'[1]BALANZA G'!C227+'[1]BALANZA G'!C228+'[1]BALANZA G'!C229+'[1]BALANZA G'!C230+'[1]BALANZA G'!C181+'[1]BALANZA G'!C182+'[1]BALANZA G'!C186</f>
        <v>9794505.1199999992</v>
      </c>
      <c r="D596" s="264">
        <f>+'[1]BALANZA G'!E181+'[1]BALANZA G'!E182+'[1]BALANZA G'!E224+'[1]BALANZA G'!E227+'[1]BALANZA G'!E228+'[1]BALANZA G'!E229+'[1]BALANZA G'!E230+'[1]BALANZA G'!E225+'[1]BALANZA G'!E186</f>
        <v>12339154.560000001</v>
      </c>
      <c r="E596" s="265">
        <f t="shared" si="6"/>
        <v>-2544649.4400000013</v>
      </c>
      <c r="I596" s="96"/>
      <c r="U596" s="211"/>
    </row>
    <row r="597" spans="2:26" x14ac:dyDescent="0.25">
      <c r="B597" s="89" t="s">
        <v>319</v>
      </c>
      <c r="C597" s="53">
        <f>SUM(C588:C596)</f>
        <v>71666522.800000012</v>
      </c>
      <c r="D597" s="108">
        <f>SUM(D588:D596)</f>
        <v>63106336.030000001</v>
      </c>
      <c r="E597" s="266">
        <f>SUM(E588:E596)</f>
        <v>8560186.7699999996</v>
      </c>
    </row>
    <row r="598" spans="2:26" ht="8.25" customHeight="1" x14ac:dyDescent="0.25">
      <c r="B598" s="13" t="s">
        <v>168</v>
      </c>
      <c r="C598" s="249">
        <f>+C597-[1]ERF!B22</f>
        <v>0</v>
      </c>
      <c r="J598" s="55"/>
    </row>
    <row r="599" spans="2:26" s="51" customFormat="1" x14ac:dyDescent="0.25">
      <c r="B599" s="103" t="s">
        <v>103</v>
      </c>
      <c r="C599" s="104"/>
      <c r="D599" s="63" t="str">
        <f>IF(E599&gt;=0,"Aumento","Disminución")</f>
        <v>Aumento</v>
      </c>
      <c r="E599" s="94">
        <f>+E597/D597</f>
        <v>0.13564702545764326</v>
      </c>
      <c r="J599" s="3"/>
      <c r="N599" s="55"/>
      <c r="R599" s="56"/>
      <c r="S599" s="56"/>
      <c r="T599" s="56"/>
      <c r="U599" s="56"/>
      <c r="V599" s="56"/>
      <c r="W599" s="56"/>
      <c r="X599" s="56"/>
      <c r="Y599" s="56"/>
      <c r="Z599" s="55"/>
    </row>
    <row r="600" spans="2:26" s="51" customFormat="1" x14ac:dyDescent="0.25">
      <c r="B600" s="68"/>
      <c r="C600" s="68"/>
      <c r="D600" s="66"/>
      <c r="E600" s="69"/>
      <c r="J600" s="3"/>
      <c r="N600" s="55"/>
      <c r="R600" s="56"/>
      <c r="S600" s="56"/>
      <c r="T600" s="56"/>
      <c r="U600" s="56"/>
      <c r="V600" s="56"/>
      <c r="W600" s="56"/>
      <c r="X600" s="56"/>
      <c r="Y600" s="56"/>
      <c r="Z600" s="55"/>
    </row>
    <row r="601" spans="2:26" s="51" customFormat="1" x14ac:dyDescent="0.25">
      <c r="B601" s="68"/>
      <c r="C601" s="68"/>
      <c r="D601" s="66"/>
      <c r="E601" s="69"/>
      <c r="J601" s="3"/>
      <c r="N601" s="55"/>
      <c r="R601" s="56"/>
      <c r="S601" s="56"/>
      <c r="T601" s="56"/>
      <c r="U601" s="56"/>
      <c r="V601" s="56"/>
      <c r="W601" s="56"/>
      <c r="X601" s="56"/>
      <c r="Y601" s="56"/>
      <c r="Z601" s="55"/>
    </row>
    <row r="602" spans="2:26" ht="10.5" customHeight="1" x14ac:dyDescent="0.25">
      <c r="B602" s="68"/>
      <c r="C602" s="68"/>
      <c r="D602" s="261"/>
      <c r="E602" s="69"/>
    </row>
    <row r="603" spans="2:26" x14ac:dyDescent="0.25">
      <c r="B603" s="71" t="s">
        <v>320</v>
      </c>
    </row>
    <row r="604" spans="2:26" ht="21" customHeight="1" x14ac:dyDescent="0.25">
      <c r="B604" s="71" t="s">
        <v>321</v>
      </c>
    </row>
    <row r="605" spans="2:26" ht="30" customHeight="1" x14ac:dyDescent="0.25">
      <c r="B605" s="14" t="str">
        <f>("Un detalle del "&amp;B604&amp;" al "&amp;[1]BALANZA!$B$3&amp;" "&amp;[1]BALANZA!$C$3&amp;" es como se detalla a continuación:")</f>
        <v>Un detalle del Gastos Financieros  al 31 de diciembre del 2022 - 2021 es como se detalla a continuación:</v>
      </c>
      <c r="C605" s="37"/>
      <c r="D605" s="37"/>
      <c r="E605" s="37"/>
    </row>
    <row r="606" spans="2:26" ht="6.75" customHeight="1" x14ac:dyDescent="0.25">
      <c r="B606" s="2"/>
    </row>
    <row r="607" spans="2:26" ht="13.5" customHeight="1" x14ac:dyDescent="0.25">
      <c r="B607" s="2"/>
    </row>
    <row r="608" spans="2:26" x14ac:dyDescent="0.25">
      <c r="B608" s="41" t="str">
        <f>+B587</f>
        <v>PARTIDA</v>
      </c>
      <c r="C608" s="267">
        <f>+C587</f>
        <v>2022</v>
      </c>
      <c r="D608" s="267">
        <f>+D587</f>
        <v>2021</v>
      </c>
      <c r="E608" s="206" t="s">
        <v>217</v>
      </c>
    </row>
    <row r="609" spans="2:26" x14ac:dyDescent="0.25">
      <c r="B609" s="161" t="s">
        <v>322</v>
      </c>
      <c r="C609" s="43">
        <f>+'[1]BALANZA G'!C226</f>
        <v>820190.61</v>
      </c>
      <c r="D609" s="46">
        <f>+'[1]BALANZA G'!E226</f>
        <v>1332758.1100000001</v>
      </c>
      <c r="E609" s="50">
        <f>+C609-D609</f>
        <v>-512567.50000000012</v>
      </c>
    </row>
    <row r="610" spans="2:26" x14ac:dyDescent="0.25">
      <c r="B610" s="161" t="s">
        <v>323</v>
      </c>
      <c r="C610" s="43">
        <f>+'[1]BALANZA G'!C231</f>
        <v>0</v>
      </c>
      <c r="D610" s="46">
        <f>+'[1]BALANZA G'!E231</f>
        <v>0</v>
      </c>
      <c r="E610" s="50">
        <f>+C610-D610</f>
        <v>0</v>
      </c>
    </row>
    <row r="611" spans="2:26" x14ac:dyDescent="0.25">
      <c r="B611" s="247" t="s">
        <v>324</v>
      </c>
      <c r="C611" s="53">
        <f>SUM(C609:C610)</f>
        <v>820190.61</v>
      </c>
      <c r="D611" s="99">
        <f>SUM(D609:D610)</f>
        <v>1332758.1100000001</v>
      </c>
      <c r="E611" s="53">
        <f>SUM(E609:E610)</f>
        <v>-512567.50000000012</v>
      </c>
    </row>
    <row r="612" spans="2:26" x14ac:dyDescent="0.25">
      <c r="B612" s="268"/>
      <c r="C612" s="91">
        <f>+C611-[1]ERF!B23</f>
        <v>0</v>
      </c>
      <c r="D612" s="92"/>
      <c r="E612" s="93"/>
      <c r="J612" s="55"/>
    </row>
    <row r="613" spans="2:26" s="51" customFormat="1" x14ac:dyDescent="0.25">
      <c r="B613" s="103" t="s">
        <v>103</v>
      </c>
      <c r="C613" s="104"/>
      <c r="D613" s="63" t="str">
        <f>IF(E613&gt;=0,"Aumento","Disminución")</f>
        <v>Disminución</v>
      </c>
      <c r="E613" s="94">
        <f>+E611/D611</f>
        <v>-0.38459154452265915</v>
      </c>
      <c r="J613" s="3"/>
      <c r="N613" s="55"/>
      <c r="R613" s="56"/>
      <c r="S613" s="56"/>
      <c r="T613" s="56"/>
      <c r="U613" s="56"/>
      <c r="V613" s="56"/>
      <c r="W613" s="56"/>
      <c r="X613" s="56"/>
      <c r="Y613" s="56"/>
      <c r="Z613" s="55"/>
    </row>
    <row r="614" spans="2:26" x14ac:dyDescent="0.25">
      <c r="B614" s="68"/>
      <c r="C614" s="68"/>
      <c r="D614" s="261"/>
      <c r="E614" s="69"/>
    </row>
    <row r="615" spans="2:26" x14ac:dyDescent="0.25">
      <c r="B615" s="68"/>
      <c r="C615" s="68"/>
      <c r="D615" s="261"/>
      <c r="E615" s="69"/>
    </row>
    <row r="616" spans="2:26" x14ac:dyDescent="0.25">
      <c r="B616" s="71" t="s">
        <v>325</v>
      </c>
      <c r="C616" s="68"/>
      <c r="D616" s="261"/>
      <c r="E616" s="69"/>
    </row>
    <row r="617" spans="2:26" x14ac:dyDescent="0.25">
      <c r="B617" s="71" t="s">
        <v>326</v>
      </c>
      <c r="C617" s="68"/>
      <c r="D617" s="261"/>
      <c r="E617" s="69"/>
    </row>
    <row r="618" spans="2:26" ht="15" customHeight="1" x14ac:dyDescent="0.25">
      <c r="B618" s="14" t="str">
        <f>("Un detalle de "&amp;B617&amp;" al "&amp;[1]BALANZA!$B$3&amp;" "&amp;[1]BALANZA!$C$3&amp;" es como se detalla a continuación:")</f>
        <v>Un detalle de Compromisos y contingencias al 31 de diciembre del 2022 - 2021 es como se detalla a continuación:</v>
      </c>
      <c r="C618" s="37"/>
      <c r="D618" s="37"/>
      <c r="E618" s="37"/>
    </row>
    <row r="619" spans="2:26" ht="41.25" customHeight="1" x14ac:dyDescent="0.25">
      <c r="B619" s="20" t="str">
        <f>("La facturación historica no cobrada a la fecha de corte, para el "&amp;C621&amp;" presenta un monto de RD$"&amp;R624&amp;" y para el "&amp;D621&amp;" presenta un monto de RD$"&amp;R625&amp;"." )</f>
        <v>La facturación historica no cobrada a la fecha de corte, para el 2022 presenta un monto de RD$482,811,880.65 y para el 2021 presenta un monto de RD$453,841,689.00.</v>
      </c>
      <c r="C619" s="20"/>
      <c r="D619" s="20"/>
      <c r="E619" s="20"/>
    </row>
    <row r="620" spans="2:26" ht="13.5" customHeight="1" x14ac:dyDescent="0.25">
      <c r="B620" s="20"/>
      <c r="C620" s="20"/>
      <c r="D620" s="20"/>
      <c r="E620" s="20"/>
    </row>
    <row r="621" spans="2:26" x14ac:dyDescent="0.25">
      <c r="B621" s="267" t="str">
        <f>+B608</f>
        <v>PARTIDA</v>
      </c>
      <c r="C621" s="267">
        <f>+C608</f>
        <v>2022</v>
      </c>
      <c r="D621" s="267">
        <f>+D608</f>
        <v>2021</v>
      </c>
      <c r="E621" s="206" t="s">
        <v>217</v>
      </c>
    </row>
    <row r="622" spans="2:26" x14ac:dyDescent="0.25">
      <c r="B622" s="161" t="s">
        <v>327</v>
      </c>
      <c r="C622" s="43">
        <f>+C637</f>
        <v>3830758</v>
      </c>
      <c r="D622" s="43">
        <f>+D637</f>
        <v>7909235</v>
      </c>
      <c r="E622" s="50">
        <f>+C622-D622</f>
        <v>-4078477</v>
      </c>
    </row>
    <row r="623" spans="2:26" x14ac:dyDescent="0.25">
      <c r="B623" s="161" t="s">
        <v>328</v>
      </c>
      <c r="C623" s="43">
        <f>+C648-C622</f>
        <v>478981122.64999998</v>
      </c>
      <c r="D623" s="43">
        <f>+D648-D622</f>
        <v>445932454</v>
      </c>
      <c r="E623" s="50">
        <f>+C623-D623</f>
        <v>33048668.649999976</v>
      </c>
    </row>
    <row r="624" spans="2:26" x14ac:dyDescent="0.25">
      <c r="B624" s="247" t="s">
        <v>329</v>
      </c>
      <c r="C624" s="53">
        <f>SUM(C622:C623)</f>
        <v>482811880.64999998</v>
      </c>
      <c r="D624" s="53">
        <f>SUM(D622:D623)</f>
        <v>453841689</v>
      </c>
      <c r="E624" s="53">
        <f>SUM(E622:E623)</f>
        <v>28970191.649999976</v>
      </c>
      <c r="R624" s="4" t="str">
        <f>+CONCATENATE(S624,",",T624,",",U624,V624,AB624)</f>
        <v>482,811,880.65</v>
      </c>
      <c r="S624" s="4" t="str">
        <f>MID(C624,1,3)</f>
        <v>482</v>
      </c>
      <c r="T624" s="4" t="str">
        <f>MID(C624,4,3)</f>
        <v>811</v>
      </c>
      <c r="U624" s="4" t="str">
        <f>MID(C624,7,3)</f>
        <v>880</v>
      </c>
      <c r="V624" s="4" t="str">
        <f>MID(C624,10,3)</f>
        <v>.65</v>
      </c>
    </row>
    <row r="625" spans="2:26" x14ac:dyDescent="0.25">
      <c r="B625" s="268"/>
      <c r="C625" s="91"/>
      <c r="D625" s="92"/>
      <c r="E625" s="93"/>
      <c r="J625" s="55"/>
      <c r="R625" s="4" t="str">
        <f>+CONCATENATE(S625,",",T625,",",U625,V625,AB625,".00")</f>
        <v>453,841,689.00</v>
      </c>
      <c r="S625" s="4" t="str">
        <f>MID(D624,1,3)</f>
        <v>453</v>
      </c>
      <c r="T625" s="4" t="str">
        <f>MID(D624,4,3)</f>
        <v>841</v>
      </c>
      <c r="U625" s="4" t="str">
        <f>MID(D624,7,3)</f>
        <v>689</v>
      </c>
      <c r="V625" s="4" t="str">
        <f>MID(D624,10,3)</f>
        <v/>
      </c>
    </row>
    <row r="626" spans="2:26" s="51" customFormat="1" x14ac:dyDescent="0.25">
      <c r="B626" s="103" t="s">
        <v>103</v>
      </c>
      <c r="C626" s="104"/>
      <c r="D626" s="269" t="str">
        <f>IF(E626&gt;=0,"Aumento","Disminución")</f>
        <v>Aumento</v>
      </c>
      <c r="E626" s="270">
        <f>IFERROR((+E624/D624),0)</f>
        <v>6.3833253648057822E-2</v>
      </c>
      <c r="J626" s="3"/>
      <c r="N626" s="55"/>
      <c r="R626" s="56"/>
      <c r="S626" s="56"/>
      <c r="T626" s="56"/>
      <c r="U626" s="56"/>
      <c r="V626" s="56"/>
      <c r="W626" s="56"/>
      <c r="X626" s="56"/>
      <c r="Y626" s="56"/>
      <c r="Z626" s="55"/>
    </row>
    <row r="627" spans="2:26" ht="13.5" customHeight="1" x14ac:dyDescent="0.25">
      <c r="B627" s="16"/>
      <c r="C627" s="16"/>
      <c r="D627" s="16"/>
      <c r="E627" s="16"/>
    </row>
    <row r="628" spans="2:26" ht="13.5" customHeight="1" x14ac:dyDescent="0.25">
      <c r="B628" s="16"/>
      <c r="C628" s="16"/>
      <c r="D628" s="16"/>
      <c r="E628" s="16"/>
    </row>
    <row r="629" spans="2:26" ht="14.25" customHeight="1" x14ac:dyDescent="0.25"/>
    <row r="630" spans="2:26" ht="14.25" customHeight="1" x14ac:dyDescent="0.25"/>
    <row r="631" spans="2:26" ht="70.5" customHeight="1" x14ac:dyDescent="0.25">
      <c r="B631" s="271" t="s">
        <v>330</v>
      </c>
      <c r="C631" s="271"/>
      <c r="D631" s="271"/>
      <c r="E631" s="271"/>
    </row>
    <row r="632" spans="2:26" s="5" customFormat="1" ht="42.75" customHeight="1" x14ac:dyDescent="0.2">
      <c r="B632" s="272" t="str">
        <f>("La informacion de  Cuentas por Cobrar según el Sistema Comercial al "&amp;[1]BALANZA!B3&amp;" "&amp;[1]BALANZA!C3&amp;" se detalla a continuación")</f>
        <v>La informacion de  Cuentas por Cobrar según el Sistema Comercial al 31 de diciembre del 2022 - 2021 se detalla a continuación</v>
      </c>
      <c r="C632" s="272"/>
      <c r="D632" s="272"/>
      <c r="E632" s="272"/>
      <c r="J632" s="6"/>
      <c r="N632" s="6"/>
      <c r="R632" s="273"/>
      <c r="S632" s="273"/>
      <c r="T632" s="273"/>
      <c r="U632" s="273"/>
      <c r="V632" s="273"/>
      <c r="W632" s="273"/>
      <c r="X632" s="273"/>
      <c r="Y632" s="273"/>
      <c r="Z632" s="6"/>
    </row>
    <row r="633" spans="2:26" x14ac:dyDescent="0.25">
      <c r="B633" s="206" t="str">
        <f>+B621</f>
        <v>PARTIDA</v>
      </c>
      <c r="C633" s="206">
        <f>+C621</f>
        <v>2022</v>
      </c>
      <c r="D633" s="206">
        <f>+D621</f>
        <v>2021</v>
      </c>
      <c r="E633" s="274"/>
    </row>
    <row r="634" spans="2:26" x14ac:dyDescent="0.25">
      <c r="B634" s="224" t="s">
        <v>331</v>
      </c>
      <c r="C634" s="275"/>
      <c r="D634" s="276"/>
    </row>
    <row r="635" spans="2:26" x14ac:dyDescent="0.25">
      <c r="B635" s="224" t="s">
        <v>332</v>
      </c>
      <c r="C635" s="275">
        <v>236682</v>
      </c>
      <c r="D635" s="277">
        <v>235712</v>
      </c>
    </row>
    <row r="636" spans="2:26" x14ac:dyDescent="0.25">
      <c r="B636" s="224" t="s">
        <v>333</v>
      </c>
      <c r="C636" s="275"/>
      <c r="D636" s="277">
        <v>1210</v>
      </c>
    </row>
    <row r="637" spans="2:26" x14ac:dyDescent="0.25">
      <c r="B637" s="224" t="s">
        <v>334</v>
      </c>
      <c r="C637" s="275">
        <f>3010964+819794</f>
        <v>3830758</v>
      </c>
      <c r="D637" s="277">
        <f>7130810+778425</f>
        <v>7909235</v>
      </c>
    </row>
    <row r="638" spans="2:26" x14ac:dyDescent="0.25">
      <c r="B638" s="224" t="s">
        <v>335</v>
      </c>
      <c r="C638" s="275">
        <v>1107021</v>
      </c>
      <c r="D638" s="277">
        <v>869044</v>
      </c>
    </row>
    <row r="639" spans="2:26" x14ac:dyDescent="0.25">
      <c r="B639" s="224" t="s">
        <v>336</v>
      </c>
      <c r="C639" s="275">
        <v>678732</v>
      </c>
      <c r="D639" s="277">
        <v>920884</v>
      </c>
    </row>
    <row r="640" spans="2:26" x14ac:dyDescent="0.25">
      <c r="B640" s="278" t="s">
        <v>337</v>
      </c>
      <c r="C640" s="279">
        <f>SUM(C635:C639)</f>
        <v>5853193</v>
      </c>
      <c r="D640" s="279">
        <f>SUM(D635:D639)</f>
        <v>9936085</v>
      </c>
    </row>
    <row r="641" spans="2:5" x14ac:dyDescent="0.25">
      <c r="B641" s="224" t="s">
        <v>332</v>
      </c>
      <c r="C641" s="275">
        <v>19427133</v>
      </c>
      <c r="D641" s="277">
        <f>14368305</f>
        <v>14368305</v>
      </c>
    </row>
    <row r="642" spans="2:5" x14ac:dyDescent="0.25">
      <c r="B642" s="224" t="s">
        <v>333</v>
      </c>
      <c r="C642" s="275">
        <v>80619</v>
      </c>
      <c r="D642" s="277">
        <v>68295</v>
      </c>
    </row>
    <row r="643" spans="2:5" x14ac:dyDescent="0.25">
      <c r="B643" s="224" t="s">
        <v>338</v>
      </c>
      <c r="C643" s="275">
        <v>138527</v>
      </c>
      <c r="D643" s="277">
        <v>63646</v>
      </c>
    </row>
    <row r="644" spans="2:5" x14ac:dyDescent="0.25">
      <c r="B644" s="224" t="s">
        <v>339</v>
      </c>
      <c r="C644" s="275">
        <v>3369224</v>
      </c>
      <c r="D644" s="277">
        <v>3352009</v>
      </c>
    </row>
    <row r="645" spans="2:5" x14ac:dyDescent="0.25">
      <c r="B645" s="224" t="s">
        <v>335</v>
      </c>
      <c r="C645" s="275">
        <v>165136048.46000001</v>
      </c>
      <c r="D645" s="277">
        <v>133132858</v>
      </c>
    </row>
    <row r="646" spans="2:5" x14ac:dyDescent="0.25">
      <c r="B646" s="224" t="s">
        <v>336</v>
      </c>
      <c r="C646" s="275">
        <v>288807136.19</v>
      </c>
      <c r="D646" s="277">
        <v>292920491</v>
      </c>
    </row>
    <row r="647" spans="2:5" x14ac:dyDescent="0.25">
      <c r="B647" s="278" t="s">
        <v>340</v>
      </c>
      <c r="C647" s="279">
        <f>SUM(C641:C646)</f>
        <v>476958687.64999998</v>
      </c>
      <c r="D647" s="279">
        <f>SUM(D641:D646)</f>
        <v>443905604</v>
      </c>
    </row>
    <row r="648" spans="2:5" x14ac:dyDescent="0.25">
      <c r="B648" s="278" t="s">
        <v>341</v>
      </c>
      <c r="C648" s="279">
        <f>+C640+C647</f>
        <v>482811880.64999998</v>
      </c>
      <c r="D648" s="279">
        <f>+D640+D647</f>
        <v>453841689</v>
      </c>
    </row>
    <row r="649" spans="2:5" x14ac:dyDescent="0.25">
      <c r="B649" s="280"/>
      <c r="E649" s="274"/>
    </row>
    <row r="650" spans="2:5" x14ac:dyDescent="0.25">
      <c r="B650" s="280"/>
      <c r="C650" s="281"/>
      <c r="E650" s="282"/>
    </row>
    <row r="651" spans="2:5" x14ac:dyDescent="0.25">
      <c r="B651" s="280"/>
      <c r="E651" s="282"/>
    </row>
    <row r="652" spans="2:5" x14ac:dyDescent="0.25">
      <c r="B652" s="280"/>
      <c r="E652" s="274"/>
    </row>
    <row r="653" spans="2:5" x14ac:dyDescent="0.25">
      <c r="B653" s="280"/>
      <c r="E653" s="274"/>
    </row>
    <row r="654" spans="2:5" x14ac:dyDescent="0.25">
      <c r="B654" s="280"/>
      <c r="E654" s="282"/>
    </row>
    <row r="655" spans="2:5" x14ac:dyDescent="0.25">
      <c r="B655" s="280"/>
      <c r="E655" s="274"/>
    </row>
    <row r="656" spans="2:5" x14ac:dyDescent="0.25">
      <c r="B656" s="280"/>
      <c r="E656" s="274"/>
    </row>
    <row r="657" spans="2:5" x14ac:dyDescent="0.25">
      <c r="B657" s="280"/>
      <c r="E657" s="274"/>
    </row>
    <row r="658" spans="2:5" x14ac:dyDescent="0.25">
      <c r="B658" s="280"/>
      <c r="E658" s="274"/>
    </row>
    <row r="659" spans="2:5" x14ac:dyDescent="0.25">
      <c r="B659" s="280"/>
      <c r="E659" s="274"/>
    </row>
    <row r="660" spans="2:5" x14ac:dyDescent="0.25">
      <c r="B660" s="280"/>
      <c r="E660" s="274"/>
    </row>
    <row r="661" spans="2:5" x14ac:dyDescent="0.25">
      <c r="B661" s="280"/>
      <c r="E661" s="274"/>
    </row>
    <row r="662" spans="2:5" x14ac:dyDescent="0.25">
      <c r="B662" s="280"/>
      <c r="E662" s="274"/>
    </row>
    <row r="663" spans="2:5" x14ac:dyDescent="0.25">
      <c r="B663" s="280"/>
      <c r="E663" s="274"/>
    </row>
    <row r="664" spans="2:5" x14ac:dyDescent="0.25">
      <c r="B664" s="280"/>
      <c r="E664" s="274"/>
    </row>
    <row r="665" spans="2:5" x14ac:dyDescent="0.25">
      <c r="B665" s="280"/>
      <c r="E665" s="274"/>
    </row>
    <row r="666" spans="2:5" x14ac:dyDescent="0.25">
      <c r="B666" s="280"/>
      <c r="E666" s="274"/>
    </row>
    <row r="667" spans="2:5" x14ac:dyDescent="0.25">
      <c r="B667" s="280"/>
      <c r="E667" s="274"/>
    </row>
    <row r="668" spans="2:5" x14ac:dyDescent="0.25">
      <c r="B668" s="280"/>
      <c r="E668" s="274"/>
    </row>
    <row r="669" spans="2:5" x14ac:dyDescent="0.25">
      <c r="B669" s="280"/>
      <c r="E669" s="274"/>
    </row>
    <row r="670" spans="2:5" x14ac:dyDescent="0.25">
      <c r="B670" s="280"/>
      <c r="E670" s="274"/>
    </row>
    <row r="671" spans="2:5" x14ac:dyDescent="0.25">
      <c r="B671" s="280"/>
      <c r="E671" s="274"/>
    </row>
    <row r="672" spans="2:5" x14ac:dyDescent="0.25">
      <c r="B672" s="280"/>
      <c r="E672" s="274"/>
    </row>
    <row r="673" spans="2:5" x14ac:dyDescent="0.25">
      <c r="B673" s="280"/>
      <c r="E673" s="274"/>
    </row>
    <row r="674" spans="2:5" x14ac:dyDescent="0.25">
      <c r="B674" s="280"/>
      <c r="E674" s="274"/>
    </row>
    <row r="675" spans="2:5" x14ac:dyDescent="0.25">
      <c r="B675" s="280"/>
      <c r="E675" s="274"/>
    </row>
    <row r="676" spans="2:5" x14ac:dyDescent="0.25">
      <c r="B676" s="280"/>
      <c r="E676" s="274"/>
    </row>
    <row r="677" spans="2:5" x14ac:dyDescent="0.25">
      <c r="B677" s="280"/>
      <c r="E677" s="274"/>
    </row>
    <row r="678" spans="2:5" x14ac:dyDescent="0.25">
      <c r="B678" s="280"/>
      <c r="E678" s="274"/>
    </row>
    <row r="679" spans="2:5" x14ac:dyDescent="0.25">
      <c r="B679" s="280"/>
      <c r="E679" s="274"/>
    </row>
    <row r="680" spans="2:5" x14ac:dyDescent="0.25">
      <c r="B680" s="280"/>
      <c r="E680" s="274"/>
    </row>
    <row r="681" spans="2:5" x14ac:dyDescent="0.25">
      <c r="B681" s="280"/>
      <c r="E681" s="274"/>
    </row>
    <row r="682" spans="2:5" x14ac:dyDescent="0.25">
      <c r="B682" s="280"/>
      <c r="E682" s="274"/>
    </row>
    <row r="683" spans="2:5" x14ac:dyDescent="0.25">
      <c r="B683" s="280"/>
      <c r="E683" s="274"/>
    </row>
    <row r="684" spans="2:5" x14ac:dyDescent="0.25">
      <c r="B684" s="280"/>
      <c r="E684" s="274"/>
    </row>
    <row r="685" spans="2:5" x14ac:dyDescent="0.25">
      <c r="B685" s="280"/>
      <c r="E685" s="274"/>
    </row>
    <row r="686" spans="2:5" x14ac:dyDescent="0.25">
      <c r="B686" s="280"/>
      <c r="E686" s="274"/>
    </row>
    <row r="687" spans="2:5" x14ac:dyDescent="0.25">
      <c r="B687" s="280"/>
      <c r="E687" s="274"/>
    </row>
    <row r="688" spans="2:5" ht="15" customHeight="1" x14ac:dyDescent="0.25">
      <c r="B688" s="280"/>
      <c r="E688" s="274"/>
    </row>
    <row r="689" spans="2:3" x14ac:dyDescent="0.25">
      <c r="B689" s="280"/>
    </row>
    <row r="690" spans="2:3" x14ac:dyDescent="0.25">
      <c r="C690" s="3"/>
    </row>
    <row r="693" spans="2:3" x14ac:dyDescent="0.25">
      <c r="B693" s="280"/>
    </row>
    <row r="695" spans="2:3" x14ac:dyDescent="0.25">
      <c r="B695" s="280"/>
    </row>
    <row r="696" spans="2:3" x14ac:dyDescent="0.25">
      <c r="B696" s="280"/>
    </row>
    <row r="697" spans="2:3" x14ac:dyDescent="0.25">
      <c r="B697" s="280"/>
    </row>
    <row r="698" spans="2:3" x14ac:dyDescent="0.25">
      <c r="B698" s="280"/>
    </row>
    <row r="699" spans="2:3" x14ac:dyDescent="0.25">
      <c r="B699" s="280"/>
    </row>
    <row r="700" spans="2:3" x14ac:dyDescent="0.25">
      <c r="B700" s="280"/>
    </row>
    <row r="701" spans="2:3" x14ac:dyDescent="0.25">
      <c r="B701" s="280"/>
    </row>
    <row r="702" spans="2:3" x14ac:dyDescent="0.25">
      <c r="B702" s="280"/>
    </row>
    <row r="703" spans="2:3" x14ac:dyDescent="0.25">
      <c r="B703" s="280"/>
    </row>
    <row r="704" spans="2:3" x14ac:dyDescent="0.25">
      <c r="B704" s="280"/>
    </row>
    <row r="705" spans="2:2" x14ac:dyDescent="0.25">
      <c r="B705" s="280"/>
    </row>
    <row r="706" spans="2:2" x14ac:dyDescent="0.25">
      <c r="B706" s="280"/>
    </row>
    <row r="707" spans="2:2" x14ac:dyDescent="0.25">
      <c r="B707" s="280"/>
    </row>
    <row r="708" spans="2:2" x14ac:dyDescent="0.25">
      <c r="B708" s="280"/>
    </row>
    <row r="709" spans="2:2" x14ac:dyDescent="0.25">
      <c r="B709" s="280"/>
    </row>
    <row r="710" spans="2:2" x14ac:dyDescent="0.25">
      <c r="B710" s="280"/>
    </row>
    <row r="711" spans="2:2" x14ac:dyDescent="0.25">
      <c r="B711" s="280"/>
    </row>
    <row r="712" spans="2:2" x14ac:dyDescent="0.25">
      <c r="B712" s="280"/>
    </row>
    <row r="713" spans="2:2" x14ac:dyDescent="0.25">
      <c r="B713" s="280"/>
    </row>
    <row r="714" spans="2:2" x14ac:dyDescent="0.25">
      <c r="B714" s="280"/>
    </row>
    <row r="715" spans="2:2" x14ac:dyDescent="0.25">
      <c r="B715" s="280"/>
    </row>
    <row r="716" spans="2:2" x14ac:dyDescent="0.25">
      <c r="B716" s="280"/>
    </row>
    <row r="717" spans="2:2" x14ac:dyDescent="0.25">
      <c r="B717" s="280"/>
    </row>
    <row r="718" spans="2:2" x14ac:dyDescent="0.25">
      <c r="B718" s="280"/>
    </row>
    <row r="719" spans="2:2" x14ac:dyDescent="0.25">
      <c r="B719" s="280"/>
    </row>
    <row r="720" spans="2:2" x14ac:dyDescent="0.25">
      <c r="B720" s="280"/>
    </row>
    <row r="721" spans="2:2" x14ac:dyDescent="0.25">
      <c r="B721" s="280"/>
    </row>
    <row r="722" spans="2:2" x14ac:dyDescent="0.25">
      <c r="B722" s="280"/>
    </row>
    <row r="723" spans="2:2" x14ac:dyDescent="0.25">
      <c r="B723" s="280"/>
    </row>
    <row r="724" spans="2:2" x14ac:dyDescent="0.25">
      <c r="B724" s="280"/>
    </row>
    <row r="725" spans="2:2" x14ac:dyDescent="0.25">
      <c r="B725" s="280"/>
    </row>
    <row r="726" spans="2:2" x14ac:dyDescent="0.25">
      <c r="B726" s="280"/>
    </row>
    <row r="727" spans="2:2" x14ac:dyDescent="0.25">
      <c r="B727" s="280"/>
    </row>
    <row r="728" spans="2:2" x14ac:dyDescent="0.25">
      <c r="B728" s="280"/>
    </row>
    <row r="729" spans="2:2" x14ac:dyDescent="0.25">
      <c r="B729" s="280"/>
    </row>
    <row r="730" spans="2:2" x14ac:dyDescent="0.25">
      <c r="B730" s="280"/>
    </row>
    <row r="731" spans="2:2" x14ac:dyDescent="0.25">
      <c r="B731" s="280"/>
    </row>
    <row r="732" spans="2:2" x14ac:dyDescent="0.25">
      <c r="B732" s="280"/>
    </row>
    <row r="733" spans="2:2" x14ac:dyDescent="0.25">
      <c r="B733" s="280"/>
    </row>
    <row r="734" spans="2:2" x14ac:dyDescent="0.25">
      <c r="B734" s="280"/>
    </row>
    <row r="735" spans="2:2" x14ac:dyDescent="0.25">
      <c r="B735" s="280"/>
    </row>
    <row r="736" spans="2:2" x14ac:dyDescent="0.25">
      <c r="B736" s="280"/>
    </row>
    <row r="737" spans="2:2" x14ac:dyDescent="0.25">
      <c r="B737" s="280"/>
    </row>
    <row r="738" spans="2:2" x14ac:dyDescent="0.25">
      <c r="B738" s="280"/>
    </row>
    <row r="739" spans="2:2" x14ac:dyDescent="0.25">
      <c r="B739" s="280"/>
    </row>
    <row r="740" spans="2:2" x14ac:dyDescent="0.25">
      <c r="B740" s="280"/>
    </row>
    <row r="741" spans="2:2" x14ac:dyDescent="0.25">
      <c r="B741" s="280"/>
    </row>
    <row r="742" spans="2:2" x14ac:dyDescent="0.25">
      <c r="B742" s="280"/>
    </row>
    <row r="743" spans="2:2" x14ac:dyDescent="0.25">
      <c r="B743" s="280"/>
    </row>
    <row r="744" spans="2:2" x14ac:dyDescent="0.25">
      <c r="B744" s="280"/>
    </row>
    <row r="745" spans="2:2" x14ac:dyDescent="0.25">
      <c r="B745" s="280"/>
    </row>
    <row r="746" spans="2:2" x14ac:dyDescent="0.25">
      <c r="B746" s="280"/>
    </row>
    <row r="747" spans="2:2" x14ac:dyDescent="0.25">
      <c r="B747" s="280"/>
    </row>
    <row r="748" spans="2:2" x14ac:dyDescent="0.25">
      <c r="B748" s="280"/>
    </row>
    <row r="749" spans="2:2" x14ac:dyDescent="0.25">
      <c r="B749" s="280"/>
    </row>
    <row r="750" spans="2:2" x14ac:dyDescent="0.25">
      <c r="B750" s="280"/>
    </row>
    <row r="751" spans="2:2" x14ac:dyDescent="0.25">
      <c r="B751" s="280"/>
    </row>
    <row r="752" spans="2:2" x14ac:dyDescent="0.25">
      <c r="B752" s="280"/>
    </row>
    <row r="753" spans="2:2" x14ac:dyDescent="0.25">
      <c r="B753" s="280"/>
    </row>
    <row r="754" spans="2:2" x14ac:dyDescent="0.25">
      <c r="B754" s="280"/>
    </row>
    <row r="755" spans="2:2" x14ac:dyDescent="0.25">
      <c r="B755" s="280"/>
    </row>
    <row r="756" spans="2:2" x14ac:dyDescent="0.25">
      <c r="B756" s="280"/>
    </row>
    <row r="757" spans="2:2" x14ac:dyDescent="0.25">
      <c r="B757" s="280"/>
    </row>
    <row r="758" spans="2:2" x14ac:dyDescent="0.25">
      <c r="B758" s="280"/>
    </row>
    <row r="759" spans="2:2" x14ac:dyDescent="0.25">
      <c r="B759" s="280"/>
    </row>
    <row r="760" spans="2:2" x14ac:dyDescent="0.25">
      <c r="B760" s="280"/>
    </row>
    <row r="761" spans="2:2" x14ac:dyDescent="0.25">
      <c r="B761" s="280"/>
    </row>
    <row r="762" spans="2:2" x14ac:dyDescent="0.25">
      <c r="B762" s="280"/>
    </row>
    <row r="763" spans="2:2" x14ac:dyDescent="0.25">
      <c r="B763" s="280"/>
    </row>
    <row r="764" spans="2:2" x14ac:dyDescent="0.25">
      <c r="B764" s="280"/>
    </row>
    <row r="765" spans="2:2" x14ac:dyDescent="0.25">
      <c r="B765" s="280"/>
    </row>
    <row r="766" spans="2:2" x14ac:dyDescent="0.25">
      <c r="B766" s="280"/>
    </row>
    <row r="767" spans="2:2" x14ac:dyDescent="0.25">
      <c r="B767" s="280"/>
    </row>
  </sheetData>
  <mergeCells count="138">
    <mergeCell ref="B618:E618"/>
    <mergeCell ref="B619:E619"/>
    <mergeCell ref="B620:E620"/>
    <mergeCell ref="B626:C626"/>
    <mergeCell ref="B631:E631"/>
    <mergeCell ref="B632:E632"/>
    <mergeCell ref="B567:E567"/>
    <mergeCell ref="B575:C575"/>
    <mergeCell ref="B585:E585"/>
    <mergeCell ref="B599:C599"/>
    <mergeCell ref="B605:E605"/>
    <mergeCell ref="B613:C613"/>
    <mergeCell ref="B509:E509"/>
    <mergeCell ref="B523:C523"/>
    <mergeCell ref="B538:E538"/>
    <mergeCell ref="B545:C545"/>
    <mergeCell ref="B550:E550"/>
    <mergeCell ref="B562:C562"/>
    <mergeCell ref="B470:E470"/>
    <mergeCell ref="C472:D472"/>
    <mergeCell ref="B479:C479"/>
    <mergeCell ref="B481:E481"/>
    <mergeCell ref="B482:E482"/>
    <mergeCell ref="B508:E508"/>
    <mergeCell ref="B446:E446"/>
    <mergeCell ref="B455:E455"/>
    <mergeCell ref="B456:E456"/>
    <mergeCell ref="C458:D458"/>
    <mergeCell ref="B464:C464"/>
    <mergeCell ref="B469:E469"/>
    <mergeCell ref="B416:E416"/>
    <mergeCell ref="B417:E417"/>
    <mergeCell ref="B430:C430"/>
    <mergeCell ref="B435:E435"/>
    <mergeCell ref="B436:E436"/>
    <mergeCell ref="B445:C445"/>
    <mergeCell ref="B395:C395"/>
    <mergeCell ref="B398:E398"/>
    <mergeCell ref="B399:E399"/>
    <mergeCell ref="B400:E400"/>
    <mergeCell ref="B407:C407"/>
    <mergeCell ref="B413:E413"/>
    <mergeCell ref="B375:E375"/>
    <mergeCell ref="B376:E376"/>
    <mergeCell ref="B384:C384"/>
    <mergeCell ref="B385:E385"/>
    <mergeCell ref="B388:E388"/>
    <mergeCell ref="B389:E389"/>
    <mergeCell ref="B315:C315"/>
    <mergeCell ref="B361:E361"/>
    <mergeCell ref="B362:E362"/>
    <mergeCell ref="B369:C369"/>
    <mergeCell ref="B373:E373"/>
    <mergeCell ref="B374:E374"/>
    <mergeCell ref="B194:E194"/>
    <mergeCell ref="B213:C213"/>
    <mergeCell ref="B233:E233"/>
    <mergeCell ref="B234:E234"/>
    <mergeCell ref="B235:E235"/>
    <mergeCell ref="B236:E236"/>
    <mergeCell ref="B169:C169"/>
    <mergeCell ref="B171:E171"/>
    <mergeCell ref="B177:E177"/>
    <mergeCell ref="B178:E178"/>
    <mergeCell ref="B188:C188"/>
    <mergeCell ref="B193:E193"/>
    <mergeCell ref="B155:C155"/>
    <mergeCell ref="B157:E157"/>
    <mergeCell ref="B159:E159"/>
    <mergeCell ref="B160:E160"/>
    <mergeCell ref="B161:E161"/>
    <mergeCell ref="B162:E162"/>
    <mergeCell ref="B135:E135"/>
    <mergeCell ref="B136:E136"/>
    <mergeCell ref="B143:C143"/>
    <mergeCell ref="B146:E146"/>
    <mergeCell ref="B147:E147"/>
    <mergeCell ref="B148:E148"/>
    <mergeCell ref="B110:E110"/>
    <mergeCell ref="B111:E111"/>
    <mergeCell ref="B112:E112"/>
    <mergeCell ref="B113:E113"/>
    <mergeCell ref="B126:C126"/>
    <mergeCell ref="B134:E134"/>
    <mergeCell ref="B101:E101"/>
    <mergeCell ref="B104:E104"/>
    <mergeCell ref="B105:E105"/>
    <mergeCell ref="B106:E106"/>
    <mergeCell ref="B107:E107"/>
    <mergeCell ref="B108:E108"/>
    <mergeCell ref="B93:E93"/>
    <mergeCell ref="B94:E94"/>
    <mergeCell ref="B95:E95"/>
    <mergeCell ref="B96:E96"/>
    <mergeCell ref="B97:E97"/>
    <mergeCell ref="B100:E100"/>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599:D601 D562 D523 D479 D445 D384 D369:D371 D315 D213:D214 D395:D396 D464 D169 D155 D430 D143:D144 D126:D132 D545:D547 D407:D412">
    <cfRule type="expression" priority="2" stopIfTrue="1">
      <formula>"$E$165&gt;=1,¨Aumento¨"</formula>
    </cfRule>
  </conditionalFormatting>
  <conditionalFormatting sqref="D575">
    <cfRule type="expression" priority="1" stopIfTrue="1">
      <formula>"$E$165&gt;=1,¨Aumento¨"</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ENC-CONTABILIDAD</dc:creator>
  <cp:lastModifiedBy>ENC-CONTABILIDAD</cp:lastModifiedBy>
  <dcterms:created xsi:type="dcterms:W3CDTF">2023-01-19T15:14:03Z</dcterms:created>
  <dcterms:modified xsi:type="dcterms:W3CDTF">2023-01-19T15:15:20Z</dcterms:modified>
</cp:coreProperties>
</file>