
<file path=[Content_Types].xml><?xml version="1.0" encoding="utf-8"?>
<Types xmlns="http://schemas.openxmlformats.org/package/2006/content-type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915" windowHeight="11580"/>
  </bookViews>
  <sheets>
    <sheet name="Hoja1" sheetId="1" r:id="rId1"/>
    <sheet name="Hoja2" sheetId="2" r:id="rId2"/>
    <sheet name="Hoja3" sheetId="3" r:id="rId3"/>
  </sheets>
  <externalReferences>
    <externalReference r:id="rId4"/>
  </externalReferences>
  <definedNames>
    <definedName name="_Toc208202813" localSheetId="0">Hoja1!$B$112</definedName>
  </definedNames>
  <calcPr calcId="145621"/>
</workbook>
</file>

<file path=xl/calcChain.xml><?xml version="1.0" encoding="utf-8"?>
<calcChain xmlns="http://schemas.openxmlformats.org/spreadsheetml/2006/main">
  <c r="D671" i="1" l="1"/>
  <c r="C671" i="1"/>
  <c r="D665" i="1"/>
  <c r="D664" i="1"/>
  <c r="D672" i="1" s="1"/>
  <c r="D644" i="1" s="1"/>
  <c r="C664" i="1"/>
  <c r="C672" i="1" s="1"/>
  <c r="C644" i="1" s="1"/>
  <c r="E644" i="1" s="1"/>
  <c r="D661" i="1"/>
  <c r="C661" i="1"/>
  <c r="B656" i="1"/>
  <c r="D643" i="1"/>
  <c r="D645" i="1" s="1"/>
  <c r="C643" i="1"/>
  <c r="C645" i="1" s="1"/>
  <c r="B642" i="1"/>
  <c r="B657" i="1" s="1"/>
  <c r="B639" i="1"/>
  <c r="D632" i="1"/>
  <c r="D633" i="1" s="1"/>
  <c r="D634" i="1" s="1"/>
  <c r="C632" i="1"/>
  <c r="E632" i="1" s="1"/>
  <c r="D631" i="1"/>
  <c r="C631" i="1"/>
  <c r="C633" i="1" s="1"/>
  <c r="C634" i="1" s="1"/>
  <c r="B630" i="1"/>
  <c r="B628" i="1"/>
  <c r="E619" i="1"/>
  <c r="D619" i="1"/>
  <c r="C619" i="1"/>
  <c r="E618" i="1"/>
  <c r="D618" i="1"/>
  <c r="C618" i="1"/>
  <c r="D617" i="1"/>
  <c r="C617" i="1"/>
  <c r="E617" i="1" s="1"/>
  <c r="D616" i="1"/>
  <c r="G616" i="1" s="1"/>
  <c r="C616" i="1"/>
  <c r="E616" i="1" s="1"/>
  <c r="D615" i="1"/>
  <c r="C615" i="1"/>
  <c r="E615" i="1" s="1"/>
  <c r="E614" i="1"/>
  <c r="D614" i="1"/>
  <c r="C614" i="1"/>
  <c r="E613" i="1"/>
  <c r="D613" i="1"/>
  <c r="C613" i="1"/>
  <c r="D612" i="1"/>
  <c r="C612" i="1"/>
  <c r="E612" i="1" s="1"/>
  <c r="D611" i="1"/>
  <c r="D620" i="1" s="1"/>
  <c r="D621" i="1" s="1"/>
  <c r="C611" i="1"/>
  <c r="C620" i="1" s="1"/>
  <c r="C621" i="1" s="1"/>
  <c r="D610" i="1"/>
  <c r="D630" i="1" s="1"/>
  <c r="D642" i="1" s="1"/>
  <c r="D657" i="1" s="1"/>
  <c r="C610" i="1"/>
  <c r="C630" i="1" s="1"/>
  <c r="C642" i="1" s="1"/>
  <c r="B608" i="1"/>
  <c r="E597" i="1"/>
  <c r="C596" i="1"/>
  <c r="E595" i="1"/>
  <c r="D595" i="1"/>
  <c r="C595" i="1"/>
  <c r="C598" i="1" s="1"/>
  <c r="C599" i="1" s="1"/>
  <c r="B592" i="1"/>
  <c r="D584" i="1"/>
  <c r="C584" i="1"/>
  <c r="E584" i="1" s="1"/>
  <c r="D583" i="1"/>
  <c r="AA585" i="1" s="1"/>
  <c r="C583" i="1"/>
  <c r="E583" i="1" s="1"/>
  <c r="D582" i="1"/>
  <c r="AA584" i="1" s="1"/>
  <c r="C582" i="1"/>
  <c r="E582" i="1" s="1"/>
  <c r="D581" i="1"/>
  <c r="AA583" i="1" s="1"/>
  <c r="C581" i="1"/>
  <c r="E581" i="1" s="1"/>
  <c r="D580" i="1"/>
  <c r="D585" i="1" s="1"/>
  <c r="C580" i="1"/>
  <c r="E580" i="1" s="1"/>
  <c r="D579" i="1"/>
  <c r="AA581" i="1" s="1"/>
  <c r="C579" i="1"/>
  <c r="C585" i="1" s="1"/>
  <c r="C586" i="1" s="1"/>
  <c r="E578" i="1"/>
  <c r="D578" i="1"/>
  <c r="AA580" i="1" s="1"/>
  <c r="C578" i="1"/>
  <c r="D577" i="1"/>
  <c r="D594" i="1" s="1"/>
  <c r="C577" i="1"/>
  <c r="C594" i="1" s="1"/>
  <c r="B575" i="1"/>
  <c r="D566" i="1"/>
  <c r="E566" i="1" s="1"/>
  <c r="C566" i="1"/>
  <c r="C568" i="1" s="1"/>
  <c r="C565" i="1"/>
  <c r="B563" i="1"/>
  <c r="E552" i="1"/>
  <c r="D552" i="1"/>
  <c r="C552" i="1"/>
  <c r="D551" i="1"/>
  <c r="E551" i="1" s="1"/>
  <c r="C551" i="1"/>
  <c r="D550" i="1"/>
  <c r="C550" i="1"/>
  <c r="E550" i="1" s="1"/>
  <c r="D549" i="1"/>
  <c r="C549" i="1"/>
  <c r="C553" i="1" s="1"/>
  <c r="E548" i="1"/>
  <c r="D548" i="1"/>
  <c r="C548" i="1"/>
  <c r="D547" i="1"/>
  <c r="E547" i="1" s="1"/>
  <c r="C547" i="1"/>
  <c r="D546" i="1"/>
  <c r="E546" i="1" s="1"/>
  <c r="C546" i="1"/>
  <c r="J545" i="1"/>
  <c r="D545" i="1"/>
  <c r="E545" i="1" s="1"/>
  <c r="C545" i="1"/>
  <c r="L544" i="1"/>
  <c r="L546" i="1" s="1"/>
  <c r="K544" i="1"/>
  <c r="E544" i="1"/>
  <c r="D544" i="1"/>
  <c r="C544" i="1"/>
  <c r="L543" i="1"/>
  <c r="E543" i="1"/>
  <c r="D543" i="1"/>
  <c r="D553" i="1" s="1"/>
  <c r="C543" i="1"/>
  <c r="L542" i="1"/>
  <c r="K542" i="1"/>
  <c r="D542" i="1"/>
  <c r="C542" i="1"/>
  <c r="B542" i="1"/>
  <c r="K541" i="1"/>
  <c r="K540" i="1"/>
  <c r="B540" i="1"/>
  <c r="E530" i="1"/>
  <c r="D530" i="1"/>
  <c r="C530" i="1"/>
  <c r="E529" i="1"/>
  <c r="D529" i="1"/>
  <c r="C529" i="1"/>
  <c r="E528" i="1"/>
  <c r="D528" i="1"/>
  <c r="C528" i="1"/>
  <c r="E527" i="1"/>
  <c r="D527" i="1"/>
  <c r="C527" i="1"/>
  <c r="E526" i="1"/>
  <c r="D526" i="1"/>
  <c r="C526" i="1"/>
  <c r="E525" i="1"/>
  <c r="D525" i="1"/>
  <c r="C525" i="1"/>
  <c r="E524" i="1"/>
  <c r="D524" i="1"/>
  <c r="C524" i="1"/>
  <c r="E523" i="1"/>
  <c r="D523" i="1"/>
  <c r="C523" i="1"/>
  <c r="E522" i="1"/>
  <c r="D522" i="1"/>
  <c r="C522" i="1"/>
  <c r="E521" i="1"/>
  <c r="D521" i="1"/>
  <c r="C521" i="1"/>
  <c r="E520" i="1"/>
  <c r="D520" i="1"/>
  <c r="C520" i="1"/>
  <c r="E519" i="1"/>
  <c r="E531" i="1" s="1"/>
  <c r="D519" i="1"/>
  <c r="D531" i="1" s="1"/>
  <c r="C534" i="1" s="1"/>
  <c r="C519" i="1"/>
  <c r="C531" i="1" s="1"/>
  <c r="V515" i="1"/>
  <c r="S515" i="1"/>
  <c r="T515" i="1" s="1"/>
  <c r="U514" i="1"/>
  <c r="T514" i="1"/>
  <c r="S514" i="1"/>
  <c r="V514" i="1" s="1"/>
  <c r="V513" i="1"/>
  <c r="S513" i="1"/>
  <c r="T513" i="1" s="1"/>
  <c r="V512" i="1"/>
  <c r="U512" i="1"/>
  <c r="T512" i="1"/>
  <c r="S512" i="1"/>
  <c r="R512" i="1" s="1"/>
  <c r="V511" i="1"/>
  <c r="U511" i="1"/>
  <c r="S511" i="1"/>
  <c r="T511" i="1" s="1"/>
  <c r="R511" i="1" s="1"/>
  <c r="V510" i="1"/>
  <c r="U510" i="1"/>
  <c r="T510" i="1"/>
  <c r="S510" i="1"/>
  <c r="R510" i="1" s="1"/>
  <c r="V509" i="1"/>
  <c r="U509" i="1"/>
  <c r="R509" i="1" s="1"/>
  <c r="T509" i="1"/>
  <c r="S509" i="1"/>
  <c r="V508" i="1"/>
  <c r="S508" i="1"/>
  <c r="E505" i="1"/>
  <c r="S504" i="1"/>
  <c r="N504" i="1"/>
  <c r="N507" i="1" s="1"/>
  <c r="C504" i="1"/>
  <c r="S503" i="1"/>
  <c r="C503" i="1"/>
  <c r="U503" i="1" s="1"/>
  <c r="V502" i="1"/>
  <c r="D502" i="1"/>
  <c r="T508" i="1" s="1"/>
  <c r="C502" i="1"/>
  <c r="T502" i="1" s="1"/>
  <c r="U501" i="1"/>
  <c r="R501" i="1" s="1"/>
  <c r="T501" i="1"/>
  <c r="S501" i="1"/>
  <c r="D501" i="1"/>
  <c r="C501" i="1"/>
  <c r="B510" i="1" s="1"/>
  <c r="B500" i="1"/>
  <c r="B498" i="1"/>
  <c r="B496" i="1"/>
  <c r="D488" i="1"/>
  <c r="D487" i="1" s="1"/>
  <c r="D489" i="1" s="1"/>
  <c r="T490" i="1" s="1"/>
  <c r="C487" i="1"/>
  <c r="B482" i="1"/>
  <c r="AA472" i="1"/>
  <c r="X472" i="1"/>
  <c r="T472" i="1"/>
  <c r="AA471" i="1"/>
  <c r="E470" i="1"/>
  <c r="D470" i="1"/>
  <c r="C468" i="1" s="1"/>
  <c r="C470" i="1"/>
  <c r="C469" i="1"/>
  <c r="E469" i="1" s="1"/>
  <c r="E468" i="1"/>
  <c r="D467" i="1"/>
  <c r="D471" i="1" s="1"/>
  <c r="U472" i="1" s="1"/>
  <c r="C467" i="1"/>
  <c r="D466" i="1"/>
  <c r="C466" i="1"/>
  <c r="B463" i="1"/>
  <c r="AA456" i="1"/>
  <c r="Y456" i="1"/>
  <c r="X456" i="1"/>
  <c r="W456" i="1"/>
  <c r="AA455" i="1"/>
  <c r="E454" i="1"/>
  <c r="D454" i="1"/>
  <c r="C454" i="1"/>
  <c r="D453" i="1"/>
  <c r="E453" i="1" s="1"/>
  <c r="C453" i="1"/>
  <c r="D452" i="1"/>
  <c r="C452" i="1"/>
  <c r="D451" i="1"/>
  <c r="C451" i="1"/>
  <c r="E451" i="1" s="1"/>
  <c r="E450" i="1"/>
  <c r="D450" i="1"/>
  <c r="C450" i="1"/>
  <c r="D449" i="1"/>
  <c r="E449" i="1" s="1"/>
  <c r="C449" i="1"/>
  <c r="D448" i="1"/>
  <c r="D455" i="1" s="1"/>
  <c r="U456" i="1" s="1"/>
  <c r="C448" i="1"/>
  <c r="C455" i="1" s="1"/>
  <c r="B443" i="1"/>
  <c r="U439" i="1"/>
  <c r="T438" i="1"/>
  <c r="C438" i="1"/>
  <c r="C439" i="1" s="1"/>
  <c r="E436" i="1"/>
  <c r="D436" i="1"/>
  <c r="C436" i="1"/>
  <c r="E435" i="1"/>
  <c r="E438" i="1" s="1"/>
  <c r="E440" i="1" s="1"/>
  <c r="D440" i="1" s="1"/>
  <c r="D435" i="1"/>
  <c r="D438" i="1" s="1"/>
  <c r="C435" i="1"/>
  <c r="C434" i="1"/>
  <c r="C447" i="1" s="1"/>
  <c r="B431" i="1"/>
  <c r="E412" i="1"/>
  <c r="E413" i="1" s="1"/>
  <c r="E415" i="1" s="1"/>
  <c r="D415" i="1" s="1"/>
  <c r="D412" i="1"/>
  <c r="D413" i="1" s="1"/>
  <c r="C412" i="1"/>
  <c r="C413" i="1" s="1"/>
  <c r="C411" i="1"/>
  <c r="K401" i="1"/>
  <c r="D401" i="1"/>
  <c r="C401" i="1"/>
  <c r="E401" i="1" s="1"/>
  <c r="C400" i="1"/>
  <c r="E400" i="1" s="1"/>
  <c r="D399" i="1"/>
  <c r="D402" i="1" s="1"/>
  <c r="C399" i="1"/>
  <c r="E399" i="1" s="1"/>
  <c r="D398" i="1"/>
  <c r="C398" i="1"/>
  <c r="B394" i="1"/>
  <c r="C382" i="1"/>
  <c r="S382" i="1" s="1"/>
  <c r="D381" i="1"/>
  <c r="D596" i="1" s="1"/>
  <c r="E596" i="1" s="1"/>
  <c r="C381" i="1"/>
  <c r="E380" i="1"/>
  <c r="D379" i="1"/>
  <c r="C379" i="1"/>
  <c r="B376" i="1"/>
  <c r="D333" i="1"/>
  <c r="C333" i="1"/>
  <c r="E333" i="1" s="1"/>
  <c r="E330" i="1"/>
  <c r="D329" i="1"/>
  <c r="D331" i="1" s="1"/>
  <c r="C329" i="1"/>
  <c r="C331" i="1" s="1"/>
  <c r="E328" i="1"/>
  <c r="E327" i="1"/>
  <c r="E326" i="1"/>
  <c r="E329" i="1" s="1"/>
  <c r="E331" i="1" s="1"/>
  <c r="E323" i="1"/>
  <c r="D322" i="1"/>
  <c r="D324" i="1" s="1"/>
  <c r="C322" i="1"/>
  <c r="C324" i="1" s="1"/>
  <c r="E321" i="1"/>
  <c r="E322" i="1" s="1"/>
  <c r="E324" i="1" s="1"/>
  <c r="E320" i="1"/>
  <c r="E318" i="1"/>
  <c r="F317" i="1"/>
  <c r="C315" i="1"/>
  <c r="C314" i="1"/>
  <c r="E312" i="1"/>
  <c r="D312" i="1"/>
  <c r="C312" i="1"/>
  <c r="E311" i="1"/>
  <c r="E316" i="1" s="1"/>
  <c r="D311" i="1"/>
  <c r="D316" i="1" s="1"/>
  <c r="C311" i="1"/>
  <c r="C316" i="1" s="1"/>
  <c r="E306" i="1"/>
  <c r="D305" i="1"/>
  <c r="C305" i="1"/>
  <c r="E305" i="1" s="1"/>
  <c r="D304" i="1"/>
  <c r="C304" i="1"/>
  <c r="E304" i="1" s="1"/>
  <c r="E301" i="1"/>
  <c r="D300" i="1"/>
  <c r="D302" i="1" s="1"/>
  <c r="C300" i="1"/>
  <c r="C302" i="1" s="1"/>
  <c r="E299" i="1"/>
  <c r="E309" i="1" s="1"/>
  <c r="E298" i="1"/>
  <c r="E300" i="1" s="1"/>
  <c r="E302" i="1" s="1"/>
  <c r="E297" i="1"/>
  <c r="C293" i="1"/>
  <c r="C292" i="1"/>
  <c r="E291" i="1"/>
  <c r="D290" i="1"/>
  <c r="C290" i="1" s="1"/>
  <c r="D289" i="1"/>
  <c r="D294" i="1" s="1"/>
  <c r="D296" i="1" s="1"/>
  <c r="E286" i="1"/>
  <c r="C284" i="1"/>
  <c r="E282" i="1"/>
  <c r="E281" i="1"/>
  <c r="D281" i="1"/>
  <c r="E280" i="1"/>
  <c r="E285" i="1" s="1"/>
  <c r="E287" i="1" s="1"/>
  <c r="D280" i="1"/>
  <c r="D285" i="1" s="1"/>
  <c r="D287" i="1" s="1"/>
  <c r="C280" i="1"/>
  <c r="C285" i="1" s="1"/>
  <c r="C287" i="1" s="1"/>
  <c r="E277" i="1"/>
  <c r="C275" i="1"/>
  <c r="B275" i="1"/>
  <c r="B284" i="1" s="1"/>
  <c r="B293" i="1" s="1"/>
  <c r="B308" i="1" s="1"/>
  <c r="B315" i="1" s="1"/>
  <c r="C274" i="1"/>
  <c r="B274" i="1"/>
  <c r="B283" i="1" s="1"/>
  <c r="B292" i="1" s="1"/>
  <c r="B307" i="1" s="1"/>
  <c r="B314" i="1" s="1"/>
  <c r="E273" i="1"/>
  <c r="B273" i="1"/>
  <c r="B282" i="1" s="1"/>
  <c r="B291" i="1" s="1"/>
  <c r="B306" i="1" s="1"/>
  <c r="B313" i="1" s="1"/>
  <c r="D272" i="1"/>
  <c r="E272" i="1" s="1"/>
  <c r="B272" i="1"/>
  <c r="B281" i="1" s="1"/>
  <c r="B290" i="1" s="1"/>
  <c r="B305" i="1" s="1"/>
  <c r="B312" i="1" s="1"/>
  <c r="E271" i="1"/>
  <c r="D271" i="1"/>
  <c r="D276" i="1" s="1"/>
  <c r="D278" i="1" s="1"/>
  <c r="C271" i="1"/>
  <c r="C276" i="1" s="1"/>
  <c r="C278" i="1" s="1"/>
  <c r="B271" i="1"/>
  <c r="B280" i="1" s="1"/>
  <c r="B289" i="1" s="1"/>
  <c r="B304" i="1" s="1"/>
  <c r="B311" i="1" s="1"/>
  <c r="E268" i="1"/>
  <c r="C266" i="1"/>
  <c r="C265" i="1"/>
  <c r="E264" i="1"/>
  <c r="D262" i="1"/>
  <c r="D267" i="1" s="1"/>
  <c r="D269" i="1" s="1"/>
  <c r="D259" i="1"/>
  <c r="C259" i="1"/>
  <c r="B258" i="1"/>
  <c r="B255" i="1"/>
  <c r="C236" i="1"/>
  <c r="C237" i="1" s="1"/>
  <c r="C235" i="1"/>
  <c r="E234" i="1"/>
  <c r="E230" i="1"/>
  <c r="E228" i="1"/>
  <c r="E227" i="1"/>
  <c r="E226" i="1"/>
  <c r="E225" i="1"/>
  <c r="E224" i="1"/>
  <c r="E223" i="1"/>
  <c r="E222" i="1"/>
  <c r="E231" i="1" s="1"/>
  <c r="B217" i="1"/>
  <c r="U211" i="1"/>
  <c r="D210" i="1"/>
  <c r="S211" i="1" s="1"/>
  <c r="E209" i="1"/>
  <c r="D209" i="1"/>
  <c r="C209" i="1"/>
  <c r="C210" i="1" s="1"/>
  <c r="D207" i="1"/>
  <c r="D205" i="1" s="1"/>
  <c r="C207" i="1"/>
  <c r="D206" i="1"/>
  <c r="C206" i="1"/>
  <c r="E206" i="1" s="1"/>
  <c r="C205" i="1"/>
  <c r="E205" i="1" s="1"/>
  <c r="B201" i="1"/>
  <c r="D168" i="1"/>
  <c r="S169" i="1" s="1"/>
  <c r="D167" i="1"/>
  <c r="C167" i="1"/>
  <c r="C168" i="1" s="1"/>
  <c r="E166" i="1"/>
  <c r="D166" i="1"/>
  <c r="C166" i="1"/>
  <c r="D165" i="1"/>
  <c r="D204" i="1" s="1"/>
  <c r="C165" i="1"/>
  <c r="C204" i="1" s="1"/>
  <c r="B162" i="1"/>
  <c r="D153" i="1"/>
  <c r="D154" i="1" s="1"/>
  <c r="C153" i="1"/>
  <c r="E153" i="1" s="1"/>
  <c r="C152" i="1"/>
  <c r="C154" i="1" s="1"/>
  <c r="D151" i="1"/>
  <c r="D233" i="1" s="1"/>
  <c r="C151" i="1"/>
  <c r="C233" i="1" s="1"/>
  <c r="B149" i="1"/>
  <c r="E142" i="1"/>
  <c r="D142" i="1"/>
  <c r="U143" i="1" s="1"/>
  <c r="C142" i="1"/>
  <c r="T143" i="1" s="1"/>
  <c r="D141" i="1"/>
  <c r="C141" i="1"/>
  <c r="E141" i="1" s="1"/>
  <c r="E143" i="1" s="1"/>
  <c r="D140" i="1"/>
  <c r="C140" i="1"/>
  <c r="C486" i="1" s="1"/>
  <c r="B137" i="1"/>
  <c r="B408" i="1" s="1"/>
  <c r="X128" i="1"/>
  <c r="D126" i="1"/>
  <c r="C126" i="1"/>
  <c r="D125" i="1"/>
  <c r="C125" i="1"/>
  <c r="E125" i="1" s="1"/>
  <c r="D124" i="1"/>
  <c r="C124" i="1"/>
  <c r="E124" i="1" s="1"/>
  <c r="E123" i="1"/>
  <c r="D123" i="1"/>
  <c r="C123" i="1"/>
  <c r="D122" i="1"/>
  <c r="E122" i="1" s="1"/>
  <c r="C122" i="1"/>
  <c r="D121" i="1"/>
  <c r="C121" i="1"/>
  <c r="E121" i="1" s="1"/>
  <c r="D120" i="1"/>
  <c r="C120" i="1"/>
  <c r="C127" i="1" s="1"/>
  <c r="E119" i="1"/>
  <c r="D119" i="1"/>
  <c r="D127" i="1" s="1"/>
  <c r="C119" i="1"/>
  <c r="D118" i="1"/>
  <c r="B384" i="1" s="1"/>
  <c r="C118" i="1"/>
  <c r="B113" i="1"/>
  <c r="B14" i="1"/>
  <c r="U155" i="1" l="1"/>
  <c r="T155" i="1"/>
  <c r="S155" i="1"/>
  <c r="T210" i="1"/>
  <c r="S210" i="1"/>
  <c r="C211" i="1"/>
  <c r="U210" i="1"/>
  <c r="E210" i="1"/>
  <c r="E212" i="1" s="1"/>
  <c r="D212" i="1" s="1"/>
  <c r="E290" i="1"/>
  <c r="C289" i="1"/>
  <c r="E402" i="1"/>
  <c r="E404" i="1" s="1"/>
  <c r="D404" i="1" s="1"/>
  <c r="V128" i="1"/>
  <c r="U128" i="1"/>
  <c r="T128" i="1"/>
  <c r="W128" i="1"/>
  <c r="E276" i="1"/>
  <c r="E278" i="1" s="1"/>
  <c r="E317" i="1"/>
  <c r="E319" i="1" s="1"/>
  <c r="U403" i="1"/>
  <c r="V403" i="1"/>
  <c r="T403" i="1"/>
  <c r="S403" i="1"/>
  <c r="U144" i="1"/>
  <c r="V154" i="1"/>
  <c r="U154" i="1"/>
  <c r="T154" i="1"/>
  <c r="S154" i="1"/>
  <c r="R154" i="1" s="1"/>
  <c r="D235" i="1"/>
  <c r="E232" i="1"/>
  <c r="C456" i="1"/>
  <c r="U455" i="1"/>
  <c r="V455" i="1"/>
  <c r="T455" i="1"/>
  <c r="C459" i="1"/>
  <c r="AB455" i="1"/>
  <c r="C128" i="1"/>
  <c r="Y128" i="1" s="1"/>
  <c r="T127" i="1"/>
  <c r="W127" i="1"/>
  <c r="V127" i="1"/>
  <c r="U127" i="1"/>
  <c r="U168" i="1"/>
  <c r="T168" i="1"/>
  <c r="C169" i="1"/>
  <c r="S168" i="1"/>
  <c r="R168" i="1" s="1"/>
  <c r="V168" i="1"/>
  <c r="C143" i="1"/>
  <c r="B145" i="1"/>
  <c r="E152" i="1"/>
  <c r="E154" i="1" s="1"/>
  <c r="E156" i="1" s="1"/>
  <c r="D156" i="1" s="1"/>
  <c r="B156" i="1"/>
  <c r="E167" i="1"/>
  <c r="E168" i="1" s="1"/>
  <c r="E170" i="1" s="1"/>
  <c r="D170" i="1" s="1"/>
  <c r="T169" i="1"/>
  <c r="R169" i="1" s="1"/>
  <c r="T211" i="1"/>
  <c r="R211" i="1" s="1"/>
  <c r="T236" i="1"/>
  <c r="B336" i="1"/>
  <c r="D382" i="1"/>
  <c r="T382" i="1"/>
  <c r="R382" i="1" s="1"/>
  <c r="K398" i="1"/>
  <c r="S439" i="1"/>
  <c r="T439" i="1"/>
  <c r="E452" i="1"/>
  <c r="E488" i="1"/>
  <c r="U504" i="1"/>
  <c r="T504" i="1"/>
  <c r="E504" i="1"/>
  <c r="V504" i="1"/>
  <c r="C554" i="1"/>
  <c r="E555" i="1"/>
  <c r="D555" i="1" s="1"/>
  <c r="E120" i="1"/>
  <c r="E127" i="1" s="1"/>
  <c r="E129" i="1" s="1"/>
  <c r="D129" i="1" s="1"/>
  <c r="D434" i="1"/>
  <c r="D447" i="1" s="1"/>
  <c r="D411" i="1"/>
  <c r="B409" i="1" s="1"/>
  <c r="D143" i="1"/>
  <c r="E145" i="1" s="1"/>
  <c r="D145" i="1" s="1"/>
  <c r="U169" i="1"/>
  <c r="U236" i="1"/>
  <c r="C262" i="1"/>
  <c r="C309" i="1"/>
  <c r="C317" i="1" s="1"/>
  <c r="U382" i="1"/>
  <c r="C402" i="1"/>
  <c r="U438" i="1"/>
  <c r="R438" i="1" s="1"/>
  <c r="V438" i="1"/>
  <c r="T456" i="1"/>
  <c r="C471" i="1"/>
  <c r="E467" i="1"/>
  <c r="E471" i="1" s="1"/>
  <c r="E473" i="1" s="1"/>
  <c r="D473" i="1" s="1"/>
  <c r="D486" i="1"/>
  <c r="S490" i="1"/>
  <c r="C533" i="1"/>
  <c r="D598" i="1"/>
  <c r="D599" i="1" s="1"/>
  <c r="V169" i="1"/>
  <c r="E207" i="1"/>
  <c r="B212" i="1"/>
  <c r="V236" i="1"/>
  <c r="B238" i="1"/>
  <c r="D309" i="1"/>
  <c r="D317" i="1" s="1"/>
  <c r="E381" i="1"/>
  <c r="E382" i="1" s="1"/>
  <c r="E384" i="1" s="1"/>
  <c r="E448" i="1"/>
  <c r="V472" i="1"/>
  <c r="W472" i="1"/>
  <c r="S472" i="1"/>
  <c r="D472" i="1"/>
  <c r="C489" i="1"/>
  <c r="E487" i="1"/>
  <c r="E489" i="1" s="1"/>
  <c r="E491" i="1" s="1"/>
  <c r="D491" i="1" s="1"/>
  <c r="R504" i="1"/>
  <c r="E598" i="1"/>
  <c r="E600" i="1" s="1"/>
  <c r="D600" i="1" s="1"/>
  <c r="C657" i="1"/>
  <c r="T647" i="1"/>
  <c r="S647" i="1"/>
  <c r="R647" i="1" s="1"/>
  <c r="V647" i="1"/>
  <c r="U647" i="1"/>
  <c r="B622" i="1"/>
  <c r="B570" i="1"/>
  <c r="B473" i="1"/>
  <c r="B647" i="1"/>
  <c r="B587" i="1"/>
  <c r="B555" i="1"/>
  <c r="B508" i="1"/>
  <c r="B635" i="1"/>
  <c r="B600" i="1"/>
  <c r="B129" i="1"/>
  <c r="B170" i="1"/>
  <c r="S236" i="1"/>
  <c r="R236" i="1" s="1"/>
  <c r="B218" i="1" s="1"/>
  <c r="B404" i="1"/>
  <c r="B440" i="1"/>
  <c r="D459" i="1"/>
  <c r="V456" i="1"/>
  <c r="AB456" i="1"/>
  <c r="B457" i="1"/>
  <c r="U490" i="1"/>
  <c r="V490" i="1"/>
  <c r="B491" i="1"/>
  <c r="E553" i="1"/>
  <c r="C569" i="1"/>
  <c r="S648" i="1"/>
  <c r="V648" i="1"/>
  <c r="U648" i="1"/>
  <c r="T648" i="1"/>
  <c r="E502" i="1"/>
  <c r="U502" i="1"/>
  <c r="V503" i="1"/>
  <c r="R503" i="1" s="1"/>
  <c r="U508" i="1"/>
  <c r="R508" i="1" s="1"/>
  <c r="W512" i="1"/>
  <c r="U513" i="1"/>
  <c r="R513" i="1" s="1"/>
  <c r="W514" i="1"/>
  <c r="R514" i="1" s="1"/>
  <c r="U515" i="1"/>
  <c r="R515" i="1" s="1"/>
  <c r="E549" i="1"/>
  <c r="D568" i="1"/>
  <c r="E568" i="1" s="1"/>
  <c r="E579" i="1"/>
  <c r="E585" i="1" s="1"/>
  <c r="E587" i="1" s="1"/>
  <c r="D587" i="1" s="1"/>
  <c r="AA582" i="1"/>
  <c r="E611" i="1"/>
  <c r="E620" i="1" s="1"/>
  <c r="E622" i="1" s="1"/>
  <c r="D622" i="1" s="1"/>
  <c r="E631" i="1"/>
  <c r="E633" i="1" s="1"/>
  <c r="E635" i="1" s="1"/>
  <c r="D635" i="1" s="1"/>
  <c r="S502" i="1"/>
  <c r="R502" i="1" s="1"/>
  <c r="T503" i="1"/>
  <c r="C506" i="1"/>
  <c r="W513" i="1"/>
  <c r="E503" i="1"/>
  <c r="D506" i="1"/>
  <c r="D565" i="1"/>
  <c r="E643" i="1"/>
  <c r="E645" i="1" s="1"/>
  <c r="E647" i="1" s="1"/>
  <c r="D647" i="1" s="1"/>
  <c r="B511" i="1" l="1"/>
  <c r="D334" i="1"/>
  <c r="D319" i="1"/>
  <c r="D332" i="1" s="1"/>
  <c r="C319" i="1"/>
  <c r="T507" i="1"/>
  <c r="D507" i="1"/>
  <c r="S507" i="1"/>
  <c r="U507" i="1"/>
  <c r="V507" i="1"/>
  <c r="R472" i="1"/>
  <c r="E262" i="1"/>
  <c r="R439" i="1"/>
  <c r="B432" i="1" s="1"/>
  <c r="R127" i="1"/>
  <c r="R455" i="1"/>
  <c r="E235" i="1"/>
  <c r="E236" i="1" s="1"/>
  <c r="E238" i="1" s="1"/>
  <c r="D238" i="1" s="1"/>
  <c r="D236" i="1"/>
  <c r="R128" i="1"/>
  <c r="B497" i="1"/>
  <c r="W471" i="1"/>
  <c r="S471" i="1"/>
  <c r="T471" i="1"/>
  <c r="V471" i="1"/>
  <c r="U471" i="1"/>
  <c r="C472" i="1"/>
  <c r="V402" i="1"/>
  <c r="U402" i="1"/>
  <c r="T402" i="1"/>
  <c r="S402" i="1"/>
  <c r="C144" i="1"/>
  <c r="S143" i="1"/>
  <c r="R143" i="1" s="1"/>
  <c r="B163" i="1"/>
  <c r="R155" i="1"/>
  <c r="B150" i="1" s="1"/>
  <c r="C490" i="1"/>
  <c r="S489" i="1"/>
  <c r="R489" i="1" s="1"/>
  <c r="T489" i="1"/>
  <c r="U489" i="1"/>
  <c r="V489" i="1"/>
  <c r="R490" i="1"/>
  <c r="R456" i="1"/>
  <c r="E289" i="1"/>
  <c r="E294" i="1" s="1"/>
  <c r="E296" i="1" s="1"/>
  <c r="C294" i="1"/>
  <c r="C296" i="1" s="1"/>
  <c r="T506" i="1"/>
  <c r="C507" i="1"/>
  <c r="S506" i="1"/>
  <c r="U506" i="1"/>
  <c r="V506" i="1"/>
  <c r="E506" i="1"/>
  <c r="E508" i="1" s="1"/>
  <c r="D508" i="1" s="1"/>
  <c r="R648" i="1"/>
  <c r="B640" i="1" s="1"/>
  <c r="E455" i="1"/>
  <c r="E459" i="1" s="1"/>
  <c r="T144" i="1"/>
  <c r="S144" i="1"/>
  <c r="S383" i="1"/>
  <c r="U383" i="1"/>
  <c r="T383" i="1"/>
  <c r="R403" i="1"/>
  <c r="R210" i="1"/>
  <c r="B202" i="1" s="1"/>
  <c r="B483" i="1" l="1"/>
  <c r="B444" i="1"/>
  <c r="C263" i="1"/>
  <c r="R507" i="1"/>
  <c r="R383" i="1"/>
  <c r="B377" i="1" s="1"/>
  <c r="R506" i="1"/>
  <c r="B114" i="1"/>
  <c r="R144" i="1"/>
  <c r="B138" i="1" s="1"/>
  <c r="R402" i="1"/>
  <c r="B395" i="1" s="1"/>
  <c r="R471" i="1"/>
  <c r="B464" i="1" s="1"/>
  <c r="T237" i="1"/>
  <c r="S237" i="1"/>
  <c r="R237" i="1" s="1"/>
  <c r="V237" i="1"/>
  <c r="U237" i="1"/>
  <c r="D237" i="1"/>
  <c r="E263" i="1" l="1"/>
  <c r="E267" i="1" s="1"/>
  <c r="E269" i="1" s="1"/>
  <c r="E332" i="1" s="1"/>
  <c r="E334" i="1" s="1"/>
  <c r="E336" i="1" s="1"/>
  <c r="D336" i="1" s="1"/>
  <c r="C267" i="1"/>
  <c r="C269" i="1" s="1"/>
  <c r="C334" i="1" l="1"/>
  <c r="C332" i="1"/>
</calcChain>
</file>

<file path=xl/comments1.xml><?xml version="1.0" encoding="utf-8"?>
<comments xmlns="http://schemas.openxmlformats.org/spreadsheetml/2006/main">
  <authors>
    <author>JUAN J. SANCHEZ</author>
  </authors>
  <commentList>
    <comment ref="C400" authorId="0">
      <text>
        <r>
          <rPr>
            <b/>
            <sz val="9"/>
            <color indexed="81"/>
            <rFont val="Tahoma"/>
            <family val="2"/>
          </rPr>
          <t>JUAN J. SANCHEZ:</t>
        </r>
        <r>
          <rPr>
            <sz val="9"/>
            <color indexed="81"/>
            <rFont val="Tahoma"/>
            <family val="2"/>
          </rPr>
          <t xml:space="preserve">
ayuntamiento y edenorte
</t>
        </r>
      </text>
    </comment>
  </commentList>
</comments>
</file>

<file path=xl/sharedStrings.xml><?xml version="1.0" encoding="utf-8"?>
<sst xmlns="http://schemas.openxmlformats.org/spreadsheetml/2006/main" count="400" uniqueCount="349">
  <si>
    <t>PRINCIPALES PRINCIPIOS Y POLÍTICAS CONTABLES</t>
  </si>
  <si>
    <t>Nota #1</t>
  </si>
  <si>
    <t>Entidad Económica</t>
  </si>
  <si>
    <t>Corporación del Acueducto y Alcantarillado de Moca, CORAAMOCA.</t>
  </si>
  <si>
    <t xml:space="preserve">En  el año 1995,  mediante  el  Decreto  Núm. 121-95,  se  crea  e  integra,  con  función provisional, el Comité de Manejo del Acueducto de Moca, con  el  fin  de  manejar  sus instalaciones  y  dependencias,  mientras  se  aprobaba  y  promulgaba  la  Ley  para  la creación de un organismo autónomo para  la  administración,  operación  y  manejo  de dicho servicio público. Dos años más tarde, mediante la Ley Núm. 89-97 d/f 12 de marzo de 1997, considerando la importancia de asegurar el buen funcionamiento de las obras de ingeniería en proceso, así  como  la  planificación  de  su  desarrollo  futuro,    para  obtener  el  más  eficiente abastecimiento de agua potable, se crea la Corporación del Acueducto y  Alcantarillado de Moca  (CORAAMOCA)  como  una  entidad  pública  autónoma, con  personalidad jurídica, patrimonio propio, con el fin de administrar, operar y mantener el Acueducto y Alcantarillado  de  la  ciudad  de  Moca y de la Provincia Espaillat. </t>
  </si>
  <si>
    <t>NOMBRE</t>
  </si>
  <si>
    <t>CARGOS</t>
  </si>
  <si>
    <t>Reynaldo Constantino Méndez Sánchez</t>
  </si>
  <si>
    <t>Director General</t>
  </si>
  <si>
    <t>María Patricia  Almonte de Grullón</t>
  </si>
  <si>
    <t>Directora Administrativa Financiera</t>
  </si>
  <si>
    <t xml:space="preserve">Comarky Reyes </t>
  </si>
  <si>
    <t>Directora Recursos Humanos</t>
  </si>
  <si>
    <t>Julio  Henríquez Tejada</t>
  </si>
  <si>
    <t xml:space="preserve">Director Gerencia Técnica </t>
  </si>
  <si>
    <t>Rafael Evagelista Ulloa</t>
  </si>
  <si>
    <t>Director Comercial</t>
  </si>
  <si>
    <t xml:space="preserve">Stephany Almonte </t>
  </si>
  <si>
    <t>Directora de Planificación y Desarrollo</t>
  </si>
  <si>
    <t>Joel Andrés Bautista Gómez</t>
  </si>
  <si>
    <t>Jurídico</t>
  </si>
  <si>
    <t>Humberto Antonio Hernández</t>
  </si>
  <si>
    <t>Enc. Dpto Administrativa</t>
  </si>
  <si>
    <t>Nilo Cipriano Tavares Santiago</t>
  </si>
  <si>
    <t>Enc. de Tecnología</t>
  </si>
  <si>
    <t>Guillermina del Carmen Florentino</t>
  </si>
  <si>
    <t>Enc. Dpto Financiero</t>
  </si>
  <si>
    <t>Robinson Expedito Durán Barcacel</t>
  </si>
  <si>
    <t>Enc. RR PP</t>
  </si>
  <si>
    <t>Juan José Sánchez</t>
  </si>
  <si>
    <t>Enc. Control y Análisis</t>
  </si>
  <si>
    <t>Paula Maileny Morillo Arias</t>
  </si>
  <si>
    <t>Enc. Contabilidad</t>
  </si>
  <si>
    <t>Lucianny Pérez García</t>
  </si>
  <si>
    <t>Enc. Presupuesto</t>
  </si>
  <si>
    <t>Alex Ureña Badía</t>
  </si>
  <si>
    <t>Enc. Planta La Dura</t>
  </si>
  <si>
    <t>Marleny de Jesús Alberto</t>
  </si>
  <si>
    <t>Enc. Compras</t>
  </si>
  <si>
    <t xml:space="preserve">Nota #2 </t>
  </si>
  <si>
    <t xml:space="preserve">Base de presentación </t>
  </si>
  <si>
    <t>La formulación de los Estados Financieros, de los cuales  forman  parte  las  presentes Notas, se basan fundamentalmente, en la normativa contable emitida  por  la  Dirección General de Contabilidad Gubernamental, y hasta donde es posible su aplicación, en las Normas Internacionales de Contabilidad para el Sector Público (NICSP).</t>
  </si>
  <si>
    <t>La Institución presenta su presupuesto aprobado según la base contable de efectivo y los Estados Financieros sobre  la base de acumulación (o devengo) conforme a las estipulaciones de las NICESP 24 “Presentación de Información del Presupuesto en los Estados Financieros”.</t>
  </si>
  <si>
    <t>El presupuesto se aprueba según la base contable de efectivo siguiendo una clasificación de pago por funciones. El presupuesto ejecutado cubre el periodo fiscal que va desde el 1ro. de enero hasta el 31 de diciembre de 2024 y es incluido como información suplementaria en los Estados Financieros y sus Notas, aunque cabe señalar que las informaciones contenidas en los mismos,  corresponden al corte del mes.</t>
  </si>
  <si>
    <t>Nota # 3</t>
  </si>
  <si>
    <t xml:space="preserve">Moneda funcional y de presentación </t>
  </si>
  <si>
    <t>Los Estados Financieros están presentados en pesos dominicanos (RD$) moneda de curso legal en República Dominicana.</t>
  </si>
  <si>
    <t>Nota #4</t>
  </si>
  <si>
    <t>Uso de estimados y Juicios</t>
  </si>
  <si>
    <t>La preparación de los Estados Financieros de conformidad con las NICSP, requiere que la administración realice juicios estimaciones y supuestos que afectan la aplicación de las Políticas Contable y los montos de activos, pasivos, ingresos y gastos reportados. Los resultados reales pueden diferir de estas estimaciones.</t>
  </si>
  <si>
    <t>Las estimaciones y supuestos relevantes son revisados regularmente, las cuales son reconocidas prospectivamente.</t>
  </si>
  <si>
    <t>Juicios</t>
  </si>
  <si>
    <t>La información sobre juicios realizados en la aplicación de Políticas Contables que tienen el efecto más importante sobre los montos reconocidos en el Estado de Rendimientos Financiero se describe en la Nota referente a gastos generales y administrativos (alquileres de vehículo); se determina si un acuerdo contiene un arrendamiento y su clasificación.</t>
  </si>
  <si>
    <t>Supuesto e incertidumbre en las estimaciones</t>
  </si>
  <si>
    <t>La información sobre los supuestos e incertidumbre de estimación que tiene un riesgo significativo de resultar en un ajuste material en los años terminados el 31 de diciembre 2024 y 31de diciembre 2023 se incluye en la Nota referente a compromisos y contingencias; reconocimiento y medición de contingencias; supuestos claves relacionados con la probabilidad y magnitud de una salida de recursos económicos.</t>
  </si>
  <si>
    <t>Medición de los valores razonables.</t>
  </si>
  <si>
    <t>La entidad cuenta con un marco de control establecido en relación con el cálculo de los valores razonables y tiene la responsabilidad general por la supervisión de todas las mediciones significativas de este, incluyendo los de niveles 3.</t>
  </si>
  <si>
    <t>Cuando se mide el valor razonable de un activo o pasivo, la (nombre de la Institución que informa) utiliza siempre que sea posible, precios cotizados en un mercado activo.</t>
  </si>
  <si>
    <t>Si el mercado para un activo o pasivo no es activo, la entidad establecerá el valor razonable utilizando una técnica de valoración. Con ésta se busca establecer cuál será el precio de una transacción realizada a la fecha de medición.</t>
  </si>
  <si>
    <t>Los valores se clasifican en niveles distintos dentro de una jerarquía como sigue:</t>
  </si>
  <si>
    <t>Nivel 1: Precios (no-ajustados) en mercados activos para activos o pasivos idénticos,</t>
  </si>
  <si>
    <t>Nivel 2: Datos diferentes de los precios cotizados incluidos en el Nivel 1 que sean observados para el activo o pasivo, ya sea directa (precios) o indirectamente (derivados de los precios).</t>
  </si>
  <si>
    <t>Nivel 3: Datos para el activo o pasivo que no se basan en datos de mercados observables (variables no observables).</t>
  </si>
  <si>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</si>
  <si>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La (nombre de la Institución) reconoce las transferencias entre los niveles de la jerarquía del valor razonable al final del periodo sobre el que se informa durante el que ocurrió el cambio.</t>
  </si>
  <si>
    <t xml:space="preserve">Nota #5 Base de medición </t>
  </si>
  <si>
    <t>Los Estados Financieros se elaboran sobre la base del costo histórico, sin excepción, en la actualidad los terrenos y edificios están siendo valuados mediante tasaciones realizadas por un experto externo.</t>
  </si>
  <si>
    <t>Instrumentos Financieros</t>
  </si>
  <si>
    <t>Nota #6</t>
  </si>
  <si>
    <t>Resumen de Políticas Contables significativas</t>
  </si>
  <si>
    <t>Aquí se detalla todo lo relacionado con las principales Políticas Contables significativas como podría ser, sin que esta enumeración se considere limitativa.</t>
  </si>
  <si>
    <t>Activos y pasivos financieros no derivados – reconocimiento y baja en cuentas</t>
  </si>
  <si>
    <t>Las cuentas y partidas por cobrar y los otros activos y pasivos financieros,  son reconocidos en el momentos del devengado.</t>
  </si>
  <si>
    <t xml:space="preserve">Activos financieros no derivados – medición </t>
  </si>
  <si>
    <t>Son reconocidos a su valor razonable, más cualquier costo de transacción directamente atribuible o de alguna otra manera.</t>
  </si>
  <si>
    <t xml:space="preserve">Pasivos financieros no derivados – medición </t>
  </si>
  <si>
    <t>Son reconocidos a su valor razonable, menos cualquier costo de transacción directamente atribuible o de alguna otra manera.</t>
  </si>
  <si>
    <t>Inventarios de materiales de oficina</t>
  </si>
  <si>
    <t>La medición es al costo de adquisición.</t>
  </si>
  <si>
    <t>Propiedad, mobiliario y equipos</t>
  </si>
  <si>
    <t xml:space="preserve">Reconocimiento y medición </t>
  </si>
  <si>
    <t xml:space="preserve">Las inversiones en bienes de uso se valúan por su costo de adquisición, de construcción o por un valor equivalente (costo corriente) cuando se reciben sin contraprestación. El costo de adquisición incluye el precio neto pagado por los bienes, más todos los gastos necesarios para colocar el bien en lugar y condiciones de uso. </t>
  </si>
  <si>
    <t>Los costos de construcción incluyen  los  costos  directos e indirectos, incluyendo los costos de administración  de  la  obra,  incurridos  y  devengados  durante  el  período efectivo de la construcción.</t>
  </si>
  <si>
    <t>Los bienes recibidos en donación son contabilizados a valor razonable, representado por el importe de efectivo y otras partidas equivalentes, que debería pagarse  para  adquirirlo en las condiciones en que se encuentren.</t>
  </si>
  <si>
    <t>Los costos de mejoras, reparaciones mayores y rehabilitaciones que extienden la vida útil de los Bienes de Uso, se capitalizan en forma conjunta con el bien existente o por separado cuando ello sea aconsejable,  de  acuerdo  a  la  naturaleza  de la  operación realizada y del bien de que se trate.</t>
  </si>
  <si>
    <t xml:space="preserve">Los bienes inmuebles  son  contabilizados  de  acuerdo  a  la  última  valuación  fiscal conocida, y de no resultar factible su obtención, se recurrirá a su tasación. </t>
  </si>
  <si>
    <t>El método de cálculo para el registro  de  la  Depreciación  es  el  de  Línea  Recta, adoptado como método general aplicable a todo el Sector Público, a  los  fines de su consolidación. El uso de este método representa la distribución sistemática y racional del costo total de  cada  partida  del  activo  fijo  tangible, durante  el  período  de  su aprovechamiento económico, el mismo será aplicado a todos los  bienes  de  uso  de dominio público, con excepción de los terrenos.</t>
  </si>
  <si>
    <t>Reconocimiento de ingresos</t>
  </si>
  <si>
    <t xml:space="preserve">Nuestro sistema de Contabilidad de CORAAMOCA  registra  de  acuerdo  al  plan  de cuentas contables y a los procedimientos de registros adoptados y la ejecución de  los gastos autorizados en nuestros presupuestos imputados en las partidas presupuestales, de conformidad con las normas, criterios y momentos  contables  establecidos  por  la Dirección General de Contabilidad Gubernamental (DIGECOG). </t>
  </si>
  <si>
    <t xml:space="preserve">Las transacciones presupuestarias de gastos se registran en el sistema por el método de partida doble, reconociendo  la  obligación  o  gasto  devengado  y  pagado  o extinción de la obligación. Así mismo, las transacciones relativas a los ingresos se registran en la etapa percibida.    </t>
  </si>
  <si>
    <t xml:space="preserve">Impuesto sobre la renta </t>
  </si>
  <si>
    <t>Corporación del Acueducto y Alcantarillado de Moca (CORAAMOCA) es una entidad gubernamental sin fines de lucro está exenta de pagar impuesto sobre la renta, pero si funciona como agente de retención.</t>
  </si>
  <si>
    <t>Nota #7</t>
  </si>
  <si>
    <t>Efectivo y equivalentes de efectivo.</t>
  </si>
  <si>
    <t>En la institución hay tres caja chica , una para compras por valor de RD$80,000.00 y una para compras en la planta la dura por valor de RD$10,000.00, una para menudo por valor de RD$5,000.00 y tres en los centros de servicios a clientes de Cayetano Germosén, Gaspar Hernández y Veragua por valor de RD$5,000.00 cada uno. Los tres fondo de los centros que fueron asignados,  hace mas de 10 años que con los combios de encargados se perdieron e en este periodo 2025 autorizaron la eliminacion.</t>
  </si>
  <si>
    <t>Hay dos cuentas en el sigef y tres cuentas institucional en el Banreservas</t>
  </si>
  <si>
    <t>DESCRIPCIÓN</t>
  </si>
  <si>
    <t>Diferencia</t>
  </si>
  <si>
    <t>EECTIVO EN CAJA</t>
  </si>
  <si>
    <t>EECTIVO EN CAJA CHICA</t>
  </si>
  <si>
    <t>RESERVAS CTA. 100011701025466 (Progeo)</t>
  </si>
  <si>
    <t>RESERVAS CTA. 100011701027264(Funcional)</t>
  </si>
  <si>
    <t>RESERVAS CTA.100011701024303 (plan de pensión)</t>
  </si>
  <si>
    <t>CUENTA  9604127870 (CUT)</t>
  </si>
  <si>
    <t>CUENTA  9995095001  (CUT)</t>
  </si>
  <si>
    <t xml:space="preserve"> CTA FONDO 100  0100255001 </t>
  </si>
  <si>
    <t>Total Efectivo y equivalentes de efectivo.</t>
  </si>
  <si>
    <t xml:space="preserve"> Nota #8</t>
  </si>
  <si>
    <t>Inversiones a corto plazo</t>
  </si>
  <si>
    <t>Inventarios de Mercancías</t>
  </si>
  <si>
    <t>Deposito a plazo fijo</t>
  </si>
  <si>
    <t>Total Inversiones a corto plazo</t>
  </si>
  <si>
    <t>Nota #9</t>
  </si>
  <si>
    <t>Cuentas por cobrar a corto plazo</t>
  </si>
  <si>
    <t xml:space="preserve"> </t>
  </si>
  <si>
    <t>Cuentas por Cobrar (transferencia del gobierno)</t>
  </si>
  <si>
    <t>Cuentas por Cobrar empleados</t>
  </si>
  <si>
    <t>Total Cuentas y Documentos por Cobrar</t>
  </si>
  <si>
    <t>Notas. El método que utilizamos en el caso de los ingresos es por lo percibido por tal motivo no incluimos la cuenta por cobrar cliente como activo y por ende esta fuera del patrimonio. La razón es que en el tiempo no hemos logrado tener índice de cobro del 100%. por lo que en nuestro sistema comercial la cuenta por cobrar no cuenta con un monto razonable. Con relación a la cuenta por cobrar empleados la institución anulara esta cuenta en el próximo periodo contable.</t>
  </si>
  <si>
    <t>Nota # 10</t>
  </si>
  <si>
    <t>Inventario</t>
  </si>
  <si>
    <t>Inventarios Materiales y suministros para consumo y prestación de servicios</t>
  </si>
  <si>
    <t>Total en Inventario</t>
  </si>
  <si>
    <t>Nota # 11</t>
  </si>
  <si>
    <t>Pagos anticipados</t>
  </si>
  <si>
    <t>Seguros bienes muebles balance inicial</t>
  </si>
  <si>
    <t>Adquisición de seguros</t>
  </si>
  <si>
    <t>Gasto por seguros consumido</t>
  </si>
  <si>
    <t>Seguros bienes muebles</t>
  </si>
  <si>
    <t>Total Pagos anticipados</t>
  </si>
  <si>
    <t>Nota # 12</t>
  </si>
  <si>
    <t>Otros activos corrientes</t>
  </si>
  <si>
    <t>Centro de  Servicio al Cliente</t>
  </si>
  <si>
    <t>Doc. Sustento</t>
  </si>
  <si>
    <t>Deposito</t>
  </si>
  <si>
    <t>Valor</t>
  </si>
  <si>
    <t>JAMAO AL NORTE</t>
  </si>
  <si>
    <t>C00056565</t>
  </si>
  <si>
    <t>VERAGUA</t>
  </si>
  <si>
    <t>CK0064857</t>
  </si>
  <si>
    <t>JUAN LOPEZ</t>
  </si>
  <si>
    <t>CK0069795</t>
  </si>
  <si>
    <t>LAS LAGUNAS</t>
  </si>
  <si>
    <t>CK0069773</t>
  </si>
  <si>
    <t>CANCA LA REYNA</t>
  </si>
  <si>
    <t>C00047490</t>
  </si>
  <si>
    <t>VILLA TRINA</t>
  </si>
  <si>
    <t>CKC0077938</t>
  </si>
  <si>
    <t>HIGUERITO</t>
  </si>
  <si>
    <t>CKC0070977</t>
  </si>
  <si>
    <t>HINCHA</t>
  </si>
  <si>
    <t>CKC0071686</t>
  </si>
  <si>
    <t>TOTAL DE FIANZA</t>
  </si>
  <si>
    <t xml:space="preserve">Depósitos </t>
  </si>
  <si>
    <t>Total Otros activos corrientes</t>
  </si>
  <si>
    <t>Propiedad planta y equipo</t>
  </si>
  <si>
    <r>
      <t>L</t>
    </r>
    <r>
      <rPr>
        <sz val="11"/>
        <color indexed="8"/>
        <rFont val="Times New Roman"/>
        <family val="1"/>
      </rPr>
      <t>os balances de las cuentas de Propiedad planta y equipo están integrados por los valores históricos registrados.</t>
    </r>
  </si>
  <si>
    <t xml:space="preserve">La depreciación de los activos que ha establecido la DIGECOG es  el  método lineal, la  institución  realizo ajustes de  depreciación en el periodos 2023 para armonizar con bienes nacionales el valor en libro de los bienes mueble, los valores históricos iniciales es diferente en vista de que cuando se implemento el control de bienes en el SIAB no se  partió del valor en libro inicialmente. </t>
  </si>
  <si>
    <t>Ver matriz Anexo libro nota13</t>
  </si>
  <si>
    <t xml:space="preserve">DESCRIPCION </t>
  </si>
  <si>
    <t>ACTIVOS NO FINANCIEROS</t>
  </si>
  <si>
    <t xml:space="preserve">Maquinaria y Equipos de producción </t>
  </si>
  <si>
    <t xml:space="preserve">Costos de adquisición  </t>
  </si>
  <si>
    <t>Adiciones</t>
  </si>
  <si>
    <t>Retiros</t>
  </si>
  <si>
    <t>Depreciación Acumulada</t>
  </si>
  <si>
    <t>Depreciación del periodo</t>
  </si>
  <si>
    <t xml:space="preserve">TOTAL MAQUINARIAS Y EQUIPOS </t>
  </si>
  <si>
    <t>DEPRECIACION MAQUINARIAS Y EQUIPOS</t>
  </si>
  <si>
    <t>TOTAL DE MAQUINARIAS Y EQUIPOS MENOS DEPRECIACION</t>
  </si>
  <si>
    <t>EQUIPO DE TRANSPORTE, TRACCION Y ELEVACION</t>
  </si>
  <si>
    <t>TOTAL EQUIPO DE TRANSPORTE, TRACCION Y ELEVACION</t>
  </si>
  <si>
    <t>DEPRE. EQUIPO DE TRANSP., TRACCION Y ELEVACION</t>
  </si>
  <si>
    <t>TOTAL EQUIPO DE TRANSP., TRACCION Y ELEVACION MENOS DEPRE.</t>
  </si>
  <si>
    <t>EQUIPO DE COMUNICACIÓN Y SEÑALAMIENTO</t>
  </si>
  <si>
    <t>TOTAL EQUIPO DE COMUNICACIÓN Y SEÑALAMIENTO</t>
  </si>
  <si>
    <t>DEPRECIACION EQUIPO DE COM. Y SEÑALAMIENTO</t>
  </si>
  <si>
    <t>TOTAL DE EQUIPO DE COM. Y SEÑAL MENOS DEPRECIACION</t>
  </si>
  <si>
    <t>EQUIPO Y MUEBLES DE OFICINA</t>
  </si>
  <si>
    <t>TOTAL EQUIPO Y MUEBLES DE OFICINA</t>
  </si>
  <si>
    <t>DEPRECIACIONEQUIPO DE EQUIPO Y MUEBLES DE OFICINA</t>
  </si>
  <si>
    <t>TOTAL DE EQUIPO Y MUEBLES DE OFICINA MENOS DEPRE.</t>
  </si>
  <si>
    <t>CONSTRUCCIONES Y MEJORAS</t>
  </si>
  <si>
    <t>Obras Urbanísticas</t>
  </si>
  <si>
    <t>Obras Construcciones y Mejoras</t>
  </si>
  <si>
    <t>TOTAL CONSTRUCCIONES Y MEJORAS</t>
  </si>
  <si>
    <t>DEPRECIACION CONSTRUCCIONES Y MEJORAS</t>
  </si>
  <si>
    <t>TOTAL DE CONSTRUCCIONES Y MEJORAS MENOS DEPRE.</t>
  </si>
  <si>
    <t>Terreno</t>
  </si>
  <si>
    <t>TOTAL INMUEBLES</t>
  </si>
  <si>
    <t>Edificaciones</t>
  </si>
  <si>
    <t>TOTAL EDIFICACIONES</t>
  </si>
  <si>
    <t>DEPRECIACION INMUEBLES</t>
  </si>
  <si>
    <t>TOTAL DE INMUEBLES MENOS DEPRECIACION</t>
  </si>
  <si>
    <t>OTROS BIENES DE USO</t>
  </si>
  <si>
    <t>Supervisión e Inspección de Obras</t>
  </si>
  <si>
    <t>TOTAL OTROS BIENES DE USO</t>
  </si>
  <si>
    <t>DEPRECIACION OTROS BIENES DE USO</t>
  </si>
  <si>
    <t>TOTAL DE OTROS BIENES DE USO MENOS DEPRECIACION</t>
  </si>
  <si>
    <t>ACTIVOS INTANGIBLES</t>
  </si>
  <si>
    <t>Activo Intangible</t>
  </si>
  <si>
    <t>Licencias Informáticas</t>
  </si>
  <si>
    <t>Programas de Computación</t>
  </si>
  <si>
    <t>TOTAL ACTIVOS INTANGIBLES</t>
  </si>
  <si>
    <t>DEPRECIACIONACTIVOS INTANGIBLES</t>
  </si>
  <si>
    <t>TOTAL DE ACTIVOS INTANGIBLES MENOS DEPRECIACION</t>
  </si>
  <si>
    <t xml:space="preserve">TOTAL DE BIENES EN USO </t>
  </si>
  <si>
    <t>TOTAL DEPRECIACION ACUMULADA</t>
  </si>
  <si>
    <t>TOTAL ACTIVOS NO CORRIENTES</t>
  </si>
  <si>
    <t>Nota #  13</t>
  </si>
  <si>
    <t xml:space="preserve">Activos Intangible </t>
  </si>
  <si>
    <t>Programa informáticos (1 año)</t>
  </si>
  <si>
    <t>Amortización Programa informáticos</t>
  </si>
  <si>
    <t>Total</t>
  </si>
  <si>
    <t>Nota # 15</t>
  </si>
  <si>
    <t>Cuentas por pagar a corto plazo</t>
  </si>
  <si>
    <t xml:space="preserve"> ** Otras Cuentas por pagar están integrada por  Otro proveedores directo a pagar a corto plazo y  cuenta por pagar usos internos,  por cheques anulados  fuera de fecha que no ha sido reclamado, en el 2025 se autorizo la eliminacion.</t>
  </si>
  <si>
    <t xml:space="preserve">   </t>
  </si>
  <si>
    <t>Cuenta</t>
  </si>
  <si>
    <t>VARIACION</t>
  </si>
  <si>
    <t>Cuentas por pagar Suplidores (anexos)</t>
  </si>
  <si>
    <t>Cuentas por pagar Suplidores Gobierno (anexos)</t>
  </si>
  <si>
    <t>Otras Cuentas por pagar **</t>
  </si>
  <si>
    <t>Total Cuentas por pagar a corto plazo</t>
  </si>
  <si>
    <t>Relación de Cuentas por pagar a suplidores anexos</t>
  </si>
  <si>
    <t>Nota # 16 Préstamo a corto plazo</t>
  </si>
  <si>
    <t>Documentos por pagar</t>
  </si>
  <si>
    <t>TOTAL</t>
  </si>
  <si>
    <t>Cambio porcentual con relación al 2022</t>
  </si>
  <si>
    <t>Nota # 16</t>
  </si>
  <si>
    <t>Retenciones y Acumulaciones  por pagar</t>
  </si>
  <si>
    <t>Acumulaciones por pagar</t>
  </si>
  <si>
    <r>
      <t xml:space="preserve">Deducciones al personal </t>
    </r>
    <r>
      <rPr>
        <sz val="11"/>
        <color indexed="8"/>
        <rFont val="Times New Roman"/>
        <family val="1"/>
      </rPr>
      <t>(Histórico Antiguo PP)</t>
    </r>
  </si>
  <si>
    <t>Nomina por pagar</t>
  </si>
  <si>
    <t>Total Acumulaciones por pagar</t>
  </si>
  <si>
    <t>Retenciones por pagar</t>
  </si>
  <si>
    <t>Ret. Impos. Por Pagar Isr Ir-3</t>
  </si>
  <si>
    <t>Retenciones Por Pagar Dgii Acuerdos</t>
  </si>
  <si>
    <t>Ret Imposit Por Pagar Ir 17 (5%)</t>
  </si>
  <si>
    <t>Ret Imposit Por Pagar Ir 17 (10%)</t>
  </si>
  <si>
    <t>Ret Imposit Por Pagar Ir 17 10% Alquiler</t>
  </si>
  <si>
    <t>Ret. P/Seguro Complementario</t>
  </si>
  <si>
    <t>Ret Imposit Por Pagar Itbis</t>
  </si>
  <si>
    <t>Total Retenciones por pagar</t>
  </si>
  <si>
    <t>Total retenciones y acumulaciones</t>
  </si>
  <si>
    <t>Nota # 17</t>
  </si>
  <si>
    <t>Activos Netos/Patrimonio</t>
  </si>
  <si>
    <t>Capital</t>
  </si>
  <si>
    <t>Resultados acumulado</t>
  </si>
  <si>
    <t>Ajuste al Resultados periodo anterior</t>
  </si>
  <si>
    <t xml:space="preserve">Resultado Neto del Período </t>
  </si>
  <si>
    <t>Total Patrimonio Institucional</t>
  </si>
  <si>
    <t>El ajuste al resultado anterior se generó por anulaciones de cheques y otros ajustes.</t>
  </si>
  <si>
    <t>Ingresos por transacciones con contraprestaciones</t>
  </si>
  <si>
    <t>AÑOS</t>
  </si>
  <si>
    <t>Ventas de servicios de APS</t>
  </si>
  <si>
    <t>Ingresos recibidos por certificado financieros</t>
  </si>
  <si>
    <t>Total de Ingresos por transacciones con contraprestaciones</t>
  </si>
  <si>
    <t>Nota # 18</t>
  </si>
  <si>
    <t xml:space="preserve">Transferencias y donaciones </t>
  </si>
  <si>
    <t>Transferencias Recibidas:</t>
  </si>
  <si>
    <t>Transferencias de la Adm. Central: corriente</t>
  </si>
  <si>
    <t>Transferencias de la Adm. Central: capital</t>
  </si>
  <si>
    <t>Transferencias de la Adm. Central: energía no cortable</t>
  </si>
  <si>
    <t>Transferencias recibidas fuera de circuito</t>
  </si>
  <si>
    <t xml:space="preserve">Total de Transferencia y donaciones </t>
  </si>
  <si>
    <t>Corriente</t>
  </si>
  <si>
    <t>Energía no cortable</t>
  </si>
  <si>
    <t>Enero</t>
  </si>
  <si>
    <t>Febrero</t>
  </si>
  <si>
    <t>Marzo</t>
  </si>
  <si>
    <t>Abril</t>
  </si>
  <si>
    <t>Mayo</t>
  </si>
  <si>
    <t>Junio</t>
  </si>
  <si>
    <t>Julio</t>
  </si>
  <si>
    <t>Agosto</t>
  </si>
  <si>
    <t>Septiembre</t>
  </si>
  <si>
    <t>Octubre</t>
  </si>
  <si>
    <t>Noviembre</t>
  </si>
  <si>
    <t>Diciembre</t>
  </si>
  <si>
    <t>Total aportes corrientes 2024</t>
  </si>
  <si>
    <t>Total aportes de capital 2024</t>
  </si>
  <si>
    <t>En el mes de diciembre 2024 la institución recibió a parte de la transferencia corriente normal  el cheque No. 070900 de la presidencia de la republica, para gasto corriente por valor de RD$4,235,517.00</t>
  </si>
  <si>
    <t xml:space="preserve"> Nota # 19</t>
  </si>
  <si>
    <t>Sueldos, Salarios y beneficios a empleados</t>
  </si>
  <si>
    <t>Sueldos para cargos Fijos</t>
  </si>
  <si>
    <t>Sueldos personal temporero y contratado</t>
  </si>
  <si>
    <t>Sobresueldos (compensación por hora extraordinario ,compensación por resultado, prima de transp., incentivos por rendimiento)</t>
  </si>
  <si>
    <t>Jornales</t>
  </si>
  <si>
    <t>Dietas y Gastos de Representación</t>
  </si>
  <si>
    <t>Gratificaciones y Bonificaciones</t>
  </si>
  <si>
    <t xml:space="preserve"> Indemnización Laboral</t>
  </si>
  <si>
    <t>Contribución al seguro de salud</t>
  </si>
  <si>
    <t>Contribución al seguro pensión</t>
  </si>
  <si>
    <t>Contribución al seguro riesgo laboral</t>
  </si>
  <si>
    <t>Total Sueldos, Salarios y beneficios a empleados</t>
  </si>
  <si>
    <t>Nota # 20</t>
  </si>
  <si>
    <t>Subvenciones y otros pagos por transferencias</t>
  </si>
  <si>
    <t>PARTIDAS</t>
  </si>
  <si>
    <t xml:space="preserve">Transferencias al Sector Privado  </t>
  </si>
  <si>
    <t>Total Subvenciones y otros pagos por transferencias</t>
  </si>
  <si>
    <t>Nota # 21</t>
  </si>
  <si>
    <t>Suministro y materiales para consumo</t>
  </si>
  <si>
    <t>Alimentos y productos agroforestales</t>
  </si>
  <si>
    <t>Textiles y vestuarios</t>
  </si>
  <si>
    <t xml:space="preserve">Productos de papel, cartón e impresos   </t>
  </si>
  <si>
    <t>Combustibles, lubricantes</t>
  </si>
  <si>
    <t>Productos químicos y conexos</t>
  </si>
  <si>
    <t>Productos y útiles varios</t>
  </si>
  <si>
    <t>Variación en el Inventario</t>
  </si>
  <si>
    <t>Total Suministro y materiales para consumo</t>
  </si>
  <si>
    <t>Nota # 22</t>
  </si>
  <si>
    <t>Gasto de Depreciación y Amortización</t>
  </si>
  <si>
    <t>Depreciación</t>
  </si>
  <si>
    <t>Amortización</t>
  </si>
  <si>
    <t xml:space="preserve">Total </t>
  </si>
  <si>
    <t>Nota # 23</t>
  </si>
  <si>
    <t xml:space="preserve">Otros gastos </t>
  </si>
  <si>
    <t>PARTIDA</t>
  </si>
  <si>
    <t>Servicios básicos</t>
  </si>
  <si>
    <t>Electricidad</t>
  </si>
  <si>
    <t>Publicidad, impresión y encuadernación</t>
  </si>
  <si>
    <t>Viáticos</t>
  </si>
  <si>
    <t>Transporte y almacenaje</t>
  </si>
  <si>
    <t>Alquileres y rentas</t>
  </si>
  <si>
    <t>Seguros</t>
  </si>
  <si>
    <t>Servicios de conservación, reparaciones menores e instalaciones temporales</t>
  </si>
  <si>
    <t>Otros servicios no incluidos en conceptos anteriores</t>
  </si>
  <si>
    <t>Total Otros gastos</t>
  </si>
  <si>
    <t>Nota # 24</t>
  </si>
  <si>
    <t xml:space="preserve">Gastos Financieros </t>
  </si>
  <si>
    <t>Comisiones y gastos bancarios</t>
  </si>
  <si>
    <t>Intereses</t>
  </si>
  <si>
    <t xml:space="preserve">Total Gastos Financieros </t>
  </si>
  <si>
    <t>Nota # 25</t>
  </si>
  <si>
    <t>Compromisos y contingencias</t>
  </si>
  <si>
    <t>Clientes Gubernamentales</t>
  </si>
  <si>
    <t>Clientes privados</t>
  </si>
  <si>
    <t>Total Compromisos y contingencias</t>
  </si>
  <si>
    <t>Notas. El método que utilizamos en el caso de los ingresos es por lo percibido por tal motivo no incluimos la cuenta por cobrar cliente en las informaciones.   La razón es que en el tiempo no hemos logrado tener índice de cobro del 100%. por lo que no lograremos disminuir.</t>
  </si>
  <si>
    <t>COMERCIAL</t>
  </si>
  <si>
    <t>ESPECIAL</t>
  </si>
  <si>
    <t>PUBLICO</t>
  </si>
  <si>
    <t>RESIDENCIAL</t>
  </si>
  <si>
    <t>SIN DATOS</t>
  </si>
  <si>
    <t xml:space="preserve">TOTAL </t>
  </si>
  <si>
    <t>HOTELES</t>
  </si>
  <si>
    <t>INDUSTRIAL</t>
  </si>
  <si>
    <t>TOTAL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</si>
</sst>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_);\(0\)"/>
    <numFmt numFmtId="165" formatCode="&quot;RD$&quot;#,##0.00;[Red]\-&quot;RD$&quot;#,##0.00"/>
  </numFmts>
  <fonts count="18"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1"/>
      <name val="Times New Roman"/>
      <family val="1"/>
    </font>
    <font>
      <sz val="11"/>
      <name val="Times New Roman"/>
      <family val="1"/>
    </font>
    <font>
      <sz val="11"/>
      <color rgb="FF000000"/>
      <name val="Times New Roman"/>
      <family val="1"/>
    </font>
    <font>
      <sz val="11"/>
      <color rgb="FFFF0000"/>
      <name val="Times New Roman"/>
      <family val="1"/>
    </font>
    <font>
      <b/>
      <sz val="11"/>
      <color rgb="FF000000"/>
      <name val="Times New Roman"/>
      <family val="1"/>
    </font>
    <font>
      <b/>
      <sz val="11"/>
      <color theme="0" tint="-0.249977111117893"/>
      <name val="Times New Roman"/>
      <family val="1"/>
    </font>
    <font>
      <sz val="11"/>
      <color indexed="8"/>
      <name val="Times New Roman"/>
      <family val="1"/>
    </font>
    <font>
      <b/>
      <sz val="11"/>
      <color rgb="FFFF0000"/>
      <name val="Times New Roman"/>
      <family val="1"/>
    </font>
    <font>
      <b/>
      <sz val="11"/>
      <color theme="0" tint="-4.9989318521683403E-2"/>
      <name val="Times New Roman"/>
      <family val="1"/>
    </font>
    <font>
      <sz val="10"/>
      <color theme="1"/>
      <name val="Times New Roman"/>
      <family val="1"/>
    </font>
    <font>
      <sz val="11"/>
      <color theme="0" tint="-0.249977111117893"/>
      <name val="Times New Roman"/>
      <family val="1"/>
    </font>
    <font>
      <b/>
      <sz val="11"/>
      <color theme="0" tint="-0.14999847407452621"/>
      <name val="Times New Roman"/>
      <family val="1"/>
    </font>
    <font>
      <b/>
      <sz val="9"/>
      <color indexed="81"/>
      <name val="Tahoma"/>
      <family val="2"/>
    </font>
    <font>
      <sz val="9"/>
      <color indexed="81"/>
      <name val="Tahoma"/>
      <family val="2"/>
    </font>
  </fonts>
  <fills count="11">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rgb="FFF2F2F2"/>
        <bgColor indexed="64"/>
      </patternFill>
    </fill>
    <fill>
      <patternFill patternType="solid">
        <fgColor theme="0"/>
        <bgColor indexed="64"/>
      </patternFill>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284">
    <xf numFmtId="0" fontId="0" fillId="0" borderId="0" xfId="0"/>
    <xf numFmtId="0" fontId="2" fillId="0" borderId="0" xfId="0" applyFont="1" applyAlignment="1">
      <alignment horizontal="center"/>
    </xf>
    <xf numFmtId="0" fontId="3" fillId="0" borderId="0" xfId="0" applyFont="1"/>
    <xf numFmtId="43" fontId="3" fillId="0" borderId="0" xfId="1" applyFont="1"/>
    <xf numFmtId="0" fontId="3" fillId="2" borderId="0" xfId="0" applyFont="1" applyFill="1"/>
    <xf numFmtId="0" fontId="2" fillId="0" borderId="0" xfId="0" applyFont="1" applyAlignment="1">
      <alignment horizontal="center"/>
    </xf>
    <xf numFmtId="43" fontId="2" fillId="0" borderId="0" xfId="1" applyFont="1" applyAlignment="1">
      <alignment horizontal="center"/>
    </xf>
    <xf numFmtId="0" fontId="2" fillId="0" borderId="0" xfId="0" applyFont="1" applyAlignment="1">
      <alignment horizontal="left" vertical="center" wrapText="1"/>
    </xf>
    <xf numFmtId="0" fontId="2" fillId="0" borderId="0" xfId="0" applyFont="1" applyAlignment="1">
      <alignment vertical="center"/>
    </xf>
    <xf numFmtId="0" fontId="4" fillId="0" borderId="0" xfId="0" applyFont="1" applyAlignment="1">
      <alignment vertical="center"/>
    </xf>
    <xf numFmtId="0" fontId="3" fillId="0" borderId="0" xfId="0" applyFont="1" applyFill="1"/>
    <xf numFmtId="0" fontId="2" fillId="0" borderId="0" xfId="0" applyFont="1" applyAlignment="1">
      <alignment horizontal="justify" vertical="center" wrapText="1"/>
    </xf>
    <xf numFmtId="0" fontId="2" fillId="0" borderId="0" xfId="0" applyFont="1" applyAlignment="1">
      <alignment horizontal="left" vertical="center"/>
    </xf>
    <xf numFmtId="0" fontId="3" fillId="0" borderId="0" xfId="0" applyFont="1" applyAlignment="1">
      <alignment horizontal="justify" vertical="center" wrapText="1"/>
    </xf>
    <xf numFmtId="0" fontId="5" fillId="0" borderId="0" xfId="0" applyFont="1" applyAlignment="1">
      <alignment horizontal="left" vertical="center" wrapText="1"/>
    </xf>
    <xf numFmtId="43" fontId="3" fillId="0" borderId="0" xfId="1" applyFont="1" applyFill="1"/>
    <xf numFmtId="0" fontId="3" fillId="0" borderId="0" xfId="0" applyFont="1" applyAlignment="1">
      <alignment horizontal="left" vertical="center" wrapText="1"/>
    </xf>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wrapText="1"/>
    </xf>
    <xf numFmtId="0" fontId="3" fillId="0" borderId="0" xfId="0" applyFont="1" applyFill="1" applyBorder="1" applyAlignment="1">
      <alignment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xf>
    <xf numFmtId="43" fontId="6" fillId="0" borderId="0" xfId="1" applyFont="1" applyAlignment="1">
      <alignment horizontal="left" vertical="center" wrapText="1"/>
    </xf>
    <xf numFmtId="0" fontId="5" fillId="0" borderId="0" xfId="0" applyFont="1" applyFill="1" applyAlignment="1">
      <alignment horizontal="left" vertical="center" wrapText="1"/>
    </xf>
    <xf numFmtId="0" fontId="3" fillId="3" borderId="0" xfId="0" applyFont="1" applyFill="1" applyAlignment="1">
      <alignment horizontal="left" vertical="center" wrapText="1"/>
    </xf>
    <xf numFmtId="0" fontId="3" fillId="0" borderId="0" xfId="0" applyFont="1" applyFill="1" applyAlignment="1">
      <alignment horizontal="left" vertical="center" wrapText="1"/>
    </xf>
    <xf numFmtId="43" fontId="3" fillId="0" borderId="0" xfId="1" applyFont="1" applyFill="1" applyAlignment="1">
      <alignment horizontal="left"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7"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164" fontId="4" fillId="4" borderId="1"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0" borderId="1" xfId="0" applyFont="1" applyBorder="1" applyAlignment="1">
      <alignment horizontal="justify" vertical="center" wrapText="1"/>
    </xf>
    <xf numFmtId="43" fontId="6" fillId="0" borderId="1" xfId="1" applyFont="1" applyBorder="1" applyAlignment="1">
      <alignment horizontal="right" vertical="center"/>
    </xf>
    <xf numFmtId="43" fontId="6" fillId="0" borderId="1" xfId="1" applyFont="1" applyBorder="1" applyAlignment="1">
      <alignment horizontal="right" vertical="center" wrapText="1"/>
    </xf>
    <xf numFmtId="43" fontId="5" fillId="0" borderId="1" xfId="1" applyFont="1" applyBorder="1" applyAlignment="1">
      <alignment horizontal="right"/>
    </xf>
    <xf numFmtId="0" fontId="6" fillId="0" borderId="1" xfId="0" applyFont="1" applyBorder="1" applyAlignment="1">
      <alignment horizontal="left" vertical="center" wrapText="1"/>
    </xf>
    <xf numFmtId="43" fontId="5" fillId="0" borderId="1" xfId="1" applyFont="1" applyBorder="1" applyAlignment="1"/>
    <xf numFmtId="0" fontId="3" fillId="0" borderId="1" xfId="0" applyFont="1" applyBorder="1" applyAlignment="1">
      <alignment vertical="center"/>
    </xf>
    <xf numFmtId="43" fontId="3" fillId="0" borderId="1" xfId="1" applyFont="1" applyBorder="1"/>
    <xf numFmtId="0" fontId="3" fillId="0" borderId="0" xfId="0" applyFont="1" applyBorder="1"/>
    <xf numFmtId="0" fontId="8" fillId="4" borderId="1" xfId="0" applyFont="1" applyFill="1" applyBorder="1" applyAlignment="1">
      <alignment vertical="center"/>
    </xf>
    <xf numFmtId="4" fontId="8" fillId="4"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43" fontId="3" fillId="0" borderId="0" xfId="1" applyFont="1" applyBorder="1"/>
    <xf numFmtId="0" fontId="3" fillId="2" borderId="0" xfId="0" applyFont="1" applyFill="1" applyBorder="1"/>
    <xf numFmtId="0" fontId="8" fillId="4" borderId="0" xfId="0" applyFont="1" applyFill="1" applyBorder="1" applyAlignment="1">
      <alignment horizontal="center" vertical="center"/>
    </xf>
    <xf numFmtId="43" fontId="9" fillId="4" borderId="0" xfId="1" applyFont="1" applyFill="1" applyBorder="1" applyAlignment="1">
      <alignment horizontal="center" vertical="center"/>
    </xf>
    <xf numFmtId="43" fontId="8" fillId="4" borderId="0" xfId="1" applyFont="1" applyFill="1" applyBorder="1" applyAlignment="1">
      <alignment horizontal="center" vertical="center"/>
    </xf>
    <xf numFmtId="4" fontId="4" fillId="4" borderId="0" xfId="0" applyNumberFormat="1" applyFont="1" applyFill="1" applyBorder="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43" fontId="2" fillId="0" borderId="1" xfId="1" applyFont="1" applyBorder="1" applyAlignment="1">
      <alignment horizontal="right" wrapText="1"/>
    </xf>
    <xf numFmtId="10" fontId="4" fillId="0" borderId="1" xfId="0" applyNumberFormat="1" applyFont="1" applyBorder="1"/>
    <xf numFmtId="0" fontId="4" fillId="0" borderId="0" xfId="0" applyFont="1" applyBorder="1" applyAlignment="1">
      <alignment horizontal="left" wrapText="1"/>
    </xf>
    <xf numFmtId="43" fontId="2" fillId="0" borderId="0" xfId="1" applyFont="1" applyBorder="1" applyAlignment="1">
      <alignment horizontal="right" wrapText="1"/>
    </xf>
    <xf numFmtId="10" fontId="4" fillId="0" borderId="0" xfId="0" applyNumberFormat="1" applyFont="1" applyBorder="1"/>
    <xf numFmtId="0" fontId="2" fillId="0" borderId="0" xfId="0" applyFont="1" applyBorder="1" applyAlignment="1">
      <alignment horizontal="left" wrapText="1"/>
    </xf>
    <xf numFmtId="10" fontId="2" fillId="0" borderId="0" xfId="0" applyNumberFormat="1" applyFont="1" applyBorder="1"/>
    <xf numFmtId="0" fontId="2" fillId="0" borderId="0" xfId="0" applyFont="1" applyAlignment="1">
      <alignment horizontal="left"/>
    </xf>
    <xf numFmtId="0" fontId="2" fillId="0" borderId="0" xfId="0" applyFont="1"/>
    <xf numFmtId="0" fontId="5" fillId="0" borderId="1" xfId="0" applyFont="1" applyBorder="1" applyAlignment="1">
      <alignment horizontal="left" vertical="center" wrapText="1"/>
    </xf>
    <xf numFmtId="4" fontId="5" fillId="0" borderId="4" xfId="0" applyNumberFormat="1" applyFont="1" applyBorder="1" applyAlignment="1">
      <alignment horizontal="right" vertical="center"/>
    </xf>
    <xf numFmtId="43" fontId="5" fillId="0" borderId="4" xfId="1" applyFont="1" applyBorder="1" applyAlignment="1">
      <alignment horizontal="right" vertical="center" wrapText="1"/>
    </xf>
    <xf numFmtId="4" fontId="5" fillId="0" borderId="0" xfId="0" applyNumberFormat="1" applyFont="1"/>
    <xf numFmtId="4" fontId="5" fillId="0" borderId="1" xfId="0" applyNumberFormat="1" applyFont="1" applyBorder="1" applyAlignment="1">
      <alignment horizontal="right" vertical="center"/>
    </xf>
    <xf numFmtId="43" fontId="5" fillId="0" borderId="1" xfId="1" applyFont="1" applyBorder="1" applyAlignment="1">
      <alignment horizontal="right" vertical="center"/>
    </xf>
    <xf numFmtId="4" fontId="5" fillId="0" borderId="1" xfId="0" applyNumberFormat="1" applyFont="1" applyBorder="1"/>
    <xf numFmtId="0" fontId="4" fillId="4" borderId="1" xfId="0" applyFont="1" applyFill="1" applyBorder="1" applyAlignment="1">
      <alignment horizontal="left" vertical="center" wrapText="1"/>
    </xf>
    <xf numFmtId="43" fontId="4" fillId="4" borderId="1" xfId="1" applyFont="1" applyFill="1" applyBorder="1" applyAlignment="1">
      <alignment horizontal="right" vertical="center"/>
    </xf>
    <xf numFmtId="0" fontId="4" fillId="4" borderId="0" xfId="0" applyFont="1" applyFill="1" applyBorder="1" applyAlignment="1">
      <alignment horizontal="left" vertical="center" wrapText="1"/>
    </xf>
    <xf numFmtId="4" fontId="4" fillId="4" borderId="0" xfId="0" applyNumberFormat="1" applyFont="1" applyFill="1" applyBorder="1" applyAlignment="1">
      <alignment horizontal="right" vertical="center"/>
    </xf>
    <xf numFmtId="43" fontId="4" fillId="4" borderId="0" xfId="1" applyFont="1" applyFill="1" applyBorder="1" applyAlignment="1">
      <alignment horizontal="right" vertical="center"/>
    </xf>
    <xf numFmtId="43" fontId="4" fillId="0" borderId="1" xfId="1" applyFont="1" applyBorder="1" applyAlignment="1">
      <alignment horizontal="right" wrapText="1"/>
    </xf>
    <xf numFmtId="0" fontId="3" fillId="5" borderId="0" xfId="0" applyFont="1" applyFill="1"/>
    <xf numFmtId="0" fontId="3" fillId="5" borderId="0" xfId="0" applyFont="1" applyFill="1" applyAlignment="1">
      <alignment horizontal="left" vertical="center" wrapText="1"/>
    </xf>
    <xf numFmtId="4" fontId="3" fillId="0" borderId="4" xfId="0" applyNumberFormat="1" applyFont="1" applyBorder="1" applyAlignment="1">
      <alignment horizontal="right" vertical="center"/>
    </xf>
    <xf numFmtId="43" fontId="6" fillId="0" borderId="4" xfId="1" applyFont="1" applyBorder="1" applyAlignment="1">
      <alignment horizontal="right" vertical="center" wrapText="1"/>
    </xf>
    <xf numFmtId="4" fontId="3" fillId="0" borderId="1" xfId="0" applyNumberFormat="1" applyFont="1" applyBorder="1"/>
    <xf numFmtId="4" fontId="3" fillId="0" borderId="1" xfId="0" applyNumberFormat="1" applyFont="1" applyBorder="1" applyAlignment="1">
      <alignment horizontal="right" vertical="center"/>
    </xf>
    <xf numFmtId="0" fontId="8" fillId="4"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4" fontId="9" fillId="0" borderId="0" xfId="0" applyNumberFormat="1" applyFont="1" applyFill="1" applyBorder="1" applyAlignment="1">
      <alignment horizontal="right" vertical="center"/>
    </xf>
    <xf numFmtId="43" fontId="8" fillId="0" borderId="0" xfId="1" applyFont="1" applyFill="1" applyBorder="1" applyAlignment="1">
      <alignment horizontal="right" vertical="center"/>
    </xf>
    <xf numFmtId="4" fontId="8" fillId="0" borderId="0" xfId="0" applyNumberFormat="1" applyFont="1" applyFill="1" applyBorder="1" applyAlignment="1">
      <alignment horizontal="right" vertical="center"/>
    </xf>
    <xf numFmtId="10" fontId="2" fillId="0" borderId="1" xfId="0" applyNumberFormat="1" applyFont="1" applyBorder="1"/>
    <xf numFmtId="0" fontId="3" fillId="0" borderId="0" xfId="0" applyFont="1" applyAlignment="1">
      <alignment vertical="center" wrapText="1"/>
    </xf>
    <xf numFmtId="0" fontId="3" fillId="0" borderId="0" xfId="0" applyFont="1" applyFill="1" applyAlignment="1">
      <alignment horizontal="left" wrapText="1"/>
    </xf>
    <xf numFmtId="4" fontId="3" fillId="0" borderId="0" xfId="0" applyNumberFormat="1" applyFont="1"/>
    <xf numFmtId="43" fontId="3" fillId="0" borderId="1" xfId="1" applyFont="1" applyBorder="1" applyAlignment="1">
      <alignment horizontal="right" vertical="center"/>
    </xf>
    <xf numFmtId="4" fontId="3" fillId="0" borderId="0" xfId="0" applyNumberFormat="1" applyFont="1" applyAlignment="1">
      <alignment vertical="center"/>
    </xf>
    <xf numFmtId="43" fontId="8" fillId="4" borderId="1" xfId="1" applyFont="1" applyFill="1" applyBorder="1" applyAlignment="1">
      <alignment horizontal="right" vertical="center"/>
    </xf>
    <xf numFmtId="43" fontId="9" fillId="0" borderId="0" xfId="1" applyFont="1" applyFill="1" applyBorder="1" applyAlignment="1">
      <alignment horizontal="right" vertical="center"/>
    </xf>
    <xf numFmtId="43" fontId="3" fillId="0" borderId="0" xfId="1" applyFont="1" applyAlignment="1">
      <alignment horizontal="left" vertical="center" wrapText="1"/>
    </xf>
    <xf numFmtId="4" fontId="3" fillId="0" borderId="1" xfId="0" applyNumberFormat="1" applyFont="1" applyFill="1" applyBorder="1" applyAlignment="1">
      <alignment horizontal="right" vertical="center"/>
    </xf>
    <xf numFmtId="39" fontId="3" fillId="0" borderId="1" xfId="0" applyNumberFormat="1" applyFont="1" applyBorder="1" applyAlignment="1">
      <alignment horizontal="right" vertical="center"/>
    </xf>
    <xf numFmtId="4" fontId="3" fillId="2" borderId="0" xfId="0" applyNumberFormat="1" applyFont="1" applyFill="1"/>
    <xf numFmtId="4" fontId="2" fillId="0" borderId="1" xfId="0" applyNumberFormat="1" applyFont="1" applyBorder="1"/>
    <xf numFmtId="0" fontId="8" fillId="4" borderId="0" xfId="0" applyFont="1" applyFill="1" applyBorder="1" applyAlignment="1">
      <alignment horizontal="left" vertical="center" wrapText="1"/>
    </xf>
    <xf numFmtId="43" fontId="9" fillId="4" borderId="0" xfId="1" applyFont="1" applyFill="1" applyBorder="1" applyAlignment="1">
      <alignment horizontal="right" vertical="center"/>
    </xf>
    <xf numFmtId="43" fontId="8" fillId="4" borderId="0" xfId="1" applyFont="1" applyFill="1" applyBorder="1" applyAlignment="1">
      <alignment horizontal="right" vertical="center"/>
    </xf>
    <xf numFmtId="4" fontId="8" fillId="4" borderId="0" xfId="0" applyNumberFormat="1" applyFont="1" applyFill="1" applyBorder="1" applyAlignment="1">
      <alignment horizontal="right" vertical="center"/>
    </xf>
    <xf numFmtId="4" fontId="3" fillId="0" borderId="0" xfId="0" applyNumberFormat="1" applyFont="1" applyAlignment="1">
      <alignment horizontal="left" vertical="center" wrapText="1"/>
    </xf>
    <xf numFmtId="0" fontId="2" fillId="0" borderId="0" xfId="0" applyFont="1" applyAlignment="1">
      <alignment vertical="center" wrapText="1"/>
    </xf>
    <xf numFmtId="0" fontId="3" fillId="0" borderId="0" xfId="0" applyFont="1" applyAlignment="1">
      <alignment vertical="center"/>
    </xf>
    <xf numFmtId="43" fontId="8" fillId="4" borderId="1" xfId="1" applyFont="1" applyFill="1" applyBorder="1" applyAlignment="1">
      <alignment horizontal="center" vertical="center"/>
    </xf>
    <xf numFmtId="43" fontId="3" fillId="0" borderId="0" xfId="1" applyFont="1" applyAlignment="1">
      <alignment vertical="center"/>
    </xf>
    <xf numFmtId="0" fontId="3" fillId="2" borderId="0" xfId="0" applyFont="1" applyFill="1" applyAlignment="1">
      <alignment vertical="center"/>
    </xf>
    <xf numFmtId="0" fontId="6" fillId="6" borderId="1" xfId="0" applyFont="1" applyFill="1" applyBorder="1" applyAlignment="1">
      <alignment vertical="center" wrapText="1"/>
    </xf>
    <xf numFmtId="165" fontId="6" fillId="6" borderId="1" xfId="0" applyNumberFormat="1" applyFont="1" applyFill="1" applyBorder="1" applyAlignment="1">
      <alignment horizontal="right" vertical="center"/>
    </xf>
    <xf numFmtId="43" fontId="6" fillId="6" borderId="1" xfId="1" applyFont="1" applyFill="1" applyBorder="1" applyAlignment="1">
      <alignment horizontal="center" vertical="center"/>
    </xf>
    <xf numFmtId="4" fontId="3" fillId="6" borderId="1" xfId="0" applyNumberFormat="1" applyFont="1" applyFill="1" applyBorder="1" applyAlignment="1">
      <alignment horizontal="right" vertical="center"/>
    </xf>
    <xf numFmtId="0" fontId="6" fillId="0" borderId="1" xfId="0" applyFont="1" applyBorder="1" applyAlignment="1">
      <alignment vertical="center" wrapText="1"/>
    </xf>
    <xf numFmtId="165" fontId="6" fillId="0" borderId="1" xfId="0" applyNumberFormat="1" applyFont="1" applyBorder="1" applyAlignment="1">
      <alignment horizontal="right" vertical="center"/>
    </xf>
    <xf numFmtId="43" fontId="6" fillId="0" borderId="1" xfId="1" applyFont="1" applyBorder="1" applyAlignment="1">
      <alignment horizontal="center" vertical="center"/>
    </xf>
    <xf numFmtId="0" fontId="2" fillId="4" borderId="1" xfId="0" applyFont="1" applyFill="1" applyBorder="1" applyAlignment="1">
      <alignment vertical="center"/>
    </xf>
    <xf numFmtId="43" fontId="2" fillId="4" borderId="1" xfId="1" applyFont="1" applyFill="1" applyBorder="1" applyAlignment="1">
      <alignment vertical="center"/>
    </xf>
    <xf numFmtId="4" fontId="2" fillId="4" borderId="1" xfId="0" applyNumberFormat="1" applyFont="1" applyFill="1" applyBorder="1" applyAlignment="1">
      <alignment horizontal="right" vertical="center"/>
    </xf>
    <xf numFmtId="0" fontId="2" fillId="0" borderId="0" xfId="0" applyFont="1" applyFill="1" applyBorder="1" applyAlignment="1">
      <alignment horizontal="center" vertical="center"/>
    </xf>
    <xf numFmtId="43" fontId="2" fillId="0" borderId="0" xfId="1" applyFont="1" applyFill="1" applyBorder="1" applyAlignment="1">
      <alignment horizontal="center" vertical="center"/>
    </xf>
    <xf numFmtId="0" fontId="5" fillId="0" borderId="0" xfId="0" applyFont="1"/>
    <xf numFmtId="43" fontId="5" fillId="0" borderId="0" xfId="1" applyFont="1"/>
    <xf numFmtId="0" fontId="5" fillId="2" borderId="0" xfId="0" applyFont="1" applyFill="1"/>
    <xf numFmtId="0" fontId="5" fillId="4" borderId="0" xfId="0" applyFont="1" applyFill="1" applyBorder="1" applyAlignment="1">
      <alignment horizontal="left" vertical="center" wrapText="1"/>
    </xf>
    <xf numFmtId="4" fontId="5" fillId="4" borderId="0" xfId="0" applyNumberFormat="1" applyFont="1" applyFill="1" applyBorder="1" applyAlignment="1">
      <alignment horizontal="right" vertical="center"/>
    </xf>
    <xf numFmtId="43" fontId="5" fillId="4" borderId="0" xfId="1" applyFont="1" applyFill="1" applyBorder="1" applyAlignment="1">
      <alignment horizontal="right" vertical="center"/>
    </xf>
    <xf numFmtId="0" fontId="5" fillId="0" borderId="0" xfId="0" applyFont="1" applyBorder="1"/>
    <xf numFmtId="43" fontId="5" fillId="0" borderId="1" xfId="1" applyFont="1" applyBorder="1" applyAlignment="1">
      <alignment horizontal="right" wrapText="1"/>
    </xf>
    <xf numFmtId="10" fontId="5" fillId="0" borderId="1" xfId="0" applyNumberFormat="1" applyFont="1" applyBorder="1"/>
    <xf numFmtId="43" fontId="5" fillId="0" borderId="0" xfId="1" applyFont="1" applyBorder="1"/>
    <xf numFmtId="0" fontId="5" fillId="2" borderId="0" xfId="0" applyFont="1" applyFill="1" applyBorder="1"/>
    <xf numFmtId="0" fontId="5" fillId="0" borderId="0" xfId="0" applyFont="1" applyBorder="1" applyAlignment="1">
      <alignment horizontal="left" wrapText="1"/>
    </xf>
    <xf numFmtId="43" fontId="5" fillId="0" borderId="0" xfId="1" applyFont="1" applyBorder="1" applyAlignment="1">
      <alignment horizontal="right" wrapText="1"/>
    </xf>
    <xf numFmtId="10" fontId="5" fillId="0" borderId="0" xfId="0" applyNumberFormat="1" applyFont="1" applyBorder="1"/>
    <xf numFmtId="0" fontId="8" fillId="7" borderId="1" xfId="0" applyFont="1" applyFill="1" applyBorder="1" applyAlignment="1">
      <alignment horizontal="center" vertical="center" wrapText="1"/>
    </xf>
    <xf numFmtId="43" fontId="2" fillId="7" borderId="1" xfId="1"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vertical="center" wrapText="1"/>
    </xf>
    <xf numFmtId="0" fontId="8" fillId="9" borderId="1" xfId="0" applyFont="1" applyFill="1" applyBorder="1" applyAlignment="1">
      <alignment horizontal="center" vertical="center" wrapText="1"/>
    </xf>
    <xf numFmtId="43" fontId="2" fillId="9" borderId="1" xfId="1" applyFont="1" applyFill="1" applyBorder="1" applyAlignment="1">
      <alignment horizontal="center" vertical="center" wrapText="1"/>
    </xf>
    <xf numFmtId="0" fontId="3" fillId="9" borderId="1" xfId="0" applyFont="1" applyFill="1" applyBorder="1"/>
    <xf numFmtId="43" fontId="3" fillId="0" borderId="1" xfId="1" applyFont="1" applyBorder="1" applyAlignment="1">
      <alignment horizontal="right" vertical="center" wrapText="1"/>
    </xf>
    <xf numFmtId="43" fontId="3" fillId="0" borderId="1" xfId="1" applyFont="1" applyFill="1" applyBorder="1" applyAlignment="1">
      <alignment horizontal="right" vertical="center" wrapText="1"/>
    </xf>
    <xf numFmtId="0" fontId="8" fillId="8" borderId="1" xfId="0" applyFont="1" applyFill="1" applyBorder="1" applyAlignment="1">
      <alignment vertical="center" wrapText="1"/>
    </xf>
    <xf numFmtId="4" fontId="2" fillId="8" borderId="1" xfId="0" applyNumberFormat="1" applyFont="1" applyFill="1" applyBorder="1" applyAlignment="1">
      <alignment horizontal="right" vertical="center"/>
    </xf>
    <xf numFmtId="43" fontId="2" fillId="8" borderId="1" xfId="1" applyFont="1" applyFill="1" applyBorder="1" applyAlignment="1">
      <alignment horizontal="right" vertical="center"/>
    </xf>
    <xf numFmtId="4" fontId="3" fillId="8" borderId="1" xfId="0" applyNumberFormat="1" applyFont="1" applyFill="1" applyBorder="1" applyAlignment="1">
      <alignment horizontal="right" vertical="center"/>
    </xf>
    <xf numFmtId="43" fontId="3" fillId="8" borderId="1" xfId="1" applyFont="1" applyFill="1" applyBorder="1" applyAlignment="1">
      <alignment horizontal="right" vertical="center" wrapText="1"/>
    </xf>
    <xf numFmtId="4" fontId="3" fillId="8" borderId="1" xfId="0" applyNumberFormat="1" applyFont="1" applyFill="1" applyBorder="1"/>
    <xf numFmtId="0" fontId="3" fillId="9" borderId="1" xfId="0" applyFont="1" applyFill="1" applyBorder="1" applyAlignment="1">
      <alignment horizontal="right" vertical="center"/>
    </xf>
    <xf numFmtId="43" fontId="3" fillId="9" borderId="1" xfId="1" applyFont="1" applyFill="1" applyBorder="1" applyAlignment="1">
      <alignment horizontal="right" vertical="center" wrapText="1"/>
    </xf>
    <xf numFmtId="4" fontId="3" fillId="9" borderId="1" xfId="0" applyNumberFormat="1" applyFont="1" applyFill="1" applyBorder="1"/>
    <xf numFmtId="0" fontId="8" fillId="8" borderId="1" xfId="0" applyFont="1" applyFill="1" applyBorder="1" applyAlignment="1">
      <alignment horizontal="left" vertical="center" wrapText="1"/>
    </xf>
    <xf numFmtId="0" fontId="8" fillId="9" borderId="1" xfId="0" applyFont="1" applyFill="1" applyBorder="1" applyAlignment="1">
      <alignment horizontal="left" vertical="center" wrapText="1"/>
    </xf>
    <xf numFmtId="0" fontId="3" fillId="0" borderId="1" xfId="0" applyFont="1" applyBorder="1" applyAlignment="1">
      <alignment horizontal="right" vertical="center"/>
    </xf>
    <xf numFmtId="0" fontId="3" fillId="0" borderId="1" xfId="0" applyFont="1" applyBorder="1" applyAlignment="1">
      <alignment vertical="center" wrapText="1"/>
    </xf>
    <xf numFmtId="4" fontId="8" fillId="8" borderId="1" xfId="0" applyNumberFormat="1" applyFont="1" applyFill="1" applyBorder="1" applyAlignment="1">
      <alignment horizontal="right" vertical="center"/>
    </xf>
    <xf numFmtId="43" fontId="8" fillId="8" borderId="1" xfId="1" applyFont="1" applyFill="1" applyBorder="1" applyAlignment="1">
      <alignment horizontal="right" vertical="center"/>
    </xf>
    <xf numFmtId="0" fontId="3" fillId="8" borderId="1" xfId="0" applyFont="1" applyFill="1" applyBorder="1" applyAlignment="1">
      <alignment horizontal="right" vertical="center" wrapText="1"/>
    </xf>
    <xf numFmtId="4" fontId="2" fillId="0" borderId="0" xfId="0" applyNumberFormat="1" applyFont="1" applyFill="1" applyBorder="1" applyAlignment="1">
      <alignment horizontal="right" vertical="center"/>
    </xf>
    <xf numFmtId="0" fontId="8" fillId="0" borderId="1" xfId="0" applyFont="1" applyBorder="1" applyAlignment="1">
      <alignment horizontal="center" vertical="center" wrapText="1"/>
    </xf>
    <xf numFmtId="4" fontId="2" fillId="8" borderId="1" xfId="0" applyNumberFormat="1" applyFont="1" applyFill="1" applyBorder="1" applyAlignment="1">
      <alignment horizontal="right" vertical="center" wrapText="1"/>
    </xf>
    <xf numFmtId="43" fontId="2" fillId="8" borderId="1" xfId="1" applyFont="1" applyFill="1" applyBorder="1" applyAlignment="1">
      <alignment horizontal="right" vertical="center" wrapText="1"/>
    </xf>
    <xf numFmtId="4" fontId="3" fillId="8" borderId="1" xfId="0" applyNumberFormat="1" applyFont="1" applyFill="1" applyBorder="1" applyAlignment="1">
      <alignment horizontal="right" vertical="center" wrapText="1"/>
    </xf>
    <xf numFmtId="0" fontId="8" fillId="0" borderId="0" xfId="0" applyFont="1" applyFill="1" applyBorder="1" applyAlignment="1">
      <alignment vertical="center" wrapText="1"/>
    </xf>
    <xf numFmtId="4" fontId="9" fillId="0" borderId="0" xfId="0" applyNumberFormat="1" applyFont="1" applyFill="1" applyBorder="1" applyAlignment="1">
      <alignment horizontal="right" vertical="center" wrapText="1"/>
    </xf>
    <xf numFmtId="43" fontId="9" fillId="0" borderId="0" xfId="1" applyFont="1" applyFill="1" applyBorder="1" applyAlignment="1">
      <alignment horizontal="right" vertical="center" wrapText="1"/>
    </xf>
    <xf numFmtId="4" fontId="3" fillId="0" borderId="0" xfId="0" applyNumberFormat="1" applyFont="1" applyFill="1"/>
    <xf numFmtId="0" fontId="3" fillId="3" borderId="0" xfId="0" applyFont="1" applyFill="1"/>
    <xf numFmtId="43" fontId="3" fillId="3" borderId="0" xfId="1" applyFont="1" applyFill="1"/>
    <xf numFmtId="0" fontId="3" fillId="0" borderId="0" xfId="0" applyFont="1" applyBorder="1" applyAlignment="1">
      <alignment horizontal="left" wrapText="1"/>
    </xf>
    <xf numFmtId="43" fontId="3" fillId="0" borderId="0" xfId="1" applyFont="1" applyBorder="1" applyAlignment="1">
      <alignment horizontal="left" wrapText="1"/>
    </xf>
    <xf numFmtId="10" fontId="3" fillId="0" borderId="0" xfId="0" applyNumberFormat="1" applyFont="1" applyBorder="1"/>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3" fillId="0" borderId="1" xfId="0" applyFont="1" applyBorder="1" applyAlignment="1">
      <alignment horizontal="justify" vertical="center" wrapText="1"/>
    </xf>
    <xf numFmtId="43" fontId="3" fillId="0" borderId="1" xfId="1" applyFont="1" applyBorder="1" applyAlignment="1">
      <alignment horizontal="right"/>
    </xf>
    <xf numFmtId="0" fontId="3" fillId="4" borderId="0" xfId="0" applyFont="1" applyFill="1" applyBorder="1" applyAlignment="1">
      <alignment horizontal="left" vertical="center"/>
    </xf>
    <xf numFmtId="0" fontId="3" fillId="4" borderId="0" xfId="0" applyFont="1" applyFill="1" applyBorder="1" applyAlignment="1">
      <alignment horizontal="center" vertical="center"/>
    </xf>
    <xf numFmtId="43" fontId="3" fillId="4" borderId="0" xfId="1" applyFont="1" applyFill="1" applyBorder="1" applyAlignment="1">
      <alignment horizontal="center" vertical="center"/>
    </xf>
    <xf numFmtId="4" fontId="3" fillId="4" borderId="0" xfId="0" applyNumberFormat="1" applyFont="1" applyFill="1" applyBorder="1" applyAlignment="1">
      <alignment horizontal="center" vertical="center"/>
    </xf>
    <xf numFmtId="43" fontId="3" fillId="0" borderId="1" xfId="1" applyFont="1" applyBorder="1" applyAlignment="1">
      <alignment horizontal="right" wrapText="1"/>
    </xf>
    <xf numFmtId="43" fontId="3" fillId="0" borderId="0" xfId="1" applyFont="1" applyBorder="1" applyAlignment="1">
      <alignment horizontal="right" wrapText="1"/>
    </xf>
    <xf numFmtId="0" fontId="11" fillId="0" borderId="0" xfId="0" applyFont="1" applyBorder="1" applyAlignment="1">
      <alignment horizontal="left" wrapText="1"/>
    </xf>
    <xf numFmtId="43" fontId="11" fillId="0" borderId="0" xfId="1" applyFont="1" applyBorder="1" applyAlignment="1">
      <alignment horizontal="right" wrapText="1"/>
    </xf>
    <xf numFmtId="10" fontId="11" fillId="0" borderId="0" xfId="0" applyNumberFormat="1" applyFont="1" applyBorder="1"/>
    <xf numFmtId="0" fontId="4" fillId="0" borderId="0" xfId="0" applyFont="1" applyAlignment="1">
      <alignment vertical="center" wrapText="1"/>
    </xf>
    <xf numFmtId="0" fontId="7" fillId="0" borderId="0" xfId="0" applyFont="1"/>
    <xf numFmtId="43" fontId="7" fillId="0" borderId="0" xfId="1" applyFont="1"/>
    <xf numFmtId="0" fontId="2" fillId="4" borderId="1" xfId="0" applyFont="1" applyFill="1" applyBorder="1" applyAlignment="1">
      <alignment vertical="center" wrapText="1"/>
    </xf>
    <xf numFmtId="0" fontId="2" fillId="0" borderId="1" xfId="0" applyFont="1" applyBorder="1" applyAlignment="1">
      <alignment horizontal="center"/>
    </xf>
    <xf numFmtId="43" fontId="3" fillId="0" borderId="1" xfId="1" applyFont="1" applyFill="1" applyBorder="1" applyAlignment="1">
      <alignment horizontal="right" vertical="center"/>
    </xf>
    <xf numFmtId="43" fontId="2" fillId="4" borderId="1" xfId="1" applyFont="1" applyFill="1" applyBorder="1" applyAlignment="1">
      <alignment horizontal="right" vertical="center"/>
    </xf>
    <xf numFmtId="0" fontId="2" fillId="0" borderId="0" xfId="0" applyFont="1" applyFill="1" applyBorder="1" applyAlignment="1">
      <alignment vertical="center" wrapText="1"/>
    </xf>
    <xf numFmtId="4" fontId="12" fillId="0" borderId="0" xfId="0" applyNumberFormat="1" applyFont="1" applyFill="1" applyBorder="1" applyAlignment="1">
      <alignment horizontal="right" vertical="center"/>
    </xf>
    <xf numFmtId="43" fontId="2" fillId="0" borderId="0" xfId="1" applyFont="1" applyFill="1" applyBorder="1" applyAlignment="1">
      <alignment horizontal="right" vertical="center"/>
    </xf>
    <xf numFmtId="0" fontId="2" fillId="0" borderId="0" xfId="0" applyFont="1" applyAlignment="1">
      <alignment horizontal="left" vertical="center" wrapText="1"/>
    </xf>
    <xf numFmtId="43" fontId="2" fillId="0" borderId="0" xfId="1" applyFont="1" applyAlignment="1">
      <alignment horizontal="left" vertical="center" wrapText="1"/>
    </xf>
    <xf numFmtId="43" fontId="2" fillId="4" borderId="1" xfId="1" applyFont="1" applyFill="1" applyBorder="1" applyAlignment="1">
      <alignment horizontal="center" vertical="center"/>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5" xfId="0" applyFont="1" applyBorder="1" applyAlignment="1">
      <alignment vertical="center" wrapText="1"/>
    </xf>
    <xf numFmtId="0" fontId="2" fillId="10" borderId="1" xfId="0" applyFont="1" applyFill="1" applyBorder="1" applyAlignment="1">
      <alignment horizontal="center"/>
    </xf>
    <xf numFmtId="0" fontId="2" fillId="0" borderId="1" xfId="0" applyFont="1" applyBorder="1" applyAlignment="1">
      <alignment horizontal="left" vertical="center" wrapText="1"/>
    </xf>
    <xf numFmtId="43" fontId="2" fillId="0" borderId="1" xfId="0" applyNumberFormat="1" applyFont="1" applyBorder="1" applyAlignment="1">
      <alignment horizontal="left" vertical="center" wrapText="1"/>
    </xf>
    <xf numFmtId="0" fontId="10" fillId="0" borderId="0" xfId="0" applyFont="1" applyAlignment="1">
      <alignment horizontal="left" vertical="center" wrapText="1"/>
    </xf>
    <xf numFmtId="0" fontId="5" fillId="0" borderId="1" xfId="0" applyFont="1" applyBorder="1" applyAlignment="1">
      <alignment horizontal="justify" vertical="center" wrapText="1"/>
    </xf>
    <xf numFmtId="43" fontId="6" fillId="0" borderId="1" xfId="1" applyFont="1" applyBorder="1" applyAlignment="1">
      <alignment vertical="center" wrapText="1"/>
    </xf>
    <xf numFmtId="43" fontId="3" fillId="0" borderId="0" xfId="0" applyNumberFormat="1" applyFont="1"/>
    <xf numFmtId="43" fontId="3" fillId="2" borderId="0" xfId="0" applyNumberFormat="1" applyFont="1" applyFill="1"/>
    <xf numFmtId="43" fontId="6" fillId="0" borderId="1" xfId="1" applyFont="1" applyBorder="1" applyAlignment="1">
      <alignment vertical="center"/>
    </xf>
    <xf numFmtId="43" fontId="8" fillId="4" borderId="1" xfId="1" applyFont="1" applyFill="1" applyBorder="1" applyAlignment="1">
      <alignment vertical="center" wrapText="1"/>
    </xf>
    <xf numFmtId="0" fontId="8" fillId="0" borderId="6" xfId="0" applyFont="1" applyFill="1" applyBorder="1" applyAlignment="1">
      <alignment horizontal="center" vertical="center" wrapText="1"/>
    </xf>
    <xf numFmtId="43" fontId="9" fillId="0" borderId="6" xfId="1" applyFont="1" applyFill="1" applyBorder="1" applyAlignment="1">
      <alignment vertical="center" wrapText="1"/>
    </xf>
    <xf numFmtId="4" fontId="8" fillId="0" borderId="0" xfId="0" applyNumberFormat="1" applyFont="1" applyFill="1" applyBorder="1" applyAlignment="1">
      <alignmen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43" fontId="2" fillId="0" borderId="0" xfId="1" applyFont="1" applyAlignment="1">
      <alignment horizontal="justify" vertical="center" wrapText="1"/>
    </xf>
    <xf numFmtId="0" fontId="2" fillId="4" borderId="1" xfId="0" applyFont="1" applyFill="1" applyBorder="1" applyAlignment="1">
      <alignment horizontal="center" vertical="center"/>
    </xf>
    <xf numFmtId="0" fontId="3" fillId="0" borderId="1" xfId="0" applyFont="1" applyBorder="1"/>
    <xf numFmtId="1" fontId="2" fillId="4" borderId="1" xfId="0" applyNumberFormat="1" applyFont="1" applyFill="1" applyBorder="1" applyAlignment="1">
      <alignment horizontal="center" vertical="center" wrapText="1"/>
    </xf>
    <xf numFmtId="4" fontId="3" fillId="0" borderId="1" xfId="0" applyNumberFormat="1" applyFont="1" applyBorder="1" applyAlignment="1">
      <alignment horizontal="right" vertical="center" wrapText="1"/>
    </xf>
    <xf numFmtId="0" fontId="2" fillId="4" borderId="1" xfId="0" applyFont="1" applyFill="1" applyBorder="1" applyAlignment="1">
      <alignment horizontal="left" vertical="center" wrapText="1"/>
    </xf>
    <xf numFmtId="4" fontId="2" fillId="4" borderId="1" xfId="0" applyNumberFormat="1" applyFont="1" applyFill="1" applyBorder="1" applyAlignment="1">
      <alignment horizontal="right" vertical="center" wrapText="1"/>
    </xf>
    <xf numFmtId="43" fontId="2" fillId="4" borderId="1" xfId="1" applyFont="1" applyFill="1" applyBorder="1" applyAlignment="1">
      <alignment horizontal="right" vertical="center" wrapText="1"/>
    </xf>
    <xf numFmtId="0" fontId="2" fillId="4" borderId="0" xfId="0" applyFont="1" applyFill="1" applyBorder="1" applyAlignment="1">
      <alignment horizontal="center" vertical="center" wrapText="1"/>
    </xf>
    <xf numFmtId="43" fontId="9" fillId="4" borderId="0" xfId="1" applyFont="1" applyFill="1" applyBorder="1" applyAlignment="1">
      <alignment horizontal="right" vertical="center" wrapText="1"/>
    </xf>
    <xf numFmtId="43" fontId="2" fillId="4" borderId="0" xfId="1" applyFont="1" applyFill="1" applyBorder="1" applyAlignment="1">
      <alignment horizontal="right" vertical="center" wrapText="1"/>
    </xf>
    <xf numFmtId="4" fontId="2" fillId="4" borderId="0" xfId="0" applyNumberFormat="1" applyFont="1" applyFill="1" applyBorder="1" applyAlignment="1">
      <alignment horizontal="right" vertical="center" wrapText="1"/>
    </xf>
    <xf numFmtId="43" fontId="5" fillId="0" borderId="1" xfId="1" applyFont="1" applyBorder="1" applyAlignment="1">
      <alignment horizontal="right" vertical="center" wrapText="1"/>
    </xf>
    <xf numFmtId="0" fontId="3" fillId="5" borderId="1" xfId="0" applyFont="1" applyFill="1" applyBorder="1" applyAlignment="1">
      <alignment vertical="center" wrapText="1"/>
    </xf>
    <xf numFmtId="4" fontId="3" fillId="0" borderId="1" xfId="0" applyNumberFormat="1" applyFont="1" applyBorder="1" applyAlignment="1">
      <alignment vertical="center"/>
    </xf>
    <xf numFmtId="4" fontId="13" fillId="2" borderId="0" xfId="0" applyNumberFormat="1" applyFont="1" applyFill="1"/>
    <xf numFmtId="0" fontId="4" fillId="10" borderId="1" xfId="0" applyFont="1" applyFill="1" applyBorder="1" applyAlignment="1">
      <alignment horizontal="center" vertical="center" wrapText="1"/>
    </xf>
    <xf numFmtId="43" fontId="5" fillId="0" borderId="1" xfId="1" applyFont="1" applyBorder="1" applyAlignment="1">
      <alignment horizontal="left" vertical="center" wrapText="1"/>
    </xf>
    <xf numFmtId="0" fontId="4" fillId="10" borderId="1" xfId="0" applyFont="1" applyFill="1" applyBorder="1" applyAlignment="1">
      <alignment horizontal="left" vertical="center" wrapText="1"/>
    </xf>
    <xf numFmtId="43" fontId="4" fillId="10" borderId="1" xfId="1" applyFont="1" applyFill="1" applyBorder="1" applyAlignment="1">
      <alignment horizontal="left" vertical="center" wrapText="1"/>
    </xf>
    <xf numFmtId="0" fontId="4" fillId="0" borderId="0" xfId="0" applyFont="1" applyFill="1" applyBorder="1" applyAlignment="1">
      <alignment horizontal="left" vertical="center" wrapText="1"/>
    </xf>
    <xf numFmtId="43" fontId="4" fillId="0" borderId="0" xfId="1" applyFont="1" applyFill="1" applyBorder="1" applyAlignment="1">
      <alignment horizontal="left" vertical="center" wrapText="1"/>
    </xf>
    <xf numFmtId="0" fontId="3" fillId="6" borderId="1" xfId="0" applyFont="1" applyFill="1" applyBorder="1" applyAlignment="1">
      <alignment vertical="center" wrapText="1"/>
    </xf>
    <xf numFmtId="43" fontId="3" fillId="6" borderId="1" xfId="1" applyFont="1" applyFill="1" applyBorder="1" applyAlignment="1">
      <alignment horizontal="right" vertical="center"/>
    </xf>
    <xf numFmtId="0" fontId="2" fillId="4" borderId="1" xfId="0" applyFont="1" applyFill="1" applyBorder="1" applyAlignment="1">
      <alignment horizontal="justify" vertical="center" wrapText="1"/>
    </xf>
    <xf numFmtId="4" fontId="2" fillId="0" borderId="1" xfId="0" applyNumberFormat="1" applyFont="1" applyBorder="1" applyAlignment="1">
      <alignment vertical="center"/>
    </xf>
    <xf numFmtId="43" fontId="14" fillId="0" borderId="0" xfId="1" applyFont="1"/>
    <xf numFmtId="43" fontId="2" fillId="5" borderId="1" xfId="1" applyFont="1" applyFill="1" applyBorder="1" applyAlignment="1">
      <alignment horizontal="right" wrapText="1"/>
    </xf>
    <xf numFmtId="10" fontId="2" fillId="5" borderId="1" xfId="0" applyNumberFormat="1" applyFont="1" applyFill="1" applyBorder="1"/>
    <xf numFmtId="0" fontId="3" fillId="6" borderId="1" xfId="0" applyFont="1" applyFill="1" applyBorder="1" applyAlignment="1">
      <alignment horizontal="justify" vertical="center" wrapText="1"/>
    </xf>
    <xf numFmtId="0" fontId="3" fillId="3" borderId="1" xfId="0" applyFont="1" applyFill="1" applyBorder="1" applyAlignment="1">
      <alignment horizontal="justify" vertical="center" wrapText="1"/>
    </xf>
    <xf numFmtId="4" fontId="3" fillId="3" borderId="1" xfId="0" applyNumberFormat="1" applyFont="1" applyFill="1" applyBorder="1" applyAlignment="1">
      <alignment horizontal="right" vertical="center"/>
    </xf>
    <xf numFmtId="43" fontId="3" fillId="3" borderId="1" xfId="1" applyFont="1" applyFill="1" applyBorder="1" applyAlignment="1">
      <alignment horizontal="right" vertical="center"/>
    </xf>
    <xf numFmtId="4" fontId="3" fillId="3" borderId="1" xfId="0" applyNumberFormat="1" applyFont="1" applyFill="1" applyBorder="1"/>
    <xf numFmtId="4" fontId="3" fillId="10" borderId="1" xfId="0" applyNumberFormat="1" applyFont="1" applyFill="1" applyBorder="1" applyAlignment="1">
      <alignment vertical="center"/>
    </xf>
    <xf numFmtId="4" fontId="6" fillId="0" borderId="1" xfId="0" applyNumberFormat="1" applyFont="1" applyBorder="1" applyAlignment="1">
      <alignment horizontal="right" vertical="center"/>
    </xf>
    <xf numFmtId="0" fontId="2" fillId="0" borderId="0" xfId="0" applyFont="1" applyFill="1" applyBorder="1" applyAlignment="1">
      <alignment horizontal="justify" vertical="center" wrapText="1"/>
    </xf>
    <xf numFmtId="43" fontId="2" fillId="0" borderId="0" xfId="1" applyFont="1" applyBorder="1" applyAlignment="1">
      <alignment horizontal="left" wrapText="1"/>
    </xf>
    <xf numFmtId="43" fontId="15" fillId="0" borderId="0" xfId="1" applyFont="1" applyFill="1" applyBorder="1" applyAlignment="1">
      <alignment horizontal="right" vertical="center"/>
    </xf>
    <xf numFmtId="4" fontId="2" fillId="0" borderId="0" xfId="0" applyNumberFormat="1" applyFont="1" applyBorder="1" applyAlignment="1">
      <alignment horizontal="left" wrapText="1"/>
    </xf>
    <xf numFmtId="0" fontId="2" fillId="5" borderId="0" xfId="0" applyFont="1" applyFill="1"/>
    <xf numFmtId="43" fontId="6" fillId="6" borderId="1" xfId="1" applyFont="1" applyFill="1" applyBorder="1" applyAlignment="1">
      <alignment horizontal="right" vertical="center"/>
    </xf>
    <xf numFmtId="43" fontId="3" fillId="0" borderId="1" xfId="1" applyFont="1" applyBorder="1" applyAlignment="1">
      <alignment vertical="center"/>
    </xf>
    <xf numFmtId="43" fontId="3" fillId="0" borderId="1" xfId="1" applyFont="1" applyBorder="1" applyAlignment="1">
      <alignment horizontal="center" vertical="center"/>
    </xf>
    <xf numFmtId="4" fontId="8"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2" fillId="4" borderId="0" xfId="0" applyFont="1" applyFill="1" applyBorder="1" applyAlignment="1">
      <alignment horizontal="justify" vertical="center" wrapText="1"/>
    </xf>
    <xf numFmtId="4" fontId="9" fillId="4" borderId="0" xfId="0" applyNumberFormat="1" applyFont="1" applyFill="1" applyBorder="1" applyAlignment="1">
      <alignment horizontal="right" vertical="center"/>
    </xf>
    <xf numFmtId="43" fontId="2" fillId="0" borderId="1" xfId="1" applyFont="1" applyFill="1" applyBorder="1" applyAlignment="1">
      <alignment horizontal="right" wrapText="1"/>
    </xf>
    <xf numFmtId="10" fontId="2" fillId="0" borderId="1" xfId="0" applyNumberFormat="1" applyFont="1" applyFill="1" applyBorder="1"/>
    <xf numFmtId="43" fontId="2" fillId="0" borderId="0" xfId="1" applyFont="1" applyFill="1" applyBorder="1" applyAlignment="1">
      <alignment horizontal="right" wrapText="1"/>
    </xf>
    <xf numFmtId="10" fontId="2" fillId="0" borderId="0" xfId="0" applyNumberFormat="1" applyFont="1" applyFill="1" applyBorder="1"/>
    <xf numFmtId="0" fontId="2" fillId="0" borderId="0" xfId="0" applyFont="1" applyFill="1" applyAlignment="1">
      <alignment horizontal="left" wrapText="1"/>
    </xf>
    <xf numFmtId="0" fontId="5" fillId="0" borderId="0" xfId="0" applyFont="1" applyFill="1" applyBorder="1" applyAlignment="1">
      <alignment horizontal="left" vertical="center" wrapText="1"/>
    </xf>
    <xf numFmtId="0" fontId="3" fillId="0" borderId="0" xfId="0" applyFont="1" applyAlignment="1">
      <alignment horizontal="center"/>
    </xf>
    <xf numFmtId="0" fontId="3" fillId="0" borderId="1" xfId="0" applyFont="1" applyBorder="1" applyAlignment="1">
      <alignment horizontal="center"/>
    </xf>
    <xf numFmtId="0" fontId="2" fillId="2" borderId="0" xfId="0" applyFont="1" applyFill="1" applyAlignment="1">
      <alignment horizontal="center"/>
    </xf>
    <xf numFmtId="0" fontId="2" fillId="10" borderId="1" xfId="0" applyFont="1" applyFill="1" applyBorder="1"/>
    <xf numFmtId="43" fontId="2" fillId="10" borderId="1" xfId="1" applyFont="1" applyFill="1" applyBorder="1" applyAlignment="1">
      <alignment horizontal="right"/>
    </xf>
    <xf numFmtId="0" fontId="3" fillId="0" borderId="0" xfId="0" applyFont="1" applyAlignment="1">
      <alignment horizontal="left" wrapText="1"/>
    </xf>
    <xf numFmtId="3" fontId="3" fillId="0" borderId="0" xfId="0" applyNumberFormat="1" applyFont="1"/>
    <xf numFmtId="3" fontId="3" fillId="0" borderId="0" xfId="0" applyNumberFormat="1"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5</xdr:col>
      <xdr:colOff>0</xdr:colOff>
      <xdr:row>4</xdr:row>
      <xdr:rowOff>57150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0"/>
          <a:ext cx="6324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37</xdr:row>
      <xdr:rowOff>19050</xdr:rowOff>
    </xdr:from>
    <xdr:to>
      <xdr:col>4</xdr:col>
      <xdr:colOff>657225</xdr:colOff>
      <xdr:row>38</xdr:row>
      <xdr:rowOff>47625</xdr:rowOff>
    </xdr:to>
    <xdr:pic>
      <xdr:nvPicPr>
        <xdr:cNvPr id="3"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90850" y="9496425"/>
          <a:ext cx="30765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9525</xdr:rowOff>
    </xdr:from>
    <xdr:to>
      <xdr:col>5</xdr:col>
      <xdr:colOff>0</xdr:colOff>
      <xdr:row>42</xdr:row>
      <xdr:rowOff>171450</xdr:rowOff>
    </xdr:to>
    <xdr:pic>
      <xdr:nvPicPr>
        <xdr:cNvPr id="4"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58400"/>
          <a:ext cx="6324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101</xdr:row>
      <xdr:rowOff>114300</xdr:rowOff>
    </xdr:from>
    <xdr:to>
      <xdr:col>5</xdr:col>
      <xdr:colOff>0</xdr:colOff>
      <xdr:row>103</xdr:row>
      <xdr:rowOff>0</xdr:rowOff>
    </xdr:to>
    <xdr:pic>
      <xdr:nvPicPr>
        <xdr:cNvPr id="5" name="1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9565600"/>
          <a:ext cx="6324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130</xdr:row>
      <xdr:rowOff>19050</xdr:rowOff>
    </xdr:from>
    <xdr:to>
      <xdr:col>5</xdr:col>
      <xdr:colOff>0</xdr:colOff>
      <xdr:row>133</xdr:row>
      <xdr:rowOff>28575</xdr:rowOff>
    </xdr:to>
    <xdr:pic>
      <xdr:nvPicPr>
        <xdr:cNvPr id="6" name="1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309675"/>
          <a:ext cx="63817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184</xdr:row>
      <xdr:rowOff>123825</xdr:rowOff>
    </xdr:from>
    <xdr:to>
      <xdr:col>5</xdr:col>
      <xdr:colOff>0</xdr:colOff>
      <xdr:row>191</xdr:row>
      <xdr:rowOff>57150</xdr:rowOff>
    </xdr:to>
    <xdr:pic>
      <xdr:nvPicPr>
        <xdr:cNvPr id="7" name="1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9329975"/>
          <a:ext cx="6305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248</xdr:row>
      <xdr:rowOff>95250</xdr:rowOff>
    </xdr:from>
    <xdr:to>
      <xdr:col>5</xdr:col>
      <xdr:colOff>0</xdr:colOff>
      <xdr:row>251</xdr:row>
      <xdr:rowOff>38100</xdr:rowOff>
    </xdr:to>
    <xdr:pic>
      <xdr:nvPicPr>
        <xdr:cNvPr id="8" name="1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131200"/>
          <a:ext cx="6305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423</xdr:row>
      <xdr:rowOff>66675</xdr:rowOff>
    </xdr:from>
    <xdr:to>
      <xdr:col>5</xdr:col>
      <xdr:colOff>0</xdr:colOff>
      <xdr:row>426</xdr:row>
      <xdr:rowOff>95250</xdr:rowOff>
    </xdr:to>
    <xdr:pic>
      <xdr:nvPicPr>
        <xdr:cNvPr id="9" name="2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8590775"/>
          <a:ext cx="6305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475</xdr:row>
      <xdr:rowOff>76200</xdr:rowOff>
    </xdr:from>
    <xdr:to>
      <xdr:col>5</xdr:col>
      <xdr:colOff>0</xdr:colOff>
      <xdr:row>477</xdr:row>
      <xdr:rowOff>133350</xdr:rowOff>
    </xdr:to>
    <xdr:pic>
      <xdr:nvPicPr>
        <xdr:cNvPr id="10" name="2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8353900"/>
          <a:ext cx="6305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512</xdr:row>
      <xdr:rowOff>142875</xdr:rowOff>
    </xdr:from>
    <xdr:to>
      <xdr:col>5</xdr:col>
      <xdr:colOff>0</xdr:colOff>
      <xdr:row>516</xdr:row>
      <xdr:rowOff>114300</xdr:rowOff>
    </xdr:to>
    <xdr:pic>
      <xdr:nvPicPr>
        <xdr:cNvPr id="11"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193225"/>
          <a:ext cx="63912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556</xdr:row>
      <xdr:rowOff>57150</xdr:rowOff>
    </xdr:from>
    <xdr:to>
      <xdr:col>5</xdr:col>
      <xdr:colOff>0</xdr:colOff>
      <xdr:row>559</xdr:row>
      <xdr:rowOff>85725</xdr:rowOff>
    </xdr:to>
    <xdr:pic>
      <xdr:nvPicPr>
        <xdr:cNvPr id="12"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08023025"/>
          <a:ext cx="6286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604</xdr:row>
      <xdr:rowOff>133350</xdr:rowOff>
    </xdr:from>
    <xdr:to>
      <xdr:col>5</xdr:col>
      <xdr:colOff>0</xdr:colOff>
      <xdr:row>607</xdr:row>
      <xdr:rowOff>0</xdr:rowOff>
    </xdr:to>
    <xdr:pic>
      <xdr:nvPicPr>
        <xdr:cNvPr id="13"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18033800"/>
          <a:ext cx="6286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370</xdr:row>
      <xdr:rowOff>0</xdr:rowOff>
    </xdr:from>
    <xdr:to>
      <xdr:col>5</xdr:col>
      <xdr:colOff>0</xdr:colOff>
      <xdr:row>372</xdr:row>
      <xdr:rowOff>133350</xdr:rowOff>
    </xdr:to>
    <xdr:pic>
      <xdr:nvPicPr>
        <xdr:cNvPr id="14" name="1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8818125"/>
          <a:ext cx="6305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650</xdr:row>
      <xdr:rowOff>0</xdr:rowOff>
    </xdr:from>
    <xdr:to>
      <xdr:col>5</xdr:col>
      <xdr:colOff>0</xdr:colOff>
      <xdr:row>653</xdr:row>
      <xdr:rowOff>28575</xdr:rowOff>
    </xdr:to>
    <xdr:pic>
      <xdr:nvPicPr>
        <xdr:cNvPr id="15"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27968375"/>
          <a:ext cx="6286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338</xdr:row>
      <xdr:rowOff>133350</xdr:rowOff>
    </xdr:from>
    <xdr:to>
      <xdr:col>5</xdr:col>
      <xdr:colOff>3436</xdr:colOff>
      <xdr:row>361</xdr:row>
      <xdr:rowOff>38100</xdr:rowOff>
    </xdr:to>
    <xdr:pic>
      <xdr:nvPicPr>
        <xdr:cNvPr id="16" name="1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625" y="62788800"/>
          <a:ext cx="6423286" cy="428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AILENY%20%20%202\ESTADO%20CORAAMOCA%20CG%2005%20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sheetName val="indce"/>
      <sheetName val="ajustes R"/>
      <sheetName val="Hoja4"/>
      <sheetName val="Mat"/>
      <sheetName val="BALANZA"/>
      <sheetName val="BALANZA G"/>
      <sheetName val="DE"/>
      <sheetName val="Pres A"/>
      <sheetName val="25A"/>
      <sheetName val="Notas NF"/>
      <sheetName val="nota12"/>
      <sheetName val="ESF  (2)"/>
      <sheetName val="ES F "/>
      <sheetName val="ERF"/>
      <sheetName val="EFE2"/>
      <sheetName val="EP2"/>
      <sheetName val="EEP2"/>
      <sheetName val="A"/>
      <sheetName val="Hoja8"/>
      <sheetName val="nota10inventario"/>
      <sheetName val="Rt"/>
      <sheetName val="I"/>
      <sheetName val="G"/>
      <sheetName val="V"/>
      <sheetName val="ELAI"/>
      <sheetName val="IPT"/>
      <sheetName val="PEP"/>
      <sheetName val="Notas"/>
      <sheetName val="Hoja1"/>
      <sheetName val="RESULTADO"/>
      <sheetName val="EST.Ej.PREs."/>
      <sheetName val="FLUJO"/>
      <sheetName val="PATRIMONIO"/>
      <sheetName val="Rf"/>
      <sheetName val="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Hoja2"/>
    </sheetNames>
    <sheetDataSet>
      <sheetData sheetId="0"/>
      <sheetData sheetId="1"/>
      <sheetData sheetId="2"/>
      <sheetData sheetId="3"/>
      <sheetData sheetId="4"/>
      <sheetData sheetId="5">
        <row r="3">
          <cell r="B3" t="str">
            <v>31 de Mayo del 2025</v>
          </cell>
          <cell r="C3" t="str">
            <v>- 2024</v>
          </cell>
        </row>
        <row r="4">
          <cell r="B4">
            <v>2025</v>
          </cell>
          <cell r="C4">
            <v>2024</v>
          </cell>
        </row>
        <row r="6">
          <cell r="B6">
            <v>1485895.34</v>
          </cell>
        </row>
      </sheetData>
      <sheetData sheetId="6">
        <row r="12">
          <cell r="C12">
            <v>0</v>
          </cell>
          <cell r="D12">
            <v>0</v>
          </cell>
        </row>
        <row r="13">
          <cell r="C13">
            <v>95000</v>
          </cell>
          <cell r="D13">
            <v>110000</v>
          </cell>
        </row>
        <row r="15">
          <cell r="C15">
            <v>80000</v>
          </cell>
          <cell r="D15">
            <v>80000</v>
          </cell>
        </row>
        <row r="22">
          <cell r="C22">
            <v>0</v>
          </cell>
          <cell r="D22">
            <v>0</v>
          </cell>
        </row>
        <row r="23">
          <cell r="C23">
            <v>1041.2</v>
          </cell>
          <cell r="D23">
            <v>236.2</v>
          </cell>
        </row>
        <row r="24">
          <cell r="C24">
            <v>10.75</v>
          </cell>
          <cell r="D24">
            <v>1310.75</v>
          </cell>
        </row>
        <row r="25">
          <cell r="C25">
            <v>1345972.55</v>
          </cell>
          <cell r="D25">
            <v>2093182.13</v>
          </cell>
        </row>
        <row r="26">
          <cell r="C26">
            <v>1251990.33</v>
          </cell>
          <cell r="D26">
            <v>453230.39</v>
          </cell>
        </row>
        <row r="27">
          <cell r="C27">
            <v>335999754.56999999</v>
          </cell>
          <cell r="D27">
            <v>302831372.16000003</v>
          </cell>
        </row>
        <row r="28">
          <cell r="C28">
            <v>0</v>
          </cell>
          <cell r="D28">
            <v>0</v>
          </cell>
        </row>
        <row r="30">
          <cell r="C30">
            <v>0</v>
          </cell>
          <cell r="D30">
            <v>0</v>
          </cell>
        </row>
        <row r="34">
          <cell r="C34">
            <v>0</v>
          </cell>
          <cell r="D34">
            <v>1350.12</v>
          </cell>
        </row>
        <row r="40">
          <cell r="C40">
            <v>0</v>
          </cell>
          <cell r="D40">
            <v>0</v>
          </cell>
        </row>
        <row r="41">
          <cell r="C41">
            <v>20985438.98</v>
          </cell>
          <cell r="D41">
            <v>18382280.280000001</v>
          </cell>
        </row>
        <row r="46">
          <cell r="C46">
            <v>0</v>
          </cell>
        </row>
        <row r="48">
          <cell r="C48">
            <v>187691.84</v>
          </cell>
          <cell r="D48">
            <v>422306.74</v>
          </cell>
        </row>
        <row r="55">
          <cell r="C55">
            <v>1623675</v>
          </cell>
          <cell r="D55">
            <v>1623675</v>
          </cell>
          <cell r="F55">
            <v>1623675</v>
          </cell>
        </row>
        <row r="58">
          <cell r="C58">
            <v>953149176.46000004</v>
          </cell>
          <cell r="D58">
            <v>953149176.46000004</v>
          </cell>
        </row>
        <row r="59">
          <cell r="C59">
            <v>4381745.59</v>
          </cell>
          <cell r="D59">
            <v>4149647.32</v>
          </cell>
        </row>
        <row r="64">
          <cell r="C64">
            <v>55553258.920000002</v>
          </cell>
          <cell r="D64">
            <v>52883325.560000002</v>
          </cell>
          <cell r="F64">
            <v>45922302.979999997</v>
          </cell>
        </row>
        <row r="65">
          <cell r="C65">
            <v>10179245.880000001</v>
          </cell>
          <cell r="D65">
            <v>10179245.880000001</v>
          </cell>
        </row>
        <row r="68">
          <cell r="C68">
            <v>510150</v>
          </cell>
          <cell r="D68">
            <v>578847</v>
          </cell>
          <cell r="F68">
            <v>74900</v>
          </cell>
        </row>
        <row r="71">
          <cell r="C71">
            <v>6007322.9500000002</v>
          </cell>
          <cell r="D71">
            <v>5837722.9500000002</v>
          </cell>
        </row>
        <row r="74">
          <cell r="C74">
            <v>28796945.620000001</v>
          </cell>
          <cell r="D74">
            <v>24266945.620000001</v>
          </cell>
        </row>
        <row r="77">
          <cell r="C77">
            <v>932591.88</v>
          </cell>
        </row>
        <row r="92">
          <cell r="C92">
            <v>0</v>
          </cell>
          <cell r="D92">
            <v>0</v>
          </cell>
        </row>
        <row r="93">
          <cell r="C93">
            <v>0</v>
          </cell>
          <cell r="D93">
            <v>0</v>
          </cell>
        </row>
        <row r="94">
          <cell r="C94">
            <v>0</v>
          </cell>
          <cell r="D94">
            <v>0</v>
          </cell>
        </row>
        <row r="95">
          <cell r="C95">
            <v>0</v>
          </cell>
          <cell r="D95">
            <v>0</v>
          </cell>
        </row>
        <row r="96">
          <cell r="C96">
            <v>0</v>
          </cell>
          <cell r="D96">
            <v>0</v>
          </cell>
        </row>
        <row r="97">
          <cell r="C97">
            <v>56304.6</v>
          </cell>
          <cell r="D97">
            <v>0</v>
          </cell>
        </row>
        <row r="98">
          <cell r="C98">
            <v>0</v>
          </cell>
          <cell r="D98">
            <v>0</v>
          </cell>
        </row>
        <row r="99">
          <cell r="C99">
            <v>71945.25</v>
          </cell>
          <cell r="D99">
            <v>0</v>
          </cell>
        </row>
        <row r="102">
          <cell r="C102">
            <v>0</v>
          </cell>
          <cell r="D102">
            <v>0</v>
          </cell>
        </row>
        <row r="103">
          <cell r="C103">
            <v>0</v>
          </cell>
          <cell r="D103">
            <v>0</v>
          </cell>
        </row>
        <row r="105">
          <cell r="C105">
            <v>32032928.32</v>
          </cell>
          <cell r="D105">
            <v>13947066.369999999</v>
          </cell>
        </row>
        <row r="106">
          <cell r="C106">
            <v>0</v>
          </cell>
          <cell r="D106">
            <v>7106.65</v>
          </cell>
        </row>
        <row r="107">
          <cell r="C107">
            <v>0</v>
          </cell>
          <cell r="D107">
            <v>1436011.51</v>
          </cell>
        </row>
        <row r="112">
          <cell r="C112">
            <v>0</v>
          </cell>
          <cell r="D112">
            <v>252299.3</v>
          </cell>
        </row>
        <row r="113">
          <cell r="C113">
            <v>0</v>
          </cell>
          <cell r="D113">
            <v>0</v>
          </cell>
        </row>
        <row r="116">
          <cell r="C116">
            <v>0</v>
          </cell>
          <cell r="D116">
            <v>0</v>
          </cell>
        </row>
        <row r="125">
          <cell r="C125">
            <v>808793054.60000002</v>
          </cell>
          <cell r="D125">
            <v>808793054.60000002</v>
          </cell>
        </row>
        <row r="133">
          <cell r="C133">
            <v>76817905.379999995</v>
          </cell>
          <cell r="D133">
            <v>180976832.23999998</v>
          </cell>
        </row>
        <row r="146">
          <cell r="C146">
            <v>0</v>
          </cell>
        </row>
        <row r="150">
          <cell r="C150">
            <v>19965835</v>
          </cell>
        </row>
        <row r="151">
          <cell r="C151">
            <v>41862500</v>
          </cell>
        </row>
        <row r="152">
          <cell r="C152">
            <v>23143260</v>
          </cell>
        </row>
        <row r="159">
          <cell r="C159">
            <v>60002720</v>
          </cell>
          <cell r="D159">
            <v>147133178</v>
          </cell>
        </row>
        <row r="160">
          <cell r="C160">
            <v>10000</v>
          </cell>
          <cell r="D160">
            <v>0</v>
          </cell>
        </row>
        <row r="161">
          <cell r="C161">
            <v>0</v>
          </cell>
          <cell r="D161">
            <v>0</v>
          </cell>
        </row>
        <row r="162">
          <cell r="C162">
            <v>0</v>
          </cell>
          <cell r="D162">
            <v>0</v>
          </cell>
        </row>
        <row r="163">
          <cell r="C163">
            <v>0</v>
          </cell>
          <cell r="D163">
            <v>0</v>
          </cell>
        </row>
        <row r="164">
          <cell r="C164">
            <v>0</v>
          </cell>
          <cell r="D164">
            <v>0</v>
          </cell>
        </row>
        <row r="165">
          <cell r="C165">
            <v>0</v>
          </cell>
          <cell r="D165">
            <v>0</v>
          </cell>
        </row>
        <row r="166">
          <cell r="C166">
            <v>32257.59</v>
          </cell>
          <cell r="D166">
            <v>193520.16</v>
          </cell>
        </row>
        <row r="167">
          <cell r="C167">
            <v>552175</v>
          </cell>
          <cell r="D167">
            <v>1296420</v>
          </cell>
        </row>
        <row r="168">
          <cell r="C168">
            <v>2965590</v>
          </cell>
          <cell r="D168">
            <v>6765350</v>
          </cell>
        </row>
        <row r="169">
          <cell r="C169">
            <v>0</v>
          </cell>
          <cell r="D169">
            <v>0</v>
          </cell>
        </row>
        <row r="170">
          <cell r="C170">
            <v>4163667</v>
          </cell>
          <cell r="D170">
            <v>0</v>
          </cell>
        </row>
        <row r="171">
          <cell r="C171">
            <v>0</v>
          </cell>
          <cell r="D171">
            <v>0</v>
          </cell>
        </row>
        <row r="172">
          <cell r="C172">
            <v>0</v>
          </cell>
          <cell r="D172">
            <v>1715.66</v>
          </cell>
        </row>
        <row r="174">
          <cell r="C174">
            <v>0</v>
          </cell>
          <cell r="D174">
            <v>0</v>
          </cell>
        </row>
        <row r="175">
          <cell r="C175">
            <v>1075000</v>
          </cell>
          <cell r="D175">
            <v>2970000</v>
          </cell>
        </row>
        <row r="176">
          <cell r="C176">
            <v>0</v>
          </cell>
          <cell r="D176">
            <v>0</v>
          </cell>
        </row>
        <row r="177">
          <cell r="C177">
            <v>0</v>
          </cell>
          <cell r="D177">
            <v>0</v>
          </cell>
        </row>
        <row r="178">
          <cell r="C178">
            <v>0</v>
          </cell>
          <cell r="D178">
            <v>0</v>
          </cell>
        </row>
        <row r="180">
          <cell r="C180">
            <v>8250</v>
          </cell>
          <cell r="D180">
            <v>12210081.5</v>
          </cell>
        </row>
        <row r="181">
          <cell r="C181">
            <v>0</v>
          </cell>
          <cell r="D181">
            <v>0</v>
          </cell>
        </row>
        <row r="182">
          <cell r="C182">
            <v>0</v>
          </cell>
          <cell r="D182">
            <v>0</v>
          </cell>
        </row>
        <row r="185">
          <cell r="C185">
            <v>4253963.8499999996</v>
          </cell>
          <cell r="D185">
            <v>10463761.68</v>
          </cell>
        </row>
        <row r="186">
          <cell r="C186">
            <v>4261335.01</v>
          </cell>
          <cell r="D186">
            <v>9101205.8599999994</v>
          </cell>
        </row>
        <row r="187">
          <cell r="C187">
            <v>713072.14</v>
          </cell>
          <cell r="D187">
            <v>3131774.53</v>
          </cell>
        </row>
        <row r="193">
          <cell r="C193">
            <v>0</v>
          </cell>
          <cell r="D193">
            <v>256900</v>
          </cell>
        </row>
        <row r="194">
          <cell r="C194">
            <v>0</v>
          </cell>
          <cell r="D194">
            <v>1490</v>
          </cell>
        </row>
        <row r="198">
          <cell r="C198">
            <v>0</v>
          </cell>
          <cell r="D198">
            <v>878000</v>
          </cell>
        </row>
        <row r="199">
          <cell r="C199">
            <v>727040.37</v>
          </cell>
          <cell r="D199">
            <v>1745852.09</v>
          </cell>
        </row>
        <row r="200">
          <cell r="C200">
            <v>384705.01</v>
          </cell>
          <cell r="D200">
            <v>781748.96</v>
          </cell>
        </row>
        <row r="201">
          <cell r="C201">
            <v>0</v>
          </cell>
          <cell r="D201">
            <v>0</v>
          </cell>
        </row>
        <row r="202">
          <cell r="C202">
            <v>142790.57999999999</v>
          </cell>
          <cell r="D202">
            <v>371176.6</v>
          </cell>
        </row>
        <row r="203">
          <cell r="C203">
            <v>32701575.030000001</v>
          </cell>
          <cell r="D203">
            <v>63713429.090000004</v>
          </cell>
        </row>
        <row r="204">
          <cell r="C204">
            <v>0</v>
          </cell>
          <cell r="D204">
            <v>345465.68</v>
          </cell>
        </row>
        <row r="205">
          <cell r="C205">
            <v>0</v>
          </cell>
          <cell r="D205">
            <v>0</v>
          </cell>
        </row>
        <row r="206">
          <cell r="C206">
            <v>298250</v>
          </cell>
          <cell r="D206">
            <v>925630</v>
          </cell>
        </row>
        <row r="207">
          <cell r="C207">
            <v>437642.55</v>
          </cell>
          <cell r="D207">
            <v>786671.76</v>
          </cell>
        </row>
        <row r="208">
          <cell r="C208">
            <v>0</v>
          </cell>
          <cell r="D208">
            <v>0</v>
          </cell>
        </row>
        <row r="209">
          <cell r="C209">
            <v>0</v>
          </cell>
          <cell r="D209">
            <v>0</v>
          </cell>
        </row>
        <row r="210">
          <cell r="C210">
            <v>0</v>
          </cell>
          <cell r="D210">
            <v>0</v>
          </cell>
        </row>
        <row r="211">
          <cell r="C211">
            <v>0</v>
          </cell>
          <cell r="D211">
            <v>175</v>
          </cell>
        </row>
        <row r="212">
          <cell r="C212">
            <v>0</v>
          </cell>
          <cell r="D212">
            <v>0</v>
          </cell>
        </row>
        <row r="214">
          <cell r="C214">
            <v>1452439.73</v>
          </cell>
          <cell r="D214">
            <v>1434034.5</v>
          </cell>
        </row>
        <row r="215">
          <cell r="C215">
            <v>0</v>
          </cell>
          <cell r="D215">
            <v>62614.5</v>
          </cell>
        </row>
        <row r="216">
          <cell r="C216">
            <v>0</v>
          </cell>
          <cell r="D216">
            <v>0</v>
          </cell>
        </row>
        <row r="217">
          <cell r="C217">
            <v>0</v>
          </cell>
          <cell r="D217">
            <v>292500</v>
          </cell>
        </row>
        <row r="218">
          <cell r="C218">
            <v>250000</v>
          </cell>
          <cell r="D218">
            <v>1192000</v>
          </cell>
        </row>
        <row r="219">
          <cell r="C219">
            <v>0</v>
          </cell>
          <cell r="D219">
            <v>0</v>
          </cell>
        </row>
        <row r="220">
          <cell r="C220">
            <v>0</v>
          </cell>
          <cell r="D220">
            <v>170699.58</v>
          </cell>
        </row>
        <row r="221">
          <cell r="C221">
            <v>234614.9</v>
          </cell>
          <cell r="D221">
            <v>521982.5</v>
          </cell>
        </row>
        <row r="222">
          <cell r="C222">
            <v>45048.24</v>
          </cell>
          <cell r="D222">
            <v>135144.72</v>
          </cell>
        </row>
        <row r="224">
          <cell r="C224">
            <v>0</v>
          </cell>
          <cell r="D224">
            <v>1494232.69</v>
          </cell>
        </row>
        <row r="225">
          <cell r="C225">
            <v>0</v>
          </cell>
          <cell r="D225">
            <v>5000</v>
          </cell>
        </row>
        <row r="226">
          <cell r="C226">
            <v>-2595543.7000000002</v>
          </cell>
          <cell r="D226">
            <v>6111175.2400000021</v>
          </cell>
        </row>
        <row r="227">
          <cell r="C227">
            <v>0</v>
          </cell>
          <cell r="D227">
            <v>0</v>
          </cell>
        </row>
        <row r="228">
          <cell r="C228">
            <v>0</v>
          </cell>
          <cell r="D228">
            <v>0</v>
          </cell>
        </row>
        <row r="229">
          <cell r="C229">
            <v>0</v>
          </cell>
          <cell r="D229">
            <v>278895.28999999998</v>
          </cell>
        </row>
        <row r="230">
          <cell r="C230">
            <v>0</v>
          </cell>
          <cell r="D230">
            <v>4162.24</v>
          </cell>
        </row>
        <row r="232">
          <cell r="C232">
            <v>0</v>
          </cell>
          <cell r="D232">
            <v>15500</v>
          </cell>
        </row>
        <row r="233">
          <cell r="C233">
            <v>0</v>
          </cell>
          <cell r="D233">
            <v>0</v>
          </cell>
        </row>
        <row r="234">
          <cell r="C234">
            <v>0</v>
          </cell>
          <cell r="D234">
            <v>0</v>
          </cell>
        </row>
        <row r="235">
          <cell r="C235">
            <v>793388.98</v>
          </cell>
          <cell r="D235">
            <v>1920320.51</v>
          </cell>
        </row>
        <row r="236">
          <cell r="C236">
            <v>0</v>
          </cell>
          <cell r="D236">
            <v>276000</v>
          </cell>
        </row>
        <row r="237">
          <cell r="C237">
            <v>2605</v>
          </cell>
          <cell r="D237">
            <v>9099.9</v>
          </cell>
        </row>
        <row r="238">
          <cell r="C238">
            <v>1972.7</v>
          </cell>
          <cell r="D238">
            <v>21105.87</v>
          </cell>
        </row>
        <row r="239">
          <cell r="C239">
            <v>0</v>
          </cell>
          <cell r="D239">
            <v>0</v>
          </cell>
        </row>
        <row r="241">
          <cell r="C241">
            <v>0</v>
          </cell>
          <cell r="D241">
            <v>0</v>
          </cell>
        </row>
        <row r="242">
          <cell r="C242">
            <v>0</v>
          </cell>
          <cell r="D242">
            <v>140067.79</v>
          </cell>
        </row>
        <row r="243">
          <cell r="C243">
            <v>306907.45</v>
          </cell>
          <cell r="D243">
            <v>755694.55</v>
          </cell>
        </row>
        <row r="244">
          <cell r="C244">
            <v>0</v>
          </cell>
          <cell r="D244">
            <v>25915.84</v>
          </cell>
        </row>
        <row r="245">
          <cell r="C245">
            <v>0</v>
          </cell>
          <cell r="D245">
            <v>0</v>
          </cell>
        </row>
        <row r="246">
          <cell r="C246">
            <v>0</v>
          </cell>
          <cell r="D246">
            <v>223728.81</v>
          </cell>
        </row>
        <row r="247">
          <cell r="C247">
            <v>204000</v>
          </cell>
          <cell r="D247">
            <v>521700</v>
          </cell>
        </row>
        <row r="248">
          <cell r="C248">
            <v>3181425.57</v>
          </cell>
          <cell r="D248">
            <v>5434192.7699999996</v>
          </cell>
        </row>
        <row r="249">
          <cell r="C249">
            <v>0</v>
          </cell>
          <cell r="D249">
            <v>0</v>
          </cell>
        </row>
        <row r="254">
          <cell r="C254">
            <v>251324.73</v>
          </cell>
          <cell r="D254">
            <v>563644.93000000005</v>
          </cell>
        </row>
        <row r="256">
          <cell r="C256">
            <v>218148.39</v>
          </cell>
          <cell r="D256">
            <v>282371.25</v>
          </cell>
        </row>
        <row r="257">
          <cell r="C257">
            <v>0</v>
          </cell>
          <cell r="D257">
            <v>0</v>
          </cell>
        </row>
        <row r="258">
          <cell r="C258">
            <v>0</v>
          </cell>
          <cell r="D258">
            <v>0</v>
          </cell>
        </row>
        <row r="259">
          <cell r="C259">
            <v>0</v>
          </cell>
          <cell r="D259">
            <v>0</v>
          </cell>
        </row>
        <row r="260">
          <cell r="C260">
            <v>36728.28</v>
          </cell>
          <cell r="D260">
            <v>126382.55</v>
          </cell>
        </row>
        <row r="261">
          <cell r="C261">
            <v>0</v>
          </cell>
          <cell r="D261">
            <v>204450</v>
          </cell>
        </row>
        <row r="262">
          <cell r="C262">
            <v>3120</v>
          </cell>
          <cell r="D262">
            <v>149551</v>
          </cell>
        </row>
        <row r="264">
          <cell r="C264">
            <v>2437200</v>
          </cell>
          <cell r="D264">
            <v>5605300</v>
          </cell>
        </row>
        <row r="265">
          <cell r="C265">
            <v>1473500</v>
          </cell>
          <cell r="D265">
            <v>2730140</v>
          </cell>
        </row>
        <row r="266">
          <cell r="C266">
            <v>0</v>
          </cell>
          <cell r="D266">
            <v>0</v>
          </cell>
        </row>
        <row r="267">
          <cell r="C267">
            <v>0</v>
          </cell>
          <cell r="D267">
            <v>126124</v>
          </cell>
        </row>
        <row r="268">
          <cell r="C268">
            <v>1924300</v>
          </cell>
          <cell r="D268">
            <v>4185697.96</v>
          </cell>
        </row>
        <row r="269">
          <cell r="C269">
            <v>0</v>
          </cell>
          <cell r="D269">
            <v>0</v>
          </cell>
        </row>
        <row r="270">
          <cell r="C270">
            <v>6105</v>
          </cell>
          <cell r="D270">
            <v>11690</v>
          </cell>
        </row>
        <row r="271">
          <cell r="C271">
            <v>0</v>
          </cell>
          <cell r="D271">
            <v>0</v>
          </cell>
        </row>
        <row r="273">
          <cell r="C273">
            <v>0</v>
          </cell>
          <cell r="D273">
            <v>123855.43</v>
          </cell>
        </row>
        <row r="274">
          <cell r="C274">
            <v>48351</v>
          </cell>
          <cell r="D274">
            <v>132266.97</v>
          </cell>
        </row>
        <row r="275">
          <cell r="C275">
            <v>5326</v>
          </cell>
          <cell r="D275">
            <v>118304.28</v>
          </cell>
        </row>
        <row r="276">
          <cell r="C276">
            <v>4851.05</v>
          </cell>
          <cell r="D276">
            <v>17311.330000000002</v>
          </cell>
        </row>
        <row r="277">
          <cell r="C277">
            <v>633707.9</v>
          </cell>
          <cell r="D277">
            <v>794673.14</v>
          </cell>
        </row>
        <row r="278">
          <cell r="C278">
            <v>4600</v>
          </cell>
          <cell r="D278">
            <v>576775</v>
          </cell>
        </row>
        <row r="279">
          <cell r="C279">
            <v>50613.43</v>
          </cell>
          <cell r="D279">
            <v>45794.83</v>
          </cell>
        </row>
        <row r="280">
          <cell r="C280">
            <v>120574.6</v>
          </cell>
          <cell r="D280">
            <v>0</v>
          </cell>
        </row>
        <row r="281">
          <cell r="C281">
            <v>2968500</v>
          </cell>
          <cell r="D281">
            <v>5692500</v>
          </cell>
        </row>
        <row r="282">
          <cell r="C282">
            <v>0</v>
          </cell>
          <cell r="D282">
            <v>0</v>
          </cell>
        </row>
        <row r="283">
          <cell r="C283">
            <v>9432</v>
          </cell>
          <cell r="D283">
            <v>30297.37</v>
          </cell>
        </row>
        <row r="284">
          <cell r="C284">
            <v>720257.05</v>
          </cell>
          <cell r="D284">
            <v>2991364.47</v>
          </cell>
        </row>
        <row r="285">
          <cell r="C285">
            <v>0</v>
          </cell>
          <cell r="D285">
            <v>637636</v>
          </cell>
        </row>
        <row r="286">
          <cell r="C286">
            <v>0</v>
          </cell>
          <cell r="D286">
            <v>0</v>
          </cell>
        </row>
        <row r="287">
          <cell r="C287">
            <v>0</v>
          </cell>
          <cell r="D287">
            <v>0</v>
          </cell>
        </row>
        <row r="288">
          <cell r="C288">
            <v>14950</v>
          </cell>
          <cell r="D288">
            <v>377316.52</v>
          </cell>
        </row>
        <row r="289">
          <cell r="C289">
            <v>0</v>
          </cell>
          <cell r="D289">
            <v>0</v>
          </cell>
        </row>
        <row r="290">
          <cell r="C290">
            <v>0</v>
          </cell>
          <cell r="D290">
            <v>0</v>
          </cell>
        </row>
        <row r="291">
          <cell r="C291">
            <v>1217390</v>
          </cell>
          <cell r="D291">
            <v>20338.98</v>
          </cell>
        </row>
        <row r="292">
          <cell r="C292">
            <v>0</v>
          </cell>
          <cell r="D292">
            <v>186061.85</v>
          </cell>
        </row>
        <row r="293">
          <cell r="C293">
            <v>0</v>
          </cell>
          <cell r="D293">
            <v>139400</v>
          </cell>
        </row>
        <row r="294">
          <cell r="C294">
            <v>0</v>
          </cell>
          <cell r="D294">
            <v>8500</v>
          </cell>
        </row>
        <row r="296">
          <cell r="C296">
            <v>0</v>
          </cell>
          <cell r="D296">
            <v>0</v>
          </cell>
        </row>
        <row r="297">
          <cell r="C297">
            <v>34760</v>
          </cell>
          <cell r="D297">
            <v>160568.42000000001</v>
          </cell>
        </row>
        <row r="300">
          <cell r="C300">
            <v>1525456.69</v>
          </cell>
          <cell r="D300">
            <v>1193947.54</v>
          </cell>
        </row>
        <row r="301">
          <cell r="C301">
            <v>30000</v>
          </cell>
          <cell r="D301">
            <v>0</v>
          </cell>
        </row>
        <row r="302">
          <cell r="D302">
            <v>0</v>
          </cell>
        </row>
      </sheetData>
      <sheetData sheetId="7"/>
      <sheetData sheetId="8">
        <row r="289">
          <cell r="E289">
            <v>51195285</v>
          </cell>
        </row>
        <row r="291">
          <cell r="E291">
            <v>100470000</v>
          </cell>
        </row>
        <row r="295">
          <cell r="E295">
            <v>240000000</v>
          </cell>
        </row>
      </sheetData>
      <sheetData sheetId="9"/>
      <sheetData sheetId="10">
        <row r="617">
          <cell r="C617">
            <v>279663.14</v>
          </cell>
          <cell r="D617">
            <v>657127.22</v>
          </cell>
        </row>
      </sheetData>
      <sheetData sheetId="11">
        <row r="14">
          <cell r="K14">
            <v>57143407.930000007</v>
          </cell>
        </row>
        <row r="28">
          <cell r="E28">
            <v>270856525.61000001</v>
          </cell>
          <cell r="F28">
            <v>26935891.919999998</v>
          </cell>
          <cell r="H28">
            <v>11856936.66</v>
          </cell>
          <cell r="I28">
            <v>38206151.979999997</v>
          </cell>
        </row>
        <row r="29">
          <cell r="E29">
            <v>0</v>
          </cell>
          <cell r="F29">
            <v>1.1059455573558807E-9</v>
          </cell>
          <cell r="G29">
            <v>0</v>
          </cell>
          <cell r="H29">
            <v>0</v>
          </cell>
          <cell r="I29">
            <v>0</v>
          </cell>
          <cell r="K29">
            <v>1.1059455573558807E-9</v>
          </cell>
        </row>
      </sheetData>
      <sheetData sheetId="12"/>
      <sheetData sheetId="13">
        <row r="11">
          <cell r="B11">
            <v>338693769.39999998</v>
          </cell>
        </row>
        <row r="12">
          <cell r="B12">
            <v>0</v>
          </cell>
        </row>
        <row r="15">
          <cell r="B15">
            <v>20985438.98</v>
          </cell>
        </row>
        <row r="16">
          <cell r="B16">
            <v>187691.84</v>
          </cell>
        </row>
        <row r="17">
          <cell r="B17">
            <v>0</v>
          </cell>
          <cell r="C17">
            <v>193172</v>
          </cell>
        </row>
        <row r="36">
          <cell r="B36">
            <v>128249.85</v>
          </cell>
        </row>
        <row r="59">
          <cell r="B59">
            <v>1119525860.8399999</v>
          </cell>
          <cell r="C59">
            <v>1086596554.24</v>
          </cell>
        </row>
      </sheetData>
      <sheetData sheetId="14">
        <row r="11">
          <cell r="B11">
            <v>76817905.379999995</v>
          </cell>
        </row>
        <row r="12">
          <cell r="B12">
            <v>84971595</v>
          </cell>
          <cell r="C12">
            <v>229174633.03999999</v>
          </cell>
        </row>
        <row r="13">
          <cell r="B13">
            <v>0</v>
          </cell>
        </row>
        <row r="17">
          <cell r="B17">
            <v>79563487.280000001</v>
          </cell>
        </row>
        <row r="18">
          <cell r="B18">
            <v>30000</v>
          </cell>
        </row>
        <row r="19">
          <cell r="B19">
            <v>12148979.43</v>
          </cell>
        </row>
        <row r="20">
          <cell r="B20">
            <v>34760.000000001106</v>
          </cell>
          <cell r="C20">
            <v>57303976.350000009</v>
          </cell>
        </row>
        <row r="22">
          <cell r="B22">
            <v>38261954.959999993</v>
          </cell>
          <cell r="C22">
            <v>89820611.929999992</v>
          </cell>
        </row>
        <row r="23">
          <cell r="B23">
            <v>306907.45</v>
          </cell>
          <cell r="C23">
            <v>755694.55</v>
          </cell>
        </row>
        <row r="30">
          <cell r="C30">
            <v>41656479.659999967</v>
          </cell>
        </row>
        <row r="35">
          <cell r="B35">
            <v>31443411.25999999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0">
          <cell r="E10">
            <v>229174633.03999999</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5">
          <cell r="D25">
            <v>3993167</v>
          </cell>
          <cell r="E25">
            <v>3993167</v>
          </cell>
          <cell r="F25">
            <v>3993167</v>
          </cell>
          <cell r="G25">
            <v>3993167</v>
          </cell>
          <cell r="H25">
            <v>3993167</v>
          </cell>
          <cell r="I25">
            <v>0</v>
          </cell>
          <cell r="J25">
            <v>0</v>
          </cell>
          <cell r="K25">
            <v>0</v>
          </cell>
          <cell r="L25">
            <v>0</v>
          </cell>
          <cell r="M25">
            <v>0</v>
          </cell>
          <cell r="N25">
            <v>0</v>
          </cell>
          <cell r="O25">
            <v>0</v>
          </cell>
        </row>
        <row r="26">
          <cell r="D26">
            <v>0</v>
          </cell>
          <cell r="E26">
            <v>8372500</v>
          </cell>
          <cell r="F26">
            <v>0</v>
          </cell>
          <cell r="G26">
            <v>25117500</v>
          </cell>
          <cell r="H26">
            <v>8372500</v>
          </cell>
          <cell r="I26">
            <v>0</v>
          </cell>
          <cell r="J26">
            <v>0</v>
          </cell>
          <cell r="K26">
            <v>0</v>
          </cell>
          <cell r="L26">
            <v>0</v>
          </cell>
          <cell r="M26">
            <v>0</v>
          </cell>
          <cell r="N26">
            <v>0</v>
          </cell>
          <cell r="O26">
            <v>0</v>
          </cell>
        </row>
        <row r="27">
          <cell r="D27">
            <v>4628652</v>
          </cell>
          <cell r="E27">
            <v>4628652</v>
          </cell>
          <cell r="F27">
            <v>4628652</v>
          </cell>
          <cell r="G27">
            <v>4628652</v>
          </cell>
          <cell r="H27">
            <v>4628652</v>
          </cell>
          <cell r="I27">
            <v>0</v>
          </cell>
          <cell r="J27">
            <v>0</v>
          </cell>
          <cell r="K27">
            <v>0</v>
          </cell>
          <cell r="L27">
            <v>0</v>
          </cell>
          <cell r="M27">
            <v>0</v>
          </cell>
          <cell r="N27">
            <v>0</v>
          </cell>
          <cell r="O27">
            <v>0</v>
          </cell>
        </row>
      </sheetData>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B791"/>
  <sheetViews>
    <sheetView tabSelected="1" workbookViewId="0">
      <selection activeCell="G10" sqref="G10"/>
    </sheetView>
  </sheetViews>
  <sheetFormatPr baseColWidth="10" defaultColWidth="9.140625" defaultRowHeight="15" x14ac:dyDescent="0.25"/>
  <cols>
    <col min="1" max="1" width="1.28515625" style="2" customWidth="1"/>
    <col min="2" max="2" width="43.42578125" style="19" customWidth="1"/>
    <col min="3" max="3" width="17.85546875" style="2" customWidth="1"/>
    <col min="4" max="4" width="18.5703125" style="3" customWidth="1"/>
    <col min="5" max="5" width="17.140625" style="2" customWidth="1"/>
    <col min="6" max="6" width="1" style="2" customWidth="1"/>
    <col min="7" max="7" width="11.42578125" style="2" bestFit="1" customWidth="1"/>
    <col min="8" max="8" width="7" style="2" hidden="1" customWidth="1"/>
    <col min="9" max="9" width="31" style="2" hidden="1" customWidth="1"/>
    <col min="10" max="10" width="5.28515625" style="3" customWidth="1"/>
    <col min="11" max="11" width="17.5703125" style="3" hidden="1" customWidth="1"/>
    <col min="12" max="13" width="5.28515625" style="2" hidden="1" customWidth="1"/>
    <col min="14" max="14" width="5.28515625" style="3" customWidth="1"/>
    <col min="15" max="15" width="31" style="2" hidden="1" customWidth="1"/>
    <col min="16" max="16" width="5.5703125" style="2" hidden="1" customWidth="1"/>
    <col min="17" max="17" width="31" style="2" hidden="1" customWidth="1"/>
    <col min="18" max="18" width="15" style="4" bestFit="1" customWidth="1"/>
    <col min="19" max="19" width="11.7109375" style="4" bestFit="1" customWidth="1"/>
    <col min="20" max="22" width="4" style="4" bestFit="1" customWidth="1"/>
    <col min="23" max="23" width="3.5703125" style="4" bestFit="1" customWidth="1"/>
    <col min="24" max="24" width="3.5703125" style="4" hidden="1" customWidth="1"/>
    <col min="25" max="25" width="31" style="4" hidden="1" customWidth="1"/>
    <col min="26" max="26" width="12.85546875" style="3" bestFit="1" customWidth="1"/>
    <col min="27" max="27" width="5.140625" style="2" bestFit="1" customWidth="1"/>
    <col min="28" max="28" width="8.85546875" style="2" customWidth="1"/>
    <col min="29" max="256" width="9.140625" style="2"/>
    <col min="257" max="257" width="1.28515625" style="2" customWidth="1"/>
    <col min="258" max="258" width="43.42578125" style="2" customWidth="1"/>
    <col min="259" max="259" width="17.85546875" style="2" customWidth="1"/>
    <col min="260" max="260" width="18.5703125" style="2" customWidth="1"/>
    <col min="261" max="261" width="17.140625" style="2" customWidth="1"/>
    <col min="262" max="262" width="1" style="2" customWidth="1"/>
    <col min="263" max="263" width="11.42578125" style="2" bestFit="1" customWidth="1"/>
    <col min="264" max="265" width="0" style="2" hidden="1" customWidth="1"/>
    <col min="266" max="266" width="5.28515625" style="2" customWidth="1"/>
    <col min="267" max="269" width="0" style="2" hidden="1" customWidth="1"/>
    <col min="270" max="270" width="5.28515625" style="2" customWidth="1"/>
    <col min="271" max="273" width="0" style="2" hidden="1" customWidth="1"/>
    <col min="274" max="274" width="15" style="2" bestFit="1" customWidth="1"/>
    <col min="275" max="275" width="11.7109375" style="2" bestFit="1" customWidth="1"/>
    <col min="276" max="278" width="4" style="2" bestFit="1" customWidth="1"/>
    <col min="279" max="279" width="3.5703125" style="2" bestFit="1" customWidth="1"/>
    <col min="280" max="281" width="0" style="2" hidden="1" customWidth="1"/>
    <col min="282" max="282" width="12.85546875" style="2" bestFit="1" customWidth="1"/>
    <col min="283" max="283" width="5.140625" style="2" bestFit="1" customWidth="1"/>
    <col min="284" max="284" width="8.85546875" style="2" customWidth="1"/>
    <col min="285" max="512" width="9.140625" style="2"/>
    <col min="513" max="513" width="1.28515625" style="2" customWidth="1"/>
    <col min="514" max="514" width="43.42578125" style="2" customWidth="1"/>
    <col min="515" max="515" width="17.85546875" style="2" customWidth="1"/>
    <col min="516" max="516" width="18.5703125" style="2" customWidth="1"/>
    <col min="517" max="517" width="17.140625" style="2" customWidth="1"/>
    <col min="518" max="518" width="1" style="2" customWidth="1"/>
    <col min="519" max="519" width="11.42578125" style="2" bestFit="1" customWidth="1"/>
    <col min="520" max="521" width="0" style="2" hidden="1" customWidth="1"/>
    <col min="522" max="522" width="5.28515625" style="2" customWidth="1"/>
    <col min="523" max="525" width="0" style="2" hidden="1" customWidth="1"/>
    <col min="526" max="526" width="5.28515625" style="2" customWidth="1"/>
    <col min="527" max="529" width="0" style="2" hidden="1" customWidth="1"/>
    <col min="530" max="530" width="15" style="2" bestFit="1" customWidth="1"/>
    <col min="531" max="531" width="11.7109375" style="2" bestFit="1" customWidth="1"/>
    <col min="532" max="534" width="4" style="2" bestFit="1" customWidth="1"/>
    <col min="535" max="535" width="3.5703125" style="2" bestFit="1" customWidth="1"/>
    <col min="536" max="537" width="0" style="2" hidden="1" customWidth="1"/>
    <col min="538" max="538" width="12.85546875" style="2" bestFit="1" customWidth="1"/>
    <col min="539" max="539" width="5.140625" style="2" bestFit="1" customWidth="1"/>
    <col min="540" max="540" width="8.85546875" style="2" customWidth="1"/>
    <col min="541" max="768" width="9.140625" style="2"/>
    <col min="769" max="769" width="1.28515625" style="2" customWidth="1"/>
    <col min="770" max="770" width="43.42578125" style="2" customWidth="1"/>
    <col min="771" max="771" width="17.85546875" style="2" customWidth="1"/>
    <col min="772" max="772" width="18.5703125" style="2" customWidth="1"/>
    <col min="773" max="773" width="17.140625" style="2" customWidth="1"/>
    <col min="774" max="774" width="1" style="2" customWidth="1"/>
    <col min="775" max="775" width="11.42578125" style="2" bestFit="1" customWidth="1"/>
    <col min="776" max="777" width="0" style="2" hidden="1" customWidth="1"/>
    <col min="778" max="778" width="5.28515625" style="2" customWidth="1"/>
    <col min="779" max="781" width="0" style="2" hidden="1" customWidth="1"/>
    <col min="782" max="782" width="5.28515625" style="2" customWidth="1"/>
    <col min="783" max="785" width="0" style="2" hidden="1" customWidth="1"/>
    <col min="786" max="786" width="15" style="2" bestFit="1" customWidth="1"/>
    <col min="787" max="787" width="11.7109375" style="2" bestFit="1" customWidth="1"/>
    <col min="788" max="790" width="4" style="2" bestFit="1" customWidth="1"/>
    <col min="791" max="791" width="3.5703125" style="2" bestFit="1" customWidth="1"/>
    <col min="792" max="793" width="0" style="2" hidden="1" customWidth="1"/>
    <col min="794" max="794" width="12.85546875" style="2" bestFit="1" customWidth="1"/>
    <col min="795" max="795" width="5.140625" style="2" bestFit="1" customWidth="1"/>
    <col min="796" max="796" width="8.85546875" style="2" customWidth="1"/>
    <col min="797" max="1024" width="9.140625" style="2"/>
    <col min="1025" max="1025" width="1.28515625" style="2" customWidth="1"/>
    <col min="1026" max="1026" width="43.42578125" style="2" customWidth="1"/>
    <col min="1027" max="1027" width="17.85546875" style="2" customWidth="1"/>
    <col min="1028" max="1028" width="18.5703125" style="2" customWidth="1"/>
    <col min="1029" max="1029" width="17.140625" style="2" customWidth="1"/>
    <col min="1030" max="1030" width="1" style="2" customWidth="1"/>
    <col min="1031" max="1031" width="11.42578125" style="2" bestFit="1" customWidth="1"/>
    <col min="1032" max="1033" width="0" style="2" hidden="1" customWidth="1"/>
    <col min="1034" max="1034" width="5.28515625" style="2" customWidth="1"/>
    <col min="1035" max="1037" width="0" style="2" hidden="1" customWidth="1"/>
    <col min="1038" max="1038" width="5.28515625" style="2" customWidth="1"/>
    <col min="1039" max="1041" width="0" style="2" hidden="1" customWidth="1"/>
    <col min="1042" max="1042" width="15" style="2" bestFit="1" customWidth="1"/>
    <col min="1043" max="1043" width="11.7109375" style="2" bestFit="1" customWidth="1"/>
    <col min="1044" max="1046" width="4" style="2" bestFit="1" customWidth="1"/>
    <col min="1047" max="1047" width="3.5703125" style="2" bestFit="1" customWidth="1"/>
    <col min="1048" max="1049" width="0" style="2" hidden="1" customWidth="1"/>
    <col min="1050" max="1050" width="12.85546875" style="2" bestFit="1" customWidth="1"/>
    <col min="1051" max="1051" width="5.140625" style="2" bestFit="1" customWidth="1"/>
    <col min="1052" max="1052" width="8.85546875" style="2" customWidth="1"/>
    <col min="1053" max="1280" width="9.140625" style="2"/>
    <col min="1281" max="1281" width="1.28515625" style="2" customWidth="1"/>
    <col min="1282" max="1282" width="43.42578125" style="2" customWidth="1"/>
    <col min="1283" max="1283" width="17.85546875" style="2" customWidth="1"/>
    <col min="1284" max="1284" width="18.5703125" style="2" customWidth="1"/>
    <col min="1285" max="1285" width="17.140625" style="2" customWidth="1"/>
    <col min="1286" max="1286" width="1" style="2" customWidth="1"/>
    <col min="1287" max="1287" width="11.42578125" style="2" bestFit="1" customWidth="1"/>
    <col min="1288" max="1289" width="0" style="2" hidden="1" customWidth="1"/>
    <col min="1290" max="1290" width="5.28515625" style="2" customWidth="1"/>
    <col min="1291" max="1293" width="0" style="2" hidden="1" customWidth="1"/>
    <col min="1294" max="1294" width="5.28515625" style="2" customWidth="1"/>
    <col min="1295" max="1297" width="0" style="2" hidden="1" customWidth="1"/>
    <col min="1298" max="1298" width="15" style="2" bestFit="1" customWidth="1"/>
    <col min="1299" max="1299" width="11.7109375" style="2" bestFit="1" customWidth="1"/>
    <col min="1300" max="1302" width="4" style="2" bestFit="1" customWidth="1"/>
    <col min="1303" max="1303" width="3.5703125" style="2" bestFit="1" customWidth="1"/>
    <col min="1304" max="1305" width="0" style="2" hidden="1" customWidth="1"/>
    <col min="1306" max="1306" width="12.85546875" style="2" bestFit="1" customWidth="1"/>
    <col min="1307" max="1307" width="5.140625" style="2" bestFit="1" customWidth="1"/>
    <col min="1308" max="1308" width="8.85546875" style="2" customWidth="1"/>
    <col min="1309" max="1536" width="9.140625" style="2"/>
    <col min="1537" max="1537" width="1.28515625" style="2" customWidth="1"/>
    <col min="1538" max="1538" width="43.42578125" style="2" customWidth="1"/>
    <col min="1539" max="1539" width="17.85546875" style="2" customWidth="1"/>
    <col min="1540" max="1540" width="18.5703125" style="2" customWidth="1"/>
    <col min="1541" max="1541" width="17.140625" style="2" customWidth="1"/>
    <col min="1542" max="1542" width="1" style="2" customWidth="1"/>
    <col min="1543" max="1543" width="11.42578125" style="2" bestFit="1" customWidth="1"/>
    <col min="1544" max="1545" width="0" style="2" hidden="1" customWidth="1"/>
    <col min="1546" max="1546" width="5.28515625" style="2" customWidth="1"/>
    <col min="1547" max="1549" width="0" style="2" hidden="1" customWidth="1"/>
    <col min="1550" max="1550" width="5.28515625" style="2" customWidth="1"/>
    <col min="1551" max="1553" width="0" style="2" hidden="1" customWidth="1"/>
    <col min="1554" max="1554" width="15" style="2" bestFit="1" customWidth="1"/>
    <col min="1555" max="1555" width="11.7109375" style="2" bestFit="1" customWidth="1"/>
    <col min="1556" max="1558" width="4" style="2" bestFit="1" customWidth="1"/>
    <col min="1559" max="1559" width="3.5703125" style="2" bestFit="1" customWidth="1"/>
    <col min="1560" max="1561" width="0" style="2" hidden="1" customWidth="1"/>
    <col min="1562" max="1562" width="12.85546875" style="2" bestFit="1" customWidth="1"/>
    <col min="1563" max="1563" width="5.140625" style="2" bestFit="1" customWidth="1"/>
    <col min="1564" max="1564" width="8.85546875" style="2" customWidth="1"/>
    <col min="1565" max="1792" width="9.140625" style="2"/>
    <col min="1793" max="1793" width="1.28515625" style="2" customWidth="1"/>
    <col min="1794" max="1794" width="43.42578125" style="2" customWidth="1"/>
    <col min="1795" max="1795" width="17.85546875" style="2" customWidth="1"/>
    <col min="1796" max="1796" width="18.5703125" style="2" customWidth="1"/>
    <col min="1797" max="1797" width="17.140625" style="2" customWidth="1"/>
    <col min="1798" max="1798" width="1" style="2" customWidth="1"/>
    <col min="1799" max="1799" width="11.42578125" style="2" bestFit="1" customWidth="1"/>
    <col min="1800" max="1801" width="0" style="2" hidden="1" customWidth="1"/>
    <col min="1802" max="1802" width="5.28515625" style="2" customWidth="1"/>
    <col min="1803" max="1805" width="0" style="2" hidden="1" customWidth="1"/>
    <col min="1806" max="1806" width="5.28515625" style="2" customWidth="1"/>
    <col min="1807" max="1809" width="0" style="2" hidden="1" customWidth="1"/>
    <col min="1810" max="1810" width="15" style="2" bestFit="1" customWidth="1"/>
    <col min="1811" max="1811" width="11.7109375" style="2" bestFit="1" customWidth="1"/>
    <col min="1812" max="1814" width="4" style="2" bestFit="1" customWidth="1"/>
    <col min="1815" max="1815" width="3.5703125" style="2" bestFit="1" customWidth="1"/>
    <col min="1816" max="1817" width="0" style="2" hidden="1" customWidth="1"/>
    <col min="1818" max="1818" width="12.85546875" style="2" bestFit="1" customWidth="1"/>
    <col min="1819" max="1819" width="5.140625" style="2" bestFit="1" customWidth="1"/>
    <col min="1820" max="1820" width="8.85546875" style="2" customWidth="1"/>
    <col min="1821" max="2048" width="9.140625" style="2"/>
    <col min="2049" max="2049" width="1.28515625" style="2" customWidth="1"/>
    <col min="2050" max="2050" width="43.42578125" style="2" customWidth="1"/>
    <col min="2051" max="2051" width="17.85546875" style="2" customWidth="1"/>
    <col min="2052" max="2052" width="18.5703125" style="2" customWidth="1"/>
    <col min="2053" max="2053" width="17.140625" style="2" customWidth="1"/>
    <col min="2054" max="2054" width="1" style="2" customWidth="1"/>
    <col min="2055" max="2055" width="11.42578125" style="2" bestFit="1" customWidth="1"/>
    <col min="2056" max="2057" width="0" style="2" hidden="1" customWidth="1"/>
    <col min="2058" max="2058" width="5.28515625" style="2" customWidth="1"/>
    <col min="2059" max="2061" width="0" style="2" hidden="1" customWidth="1"/>
    <col min="2062" max="2062" width="5.28515625" style="2" customWidth="1"/>
    <col min="2063" max="2065" width="0" style="2" hidden="1" customWidth="1"/>
    <col min="2066" max="2066" width="15" style="2" bestFit="1" customWidth="1"/>
    <col min="2067" max="2067" width="11.7109375" style="2" bestFit="1" customWidth="1"/>
    <col min="2068" max="2070" width="4" style="2" bestFit="1" customWidth="1"/>
    <col min="2071" max="2071" width="3.5703125" style="2" bestFit="1" customWidth="1"/>
    <col min="2072" max="2073" width="0" style="2" hidden="1" customWidth="1"/>
    <col min="2074" max="2074" width="12.85546875" style="2" bestFit="1" customWidth="1"/>
    <col min="2075" max="2075" width="5.140625" style="2" bestFit="1" customWidth="1"/>
    <col min="2076" max="2076" width="8.85546875" style="2" customWidth="1"/>
    <col min="2077" max="2304" width="9.140625" style="2"/>
    <col min="2305" max="2305" width="1.28515625" style="2" customWidth="1"/>
    <col min="2306" max="2306" width="43.42578125" style="2" customWidth="1"/>
    <col min="2307" max="2307" width="17.85546875" style="2" customWidth="1"/>
    <col min="2308" max="2308" width="18.5703125" style="2" customWidth="1"/>
    <col min="2309" max="2309" width="17.140625" style="2" customWidth="1"/>
    <col min="2310" max="2310" width="1" style="2" customWidth="1"/>
    <col min="2311" max="2311" width="11.42578125" style="2" bestFit="1" customWidth="1"/>
    <col min="2312" max="2313" width="0" style="2" hidden="1" customWidth="1"/>
    <col min="2314" max="2314" width="5.28515625" style="2" customWidth="1"/>
    <col min="2315" max="2317" width="0" style="2" hidden="1" customWidth="1"/>
    <col min="2318" max="2318" width="5.28515625" style="2" customWidth="1"/>
    <col min="2319" max="2321" width="0" style="2" hidden="1" customWidth="1"/>
    <col min="2322" max="2322" width="15" style="2" bestFit="1" customWidth="1"/>
    <col min="2323" max="2323" width="11.7109375" style="2" bestFit="1" customWidth="1"/>
    <col min="2324" max="2326" width="4" style="2" bestFit="1" customWidth="1"/>
    <col min="2327" max="2327" width="3.5703125" style="2" bestFit="1" customWidth="1"/>
    <col min="2328" max="2329" width="0" style="2" hidden="1" customWidth="1"/>
    <col min="2330" max="2330" width="12.85546875" style="2" bestFit="1" customWidth="1"/>
    <col min="2331" max="2331" width="5.140625" style="2" bestFit="1" customWidth="1"/>
    <col min="2332" max="2332" width="8.85546875" style="2" customWidth="1"/>
    <col min="2333" max="2560" width="9.140625" style="2"/>
    <col min="2561" max="2561" width="1.28515625" style="2" customWidth="1"/>
    <col min="2562" max="2562" width="43.42578125" style="2" customWidth="1"/>
    <col min="2563" max="2563" width="17.85546875" style="2" customWidth="1"/>
    <col min="2564" max="2564" width="18.5703125" style="2" customWidth="1"/>
    <col min="2565" max="2565" width="17.140625" style="2" customWidth="1"/>
    <col min="2566" max="2566" width="1" style="2" customWidth="1"/>
    <col min="2567" max="2567" width="11.42578125" style="2" bestFit="1" customWidth="1"/>
    <col min="2568" max="2569" width="0" style="2" hidden="1" customWidth="1"/>
    <col min="2570" max="2570" width="5.28515625" style="2" customWidth="1"/>
    <col min="2571" max="2573" width="0" style="2" hidden="1" customWidth="1"/>
    <col min="2574" max="2574" width="5.28515625" style="2" customWidth="1"/>
    <col min="2575" max="2577" width="0" style="2" hidden="1" customWidth="1"/>
    <col min="2578" max="2578" width="15" style="2" bestFit="1" customWidth="1"/>
    <col min="2579" max="2579" width="11.7109375" style="2" bestFit="1" customWidth="1"/>
    <col min="2580" max="2582" width="4" style="2" bestFit="1" customWidth="1"/>
    <col min="2583" max="2583" width="3.5703125" style="2" bestFit="1" customWidth="1"/>
    <col min="2584" max="2585" width="0" style="2" hidden="1" customWidth="1"/>
    <col min="2586" max="2586" width="12.85546875" style="2" bestFit="1" customWidth="1"/>
    <col min="2587" max="2587" width="5.140625" style="2" bestFit="1" customWidth="1"/>
    <col min="2588" max="2588" width="8.85546875" style="2" customWidth="1"/>
    <col min="2589" max="2816" width="9.140625" style="2"/>
    <col min="2817" max="2817" width="1.28515625" style="2" customWidth="1"/>
    <col min="2818" max="2818" width="43.42578125" style="2" customWidth="1"/>
    <col min="2819" max="2819" width="17.85546875" style="2" customWidth="1"/>
    <col min="2820" max="2820" width="18.5703125" style="2" customWidth="1"/>
    <col min="2821" max="2821" width="17.140625" style="2" customWidth="1"/>
    <col min="2822" max="2822" width="1" style="2" customWidth="1"/>
    <col min="2823" max="2823" width="11.42578125" style="2" bestFit="1" customWidth="1"/>
    <col min="2824" max="2825" width="0" style="2" hidden="1" customWidth="1"/>
    <col min="2826" max="2826" width="5.28515625" style="2" customWidth="1"/>
    <col min="2827" max="2829" width="0" style="2" hidden="1" customWidth="1"/>
    <col min="2830" max="2830" width="5.28515625" style="2" customWidth="1"/>
    <col min="2831" max="2833" width="0" style="2" hidden="1" customWidth="1"/>
    <col min="2834" max="2834" width="15" style="2" bestFit="1" customWidth="1"/>
    <col min="2835" max="2835" width="11.7109375" style="2" bestFit="1" customWidth="1"/>
    <col min="2836" max="2838" width="4" style="2" bestFit="1" customWidth="1"/>
    <col min="2839" max="2839" width="3.5703125" style="2" bestFit="1" customWidth="1"/>
    <col min="2840" max="2841" width="0" style="2" hidden="1" customWidth="1"/>
    <col min="2842" max="2842" width="12.85546875" style="2" bestFit="1" customWidth="1"/>
    <col min="2843" max="2843" width="5.140625" style="2" bestFit="1" customWidth="1"/>
    <col min="2844" max="2844" width="8.85546875" style="2" customWidth="1"/>
    <col min="2845" max="3072" width="9.140625" style="2"/>
    <col min="3073" max="3073" width="1.28515625" style="2" customWidth="1"/>
    <col min="3074" max="3074" width="43.42578125" style="2" customWidth="1"/>
    <col min="3075" max="3075" width="17.85546875" style="2" customWidth="1"/>
    <col min="3076" max="3076" width="18.5703125" style="2" customWidth="1"/>
    <col min="3077" max="3077" width="17.140625" style="2" customWidth="1"/>
    <col min="3078" max="3078" width="1" style="2" customWidth="1"/>
    <col min="3079" max="3079" width="11.42578125" style="2" bestFit="1" customWidth="1"/>
    <col min="3080" max="3081" width="0" style="2" hidden="1" customWidth="1"/>
    <col min="3082" max="3082" width="5.28515625" style="2" customWidth="1"/>
    <col min="3083" max="3085" width="0" style="2" hidden="1" customWidth="1"/>
    <col min="3086" max="3086" width="5.28515625" style="2" customWidth="1"/>
    <col min="3087" max="3089" width="0" style="2" hidden="1" customWidth="1"/>
    <col min="3090" max="3090" width="15" style="2" bestFit="1" customWidth="1"/>
    <col min="3091" max="3091" width="11.7109375" style="2" bestFit="1" customWidth="1"/>
    <col min="3092" max="3094" width="4" style="2" bestFit="1" customWidth="1"/>
    <col min="3095" max="3095" width="3.5703125" style="2" bestFit="1" customWidth="1"/>
    <col min="3096" max="3097" width="0" style="2" hidden="1" customWidth="1"/>
    <col min="3098" max="3098" width="12.85546875" style="2" bestFit="1" customWidth="1"/>
    <col min="3099" max="3099" width="5.140625" style="2" bestFit="1" customWidth="1"/>
    <col min="3100" max="3100" width="8.85546875" style="2" customWidth="1"/>
    <col min="3101" max="3328" width="9.140625" style="2"/>
    <col min="3329" max="3329" width="1.28515625" style="2" customWidth="1"/>
    <col min="3330" max="3330" width="43.42578125" style="2" customWidth="1"/>
    <col min="3331" max="3331" width="17.85546875" style="2" customWidth="1"/>
    <col min="3332" max="3332" width="18.5703125" style="2" customWidth="1"/>
    <col min="3333" max="3333" width="17.140625" style="2" customWidth="1"/>
    <col min="3334" max="3334" width="1" style="2" customWidth="1"/>
    <col min="3335" max="3335" width="11.42578125" style="2" bestFit="1" customWidth="1"/>
    <col min="3336" max="3337" width="0" style="2" hidden="1" customWidth="1"/>
    <col min="3338" max="3338" width="5.28515625" style="2" customWidth="1"/>
    <col min="3339" max="3341" width="0" style="2" hidden="1" customWidth="1"/>
    <col min="3342" max="3342" width="5.28515625" style="2" customWidth="1"/>
    <col min="3343" max="3345" width="0" style="2" hidden="1" customWidth="1"/>
    <col min="3346" max="3346" width="15" style="2" bestFit="1" customWidth="1"/>
    <col min="3347" max="3347" width="11.7109375" style="2" bestFit="1" customWidth="1"/>
    <col min="3348" max="3350" width="4" style="2" bestFit="1" customWidth="1"/>
    <col min="3351" max="3351" width="3.5703125" style="2" bestFit="1" customWidth="1"/>
    <col min="3352" max="3353" width="0" style="2" hidden="1" customWidth="1"/>
    <col min="3354" max="3354" width="12.85546875" style="2" bestFit="1" customWidth="1"/>
    <col min="3355" max="3355" width="5.140625" style="2" bestFit="1" customWidth="1"/>
    <col min="3356" max="3356" width="8.85546875" style="2" customWidth="1"/>
    <col min="3357" max="3584" width="9.140625" style="2"/>
    <col min="3585" max="3585" width="1.28515625" style="2" customWidth="1"/>
    <col min="3586" max="3586" width="43.42578125" style="2" customWidth="1"/>
    <col min="3587" max="3587" width="17.85546875" style="2" customWidth="1"/>
    <col min="3588" max="3588" width="18.5703125" style="2" customWidth="1"/>
    <col min="3589" max="3589" width="17.140625" style="2" customWidth="1"/>
    <col min="3590" max="3590" width="1" style="2" customWidth="1"/>
    <col min="3591" max="3591" width="11.42578125" style="2" bestFit="1" customWidth="1"/>
    <col min="3592" max="3593" width="0" style="2" hidden="1" customWidth="1"/>
    <col min="3594" max="3594" width="5.28515625" style="2" customWidth="1"/>
    <col min="3595" max="3597" width="0" style="2" hidden="1" customWidth="1"/>
    <col min="3598" max="3598" width="5.28515625" style="2" customWidth="1"/>
    <col min="3599" max="3601" width="0" style="2" hidden="1" customWidth="1"/>
    <col min="3602" max="3602" width="15" style="2" bestFit="1" customWidth="1"/>
    <col min="3603" max="3603" width="11.7109375" style="2" bestFit="1" customWidth="1"/>
    <col min="3604" max="3606" width="4" style="2" bestFit="1" customWidth="1"/>
    <col min="3607" max="3607" width="3.5703125" style="2" bestFit="1" customWidth="1"/>
    <col min="3608" max="3609" width="0" style="2" hidden="1" customWidth="1"/>
    <col min="3610" max="3610" width="12.85546875" style="2" bestFit="1" customWidth="1"/>
    <col min="3611" max="3611" width="5.140625" style="2" bestFit="1" customWidth="1"/>
    <col min="3612" max="3612" width="8.85546875" style="2" customWidth="1"/>
    <col min="3613" max="3840" width="9.140625" style="2"/>
    <col min="3841" max="3841" width="1.28515625" style="2" customWidth="1"/>
    <col min="3842" max="3842" width="43.42578125" style="2" customWidth="1"/>
    <col min="3843" max="3843" width="17.85546875" style="2" customWidth="1"/>
    <col min="3844" max="3844" width="18.5703125" style="2" customWidth="1"/>
    <col min="3845" max="3845" width="17.140625" style="2" customWidth="1"/>
    <col min="3846" max="3846" width="1" style="2" customWidth="1"/>
    <col min="3847" max="3847" width="11.42578125" style="2" bestFit="1" customWidth="1"/>
    <col min="3848" max="3849" width="0" style="2" hidden="1" customWidth="1"/>
    <col min="3850" max="3850" width="5.28515625" style="2" customWidth="1"/>
    <col min="3851" max="3853" width="0" style="2" hidden="1" customWidth="1"/>
    <col min="3854" max="3854" width="5.28515625" style="2" customWidth="1"/>
    <col min="3855" max="3857" width="0" style="2" hidden="1" customWidth="1"/>
    <col min="3858" max="3858" width="15" style="2" bestFit="1" customWidth="1"/>
    <col min="3859" max="3859" width="11.7109375" style="2" bestFit="1" customWidth="1"/>
    <col min="3860" max="3862" width="4" style="2" bestFit="1" customWidth="1"/>
    <col min="3863" max="3863" width="3.5703125" style="2" bestFit="1" customWidth="1"/>
    <col min="3864" max="3865" width="0" style="2" hidden="1" customWidth="1"/>
    <col min="3866" max="3866" width="12.85546875" style="2" bestFit="1" customWidth="1"/>
    <col min="3867" max="3867" width="5.140625" style="2" bestFit="1" customWidth="1"/>
    <col min="3868" max="3868" width="8.85546875" style="2" customWidth="1"/>
    <col min="3869" max="4096" width="9.140625" style="2"/>
    <col min="4097" max="4097" width="1.28515625" style="2" customWidth="1"/>
    <col min="4098" max="4098" width="43.42578125" style="2" customWidth="1"/>
    <col min="4099" max="4099" width="17.85546875" style="2" customWidth="1"/>
    <col min="4100" max="4100" width="18.5703125" style="2" customWidth="1"/>
    <col min="4101" max="4101" width="17.140625" style="2" customWidth="1"/>
    <col min="4102" max="4102" width="1" style="2" customWidth="1"/>
    <col min="4103" max="4103" width="11.42578125" style="2" bestFit="1" customWidth="1"/>
    <col min="4104" max="4105" width="0" style="2" hidden="1" customWidth="1"/>
    <col min="4106" max="4106" width="5.28515625" style="2" customWidth="1"/>
    <col min="4107" max="4109" width="0" style="2" hidden="1" customWidth="1"/>
    <col min="4110" max="4110" width="5.28515625" style="2" customWidth="1"/>
    <col min="4111" max="4113" width="0" style="2" hidden="1" customWidth="1"/>
    <col min="4114" max="4114" width="15" style="2" bestFit="1" customWidth="1"/>
    <col min="4115" max="4115" width="11.7109375" style="2" bestFit="1" customWidth="1"/>
    <col min="4116" max="4118" width="4" style="2" bestFit="1" customWidth="1"/>
    <col min="4119" max="4119" width="3.5703125" style="2" bestFit="1" customWidth="1"/>
    <col min="4120" max="4121" width="0" style="2" hidden="1" customWidth="1"/>
    <col min="4122" max="4122" width="12.85546875" style="2" bestFit="1" customWidth="1"/>
    <col min="4123" max="4123" width="5.140625" style="2" bestFit="1" customWidth="1"/>
    <col min="4124" max="4124" width="8.85546875" style="2" customWidth="1"/>
    <col min="4125" max="4352" width="9.140625" style="2"/>
    <col min="4353" max="4353" width="1.28515625" style="2" customWidth="1"/>
    <col min="4354" max="4354" width="43.42578125" style="2" customWidth="1"/>
    <col min="4355" max="4355" width="17.85546875" style="2" customWidth="1"/>
    <col min="4356" max="4356" width="18.5703125" style="2" customWidth="1"/>
    <col min="4357" max="4357" width="17.140625" style="2" customWidth="1"/>
    <col min="4358" max="4358" width="1" style="2" customWidth="1"/>
    <col min="4359" max="4359" width="11.42578125" style="2" bestFit="1" customWidth="1"/>
    <col min="4360" max="4361" width="0" style="2" hidden="1" customWidth="1"/>
    <col min="4362" max="4362" width="5.28515625" style="2" customWidth="1"/>
    <col min="4363" max="4365" width="0" style="2" hidden="1" customWidth="1"/>
    <col min="4366" max="4366" width="5.28515625" style="2" customWidth="1"/>
    <col min="4367" max="4369" width="0" style="2" hidden="1" customWidth="1"/>
    <col min="4370" max="4370" width="15" style="2" bestFit="1" customWidth="1"/>
    <col min="4371" max="4371" width="11.7109375" style="2" bestFit="1" customWidth="1"/>
    <col min="4372" max="4374" width="4" style="2" bestFit="1" customWidth="1"/>
    <col min="4375" max="4375" width="3.5703125" style="2" bestFit="1" customWidth="1"/>
    <col min="4376" max="4377" width="0" style="2" hidden="1" customWidth="1"/>
    <col min="4378" max="4378" width="12.85546875" style="2" bestFit="1" customWidth="1"/>
    <col min="4379" max="4379" width="5.140625" style="2" bestFit="1" customWidth="1"/>
    <col min="4380" max="4380" width="8.85546875" style="2" customWidth="1"/>
    <col min="4381" max="4608" width="9.140625" style="2"/>
    <col min="4609" max="4609" width="1.28515625" style="2" customWidth="1"/>
    <col min="4610" max="4610" width="43.42578125" style="2" customWidth="1"/>
    <col min="4611" max="4611" width="17.85546875" style="2" customWidth="1"/>
    <col min="4612" max="4612" width="18.5703125" style="2" customWidth="1"/>
    <col min="4613" max="4613" width="17.140625" style="2" customWidth="1"/>
    <col min="4614" max="4614" width="1" style="2" customWidth="1"/>
    <col min="4615" max="4615" width="11.42578125" style="2" bestFit="1" customWidth="1"/>
    <col min="4616" max="4617" width="0" style="2" hidden="1" customWidth="1"/>
    <col min="4618" max="4618" width="5.28515625" style="2" customWidth="1"/>
    <col min="4619" max="4621" width="0" style="2" hidden="1" customWidth="1"/>
    <col min="4622" max="4622" width="5.28515625" style="2" customWidth="1"/>
    <col min="4623" max="4625" width="0" style="2" hidden="1" customWidth="1"/>
    <col min="4626" max="4626" width="15" style="2" bestFit="1" customWidth="1"/>
    <col min="4627" max="4627" width="11.7109375" style="2" bestFit="1" customWidth="1"/>
    <col min="4628" max="4630" width="4" style="2" bestFit="1" customWidth="1"/>
    <col min="4631" max="4631" width="3.5703125" style="2" bestFit="1" customWidth="1"/>
    <col min="4632" max="4633" width="0" style="2" hidden="1" customWidth="1"/>
    <col min="4634" max="4634" width="12.85546875" style="2" bestFit="1" customWidth="1"/>
    <col min="4635" max="4635" width="5.140625" style="2" bestFit="1" customWidth="1"/>
    <col min="4636" max="4636" width="8.85546875" style="2" customWidth="1"/>
    <col min="4637" max="4864" width="9.140625" style="2"/>
    <col min="4865" max="4865" width="1.28515625" style="2" customWidth="1"/>
    <col min="4866" max="4866" width="43.42578125" style="2" customWidth="1"/>
    <col min="4867" max="4867" width="17.85546875" style="2" customWidth="1"/>
    <col min="4868" max="4868" width="18.5703125" style="2" customWidth="1"/>
    <col min="4869" max="4869" width="17.140625" style="2" customWidth="1"/>
    <col min="4870" max="4870" width="1" style="2" customWidth="1"/>
    <col min="4871" max="4871" width="11.42578125" style="2" bestFit="1" customWidth="1"/>
    <col min="4872" max="4873" width="0" style="2" hidden="1" customWidth="1"/>
    <col min="4874" max="4874" width="5.28515625" style="2" customWidth="1"/>
    <col min="4875" max="4877" width="0" style="2" hidden="1" customWidth="1"/>
    <col min="4878" max="4878" width="5.28515625" style="2" customWidth="1"/>
    <col min="4879" max="4881" width="0" style="2" hidden="1" customWidth="1"/>
    <col min="4882" max="4882" width="15" style="2" bestFit="1" customWidth="1"/>
    <col min="4883" max="4883" width="11.7109375" style="2" bestFit="1" customWidth="1"/>
    <col min="4884" max="4886" width="4" style="2" bestFit="1" customWidth="1"/>
    <col min="4887" max="4887" width="3.5703125" style="2" bestFit="1" customWidth="1"/>
    <col min="4888" max="4889" width="0" style="2" hidden="1" customWidth="1"/>
    <col min="4890" max="4890" width="12.85546875" style="2" bestFit="1" customWidth="1"/>
    <col min="4891" max="4891" width="5.140625" style="2" bestFit="1" customWidth="1"/>
    <col min="4892" max="4892" width="8.85546875" style="2" customWidth="1"/>
    <col min="4893" max="5120" width="9.140625" style="2"/>
    <col min="5121" max="5121" width="1.28515625" style="2" customWidth="1"/>
    <col min="5122" max="5122" width="43.42578125" style="2" customWidth="1"/>
    <col min="5123" max="5123" width="17.85546875" style="2" customWidth="1"/>
    <col min="5124" max="5124" width="18.5703125" style="2" customWidth="1"/>
    <col min="5125" max="5125" width="17.140625" style="2" customWidth="1"/>
    <col min="5126" max="5126" width="1" style="2" customWidth="1"/>
    <col min="5127" max="5127" width="11.42578125" style="2" bestFit="1" customWidth="1"/>
    <col min="5128" max="5129" width="0" style="2" hidden="1" customWidth="1"/>
    <col min="5130" max="5130" width="5.28515625" style="2" customWidth="1"/>
    <col min="5131" max="5133" width="0" style="2" hidden="1" customWidth="1"/>
    <col min="5134" max="5134" width="5.28515625" style="2" customWidth="1"/>
    <col min="5135" max="5137" width="0" style="2" hidden="1" customWidth="1"/>
    <col min="5138" max="5138" width="15" style="2" bestFit="1" customWidth="1"/>
    <col min="5139" max="5139" width="11.7109375" style="2" bestFit="1" customWidth="1"/>
    <col min="5140" max="5142" width="4" style="2" bestFit="1" customWidth="1"/>
    <col min="5143" max="5143" width="3.5703125" style="2" bestFit="1" customWidth="1"/>
    <col min="5144" max="5145" width="0" style="2" hidden="1" customWidth="1"/>
    <col min="5146" max="5146" width="12.85546875" style="2" bestFit="1" customWidth="1"/>
    <col min="5147" max="5147" width="5.140625" style="2" bestFit="1" customWidth="1"/>
    <col min="5148" max="5148" width="8.85546875" style="2" customWidth="1"/>
    <col min="5149" max="5376" width="9.140625" style="2"/>
    <col min="5377" max="5377" width="1.28515625" style="2" customWidth="1"/>
    <col min="5378" max="5378" width="43.42578125" style="2" customWidth="1"/>
    <col min="5379" max="5379" width="17.85546875" style="2" customWidth="1"/>
    <col min="5380" max="5380" width="18.5703125" style="2" customWidth="1"/>
    <col min="5381" max="5381" width="17.140625" style="2" customWidth="1"/>
    <col min="5382" max="5382" width="1" style="2" customWidth="1"/>
    <col min="5383" max="5383" width="11.42578125" style="2" bestFit="1" customWidth="1"/>
    <col min="5384" max="5385" width="0" style="2" hidden="1" customWidth="1"/>
    <col min="5386" max="5386" width="5.28515625" style="2" customWidth="1"/>
    <col min="5387" max="5389" width="0" style="2" hidden="1" customWidth="1"/>
    <col min="5390" max="5390" width="5.28515625" style="2" customWidth="1"/>
    <col min="5391" max="5393" width="0" style="2" hidden="1" customWidth="1"/>
    <col min="5394" max="5394" width="15" style="2" bestFit="1" customWidth="1"/>
    <col min="5395" max="5395" width="11.7109375" style="2" bestFit="1" customWidth="1"/>
    <col min="5396" max="5398" width="4" style="2" bestFit="1" customWidth="1"/>
    <col min="5399" max="5399" width="3.5703125" style="2" bestFit="1" customWidth="1"/>
    <col min="5400" max="5401" width="0" style="2" hidden="1" customWidth="1"/>
    <col min="5402" max="5402" width="12.85546875" style="2" bestFit="1" customWidth="1"/>
    <col min="5403" max="5403" width="5.140625" style="2" bestFit="1" customWidth="1"/>
    <col min="5404" max="5404" width="8.85546875" style="2" customWidth="1"/>
    <col min="5405" max="5632" width="9.140625" style="2"/>
    <col min="5633" max="5633" width="1.28515625" style="2" customWidth="1"/>
    <col min="5634" max="5634" width="43.42578125" style="2" customWidth="1"/>
    <col min="5635" max="5635" width="17.85546875" style="2" customWidth="1"/>
    <col min="5636" max="5636" width="18.5703125" style="2" customWidth="1"/>
    <col min="5637" max="5637" width="17.140625" style="2" customWidth="1"/>
    <col min="5638" max="5638" width="1" style="2" customWidth="1"/>
    <col min="5639" max="5639" width="11.42578125" style="2" bestFit="1" customWidth="1"/>
    <col min="5640" max="5641" width="0" style="2" hidden="1" customWidth="1"/>
    <col min="5642" max="5642" width="5.28515625" style="2" customWidth="1"/>
    <col min="5643" max="5645" width="0" style="2" hidden="1" customWidth="1"/>
    <col min="5646" max="5646" width="5.28515625" style="2" customWidth="1"/>
    <col min="5647" max="5649" width="0" style="2" hidden="1" customWidth="1"/>
    <col min="5650" max="5650" width="15" style="2" bestFit="1" customWidth="1"/>
    <col min="5651" max="5651" width="11.7109375" style="2" bestFit="1" customWidth="1"/>
    <col min="5652" max="5654" width="4" style="2" bestFit="1" customWidth="1"/>
    <col min="5655" max="5655" width="3.5703125" style="2" bestFit="1" customWidth="1"/>
    <col min="5656" max="5657" width="0" style="2" hidden="1" customWidth="1"/>
    <col min="5658" max="5658" width="12.85546875" style="2" bestFit="1" customWidth="1"/>
    <col min="5659" max="5659" width="5.140625" style="2" bestFit="1" customWidth="1"/>
    <col min="5660" max="5660" width="8.85546875" style="2" customWidth="1"/>
    <col min="5661" max="5888" width="9.140625" style="2"/>
    <col min="5889" max="5889" width="1.28515625" style="2" customWidth="1"/>
    <col min="5890" max="5890" width="43.42578125" style="2" customWidth="1"/>
    <col min="5891" max="5891" width="17.85546875" style="2" customWidth="1"/>
    <col min="5892" max="5892" width="18.5703125" style="2" customWidth="1"/>
    <col min="5893" max="5893" width="17.140625" style="2" customWidth="1"/>
    <col min="5894" max="5894" width="1" style="2" customWidth="1"/>
    <col min="5895" max="5895" width="11.42578125" style="2" bestFit="1" customWidth="1"/>
    <col min="5896" max="5897" width="0" style="2" hidden="1" customWidth="1"/>
    <col min="5898" max="5898" width="5.28515625" style="2" customWidth="1"/>
    <col min="5899" max="5901" width="0" style="2" hidden="1" customWidth="1"/>
    <col min="5902" max="5902" width="5.28515625" style="2" customWidth="1"/>
    <col min="5903" max="5905" width="0" style="2" hidden="1" customWidth="1"/>
    <col min="5906" max="5906" width="15" style="2" bestFit="1" customWidth="1"/>
    <col min="5907" max="5907" width="11.7109375" style="2" bestFit="1" customWidth="1"/>
    <col min="5908" max="5910" width="4" style="2" bestFit="1" customWidth="1"/>
    <col min="5911" max="5911" width="3.5703125" style="2" bestFit="1" customWidth="1"/>
    <col min="5912" max="5913" width="0" style="2" hidden="1" customWidth="1"/>
    <col min="5914" max="5914" width="12.85546875" style="2" bestFit="1" customWidth="1"/>
    <col min="5915" max="5915" width="5.140625" style="2" bestFit="1" customWidth="1"/>
    <col min="5916" max="5916" width="8.85546875" style="2" customWidth="1"/>
    <col min="5917" max="6144" width="9.140625" style="2"/>
    <col min="6145" max="6145" width="1.28515625" style="2" customWidth="1"/>
    <col min="6146" max="6146" width="43.42578125" style="2" customWidth="1"/>
    <col min="6147" max="6147" width="17.85546875" style="2" customWidth="1"/>
    <col min="6148" max="6148" width="18.5703125" style="2" customWidth="1"/>
    <col min="6149" max="6149" width="17.140625" style="2" customWidth="1"/>
    <col min="6150" max="6150" width="1" style="2" customWidth="1"/>
    <col min="6151" max="6151" width="11.42578125" style="2" bestFit="1" customWidth="1"/>
    <col min="6152" max="6153" width="0" style="2" hidden="1" customWidth="1"/>
    <col min="6154" max="6154" width="5.28515625" style="2" customWidth="1"/>
    <col min="6155" max="6157" width="0" style="2" hidden="1" customWidth="1"/>
    <col min="6158" max="6158" width="5.28515625" style="2" customWidth="1"/>
    <col min="6159" max="6161" width="0" style="2" hidden="1" customWidth="1"/>
    <col min="6162" max="6162" width="15" style="2" bestFit="1" customWidth="1"/>
    <col min="6163" max="6163" width="11.7109375" style="2" bestFit="1" customWidth="1"/>
    <col min="6164" max="6166" width="4" style="2" bestFit="1" customWidth="1"/>
    <col min="6167" max="6167" width="3.5703125" style="2" bestFit="1" customWidth="1"/>
    <col min="6168" max="6169" width="0" style="2" hidden="1" customWidth="1"/>
    <col min="6170" max="6170" width="12.85546875" style="2" bestFit="1" customWidth="1"/>
    <col min="6171" max="6171" width="5.140625" style="2" bestFit="1" customWidth="1"/>
    <col min="6172" max="6172" width="8.85546875" style="2" customWidth="1"/>
    <col min="6173" max="6400" width="9.140625" style="2"/>
    <col min="6401" max="6401" width="1.28515625" style="2" customWidth="1"/>
    <col min="6402" max="6402" width="43.42578125" style="2" customWidth="1"/>
    <col min="6403" max="6403" width="17.85546875" style="2" customWidth="1"/>
    <col min="6404" max="6404" width="18.5703125" style="2" customWidth="1"/>
    <col min="6405" max="6405" width="17.140625" style="2" customWidth="1"/>
    <col min="6406" max="6406" width="1" style="2" customWidth="1"/>
    <col min="6407" max="6407" width="11.42578125" style="2" bestFit="1" customWidth="1"/>
    <col min="6408" max="6409" width="0" style="2" hidden="1" customWidth="1"/>
    <col min="6410" max="6410" width="5.28515625" style="2" customWidth="1"/>
    <col min="6411" max="6413" width="0" style="2" hidden="1" customWidth="1"/>
    <col min="6414" max="6414" width="5.28515625" style="2" customWidth="1"/>
    <col min="6415" max="6417" width="0" style="2" hidden="1" customWidth="1"/>
    <col min="6418" max="6418" width="15" style="2" bestFit="1" customWidth="1"/>
    <col min="6419" max="6419" width="11.7109375" style="2" bestFit="1" customWidth="1"/>
    <col min="6420" max="6422" width="4" style="2" bestFit="1" customWidth="1"/>
    <col min="6423" max="6423" width="3.5703125" style="2" bestFit="1" customWidth="1"/>
    <col min="6424" max="6425" width="0" style="2" hidden="1" customWidth="1"/>
    <col min="6426" max="6426" width="12.85546875" style="2" bestFit="1" customWidth="1"/>
    <col min="6427" max="6427" width="5.140625" style="2" bestFit="1" customWidth="1"/>
    <col min="6428" max="6428" width="8.85546875" style="2" customWidth="1"/>
    <col min="6429" max="6656" width="9.140625" style="2"/>
    <col min="6657" max="6657" width="1.28515625" style="2" customWidth="1"/>
    <col min="6658" max="6658" width="43.42578125" style="2" customWidth="1"/>
    <col min="6659" max="6659" width="17.85546875" style="2" customWidth="1"/>
    <col min="6660" max="6660" width="18.5703125" style="2" customWidth="1"/>
    <col min="6661" max="6661" width="17.140625" style="2" customWidth="1"/>
    <col min="6662" max="6662" width="1" style="2" customWidth="1"/>
    <col min="6663" max="6663" width="11.42578125" style="2" bestFit="1" customWidth="1"/>
    <col min="6664" max="6665" width="0" style="2" hidden="1" customWidth="1"/>
    <col min="6666" max="6666" width="5.28515625" style="2" customWidth="1"/>
    <col min="6667" max="6669" width="0" style="2" hidden="1" customWidth="1"/>
    <col min="6670" max="6670" width="5.28515625" style="2" customWidth="1"/>
    <col min="6671" max="6673" width="0" style="2" hidden="1" customWidth="1"/>
    <col min="6674" max="6674" width="15" style="2" bestFit="1" customWidth="1"/>
    <col min="6675" max="6675" width="11.7109375" style="2" bestFit="1" customWidth="1"/>
    <col min="6676" max="6678" width="4" style="2" bestFit="1" customWidth="1"/>
    <col min="6679" max="6679" width="3.5703125" style="2" bestFit="1" customWidth="1"/>
    <col min="6680" max="6681" width="0" style="2" hidden="1" customWidth="1"/>
    <col min="6682" max="6682" width="12.85546875" style="2" bestFit="1" customWidth="1"/>
    <col min="6683" max="6683" width="5.140625" style="2" bestFit="1" customWidth="1"/>
    <col min="6684" max="6684" width="8.85546875" style="2" customWidth="1"/>
    <col min="6685" max="6912" width="9.140625" style="2"/>
    <col min="6913" max="6913" width="1.28515625" style="2" customWidth="1"/>
    <col min="6914" max="6914" width="43.42578125" style="2" customWidth="1"/>
    <col min="6915" max="6915" width="17.85546875" style="2" customWidth="1"/>
    <col min="6916" max="6916" width="18.5703125" style="2" customWidth="1"/>
    <col min="6917" max="6917" width="17.140625" style="2" customWidth="1"/>
    <col min="6918" max="6918" width="1" style="2" customWidth="1"/>
    <col min="6919" max="6919" width="11.42578125" style="2" bestFit="1" customWidth="1"/>
    <col min="6920" max="6921" width="0" style="2" hidden="1" customWidth="1"/>
    <col min="6922" max="6922" width="5.28515625" style="2" customWidth="1"/>
    <col min="6923" max="6925" width="0" style="2" hidden="1" customWidth="1"/>
    <col min="6926" max="6926" width="5.28515625" style="2" customWidth="1"/>
    <col min="6927" max="6929" width="0" style="2" hidden="1" customWidth="1"/>
    <col min="6930" max="6930" width="15" style="2" bestFit="1" customWidth="1"/>
    <col min="6931" max="6931" width="11.7109375" style="2" bestFit="1" customWidth="1"/>
    <col min="6932" max="6934" width="4" style="2" bestFit="1" customWidth="1"/>
    <col min="6935" max="6935" width="3.5703125" style="2" bestFit="1" customWidth="1"/>
    <col min="6936" max="6937" width="0" style="2" hidden="1" customWidth="1"/>
    <col min="6938" max="6938" width="12.85546875" style="2" bestFit="1" customWidth="1"/>
    <col min="6939" max="6939" width="5.140625" style="2" bestFit="1" customWidth="1"/>
    <col min="6940" max="6940" width="8.85546875" style="2" customWidth="1"/>
    <col min="6941" max="7168" width="9.140625" style="2"/>
    <col min="7169" max="7169" width="1.28515625" style="2" customWidth="1"/>
    <col min="7170" max="7170" width="43.42578125" style="2" customWidth="1"/>
    <col min="7171" max="7171" width="17.85546875" style="2" customWidth="1"/>
    <col min="7172" max="7172" width="18.5703125" style="2" customWidth="1"/>
    <col min="7173" max="7173" width="17.140625" style="2" customWidth="1"/>
    <col min="7174" max="7174" width="1" style="2" customWidth="1"/>
    <col min="7175" max="7175" width="11.42578125" style="2" bestFit="1" customWidth="1"/>
    <col min="7176" max="7177" width="0" style="2" hidden="1" customWidth="1"/>
    <col min="7178" max="7178" width="5.28515625" style="2" customWidth="1"/>
    <col min="7179" max="7181" width="0" style="2" hidden="1" customWidth="1"/>
    <col min="7182" max="7182" width="5.28515625" style="2" customWidth="1"/>
    <col min="7183" max="7185" width="0" style="2" hidden="1" customWidth="1"/>
    <col min="7186" max="7186" width="15" style="2" bestFit="1" customWidth="1"/>
    <col min="7187" max="7187" width="11.7109375" style="2" bestFit="1" customWidth="1"/>
    <col min="7188" max="7190" width="4" style="2" bestFit="1" customWidth="1"/>
    <col min="7191" max="7191" width="3.5703125" style="2" bestFit="1" customWidth="1"/>
    <col min="7192" max="7193" width="0" style="2" hidden="1" customWidth="1"/>
    <col min="7194" max="7194" width="12.85546875" style="2" bestFit="1" customWidth="1"/>
    <col min="7195" max="7195" width="5.140625" style="2" bestFit="1" customWidth="1"/>
    <col min="7196" max="7196" width="8.85546875" style="2" customWidth="1"/>
    <col min="7197" max="7424" width="9.140625" style="2"/>
    <col min="7425" max="7425" width="1.28515625" style="2" customWidth="1"/>
    <col min="7426" max="7426" width="43.42578125" style="2" customWidth="1"/>
    <col min="7427" max="7427" width="17.85546875" style="2" customWidth="1"/>
    <col min="7428" max="7428" width="18.5703125" style="2" customWidth="1"/>
    <col min="7429" max="7429" width="17.140625" style="2" customWidth="1"/>
    <col min="7430" max="7430" width="1" style="2" customWidth="1"/>
    <col min="7431" max="7431" width="11.42578125" style="2" bestFit="1" customWidth="1"/>
    <col min="7432" max="7433" width="0" style="2" hidden="1" customWidth="1"/>
    <col min="7434" max="7434" width="5.28515625" style="2" customWidth="1"/>
    <col min="7435" max="7437" width="0" style="2" hidden="1" customWidth="1"/>
    <col min="7438" max="7438" width="5.28515625" style="2" customWidth="1"/>
    <col min="7439" max="7441" width="0" style="2" hidden="1" customWidth="1"/>
    <col min="7442" max="7442" width="15" style="2" bestFit="1" customWidth="1"/>
    <col min="7443" max="7443" width="11.7109375" style="2" bestFit="1" customWidth="1"/>
    <col min="7444" max="7446" width="4" style="2" bestFit="1" customWidth="1"/>
    <col min="7447" max="7447" width="3.5703125" style="2" bestFit="1" customWidth="1"/>
    <col min="7448" max="7449" width="0" style="2" hidden="1" customWidth="1"/>
    <col min="7450" max="7450" width="12.85546875" style="2" bestFit="1" customWidth="1"/>
    <col min="7451" max="7451" width="5.140625" style="2" bestFit="1" customWidth="1"/>
    <col min="7452" max="7452" width="8.85546875" style="2" customWidth="1"/>
    <col min="7453" max="7680" width="9.140625" style="2"/>
    <col min="7681" max="7681" width="1.28515625" style="2" customWidth="1"/>
    <col min="7682" max="7682" width="43.42578125" style="2" customWidth="1"/>
    <col min="7683" max="7683" width="17.85546875" style="2" customWidth="1"/>
    <col min="7684" max="7684" width="18.5703125" style="2" customWidth="1"/>
    <col min="7685" max="7685" width="17.140625" style="2" customWidth="1"/>
    <col min="7686" max="7686" width="1" style="2" customWidth="1"/>
    <col min="7687" max="7687" width="11.42578125" style="2" bestFit="1" customWidth="1"/>
    <col min="7688" max="7689" width="0" style="2" hidden="1" customWidth="1"/>
    <col min="7690" max="7690" width="5.28515625" style="2" customWidth="1"/>
    <col min="7691" max="7693" width="0" style="2" hidden="1" customWidth="1"/>
    <col min="7694" max="7694" width="5.28515625" style="2" customWidth="1"/>
    <col min="7695" max="7697" width="0" style="2" hidden="1" customWidth="1"/>
    <col min="7698" max="7698" width="15" style="2" bestFit="1" customWidth="1"/>
    <col min="7699" max="7699" width="11.7109375" style="2" bestFit="1" customWidth="1"/>
    <col min="7700" max="7702" width="4" style="2" bestFit="1" customWidth="1"/>
    <col min="7703" max="7703" width="3.5703125" style="2" bestFit="1" customWidth="1"/>
    <col min="7704" max="7705" width="0" style="2" hidden="1" customWidth="1"/>
    <col min="7706" max="7706" width="12.85546875" style="2" bestFit="1" customWidth="1"/>
    <col min="7707" max="7707" width="5.140625" style="2" bestFit="1" customWidth="1"/>
    <col min="7708" max="7708" width="8.85546875" style="2" customWidth="1"/>
    <col min="7709" max="7936" width="9.140625" style="2"/>
    <col min="7937" max="7937" width="1.28515625" style="2" customWidth="1"/>
    <col min="7938" max="7938" width="43.42578125" style="2" customWidth="1"/>
    <col min="7939" max="7939" width="17.85546875" style="2" customWidth="1"/>
    <col min="7940" max="7940" width="18.5703125" style="2" customWidth="1"/>
    <col min="7941" max="7941" width="17.140625" style="2" customWidth="1"/>
    <col min="7942" max="7942" width="1" style="2" customWidth="1"/>
    <col min="7943" max="7943" width="11.42578125" style="2" bestFit="1" customWidth="1"/>
    <col min="7944" max="7945" width="0" style="2" hidden="1" customWidth="1"/>
    <col min="7946" max="7946" width="5.28515625" style="2" customWidth="1"/>
    <col min="7947" max="7949" width="0" style="2" hidden="1" customWidth="1"/>
    <col min="7950" max="7950" width="5.28515625" style="2" customWidth="1"/>
    <col min="7951" max="7953" width="0" style="2" hidden="1" customWidth="1"/>
    <col min="7954" max="7954" width="15" style="2" bestFit="1" customWidth="1"/>
    <col min="7955" max="7955" width="11.7109375" style="2" bestFit="1" customWidth="1"/>
    <col min="7956" max="7958" width="4" style="2" bestFit="1" customWidth="1"/>
    <col min="7959" max="7959" width="3.5703125" style="2" bestFit="1" customWidth="1"/>
    <col min="7960" max="7961" width="0" style="2" hidden="1" customWidth="1"/>
    <col min="7962" max="7962" width="12.85546875" style="2" bestFit="1" customWidth="1"/>
    <col min="7963" max="7963" width="5.140625" style="2" bestFit="1" customWidth="1"/>
    <col min="7964" max="7964" width="8.85546875" style="2" customWidth="1"/>
    <col min="7965" max="8192" width="9.140625" style="2"/>
    <col min="8193" max="8193" width="1.28515625" style="2" customWidth="1"/>
    <col min="8194" max="8194" width="43.42578125" style="2" customWidth="1"/>
    <col min="8195" max="8195" width="17.85546875" style="2" customWidth="1"/>
    <col min="8196" max="8196" width="18.5703125" style="2" customWidth="1"/>
    <col min="8197" max="8197" width="17.140625" style="2" customWidth="1"/>
    <col min="8198" max="8198" width="1" style="2" customWidth="1"/>
    <col min="8199" max="8199" width="11.42578125" style="2" bestFit="1" customWidth="1"/>
    <col min="8200" max="8201" width="0" style="2" hidden="1" customWidth="1"/>
    <col min="8202" max="8202" width="5.28515625" style="2" customWidth="1"/>
    <col min="8203" max="8205" width="0" style="2" hidden="1" customWidth="1"/>
    <col min="8206" max="8206" width="5.28515625" style="2" customWidth="1"/>
    <col min="8207" max="8209" width="0" style="2" hidden="1" customWidth="1"/>
    <col min="8210" max="8210" width="15" style="2" bestFit="1" customWidth="1"/>
    <col min="8211" max="8211" width="11.7109375" style="2" bestFit="1" customWidth="1"/>
    <col min="8212" max="8214" width="4" style="2" bestFit="1" customWidth="1"/>
    <col min="8215" max="8215" width="3.5703125" style="2" bestFit="1" customWidth="1"/>
    <col min="8216" max="8217" width="0" style="2" hidden="1" customWidth="1"/>
    <col min="8218" max="8218" width="12.85546875" style="2" bestFit="1" customWidth="1"/>
    <col min="8219" max="8219" width="5.140625" style="2" bestFit="1" customWidth="1"/>
    <col min="8220" max="8220" width="8.85546875" style="2" customWidth="1"/>
    <col min="8221" max="8448" width="9.140625" style="2"/>
    <col min="8449" max="8449" width="1.28515625" style="2" customWidth="1"/>
    <col min="8450" max="8450" width="43.42578125" style="2" customWidth="1"/>
    <col min="8451" max="8451" width="17.85546875" style="2" customWidth="1"/>
    <col min="8452" max="8452" width="18.5703125" style="2" customWidth="1"/>
    <col min="8453" max="8453" width="17.140625" style="2" customWidth="1"/>
    <col min="8454" max="8454" width="1" style="2" customWidth="1"/>
    <col min="8455" max="8455" width="11.42578125" style="2" bestFit="1" customWidth="1"/>
    <col min="8456" max="8457" width="0" style="2" hidden="1" customWidth="1"/>
    <col min="8458" max="8458" width="5.28515625" style="2" customWidth="1"/>
    <col min="8459" max="8461" width="0" style="2" hidden="1" customWidth="1"/>
    <col min="8462" max="8462" width="5.28515625" style="2" customWidth="1"/>
    <col min="8463" max="8465" width="0" style="2" hidden="1" customWidth="1"/>
    <col min="8466" max="8466" width="15" style="2" bestFit="1" customWidth="1"/>
    <col min="8467" max="8467" width="11.7109375" style="2" bestFit="1" customWidth="1"/>
    <col min="8468" max="8470" width="4" style="2" bestFit="1" customWidth="1"/>
    <col min="8471" max="8471" width="3.5703125" style="2" bestFit="1" customWidth="1"/>
    <col min="8472" max="8473" width="0" style="2" hidden="1" customWidth="1"/>
    <col min="8474" max="8474" width="12.85546875" style="2" bestFit="1" customWidth="1"/>
    <col min="8475" max="8475" width="5.140625" style="2" bestFit="1" customWidth="1"/>
    <col min="8476" max="8476" width="8.85546875" style="2" customWidth="1"/>
    <col min="8477" max="8704" width="9.140625" style="2"/>
    <col min="8705" max="8705" width="1.28515625" style="2" customWidth="1"/>
    <col min="8706" max="8706" width="43.42578125" style="2" customWidth="1"/>
    <col min="8707" max="8707" width="17.85546875" style="2" customWidth="1"/>
    <col min="8708" max="8708" width="18.5703125" style="2" customWidth="1"/>
    <col min="8709" max="8709" width="17.140625" style="2" customWidth="1"/>
    <col min="8710" max="8710" width="1" style="2" customWidth="1"/>
    <col min="8711" max="8711" width="11.42578125" style="2" bestFit="1" customWidth="1"/>
    <col min="8712" max="8713" width="0" style="2" hidden="1" customWidth="1"/>
    <col min="8714" max="8714" width="5.28515625" style="2" customWidth="1"/>
    <col min="8715" max="8717" width="0" style="2" hidden="1" customWidth="1"/>
    <col min="8718" max="8718" width="5.28515625" style="2" customWidth="1"/>
    <col min="8719" max="8721" width="0" style="2" hidden="1" customWidth="1"/>
    <col min="8722" max="8722" width="15" style="2" bestFit="1" customWidth="1"/>
    <col min="8723" max="8723" width="11.7109375" style="2" bestFit="1" customWidth="1"/>
    <col min="8724" max="8726" width="4" style="2" bestFit="1" customWidth="1"/>
    <col min="8727" max="8727" width="3.5703125" style="2" bestFit="1" customWidth="1"/>
    <col min="8728" max="8729" width="0" style="2" hidden="1" customWidth="1"/>
    <col min="8730" max="8730" width="12.85546875" style="2" bestFit="1" customWidth="1"/>
    <col min="8731" max="8731" width="5.140625" style="2" bestFit="1" customWidth="1"/>
    <col min="8732" max="8732" width="8.85546875" style="2" customWidth="1"/>
    <col min="8733" max="8960" width="9.140625" style="2"/>
    <col min="8961" max="8961" width="1.28515625" style="2" customWidth="1"/>
    <col min="8962" max="8962" width="43.42578125" style="2" customWidth="1"/>
    <col min="8963" max="8963" width="17.85546875" style="2" customWidth="1"/>
    <col min="8964" max="8964" width="18.5703125" style="2" customWidth="1"/>
    <col min="8965" max="8965" width="17.140625" style="2" customWidth="1"/>
    <col min="8966" max="8966" width="1" style="2" customWidth="1"/>
    <col min="8967" max="8967" width="11.42578125" style="2" bestFit="1" customWidth="1"/>
    <col min="8968" max="8969" width="0" style="2" hidden="1" customWidth="1"/>
    <col min="8970" max="8970" width="5.28515625" style="2" customWidth="1"/>
    <col min="8971" max="8973" width="0" style="2" hidden="1" customWidth="1"/>
    <col min="8974" max="8974" width="5.28515625" style="2" customWidth="1"/>
    <col min="8975" max="8977" width="0" style="2" hidden="1" customWidth="1"/>
    <col min="8978" max="8978" width="15" style="2" bestFit="1" customWidth="1"/>
    <col min="8979" max="8979" width="11.7109375" style="2" bestFit="1" customWidth="1"/>
    <col min="8980" max="8982" width="4" style="2" bestFit="1" customWidth="1"/>
    <col min="8983" max="8983" width="3.5703125" style="2" bestFit="1" customWidth="1"/>
    <col min="8984" max="8985" width="0" style="2" hidden="1" customWidth="1"/>
    <col min="8986" max="8986" width="12.85546875" style="2" bestFit="1" customWidth="1"/>
    <col min="8987" max="8987" width="5.140625" style="2" bestFit="1" customWidth="1"/>
    <col min="8988" max="8988" width="8.85546875" style="2" customWidth="1"/>
    <col min="8989" max="9216" width="9.140625" style="2"/>
    <col min="9217" max="9217" width="1.28515625" style="2" customWidth="1"/>
    <col min="9218" max="9218" width="43.42578125" style="2" customWidth="1"/>
    <col min="9219" max="9219" width="17.85546875" style="2" customWidth="1"/>
    <col min="9220" max="9220" width="18.5703125" style="2" customWidth="1"/>
    <col min="9221" max="9221" width="17.140625" style="2" customWidth="1"/>
    <col min="9222" max="9222" width="1" style="2" customWidth="1"/>
    <col min="9223" max="9223" width="11.42578125" style="2" bestFit="1" customWidth="1"/>
    <col min="9224" max="9225" width="0" style="2" hidden="1" customWidth="1"/>
    <col min="9226" max="9226" width="5.28515625" style="2" customWidth="1"/>
    <col min="9227" max="9229" width="0" style="2" hidden="1" customWidth="1"/>
    <col min="9230" max="9230" width="5.28515625" style="2" customWidth="1"/>
    <col min="9231" max="9233" width="0" style="2" hidden="1" customWidth="1"/>
    <col min="9234" max="9234" width="15" style="2" bestFit="1" customWidth="1"/>
    <col min="9235" max="9235" width="11.7109375" style="2" bestFit="1" customWidth="1"/>
    <col min="9236" max="9238" width="4" style="2" bestFit="1" customWidth="1"/>
    <col min="9239" max="9239" width="3.5703125" style="2" bestFit="1" customWidth="1"/>
    <col min="9240" max="9241" width="0" style="2" hidden="1" customWidth="1"/>
    <col min="9242" max="9242" width="12.85546875" style="2" bestFit="1" customWidth="1"/>
    <col min="9243" max="9243" width="5.140625" style="2" bestFit="1" customWidth="1"/>
    <col min="9244" max="9244" width="8.85546875" style="2" customWidth="1"/>
    <col min="9245" max="9472" width="9.140625" style="2"/>
    <col min="9473" max="9473" width="1.28515625" style="2" customWidth="1"/>
    <col min="9474" max="9474" width="43.42578125" style="2" customWidth="1"/>
    <col min="9475" max="9475" width="17.85546875" style="2" customWidth="1"/>
    <col min="9476" max="9476" width="18.5703125" style="2" customWidth="1"/>
    <col min="9477" max="9477" width="17.140625" style="2" customWidth="1"/>
    <col min="9478" max="9478" width="1" style="2" customWidth="1"/>
    <col min="9479" max="9479" width="11.42578125" style="2" bestFit="1" customWidth="1"/>
    <col min="9480" max="9481" width="0" style="2" hidden="1" customWidth="1"/>
    <col min="9482" max="9482" width="5.28515625" style="2" customWidth="1"/>
    <col min="9483" max="9485" width="0" style="2" hidden="1" customWidth="1"/>
    <col min="9486" max="9486" width="5.28515625" style="2" customWidth="1"/>
    <col min="9487" max="9489" width="0" style="2" hidden="1" customWidth="1"/>
    <col min="9490" max="9490" width="15" style="2" bestFit="1" customWidth="1"/>
    <col min="9491" max="9491" width="11.7109375" style="2" bestFit="1" customWidth="1"/>
    <col min="9492" max="9494" width="4" style="2" bestFit="1" customWidth="1"/>
    <col min="9495" max="9495" width="3.5703125" style="2" bestFit="1" customWidth="1"/>
    <col min="9496" max="9497" width="0" style="2" hidden="1" customWidth="1"/>
    <col min="9498" max="9498" width="12.85546875" style="2" bestFit="1" customWidth="1"/>
    <col min="9499" max="9499" width="5.140625" style="2" bestFit="1" customWidth="1"/>
    <col min="9500" max="9500" width="8.85546875" style="2" customWidth="1"/>
    <col min="9501" max="9728" width="9.140625" style="2"/>
    <col min="9729" max="9729" width="1.28515625" style="2" customWidth="1"/>
    <col min="9730" max="9730" width="43.42578125" style="2" customWidth="1"/>
    <col min="9731" max="9731" width="17.85546875" style="2" customWidth="1"/>
    <col min="9732" max="9732" width="18.5703125" style="2" customWidth="1"/>
    <col min="9733" max="9733" width="17.140625" style="2" customWidth="1"/>
    <col min="9734" max="9734" width="1" style="2" customWidth="1"/>
    <col min="9735" max="9735" width="11.42578125" style="2" bestFit="1" customWidth="1"/>
    <col min="9736" max="9737" width="0" style="2" hidden="1" customWidth="1"/>
    <col min="9738" max="9738" width="5.28515625" style="2" customWidth="1"/>
    <col min="9739" max="9741" width="0" style="2" hidden="1" customWidth="1"/>
    <col min="9742" max="9742" width="5.28515625" style="2" customWidth="1"/>
    <col min="9743" max="9745" width="0" style="2" hidden="1" customWidth="1"/>
    <col min="9746" max="9746" width="15" style="2" bestFit="1" customWidth="1"/>
    <col min="9747" max="9747" width="11.7109375" style="2" bestFit="1" customWidth="1"/>
    <col min="9748" max="9750" width="4" style="2" bestFit="1" customWidth="1"/>
    <col min="9751" max="9751" width="3.5703125" style="2" bestFit="1" customWidth="1"/>
    <col min="9752" max="9753" width="0" style="2" hidden="1" customWidth="1"/>
    <col min="9754" max="9754" width="12.85546875" style="2" bestFit="1" customWidth="1"/>
    <col min="9755" max="9755" width="5.140625" style="2" bestFit="1" customWidth="1"/>
    <col min="9756" max="9756" width="8.85546875" style="2" customWidth="1"/>
    <col min="9757" max="9984" width="9.140625" style="2"/>
    <col min="9985" max="9985" width="1.28515625" style="2" customWidth="1"/>
    <col min="9986" max="9986" width="43.42578125" style="2" customWidth="1"/>
    <col min="9987" max="9987" width="17.85546875" style="2" customWidth="1"/>
    <col min="9988" max="9988" width="18.5703125" style="2" customWidth="1"/>
    <col min="9989" max="9989" width="17.140625" style="2" customWidth="1"/>
    <col min="9990" max="9990" width="1" style="2" customWidth="1"/>
    <col min="9991" max="9991" width="11.42578125" style="2" bestFit="1" customWidth="1"/>
    <col min="9992" max="9993" width="0" style="2" hidden="1" customWidth="1"/>
    <col min="9994" max="9994" width="5.28515625" style="2" customWidth="1"/>
    <col min="9995" max="9997" width="0" style="2" hidden="1" customWidth="1"/>
    <col min="9998" max="9998" width="5.28515625" style="2" customWidth="1"/>
    <col min="9999" max="10001" width="0" style="2" hidden="1" customWidth="1"/>
    <col min="10002" max="10002" width="15" style="2" bestFit="1" customWidth="1"/>
    <col min="10003" max="10003" width="11.7109375" style="2" bestFit="1" customWidth="1"/>
    <col min="10004" max="10006" width="4" style="2" bestFit="1" customWidth="1"/>
    <col min="10007" max="10007" width="3.5703125" style="2" bestFit="1" customWidth="1"/>
    <col min="10008" max="10009" width="0" style="2" hidden="1" customWidth="1"/>
    <col min="10010" max="10010" width="12.85546875" style="2" bestFit="1" customWidth="1"/>
    <col min="10011" max="10011" width="5.140625" style="2" bestFit="1" customWidth="1"/>
    <col min="10012" max="10012" width="8.85546875" style="2" customWidth="1"/>
    <col min="10013" max="10240" width="9.140625" style="2"/>
    <col min="10241" max="10241" width="1.28515625" style="2" customWidth="1"/>
    <col min="10242" max="10242" width="43.42578125" style="2" customWidth="1"/>
    <col min="10243" max="10243" width="17.85546875" style="2" customWidth="1"/>
    <col min="10244" max="10244" width="18.5703125" style="2" customWidth="1"/>
    <col min="10245" max="10245" width="17.140625" style="2" customWidth="1"/>
    <col min="10246" max="10246" width="1" style="2" customWidth="1"/>
    <col min="10247" max="10247" width="11.42578125" style="2" bestFit="1" customWidth="1"/>
    <col min="10248" max="10249" width="0" style="2" hidden="1" customWidth="1"/>
    <col min="10250" max="10250" width="5.28515625" style="2" customWidth="1"/>
    <col min="10251" max="10253" width="0" style="2" hidden="1" customWidth="1"/>
    <col min="10254" max="10254" width="5.28515625" style="2" customWidth="1"/>
    <col min="10255" max="10257" width="0" style="2" hidden="1" customWidth="1"/>
    <col min="10258" max="10258" width="15" style="2" bestFit="1" customWidth="1"/>
    <col min="10259" max="10259" width="11.7109375" style="2" bestFit="1" customWidth="1"/>
    <col min="10260" max="10262" width="4" style="2" bestFit="1" customWidth="1"/>
    <col min="10263" max="10263" width="3.5703125" style="2" bestFit="1" customWidth="1"/>
    <col min="10264" max="10265" width="0" style="2" hidden="1" customWidth="1"/>
    <col min="10266" max="10266" width="12.85546875" style="2" bestFit="1" customWidth="1"/>
    <col min="10267" max="10267" width="5.140625" style="2" bestFit="1" customWidth="1"/>
    <col min="10268" max="10268" width="8.85546875" style="2" customWidth="1"/>
    <col min="10269" max="10496" width="9.140625" style="2"/>
    <col min="10497" max="10497" width="1.28515625" style="2" customWidth="1"/>
    <col min="10498" max="10498" width="43.42578125" style="2" customWidth="1"/>
    <col min="10499" max="10499" width="17.85546875" style="2" customWidth="1"/>
    <col min="10500" max="10500" width="18.5703125" style="2" customWidth="1"/>
    <col min="10501" max="10501" width="17.140625" style="2" customWidth="1"/>
    <col min="10502" max="10502" width="1" style="2" customWidth="1"/>
    <col min="10503" max="10503" width="11.42578125" style="2" bestFit="1" customWidth="1"/>
    <col min="10504" max="10505" width="0" style="2" hidden="1" customWidth="1"/>
    <col min="10506" max="10506" width="5.28515625" style="2" customWidth="1"/>
    <col min="10507" max="10509" width="0" style="2" hidden="1" customWidth="1"/>
    <col min="10510" max="10510" width="5.28515625" style="2" customWidth="1"/>
    <col min="10511" max="10513" width="0" style="2" hidden="1" customWidth="1"/>
    <col min="10514" max="10514" width="15" style="2" bestFit="1" customWidth="1"/>
    <col min="10515" max="10515" width="11.7109375" style="2" bestFit="1" customWidth="1"/>
    <col min="10516" max="10518" width="4" style="2" bestFit="1" customWidth="1"/>
    <col min="10519" max="10519" width="3.5703125" style="2" bestFit="1" customWidth="1"/>
    <col min="10520" max="10521" width="0" style="2" hidden="1" customWidth="1"/>
    <col min="10522" max="10522" width="12.85546875" style="2" bestFit="1" customWidth="1"/>
    <col min="10523" max="10523" width="5.140625" style="2" bestFit="1" customWidth="1"/>
    <col min="10524" max="10524" width="8.85546875" style="2" customWidth="1"/>
    <col min="10525" max="10752" width="9.140625" style="2"/>
    <col min="10753" max="10753" width="1.28515625" style="2" customWidth="1"/>
    <col min="10754" max="10754" width="43.42578125" style="2" customWidth="1"/>
    <col min="10755" max="10755" width="17.85546875" style="2" customWidth="1"/>
    <col min="10756" max="10756" width="18.5703125" style="2" customWidth="1"/>
    <col min="10757" max="10757" width="17.140625" style="2" customWidth="1"/>
    <col min="10758" max="10758" width="1" style="2" customWidth="1"/>
    <col min="10759" max="10759" width="11.42578125" style="2" bestFit="1" customWidth="1"/>
    <col min="10760" max="10761" width="0" style="2" hidden="1" customWidth="1"/>
    <col min="10762" max="10762" width="5.28515625" style="2" customWidth="1"/>
    <col min="10763" max="10765" width="0" style="2" hidden="1" customWidth="1"/>
    <col min="10766" max="10766" width="5.28515625" style="2" customWidth="1"/>
    <col min="10767" max="10769" width="0" style="2" hidden="1" customWidth="1"/>
    <col min="10770" max="10770" width="15" style="2" bestFit="1" customWidth="1"/>
    <col min="10771" max="10771" width="11.7109375" style="2" bestFit="1" customWidth="1"/>
    <col min="10772" max="10774" width="4" style="2" bestFit="1" customWidth="1"/>
    <col min="10775" max="10775" width="3.5703125" style="2" bestFit="1" customWidth="1"/>
    <col min="10776" max="10777" width="0" style="2" hidden="1" customWidth="1"/>
    <col min="10778" max="10778" width="12.85546875" style="2" bestFit="1" customWidth="1"/>
    <col min="10779" max="10779" width="5.140625" style="2" bestFit="1" customWidth="1"/>
    <col min="10780" max="10780" width="8.85546875" style="2" customWidth="1"/>
    <col min="10781" max="11008" width="9.140625" style="2"/>
    <col min="11009" max="11009" width="1.28515625" style="2" customWidth="1"/>
    <col min="11010" max="11010" width="43.42578125" style="2" customWidth="1"/>
    <col min="11011" max="11011" width="17.85546875" style="2" customWidth="1"/>
    <col min="11012" max="11012" width="18.5703125" style="2" customWidth="1"/>
    <col min="11013" max="11013" width="17.140625" style="2" customWidth="1"/>
    <col min="11014" max="11014" width="1" style="2" customWidth="1"/>
    <col min="11015" max="11015" width="11.42578125" style="2" bestFit="1" customWidth="1"/>
    <col min="11016" max="11017" width="0" style="2" hidden="1" customWidth="1"/>
    <col min="11018" max="11018" width="5.28515625" style="2" customWidth="1"/>
    <col min="11019" max="11021" width="0" style="2" hidden="1" customWidth="1"/>
    <col min="11022" max="11022" width="5.28515625" style="2" customWidth="1"/>
    <col min="11023" max="11025" width="0" style="2" hidden="1" customWidth="1"/>
    <col min="11026" max="11026" width="15" style="2" bestFit="1" customWidth="1"/>
    <col min="11027" max="11027" width="11.7109375" style="2" bestFit="1" customWidth="1"/>
    <col min="11028" max="11030" width="4" style="2" bestFit="1" customWidth="1"/>
    <col min="11031" max="11031" width="3.5703125" style="2" bestFit="1" customWidth="1"/>
    <col min="11032" max="11033" width="0" style="2" hidden="1" customWidth="1"/>
    <col min="11034" max="11034" width="12.85546875" style="2" bestFit="1" customWidth="1"/>
    <col min="11035" max="11035" width="5.140625" style="2" bestFit="1" customWidth="1"/>
    <col min="11036" max="11036" width="8.85546875" style="2" customWidth="1"/>
    <col min="11037" max="11264" width="9.140625" style="2"/>
    <col min="11265" max="11265" width="1.28515625" style="2" customWidth="1"/>
    <col min="11266" max="11266" width="43.42578125" style="2" customWidth="1"/>
    <col min="11267" max="11267" width="17.85546875" style="2" customWidth="1"/>
    <col min="11268" max="11268" width="18.5703125" style="2" customWidth="1"/>
    <col min="11269" max="11269" width="17.140625" style="2" customWidth="1"/>
    <col min="11270" max="11270" width="1" style="2" customWidth="1"/>
    <col min="11271" max="11271" width="11.42578125" style="2" bestFit="1" customWidth="1"/>
    <col min="11272" max="11273" width="0" style="2" hidden="1" customWidth="1"/>
    <col min="11274" max="11274" width="5.28515625" style="2" customWidth="1"/>
    <col min="11275" max="11277" width="0" style="2" hidden="1" customWidth="1"/>
    <col min="11278" max="11278" width="5.28515625" style="2" customWidth="1"/>
    <col min="11279" max="11281" width="0" style="2" hidden="1" customWidth="1"/>
    <col min="11282" max="11282" width="15" style="2" bestFit="1" customWidth="1"/>
    <col min="11283" max="11283" width="11.7109375" style="2" bestFit="1" customWidth="1"/>
    <col min="11284" max="11286" width="4" style="2" bestFit="1" customWidth="1"/>
    <col min="11287" max="11287" width="3.5703125" style="2" bestFit="1" customWidth="1"/>
    <col min="11288" max="11289" width="0" style="2" hidden="1" customWidth="1"/>
    <col min="11290" max="11290" width="12.85546875" style="2" bestFit="1" customWidth="1"/>
    <col min="11291" max="11291" width="5.140625" style="2" bestFit="1" customWidth="1"/>
    <col min="11292" max="11292" width="8.85546875" style="2" customWidth="1"/>
    <col min="11293" max="11520" width="9.140625" style="2"/>
    <col min="11521" max="11521" width="1.28515625" style="2" customWidth="1"/>
    <col min="11522" max="11522" width="43.42578125" style="2" customWidth="1"/>
    <col min="11523" max="11523" width="17.85546875" style="2" customWidth="1"/>
    <col min="11524" max="11524" width="18.5703125" style="2" customWidth="1"/>
    <col min="11525" max="11525" width="17.140625" style="2" customWidth="1"/>
    <col min="11526" max="11526" width="1" style="2" customWidth="1"/>
    <col min="11527" max="11527" width="11.42578125" style="2" bestFit="1" customWidth="1"/>
    <col min="11528" max="11529" width="0" style="2" hidden="1" customWidth="1"/>
    <col min="11530" max="11530" width="5.28515625" style="2" customWidth="1"/>
    <col min="11531" max="11533" width="0" style="2" hidden="1" customWidth="1"/>
    <col min="11534" max="11534" width="5.28515625" style="2" customWidth="1"/>
    <col min="11535" max="11537" width="0" style="2" hidden="1" customWidth="1"/>
    <col min="11538" max="11538" width="15" style="2" bestFit="1" customWidth="1"/>
    <col min="11539" max="11539" width="11.7109375" style="2" bestFit="1" customWidth="1"/>
    <col min="11540" max="11542" width="4" style="2" bestFit="1" customWidth="1"/>
    <col min="11543" max="11543" width="3.5703125" style="2" bestFit="1" customWidth="1"/>
    <col min="11544" max="11545" width="0" style="2" hidden="1" customWidth="1"/>
    <col min="11546" max="11546" width="12.85546875" style="2" bestFit="1" customWidth="1"/>
    <col min="11547" max="11547" width="5.140625" style="2" bestFit="1" customWidth="1"/>
    <col min="11548" max="11548" width="8.85546875" style="2" customWidth="1"/>
    <col min="11549" max="11776" width="9.140625" style="2"/>
    <col min="11777" max="11777" width="1.28515625" style="2" customWidth="1"/>
    <col min="11778" max="11778" width="43.42578125" style="2" customWidth="1"/>
    <col min="11779" max="11779" width="17.85546875" style="2" customWidth="1"/>
    <col min="11780" max="11780" width="18.5703125" style="2" customWidth="1"/>
    <col min="11781" max="11781" width="17.140625" style="2" customWidth="1"/>
    <col min="11782" max="11782" width="1" style="2" customWidth="1"/>
    <col min="11783" max="11783" width="11.42578125" style="2" bestFit="1" customWidth="1"/>
    <col min="11784" max="11785" width="0" style="2" hidden="1" customWidth="1"/>
    <col min="11786" max="11786" width="5.28515625" style="2" customWidth="1"/>
    <col min="11787" max="11789" width="0" style="2" hidden="1" customWidth="1"/>
    <col min="11790" max="11790" width="5.28515625" style="2" customWidth="1"/>
    <col min="11791" max="11793" width="0" style="2" hidden="1" customWidth="1"/>
    <col min="11794" max="11794" width="15" style="2" bestFit="1" customWidth="1"/>
    <col min="11795" max="11795" width="11.7109375" style="2" bestFit="1" customWidth="1"/>
    <col min="11796" max="11798" width="4" style="2" bestFit="1" customWidth="1"/>
    <col min="11799" max="11799" width="3.5703125" style="2" bestFit="1" customWidth="1"/>
    <col min="11800" max="11801" width="0" style="2" hidden="1" customWidth="1"/>
    <col min="11802" max="11802" width="12.85546875" style="2" bestFit="1" customWidth="1"/>
    <col min="11803" max="11803" width="5.140625" style="2" bestFit="1" customWidth="1"/>
    <col min="11804" max="11804" width="8.85546875" style="2" customWidth="1"/>
    <col min="11805" max="12032" width="9.140625" style="2"/>
    <col min="12033" max="12033" width="1.28515625" style="2" customWidth="1"/>
    <col min="12034" max="12034" width="43.42578125" style="2" customWidth="1"/>
    <col min="12035" max="12035" width="17.85546875" style="2" customWidth="1"/>
    <col min="12036" max="12036" width="18.5703125" style="2" customWidth="1"/>
    <col min="12037" max="12037" width="17.140625" style="2" customWidth="1"/>
    <col min="12038" max="12038" width="1" style="2" customWidth="1"/>
    <col min="12039" max="12039" width="11.42578125" style="2" bestFit="1" customWidth="1"/>
    <col min="12040" max="12041" width="0" style="2" hidden="1" customWidth="1"/>
    <col min="12042" max="12042" width="5.28515625" style="2" customWidth="1"/>
    <col min="12043" max="12045" width="0" style="2" hidden="1" customWidth="1"/>
    <col min="12046" max="12046" width="5.28515625" style="2" customWidth="1"/>
    <col min="12047" max="12049" width="0" style="2" hidden="1" customWidth="1"/>
    <col min="12050" max="12050" width="15" style="2" bestFit="1" customWidth="1"/>
    <col min="12051" max="12051" width="11.7109375" style="2" bestFit="1" customWidth="1"/>
    <col min="12052" max="12054" width="4" style="2" bestFit="1" customWidth="1"/>
    <col min="12055" max="12055" width="3.5703125" style="2" bestFit="1" customWidth="1"/>
    <col min="12056" max="12057" width="0" style="2" hidden="1" customWidth="1"/>
    <col min="12058" max="12058" width="12.85546875" style="2" bestFit="1" customWidth="1"/>
    <col min="12059" max="12059" width="5.140625" style="2" bestFit="1" customWidth="1"/>
    <col min="12060" max="12060" width="8.85546875" style="2" customWidth="1"/>
    <col min="12061" max="12288" width="9.140625" style="2"/>
    <col min="12289" max="12289" width="1.28515625" style="2" customWidth="1"/>
    <col min="12290" max="12290" width="43.42578125" style="2" customWidth="1"/>
    <col min="12291" max="12291" width="17.85546875" style="2" customWidth="1"/>
    <col min="12292" max="12292" width="18.5703125" style="2" customWidth="1"/>
    <col min="12293" max="12293" width="17.140625" style="2" customWidth="1"/>
    <col min="12294" max="12294" width="1" style="2" customWidth="1"/>
    <col min="12295" max="12295" width="11.42578125" style="2" bestFit="1" customWidth="1"/>
    <col min="12296" max="12297" width="0" style="2" hidden="1" customWidth="1"/>
    <col min="12298" max="12298" width="5.28515625" style="2" customWidth="1"/>
    <col min="12299" max="12301" width="0" style="2" hidden="1" customWidth="1"/>
    <col min="12302" max="12302" width="5.28515625" style="2" customWidth="1"/>
    <col min="12303" max="12305" width="0" style="2" hidden="1" customWidth="1"/>
    <col min="12306" max="12306" width="15" style="2" bestFit="1" customWidth="1"/>
    <col min="12307" max="12307" width="11.7109375" style="2" bestFit="1" customWidth="1"/>
    <col min="12308" max="12310" width="4" style="2" bestFit="1" customWidth="1"/>
    <col min="12311" max="12311" width="3.5703125" style="2" bestFit="1" customWidth="1"/>
    <col min="12312" max="12313" width="0" style="2" hidden="1" customWidth="1"/>
    <col min="12314" max="12314" width="12.85546875" style="2" bestFit="1" customWidth="1"/>
    <col min="12315" max="12315" width="5.140625" style="2" bestFit="1" customWidth="1"/>
    <col min="12316" max="12316" width="8.85546875" style="2" customWidth="1"/>
    <col min="12317" max="12544" width="9.140625" style="2"/>
    <col min="12545" max="12545" width="1.28515625" style="2" customWidth="1"/>
    <col min="12546" max="12546" width="43.42578125" style="2" customWidth="1"/>
    <col min="12547" max="12547" width="17.85546875" style="2" customWidth="1"/>
    <col min="12548" max="12548" width="18.5703125" style="2" customWidth="1"/>
    <col min="12549" max="12549" width="17.140625" style="2" customWidth="1"/>
    <col min="12550" max="12550" width="1" style="2" customWidth="1"/>
    <col min="12551" max="12551" width="11.42578125" style="2" bestFit="1" customWidth="1"/>
    <col min="12552" max="12553" width="0" style="2" hidden="1" customWidth="1"/>
    <col min="12554" max="12554" width="5.28515625" style="2" customWidth="1"/>
    <col min="12555" max="12557" width="0" style="2" hidden="1" customWidth="1"/>
    <col min="12558" max="12558" width="5.28515625" style="2" customWidth="1"/>
    <col min="12559" max="12561" width="0" style="2" hidden="1" customWidth="1"/>
    <col min="12562" max="12562" width="15" style="2" bestFit="1" customWidth="1"/>
    <col min="12563" max="12563" width="11.7109375" style="2" bestFit="1" customWidth="1"/>
    <col min="12564" max="12566" width="4" style="2" bestFit="1" customWidth="1"/>
    <col min="12567" max="12567" width="3.5703125" style="2" bestFit="1" customWidth="1"/>
    <col min="12568" max="12569" width="0" style="2" hidden="1" customWidth="1"/>
    <col min="12570" max="12570" width="12.85546875" style="2" bestFit="1" customWidth="1"/>
    <col min="12571" max="12571" width="5.140625" style="2" bestFit="1" customWidth="1"/>
    <col min="12572" max="12572" width="8.85546875" style="2" customWidth="1"/>
    <col min="12573" max="12800" width="9.140625" style="2"/>
    <col min="12801" max="12801" width="1.28515625" style="2" customWidth="1"/>
    <col min="12802" max="12802" width="43.42578125" style="2" customWidth="1"/>
    <col min="12803" max="12803" width="17.85546875" style="2" customWidth="1"/>
    <col min="12804" max="12804" width="18.5703125" style="2" customWidth="1"/>
    <col min="12805" max="12805" width="17.140625" style="2" customWidth="1"/>
    <col min="12806" max="12806" width="1" style="2" customWidth="1"/>
    <col min="12807" max="12807" width="11.42578125" style="2" bestFit="1" customWidth="1"/>
    <col min="12808" max="12809" width="0" style="2" hidden="1" customWidth="1"/>
    <col min="12810" max="12810" width="5.28515625" style="2" customWidth="1"/>
    <col min="12811" max="12813" width="0" style="2" hidden="1" customWidth="1"/>
    <col min="12814" max="12814" width="5.28515625" style="2" customWidth="1"/>
    <col min="12815" max="12817" width="0" style="2" hidden="1" customWidth="1"/>
    <col min="12818" max="12818" width="15" style="2" bestFit="1" customWidth="1"/>
    <col min="12819" max="12819" width="11.7109375" style="2" bestFit="1" customWidth="1"/>
    <col min="12820" max="12822" width="4" style="2" bestFit="1" customWidth="1"/>
    <col min="12823" max="12823" width="3.5703125" style="2" bestFit="1" customWidth="1"/>
    <col min="12824" max="12825" width="0" style="2" hidden="1" customWidth="1"/>
    <col min="12826" max="12826" width="12.85546875" style="2" bestFit="1" customWidth="1"/>
    <col min="12827" max="12827" width="5.140625" style="2" bestFit="1" customWidth="1"/>
    <col min="12828" max="12828" width="8.85546875" style="2" customWidth="1"/>
    <col min="12829" max="13056" width="9.140625" style="2"/>
    <col min="13057" max="13057" width="1.28515625" style="2" customWidth="1"/>
    <col min="13058" max="13058" width="43.42578125" style="2" customWidth="1"/>
    <col min="13059" max="13059" width="17.85546875" style="2" customWidth="1"/>
    <col min="13060" max="13060" width="18.5703125" style="2" customWidth="1"/>
    <col min="13061" max="13061" width="17.140625" style="2" customWidth="1"/>
    <col min="13062" max="13062" width="1" style="2" customWidth="1"/>
    <col min="13063" max="13063" width="11.42578125" style="2" bestFit="1" customWidth="1"/>
    <col min="13064" max="13065" width="0" style="2" hidden="1" customWidth="1"/>
    <col min="13066" max="13066" width="5.28515625" style="2" customWidth="1"/>
    <col min="13067" max="13069" width="0" style="2" hidden="1" customWidth="1"/>
    <col min="13070" max="13070" width="5.28515625" style="2" customWidth="1"/>
    <col min="13071" max="13073" width="0" style="2" hidden="1" customWidth="1"/>
    <col min="13074" max="13074" width="15" style="2" bestFit="1" customWidth="1"/>
    <col min="13075" max="13075" width="11.7109375" style="2" bestFit="1" customWidth="1"/>
    <col min="13076" max="13078" width="4" style="2" bestFit="1" customWidth="1"/>
    <col min="13079" max="13079" width="3.5703125" style="2" bestFit="1" customWidth="1"/>
    <col min="13080" max="13081" width="0" style="2" hidden="1" customWidth="1"/>
    <col min="13082" max="13082" width="12.85546875" style="2" bestFit="1" customWidth="1"/>
    <col min="13083" max="13083" width="5.140625" style="2" bestFit="1" customWidth="1"/>
    <col min="13084" max="13084" width="8.85546875" style="2" customWidth="1"/>
    <col min="13085" max="13312" width="9.140625" style="2"/>
    <col min="13313" max="13313" width="1.28515625" style="2" customWidth="1"/>
    <col min="13314" max="13314" width="43.42578125" style="2" customWidth="1"/>
    <col min="13315" max="13315" width="17.85546875" style="2" customWidth="1"/>
    <col min="13316" max="13316" width="18.5703125" style="2" customWidth="1"/>
    <col min="13317" max="13317" width="17.140625" style="2" customWidth="1"/>
    <col min="13318" max="13318" width="1" style="2" customWidth="1"/>
    <col min="13319" max="13319" width="11.42578125" style="2" bestFit="1" customWidth="1"/>
    <col min="13320" max="13321" width="0" style="2" hidden="1" customWidth="1"/>
    <col min="13322" max="13322" width="5.28515625" style="2" customWidth="1"/>
    <col min="13323" max="13325" width="0" style="2" hidden="1" customWidth="1"/>
    <col min="13326" max="13326" width="5.28515625" style="2" customWidth="1"/>
    <col min="13327" max="13329" width="0" style="2" hidden="1" customWidth="1"/>
    <col min="13330" max="13330" width="15" style="2" bestFit="1" customWidth="1"/>
    <col min="13331" max="13331" width="11.7109375" style="2" bestFit="1" customWidth="1"/>
    <col min="13332" max="13334" width="4" style="2" bestFit="1" customWidth="1"/>
    <col min="13335" max="13335" width="3.5703125" style="2" bestFit="1" customWidth="1"/>
    <col min="13336" max="13337" width="0" style="2" hidden="1" customWidth="1"/>
    <col min="13338" max="13338" width="12.85546875" style="2" bestFit="1" customWidth="1"/>
    <col min="13339" max="13339" width="5.140625" style="2" bestFit="1" customWidth="1"/>
    <col min="13340" max="13340" width="8.85546875" style="2" customWidth="1"/>
    <col min="13341" max="13568" width="9.140625" style="2"/>
    <col min="13569" max="13569" width="1.28515625" style="2" customWidth="1"/>
    <col min="13570" max="13570" width="43.42578125" style="2" customWidth="1"/>
    <col min="13571" max="13571" width="17.85546875" style="2" customWidth="1"/>
    <col min="13572" max="13572" width="18.5703125" style="2" customWidth="1"/>
    <col min="13573" max="13573" width="17.140625" style="2" customWidth="1"/>
    <col min="13574" max="13574" width="1" style="2" customWidth="1"/>
    <col min="13575" max="13575" width="11.42578125" style="2" bestFit="1" customWidth="1"/>
    <col min="13576" max="13577" width="0" style="2" hidden="1" customWidth="1"/>
    <col min="13578" max="13578" width="5.28515625" style="2" customWidth="1"/>
    <col min="13579" max="13581" width="0" style="2" hidden="1" customWidth="1"/>
    <col min="13582" max="13582" width="5.28515625" style="2" customWidth="1"/>
    <col min="13583" max="13585" width="0" style="2" hidden="1" customWidth="1"/>
    <col min="13586" max="13586" width="15" style="2" bestFit="1" customWidth="1"/>
    <col min="13587" max="13587" width="11.7109375" style="2" bestFit="1" customWidth="1"/>
    <col min="13588" max="13590" width="4" style="2" bestFit="1" customWidth="1"/>
    <col min="13591" max="13591" width="3.5703125" style="2" bestFit="1" customWidth="1"/>
    <col min="13592" max="13593" width="0" style="2" hidden="1" customWidth="1"/>
    <col min="13594" max="13594" width="12.85546875" style="2" bestFit="1" customWidth="1"/>
    <col min="13595" max="13595" width="5.140625" style="2" bestFit="1" customWidth="1"/>
    <col min="13596" max="13596" width="8.85546875" style="2" customWidth="1"/>
    <col min="13597" max="13824" width="9.140625" style="2"/>
    <col min="13825" max="13825" width="1.28515625" style="2" customWidth="1"/>
    <col min="13826" max="13826" width="43.42578125" style="2" customWidth="1"/>
    <col min="13827" max="13827" width="17.85546875" style="2" customWidth="1"/>
    <col min="13828" max="13828" width="18.5703125" style="2" customWidth="1"/>
    <col min="13829" max="13829" width="17.140625" style="2" customWidth="1"/>
    <col min="13830" max="13830" width="1" style="2" customWidth="1"/>
    <col min="13831" max="13831" width="11.42578125" style="2" bestFit="1" customWidth="1"/>
    <col min="13832" max="13833" width="0" style="2" hidden="1" customWidth="1"/>
    <col min="13834" max="13834" width="5.28515625" style="2" customWidth="1"/>
    <col min="13835" max="13837" width="0" style="2" hidden="1" customWidth="1"/>
    <col min="13838" max="13838" width="5.28515625" style="2" customWidth="1"/>
    <col min="13839" max="13841" width="0" style="2" hidden="1" customWidth="1"/>
    <col min="13842" max="13842" width="15" style="2" bestFit="1" customWidth="1"/>
    <col min="13843" max="13843" width="11.7109375" style="2" bestFit="1" customWidth="1"/>
    <col min="13844" max="13846" width="4" style="2" bestFit="1" customWidth="1"/>
    <col min="13847" max="13847" width="3.5703125" style="2" bestFit="1" customWidth="1"/>
    <col min="13848" max="13849" width="0" style="2" hidden="1" customWidth="1"/>
    <col min="13850" max="13850" width="12.85546875" style="2" bestFit="1" customWidth="1"/>
    <col min="13851" max="13851" width="5.140625" style="2" bestFit="1" customWidth="1"/>
    <col min="13852" max="13852" width="8.85546875" style="2" customWidth="1"/>
    <col min="13853" max="14080" width="9.140625" style="2"/>
    <col min="14081" max="14081" width="1.28515625" style="2" customWidth="1"/>
    <col min="14082" max="14082" width="43.42578125" style="2" customWidth="1"/>
    <col min="14083" max="14083" width="17.85546875" style="2" customWidth="1"/>
    <col min="14084" max="14084" width="18.5703125" style="2" customWidth="1"/>
    <col min="14085" max="14085" width="17.140625" style="2" customWidth="1"/>
    <col min="14086" max="14086" width="1" style="2" customWidth="1"/>
    <col min="14087" max="14087" width="11.42578125" style="2" bestFit="1" customWidth="1"/>
    <col min="14088" max="14089" width="0" style="2" hidden="1" customWidth="1"/>
    <col min="14090" max="14090" width="5.28515625" style="2" customWidth="1"/>
    <col min="14091" max="14093" width="0" style="2" hidden="1" customWidth="1"/>
    <col min="14094" max="14094" width="5.28515625" style="2" customWidth="1"/>
    <col min="14095" max="14097" width="0" style="2" hidden="1" customWidth="1"/>
    <col min="14098" max="14098" width="15" style="2" bestFit="1" customWidth="1"/>
    <col min="14099" max="14099" width="11.7109375" style="2" bestFit="1" customWidth="1"/>
    <col min="14100" max="14102" width="4" style="2" bestFit="1" customWidth="1"/>
    <col min="14103" max="14103" width="3.5703125" style="2" bestFit="1" customWidth="1"/>
    <col min="14104" max="14105" width="0" style="2" hidden="1" customWidth="1"/>
    <col min="14106" max="14106" width="12.85546875" style="2" bestFit="1" customWidth="1"/>
    <col min="14107" max="14107" width="5.140625" style="2" bestFit="1" customWidth="1"/>
    <col min="14108" max="14108" width="8.85546875" style="2" customWidth="1"/>
    <col min="14109" max="14336" width="9.140625" style="2"/>
    <col min="14337" max="14337" width="1.28515625" style="2" customWidth="1"/>
    <col min="14338" max="14338" width="43.42578125" style="2" customWidth="1"/>
    <col min="14339" max="14339" width="17.85546875" style="2" customWidth="1"/>
    <col min="14340" max="14340" width="18.5703125" style="2" customWidth="1"/>
    <col min="14341" max="14341" width="17.140625" style="2" customWidth="1"/>
    <col min="14342" max="14342" width="1" style="2" customWidth="1"/>
    <col min="14343" max="14343" width="11.42578125" style="2" bestFit="1" customWidth="1"/>
    <col min="14344" max="14345" width="0" style="2" hidden="1" customWidth="1"/>
    <col min="14346" max="14346" width="5.28515625" style="2" customWidth="1"/>
    <col min="14347" max="14349" width="0" style="2" hidden="1" customWidth="1"/>
    <col min="14350" max="14350" width="5.28515625" style="2" customWidth="1"/>
    <col min="14351" max="14353" width="0" style="2" hidden="1" customWidth="1"/>
    <col min="14354" max="14354" width="15" style="2" bestFit="1" customWidth="1"/>
    <col min="14355" max="14355" width="11.7109375" style="2" bestFit="1" customWidth="1"/>
    <col min="14356" max="14358" width="4" style="2" bestFit="1" customWidth="1"/>
    <col min="14359" max="14359" width="3.5703125" style="2" bestFit="1" customWidth="1"/>
    <col min="14360" max="14361" width="0" style="2" hidden="1" customWidth="1"/>
    <col min="14362" max="14362" width="12.85546875" style="2" bestFit="1" customWidth="1"/>
    <col min="14363" max="14363" width="5.140625" style="2" bestFit="1" customWidth="1"/>
    <col min="14364" max="14364" width="8.85546875" style="2" customWidth="1"/>
    <col min="14365" max="14592" width="9.140625" style="2"/>
    <col min="14593" max="14593" width="1.28515625" style="2" customWidth="1"/>
    <col min="14594" max="14594" width="43.42578125" style="2" customWidth="1"/>
    <col min="14595" max="14595" width="17.85546875" style="2" customWidth="1"/>
    <col min="14596" max="14596" width="18.5703125" style="2" customWidth="1"/>
    <col min="14597" max="14597" width="17.140625" style="2" customWidth="1"/>
    <col min="14598" max="14598" width="1" style="2" customWidth="1"/>
    <col min="14599" max="14599" width="11.42578125" style="2" bestFit="1" customWidth="1"/>
    <col min="14600" max="14601" width="0" style="2" hidden="1" customWidth="1"/>
    <col min="14602" max="14602" width="5.28515625" style="2" customWidth="1"/>
    <col min="14603" max="14605" width="0" style="2" hidden="1" customWidth="1"/>
    <col min="14606" max="14606" width="5.28515625" style="2" customWidth="1"/>
    <col min="14607" max="14609" width="0" style="2" hidden="1" customWidth="1"/>
    <col min="14610" max="14610" width="15" style="2" bestFit="1" customWidth="1"/>
    <col min="14611" max="14611" width="11.7109375" style="2" bestFit="1" customWidth="1"/>
    <col min="14612" max="14614" width="4" style="2" bestFit="1" customWidth="1"/>
    <col min="14615" max="14615" width="3.5703125" style="2" bestFit="1" customWidth="1"/>
    <col min="14616" max="14617" width="0" style="2" hidden="1" customWidth="1"/>
    <col min="14618" max="14618" width="12.85546875" style="2" bestFit="1" customWidth="1"/>
    <col min="14619" max="14619" width="5.140625" style="2" bestFit="1" customWidth="1"/>
    <col min="14620" max="14620" width="8.85546875" style="2" customWidth="1"/>
    <col min="14621" max="14848" width="9.140625" style="2"/>
    <col min="14849" max="14849" width="1.28515625" style="2" customWidth="1"/>
    <col min="14850" max="14850" width="43.42578125" style="2" customWidth="1"/>
    <col min="14851" max="14851" width="17.85546875" style="2" customWidth="1"/>
    <col min="14852" max="14852" width="18.5703125" style="2" customWidth="1"/>
    <col min="14853" max="14853" width="17.140625" style="2" customWidth="1"/>
    <col min="14854" max="14854" width="1" style="2" customWidth="1"/>
    <col min="14855" max="14855" width="11.42578125" style="2" bestFit="1" customWidth="1"/>
    <col min="14856" max="14857" width="0" style="2" hidden="1" customWidth="1"/>
    <col min="14858" max="14858" width="5.28515625" style="2" customWidth="1"/>
    <col min="14859" max="14861" width="0" style="2" hidden="1" customWidth="1"/>
    <col min="14862" max="14862" width="5.28515625" style="2" customWidth="1"/>
    <col min="14863" max="14865" width="0" style="2" hidden="1" customWidth="1"/>
    <col min="14866" max="14866" width="15" style="2" bestFit="1" customWidth="1"/>
    <col min="14867" max="14867" width="11.7109375" style="2" bestFit="1" customWidth="1"/>
    <col min="14868" max="14870" width="4" style="2" bestFit="1" customWidth="1"/>
    <col min="14871" max="14871" width="3.5703125" style="2" bestFit="1" customWidth="1"/>
    <col min="14872" max="14873" width="0" style="2" hidden="1" customWidth="1"/>
    <col min="14874" max="14874" width="12.85546875" style="2" bestFit="1" customWidth="1"/>
    <col min="14875" max="14875" width="5.140625" style="2" bestFit="1" customWidth="1"/>
    <col min="14876" max="14876" width="8.85546875" style="2" customWidth="1"/>
    <col min="14877" max="15104" width="9.140625" style="2"/>
    <col min="15105" max="15105" width="1.28515625" style="2" customWidth="1"/>
    <col min="15106" max="15106" width="43.42578125" style="2" customWidth="1"/>
    <col min="15107" max="15107" width="17.85546875" style="2" customWidth="1"/>
    <col min="15108" max="15108" width="18.5703125" style="2" customWidth="1"/>
    <col min="15109" max="15109" width="17.140625" style="2" customWidth="1"/>
    <col min="15110" max="15110" width="1" style="2" customWidth="1"/>
    <col min="15111" max="15111" width="11.42578125" style="2" bestFit="1" customWidth="1"/>
    <col min="15112" max="15113" width="0" style="2" hidden="1" customWidth="1"/>
    <col min="15114" max="15114" width="5.28515625" style="2" customWidth="1"/>
    <col min="15115" max="15117" width="0" style="2" hidden="1" customWidth="1"/>
    <col min="15118" max="15118" width="5.28515625" style="2" customWidth="1"/>
    <col min="15119" max="15121" width="0" style="2" hidden="1" customWidth="1"/>
    <col min="15122" max="15122" width="15" style="2" bestFit="1" customWidth="1"/>
    <col min="15123" max="15123" width="11.7109375" style="2" bestFit="1" customWidth="1"/>
    <col min="15124" max="15126" width="4" style="2" bestFit="1" customWidth="1"/>
    <col min="15127" max="15127" width="3.5703125" style="2" bestFit="1" customWidth="1"/>
    <col min="15128" max="15129" width="0" style="2" hidden="1" customWidth="1"/>
    <col min="15130" max="15130" width="12.85546875" style="2" bestFit="1" customWidth="1"/>
    <col min="15131" max="15131" width="5.140625" style="2" bestFit="1" customWidth="1"/>
    <col min="15132" max="15132" width="8.85546875" style="2" customWidth="1"/>
    <col min="15133" max="15360" width="9.140625" style="2"/>
    <col min="15361" max="15361" width="1.28515625" style="2" customWidth="1"/>
    <col min="15362" max="15362" width="43.42578125" style="2" customWidth="1"/>
    <col min="15363" max="15363" width="17.85546875" style="2" customWidth="1"/>
    <col min="15364" max="15364" width="18.5703125" style="2" customWidth="1"/>
    <col min="15365" max="15365" width="17.140625" style="2" customWidth="1"/>
    <col min="15366" max="15366" width="1" style="2" customWidth="1"/>
    <col min="15367" max="15367" width="11.42578125" style="2" bestFit="1" customWidth="1"/>
    <col min="15368" max="15369" width="0" style="2" hidden="1" customWidth="1"/>
    <col min="15370" max="15370" width="5.28515625" style="2" customWidth="1"/>
    <col min="15371" max="15373" width="0" style="2" hidden="1" customWidth="1"/>
    <col min="15374" max="15374" width="5.28515625" style="2" customWidth="1"/>
    <col min="15375" max="15377" width="0" style="2" hidden="1" customWidth="1"/>
    <col min="15378" max="15378" width="15" style="2" bestFit="1" customWidth="1"/>
    <col min="15379" max="15379" width="11.7109375" style="2" bestFit="1" customWidth="1"/>
    <col min="15380" max="15382" width="4" style="2" bestFit="1" customWidth="1"/>
    <col min="15383" max="15383" width="3.5703125" style="2" bestFit="1" customWidth="1"/>
    <col min="15384" max="15385" width="0" style="2" hidden="1" customWidth="1"/>
    <col min="15386" max="15386" width="12.85546875" style="2" bestFit="1" customWidth="1"/>
    <col min="15387" max="15387" width="5.140625" style="2" bestFit="1" customWidth="1"/>
    <col min="15388" max="15388" width="8.85546875" style="2" customWidth="1"/>
    <col min="15389" max="15616" width="9.140625" style="2"/>
    <col min="15617" max="15617" width="1.28515625" style="2" customWidth="1"/>
    <col min="15618" max="15618" width="43.42578125" style="2" customWidth="1"/>
    <col min="15619" max="15619" width="17.85546875" style="2" customWidth="1"/>
    <col min="15620" max="15620" width="18.5703125" style="2" customWidth="1"/>
    <col min="15621" max="15621" width="17.140625" style="2" customWidth="1"/>
    <col min="15622" max="15622" width="1" style="2" customWidth="1"/>
    <col min="15623" max="15623" width="11.42578125" style="2" bestFit="1" customWidth="1"/>
    <col min="15624" max="15625" width="0" style="2" hidden="1" customWidth="1"/>
    <col min="15626" max="15626" width="5.28515625" style="2" customWidth="1"/>
    <col min="15627" max="15629" width="0" style="2" hidden="1" customWidth="1"/>
    <col min="15630" max="15630" width="5.28515625" style="2" customWidth="1"/>
    <col min="15631" max="15633" width="0" style="2" hidden="1" customWidth="1"/>
    <col min="15634" max="15634" width="15" style="2" bestFit="1" customWidth="1"/>
    <col min="15635" max="15635" width="11.7109375" style="2" bestFit="1" customWidth="1"/>
    <col min="15636" max="15638" width="4" style="2" bestFit="1" customWidth="1"/>
    <col min="15639" max="15639" width="3.5703125" style="2" bestFit="1" customWidth="1"/>
    <col min="15640" max="15641" width="0" style="2" hidden="1" customWidth="1"/>
    <col min="15642" max="15642" width="12.85546875" style="2" bestFit="1" customWidth="1"/>
    <col min="15643" max="15643" width="5.140625" style="2" bestFit="1" customWidth="1"/>
    <col min="15644" max="15644" width="8.85546875" style="2" customWidth="1"/>
    <col min="15645" max="15872" width="9.140625" style="2"/>
    <col min="15873" max="15873" width="1.28515625" style="2" customWidth="1"/>
    <col min="15874" max="15874" width="43.42578125" style="2" customWidth="1"/>
    <col min="15875" max="15875" width="17.85546875" style="2" customWidth="1"/>
    <col min="15876" max="15876" width="18.5703125" style="2" customWidth="1"/>
    <col min="15877" max="15877" width="17.140625" style="2" customWidth="1"/>
    <col min="15878" max="15878" width="1" style="2" customWidth="1"/>
    <col min="15879" max="15879" width="11.42578125" style="2" bestFit="1" customWidth="1"/>
    <col min="15880" max="15881" width="0" style="2" hidden="1" customWidth="1"/>
    <col min="15882" max="15882" width="5.28515625" style="2" customWidth="1"/>
    <col min="15883" max="15885" width="0" style="2" hidden="1" customWidth="1"/>
    <col min="15886" max="15886" width="5.28515625" style="2" customWidth="1"/>
    <col min="15887" max="15889" width="0" style="2" hidden="1" customWidth="1"/>
    <col min="15890" max="15890" width="15" style="2" bestFit="1" customWidth="1"/>
    <col min="15891" max="15891" width="11.7109375" style="2" bestFit="1" customWidth="1"/>
    <col min="15892" max="15894" width="4" style="2" bestFit="1" customWidth="1"/>
    <col min="15895" max="15895" width="3.5703125" style="2" bestFit="1" customWidth="1"/>
    <col min="15896" max="15897" width="0" style="2" hidden="1" customWidth="1"/>
    <col min="15898" max="15898" width="12.85546875" style="2" bestFit="1" customWidth="1"/>
    <col min="15899" max="15899" width="5.140625" style="2" bestFit="1" customWidth="1"/>
    <col min="15900" max="15900" width="8.85546875" style="2" customWidth="1"/>
    <col min="15901" max="16128" width="9.140625" style="2"/>
    <col min="16129" max="16129" width="1.28515625" style="2" customWidth="1"/>
    <col min="16130" max="16130" width="43.42578125" style="2" customWidth="1"/>
    <col min="16131" max="16131" width="17.85546875" style="2" customWidth="1"/>
    <col min="16132" max="16132" width="18.5703125" style="2" customWidth="1"/>
    <col min="16133" max="16133" width="17.140625" style="2" customWidth="1"/>
    <col min="16134" max="16134" width="1" style="2" customWidth="1"/>
    <col min="16135" max="16135" width="11.42578125" style="2" bestFit="1" customWidth="1"/>
    <col min="16136" max="16137" width="0" style="2" hidden="1" customWidth="1"/>
    <col min="16138" max="16138" width="5.28515625" style="2" customWidth="1"/>
    <col min="16139" max="16141" width="0" style="2" hidden="1" customWidth="1"/>
    <col min="16142" max="16142" width="5.28515625" style="2" customWidth="1"/>
    <col min="16143" max="16145" width="0" style="2" hidden="1" customWidth="1"/>
    <col min="16146" max="16146" width="15" style="2" bestFit="1" customWidth="1"/>
    <col min="16147" max="16147" width="11.7109375" style="2" bestFit="1" customWidth="1"/>
    <col min="16148" max="16150" width="4" style="2" bestFit="1" customWidth="1"/>
    <col min="16151" max="16151" width="3.5703125" style="2" bestFit="1" customWidth="1"/>
    <col min="16152" max="16153" width="0" style="2" hidden="1" customWidth="1"/>
    <col min="16154" max="16154" width="12.85546875" style="2" bestFit="1" customWidth="1"/>
    <col min="16155" max="16155" width="5.140625" style="2" bestFit="1" customWidth="1"/>
    <col min="16156" max="16156" width="8.85546875" style="2" customWidth="1"/>
    <col min="16157" max="16384" width="9.140625" style="2"/>
  </cols>
  <sheetData>
    <row r="4" spans="1:10" x14ac:dyDescent="0.25">
      <c r="A4" s="1"/>
      <c r="B4" s="1"/>
      <c r="C4" s="1"/>
      <c r="D4" s="1"/>
      <c r="E4" s="1"/>
    </row>
    <row r="5" spans="1:10" x14ac:dyDescent="0.25">
      <c r="A5" s="5"/>
      <c r="B5" s="5"/>
      <c r="C5" s="5"/>
      <c r="D5" s="6"/>
      <c r="E5" s="5"/>
    </row>
    <row r="6" spans="1:10" ht="31.5" customHeight="1" x14ac:dyDescent="0.25">
      <c r="B6" s="7" t="s">
        <v>0</v>
      </c>
      <c r="C6" s="7"/>
      <c r="D6" s="7"/>
      <c r="E6" s="7"/>
    </row>
    <row r="7" spans="1:10" x14ac:dyDescent="0.25">
      <c r="B7" s="8" t="s">
        <v>1</v>
      </c>
    </row>
    <row r="8" spans="1:10" x14ac:dyDescent="0.25">
      <c r="B8" s="9" t="s">
        <v>2</v>
      </c>
      <c r="C8" s="10"/>
    </row>
    <row r="9" spans="1:10" x14ac:dyDescent="0.25">
      <c r="B9" s="11"/>
    </row>
    <row r="10" spans="1:10" x14ac:dyDescent="0.25">
      <c r="B10" s="12" t="s">
        <v>3</v>
      </c>
      <c r="C10" s="12"/>
      <c r="D10" s="12"/>
      <c r="E10" s="12"/>
    </row>
    <row r="11" spans="1:10" x14ac:dyDescent="0.25">
      <c r="B11" s="13"/>
    </row>
    <row r="12" spans="1:10" ht="144.75" customHeight="1" x14ac:dyDescent="0.25">
      <c r="B12" s="14" t="s">
        <v>4</v>
      </c>
      <c r="C12" s="14"/>
      <c r="D12" s="14"/>
      <c r="E12" s="14"/>
      <c r="G12" s="10"/>
      <c r="H12" s="10"/>
      <c r="I12" s="10"/>
      <c r="J12" s="15"/>
    </row>
    <row r="13" spans="1:10" ht="18" customHeight="1" x14ac:dyDescent="0.25">
      <c r="B13" s="16"/>
      <c r="C13" s="16"/>
      <c r="D13" s="16"/>
      <c r="E13" s="16"/>
      <c r="G13" s="10"/>
      <c r="H13" s="10"/>
      <c r="I13" s="10"/>
      <c r="J13" s="15"/>
    </row>
    <row r="14" spans="1:10" ht="27.75" customHeight="1" x14ac:dyDescent="0.25">
      <c r="B14" s="12" t="str">
        <f>("Principales funcionarios al "&amp;[1]BALANZA!B3&amp;".")</f>
        <v>Principales funcionarios al 31 de Mayo del 2025.</v>
      </c>
      <c r="C14" s="12"/>
      <c r="D14" s="12"/>
      <c r="E14" s="12"/>
    </row>
    <row r="15" spans="1:10" ht="17.25" customHeight="1" x14ac:dyDescent="0.25">
      <c r="B15" s="17" t="s">
        <v>5</v>
      </c>
      <c r="C15" s="5" t="s">
        <v>6</v>
      </c>
      <c r="D15" s="5"/>
      <c r="F15" s="3"/>
      <c r="H15" s="3"/>
      <c r="J15" s="2"/>
    </row>
    <row r="16" spans="1:10" ht="17.25" customHeight="1" x14ac:dyDescent="0.25">
      <c r="B16" s="18" t="s">
        <v>7</v>
      </c>
      <c r="C16" s="2" t="s">
        <v>8</v>
      </c>
      <c r="D16" s="2"/>
      <c r="F16" s="3"/>
      <c r="H16" s="3"/>
      <c r="J16" s="2"/>
    </row>
    <row r="17" spans="2:10" ht="17.25" customHeight="1" x14ac:dyDescent="0.25">
      <c r="B17" s="19" t="s">
        <v>9</v>
      </c>
      <c r="C17" s="2" t="s">
        <v>10</v>
      </c>
      <c r="D17" s="2"/>
      <c r="F17" s="3"/>
      <c r="H17" s="3"/>
      <c r="J17" s="2"/>
    </row>
    <row r="18" spans="2:10" ht="17.25" customHeight="1" x14ac:dyDescent="0.25">
      <c r="B18" s="20" t="s">
        <v>11</v>
      </c>
      <c r="C18" s="2" t="s">
        <v>12</v>
      </c>
      <c r="F18" s="3"/>
      <c r="H18" s="3"/>
      <c r="J18" s="2"/>
    </row>
    <row r="19" spans="2:10" ht="17.25" customHeight="1" x14ac:dyDescent="0.25">
      <c r="B19" s="19" t="s">
        <v>13</v>
      </c>
      <c r="C19" s="2" t="s">
        <v>14</v>
      </c>
      <c r="F19" s="3"/>
      <c r="H19" s="3"/>
      <c r="J19" s="2"/>
    </row>
    <row r="20" spans="2:10" ht="17.25" customHeight="1" x14ac:dyDescent="0.25">
      <c r="B20" s="19" t="s">
        <v>15</v>
      </c>
      <c r="C20" s="2" t="s">
        <v>16</v>
      </c>
      <c r="F20" s="3"/>
      <c r="H20" s="3"/>
      <c r="J20" s="2"/>
    </row>
    <row r="21" spans="2:10" ht="17.25" customHeight="1" x14ac:dyDescent="0.25">
      <c r="B21" s="19" t="s">
        <v>17</v>
      </c>
      <c r="C21" s="2" t="s">
        <v>18</v>
      </c>
      <c r="F21" s="3"/>
      <c r="H21" s="3"/>
      <c r="J21" s="2"/>
    </row>
    <row r="22" spans="2:10" ht="17.25" customHeight="1" x14ac:dyDescent="0.25">
      <c r="B22" s="19" t="s">
        <v>19</v>
      </c>
      <c r="C22" s="2" t="s">
        <v>20</v>
      </c>
      <c r="F22" s="3"/>
      <c r="H22" s="3"/>
      <c r="J22" s="2"/>
    </row>
    <row r="23" spans="2:10" ht="17.25" customHeight="1" x14ac:dyDescent="0.25">
      <c r="B23" s="19" t="s">
        <v>21</v>
      </c>
      <c r="C23" s="2" t="s">
        <v>22</v>
      </c>
      <c r="F23" s="3"/>
      <c r="H23" s="3"/>
      <c r="J23" s="2"/>
    </row>
    <row r="24" spans="2:10" ht="17.25" customHeight="1" x14ac:dyDescent="0.25">
      <c r="B24" s="19" t="s">
        <v>23</v>
      </c>
      <c r="C24" s="2" t="s">
        <v>24</v>
      </c>
      <c r="F24" s="3"/>
      <c r="H24" s="3"/>
      <c r="J24" s="2"/>
    </row>
    <row r="25" spans="2:10" ht="17.25" customHeight="1" x14ac:dyDescent="0.25">
      <c r="B25" s="19" t="s">
        <v>25</v>
      </c>
      <c r="C25" s="2" t="s">
        <v>26</v>
      </c>
      <c r="F25" s="3"/>
      <c r="H25" s="3"/>
      <c r="J25" s="2"/>
    </row>
    <row r="26" spans="2:10" ht="17.25" customHeight="1" x14ac:dyDescent="0.25">
      <c r="B26" s="19" t="s">
        <v>27</v>
      </c>
      <c r="C26" s="2" t="s">
        <v>28</v>
      </c>
      <c r="F26" s="3"/>
      <c r="H26" s="3"/>
      <c r="J26" s="2"/>
    </row>
    <row r="27" spans="2:10" ht="17.25" customHeight="1" x14ac:dyDescent="0.25">
      <c r="B27" s="18" t="s">
        <v>29</v>
      </c>
      <c r="C27" s="2" t="s">
        <v>30</v>
      </c>
      <c r="D27" s="2"/>
      <c r="F27" s="3"/>
      <c r="H27" s="3"/>
      <c r="J27" s="2"/>
    </row>
    <row r="28" spans="2:10" x14ac:dyDescent="0.25">
      <c r="B28" s="19" t="s">
        <v>31</v>
      </c>
      <c r="C28" s="2" t="s">
        <v>32</v>
      </c>
      <c r="D28" s="2"/>
      <c r="F28" s="3"/>
      <c r="H28" s="3"/>
      <c r="J28" s="2"/>
    </row>
    <row r="29" spans="2:10" x14ac:dyDescent="0.25">
      <c r="B29" s="19" t="s">
        <v>33</v>
      </c>
      <c r="C29" s="2" t="s">
        <v>34</v>
      </c>
      <c r="D29" s="2"/>
      <c r="F29" s="3"/>
      <c r="H29" s="3"/>
      <c r="J29" s="2"/>
    </row>
    <row r="30" spans="2:10" x14ac:dyDescent="0.25">
      <c r="B30" s="18" t="s">
        <v>35</v>
      </c>
      <c r="C30" s="2" t="s">
        <v>36</v>
      </c>
      <c r="D30" s="2"/>
      <c r="F30" s="3"/>
      <c r="H30" s="3"/>
      <c r="J30" s="2"/>
    </row>
    <row r="31" spans="2:10" x14ac:dyDescent="0.25">
      <c r="B31" s="18" t="s">
        <v>37</v>
      </c>
      <c r="C31" s="2" t="s">
        <v>38</v>
      </c>
      <c r="D31" s="2"/>
      <c r="F31" s="3"/>
      <c r="H31" s="3"/>
      <c r="J31" s="2"/>
    </row>
    <row r="32" spans="2:10" x14ac:dyDescent="0.25">
      <c r="D32" s="2"/>
      <c r="F32" s="3"/>
      <c r="H32" s="3"/>
      <c r="J32" s="2"/>
    </row>
    <row r="33" spans="2:5" x14ac:dyDescent="0.25">
      <c r="B33" s="17"/>
      <c r="C33" s="3"/>
      <c r="D33" s="2"/>
    </row>
    <row r="34" spans="2:5" x14ac:dyDescent="0.25">
      <c r="B34" s="17"/>
      <c r="C34" s="3"/>
      <c r="D34" s="2"/>
    </row>
    <row r="35" spans="2:5" x14ac:dyDescent="0.25">
      <c r="B35" s="17"/>
      <c r="C35" s="3"/>
      <c r="D35" s="2"/>
    </row>
    <row r="36" spans="2:5" x14ac:dyDescent="0.25">
      <c r="B36" s="17"/>
      <c r="C36" s="3"/>
      <c r="D36" s="2"/>
    </row>
    <row r="37" spans="2:5" x14ac:dyDescent="0.25">
      <c r="B37" s="17"/>
      <c r="C37" s="3"/>
      <c r="D37" s="2"/>
    </row>
    <row r="38" spans="2:5" x14ac:dyDescent="0.25">
      <c r="B38" s="17"/>
      <c r="C38" s="3"/>
      <c r="D38" s="2"/>
    </row>
    <row r="39" spans="2:5" x14ac:dyDescent="0.25">
      <c r="B39" s="17"/>
      <c r="C39" s="3"/>
      <c r="D39" s="2"/>
    </row>
    <row r="40" spans="2:5" x14ac:dyDescent="0.25">
      <c r="B40" s="17"/>
      <c r="C40" s="3"/>
      <c r="D40" s="2"/>
    </row>
    <row r="41" spans="2:5" x14ac:dyDescent="0.25">
      <c r="B41" s="17"/>
      <c r="C41" s="3"/>
      <c r="D41" s="2"/>
    </row>
    <row r="42" spans="2:5" x14ac:dyDescent="0.25">
      <c r="B42" s="17"/>
      <c r="C42" s="3"/>
      <c r="D42" s="2"/>
    </row>
    <row r="43" spans="2:5" x14ac:dyDescent="0.25">
      <c r="B43" s="17"/>
      <c r="C43" s="3"/>
      <c r="D43" s="2"/>
    </row>
    <row r="44" spans="2:5" x14ac:dyDescent="0.25">
      <c r="B44" s="17"/>
      <c r="C44" s="3"/>
      <c r="D44" s="2"/>
    </row>
    <row r="45" spans="2:5" x14ac:dyDescent="0.25">
      <c r="B45" s="17" t="s">
        <v>39</v>
      </c>
    </row>
    <row r="46" spans="2:5" ht="30" customHeight="1" x14ac:dyDescent="0.25">
      <c r="B46" s="7" t="s">
        <v>40</v>
      </c>
      <c r="C46" s="7"/>
      <c r="D46" s="7"/>
      <c r="E46" s="7"/>
    </row>
    <row r="47" spans="2:5" ht="60" customHeight="1" x14ac:dyDescent="0.25">
      <c r="B47" s="21" t="s">
        <v>41</v>
      </c>
      <c r="C47" s="21"/>
      <c r="D47" s="21"/>
      <c r="E47" s="21"/>
    </row>
    <row r="48" spans="2:5" ht="56.25" customHeight="1" x14ac:dyDescent="0.25">
      <c r="B48" s="21" t="s">
        <v>42</v>
      </c>
      <c r="C48" s="21"/>
      <c r="D48" s="21"/>
      <c r="E48" s="21"/>
    </row>
    <row r="49" spans="2:5" ht="69.75" customHeight="1" x14ac:dyDescent="0.25">
      <c r="B49" s="14" t="s">
        <v>43</v>
      </c>
      <c r="C49" s="14"/>
      <c r="D49" s="14"/>
      <c r="E49" s="14"/>
    </row>
    <row r="50" spans="2:5" ht="13.5" customHeight="1" x14ac:dyDescent="0.25">
      <c r="B50" s="22"/>
      <c r="C50" s="22"/>
      <c r="D50" s="22"/>
      <c r="E50" s="22"/>
    </row>
    <row r="51" spans="2:5" ht="13.5" customHeight="1" x14ac:dyDescent="0.25">
      <c r="B51" s="22"/>
      <c r="C51" s="22"/>
      <c r="D51" s="22"/>
      <c r="E51" s="22"/>
    </row>
    <row r="52" spans="2:5" ht="22.5" customHeight="1" x14ac:dyDescent="0.25">
      <c r="B52" s="7" t="s">
        <v>44</v>
      </c>
      <c r="C52" s="7"/>
      <c r="D52" s="7"/>
      <c r="E52" s="7"/>
    </row>
    <row r="53" spans="2:5" ht="21" customHeight="1" x14ac:dyDescent="0.25">
      <c r="B53" s="7" t="s">
        <v>45</v>
      </c>
      <c r="C53" s="7"/>
      <c r="D53" s="7"/>
      <c r="E53" s="7"/>
    </row>
    <row r="54" spans="2:5" ht="9.75" customHeight="1" x14ac:dyDescent="0.25">
      <c r="B54" s="13"/>
    </row>
    <row r="55" spans="2:5" ht="48" customHeight="1" x14ac:dyDescent="0.25">
      <c r="B55" s="23" t="s">
        <v>46</v>
      </c>
      <c r="C55" s="23"/>
      <c r="D55" s="23"/>
      <c r="E55" s="23"/>
    </row>
    <row r="56" spans="2:5" ht="14.25" customHeight="1" x14ac:dyDescent="0.25">
      <c r="B56" s="24"/>
      <c r="C56" s="24"/>
      <c r="D56" s="24"/>
      <c r="E56" s="24"/>
    </row>
    <row r="57" spans="2:5" ht="14.25" customHeight="1" x14ac:dyDescent="0.25">
      <c r="B57" s="24"/>
      <c r="C57" s="24"/>
      <c r="D57" s="24"/>
      <c r="E57" s="24"/>
    </row>
    <row r="58" spans="2:5" ht="25.5" customHeight="1" x14ac:dyDescent="0.25">
      <c r="B58" s="17" t="s">
        <v>47</v>
      </c>
      <c r="C58" s="24"/>
      <c r="D58" s="25"/>
      <c r="E58" s="24"/>
    </row>
    <row r="59" spans="2:5" x14ac:dyDescent="0.25">
      <c r="B59" s="17" t="s">
        <v>48</v>
      </c>
    </row>
    <row r="60" spans="2:5" ht="55.5" customHeight="1" x14ac:dyDescent="0.25">
      <c r="B60" s="21" t="s">
        <v>49</v>
      </c>
      <c r="C60" s="21"/>
      <c r="D60" s="21"/>
      <c r="E60" s="21"/>
    </row>
    <row r="61" spans="2:5" ht="27" customHeight="1" x14ac:dyDescent="0.25">
      <c r="B61" s="21" t="s">
        <v>50</v>
      </c>
      <c r="C61" s="21"/>
      <c r="D61" s="21"/>
      <c r="E61" s="21"/>
    </row>
    <row r="62" spans="2:5" x14ac:dyDescent="0.25">
      <c r="B62" s="7" t="s">
        <v>51</v>
      </c>
      <c r="C62" s="7"/>
      <c r="D62" s="7"/>
      <c r="E62" s="7"/>
    </row>
    <row r="63" spans="2:5" ht="73.5" customHeight="1" x14ac:dyDescent="0.25">
      <c r="B63" s="26" t="s">
        <v>52</v>
      </c>
      <c r="C63" s="26"/>
      <c r="D63" s="26"/>
      <c r="E63" s="26"/>
    </row>
    <row r="64" spans="2:5" x14ac:dyDescent="0.25">
      <c r="B64" s="7" t="s">
        <v>53</v>
      </c>
      <c r="C64" s="7"/>
      <c r="D64" s="7"/>
      <c r="E64" s="7"/>
    </row>
    <row r="65" spans="2:5" ht="68.25" customHeight="1" x14ac:dyDescent="0.25">
      <c r="B65" s="14" t="s">
        <v>54</v>
      </c>
      <c r="C65" s="14"/>
      <c r="D65" s="14"/>
      <c r="E65" s="14"/>
    </row>
    <row r="66" spans="2:5" ht="26.25" customHeight="1" x14ac:dyDescent="0.25">
      <c r="B66" s="22"/>
      <c r="C66" s="22"/>
      <c r="D66" s="22"/>
      <c r="E66" s="22"/>
    </row>
    <row r="67" spans="2:5" ht="25.5" customHeight="1" x14ac:dyDescent="0.25">
      <c r="B67" s="7" t="s">
        <v>55</v>
      </c>
      <c r="C67" s="7"/>
      <c r="D67" s="7"/>
      <c r="E67" s="7"/>
    </row>
    <row r="68" spans="2:5" ht="46.5" customHeight="1" x14ac:dyDescent="0.25">
      <c r="B68" s="21" t="s">
        <v>56</v>
      </c>
      <c r="C68" s="21"/>
      <c r="D68" s="21"/>
      <c r="E68" s="21"/>
    </row>
    <row r="69" spans="2:5" ht="43.5" hidden="1" customHeight="1" x14ac:dyDescent="0.25">
      <c r="B69" s="27" t="s">
        <v>57</v>
      </c>
      <c r="C69" s="27"/>
      <c r="D69" s="27"/>
      <c r="E69" s="27"/>
    </row>
    <row r="70" spans="2:5" ht="58.5" hidden="1" customHeight="1" x14ac:dyDescent="0.25">
      <c r="B70" s="27" t="s">
        <v>58</v>
      </c>
      <c r="C70" s="27"/>
      <c r="D70" s="27"/>
      <c r="E70" s="27"/>
    </row>
    <row r="71" spans="2:5" ht="30" hidden="1" customHeight="1" x14ac:dyDescent="0.25">
      <c r="B71" s="27" t="s">
        <v>59</v>
      </c>
      <c r="C71" s="27"/>
      <c r="D71" s="27"/>
      <c r="E71" s="27"/>
    </row>
    <row r="72" spans="2:5" hidden="1" x14ac:dyDescent="0.25">
      <c r="B72" s="27" t="s">
        <v>60</v>
      </c>
      <c r="C72" s="27"/>
      <c r="D72" s="27"/>
      <c r="E72" s="27"/>
    </row>
    <row r="73" spans="2:5" ht="63.75" hidden="1" customHeight="1" x14ac:dyDescent="0.25">
      <c r="B73" s="27" t="s">
        <v>61</v>
      </c>
      <c r="C73" s="27"/>
      <c r="D73" s="27"/>
      <c r="E73" s="27"/>
    </row>
    <row r="74" spans="2:5" ht="42" hidden="1" customHeight="1" x14ac:dyDescent="0.25">
      <c r="B74" s="27" t="s">
        <v>62</v>
      </c>
      <c r="C74" s="27"/>
      <c r="D74" s="27"/>
      <c r="E74" s="27"/>
    </row>
    <row r="75" spans="2:5" ht="78.75" hidden="1" customHeight="1" x14ac:dyDescent="0.25">
      <c r="B75" s="27" t="s">
        <v>63</v>
      </c>
      <c r="C75" s="27"/>
      <c r="D75" s="27"/>
      <c r="E75" s="27"/>
    </row>
    <row r="76" spans="2:5" ht="66" hidden="1" customHeight="1" x14ac:dyDescent="0.25">
      <c r="B76" s="27" t="s">
        <v>64</v>
      </c>
      <c r="C76" s="27"/>
      <c r="D76" s="27"/>
      <c r="E76" s="27"/>
    </row>
    <row r="77" spans="2:5" ht="13.5" customHeight="1" x14ac:dyDescent="0.25">
      <c r="B77" s="28"/>
      <c r="C77" s="28"/>
      <c r="D77" s="29"/>
      <c r="E77" s="28"/>
    </row>
    <row r="78" spans="2:5" ht="26.25" customHeight="1" x14ac:dyDescent="0.25">
      <c r="B78" s="7" t="s">
        <v>65</v>
      </c>
      <c r="C78" s="7"/>
      <c r="D78" s="7"/>
      <c r="E78" s="7"/>
    </row>
    <row r="79" spans="2:5" ht="34.5" customHeight="1" x14ac:dyDescent="0.25">
      <c r="B79" s="30" t="s">
        <v>66</v>
      </c>
      <c r="C79" s="30"/>
      <c r="D79" s="30"/>
      <c r="E79" s="30"/>
    </row>
    <row r="80" spans="2:5" ht="15.75" customHeight="1" x14ac:dyDescent="0.25">
      <c r="B80" s="28"/>
      <c r="C80" s="28"/>
      <c r="D80" s="28"/>
      <c r="E80" s="28"/>
    </row>
    <row r="81" spans="2:5" ht="15.75" customHeight="1" x14ac:dyDescent="0.25">
      <c r="B81" s="31" t="s">
        <v>67</v>
      </c>
      <c r="C81" s="28"/>
      <c r="D81" s="29"/>
      <c r="E81" s="28"/>
    </row>
    <row r="82" spans="2:5" ht="20.25" customHeight="1" x14ac:dyDescent="0.25">
      <c r="B82" s="7" t="s">
        <v>68</v>
      </c>
      <c r="C82" s="7"/>
      <c r="D82" s="7"/>
      <c r="E82" s="7"/>
    </row>
    <row r="83" spans="2:5" x14ac:dyDescent="0.25">
      <c r="B83" s="7" t="s">
        <v>69</v>
      </c>
      <c r="C83" s="7"/>
      <c r="D83" s="7"/>
      <c r="E83" s="7"/>
    </row>
    <row r="84" spans="2:5" ht="49.5" customHeight="1" x14ac:dyDescent="0.25">
      <c r="B84" s="30" t="s">
        <v>70</v>
      </c>
      <c r="C84" s="30"/>
      <c r="D84" s="30"/>
      <c r="E84" s="30"/>
    </row>
    <row r="85" spans="2:5" x14ac:dyDescent="0.25">
      <c r="B85" s="7" t="s">
        <v>71</v>
      </c>
      <c r="C85" s="7"/>
      <c r="D85" s="7"/>
      <c r="E85" s="7"/>
    </row>
    <row r="86" spans="2:5" ht="45" customHeight="1" x14ac:dyDescent="0.25">
      <c r="B86" s="21" t="s">
        <v>72</v>
      </c>
      <c r="C86" s="21"/>
      <c r="D86" s="21"/>
      <c r="E86" s="21"/>
    </row>
    <row r="87" spans="2:5" x14ac:dyDescent="0.25">
      <c r="B87" s="7" t="s">
        <v>73</v>
      </c>
      <c r="C87" s="7"/>
      <c r="D87" s="7"/>
      <c r="E87" s="7"/>
    </row>
    <row r="88" spans="2:5" ht="39.75" customHeight="1" x14ac:dyDescent="0.25">
      <c r="B88" s="21" t="s">
        <v>74</v>
      </c>
      <c r="C88" s="21"/>
      <c r="D88" s="21"/>
      <c r="E88" s="21"/>
    </row>
    <row r="89" spans="2:5" x14ac:dyDescent="0.25">
      <c r="B89" s="7" t="s">
        <v>75</v>
      </c>
      <c r="C89" s="7"/>
      <c r="D89" s="7"/>
      <c r="E89" s="7"/>
    </row>
    <row r="90" spans="2:5" ht="40.5" customHeight="1" x14ac:dyDescent="0.25">
      <c r="B90" s="21" t="s">
        <v>76</v>
      </c>
      <c r="C90" s="21"/>
      <c r="D90" s="21"/>
      <c r="E90" s="21"/>
    </row>
    <row r="91" spans="2:5" x14ac:dyDescent="0.25">
      <c r="B91" s="7" t="s">
        <v>77</v>
      </c>
      <c r="C91" s="7"/>
      <c r="D91" s="7"/>
      <c r="E91" s="7"/>
    </row>
    <row r="92" spans="2:5" ht="39" customHeight="1" x14ac:dyDescent="0.25">
      <c r="B92" s="21" t="s">
        <v>78</v>
      </c>
      <c r="C92" s="21"/>
      <c r="D92" s="21"/>
      <c r="E92" s="21"/>
    </row>
    <row r="93" spans="2:5" x14ac:dyDescent="0.25">
      <c r="B93" s="7" t="s">
        <v>79</v>
      </c>
      <c r="C93" s="7"/>
      <c r="D93" s="7"/>
      <c r="E93" s="7"/>
    </row>
    <row r="94" spans="2:5" ht="25.5" customHeight="1" x14ac:dyDescent="0.25">
      <c r="B94" s="7" t="s">
        <v>80</v>
      </c>
      <c r="C94" s="7"/>
      <c r="D94" s="7"/>
      <c r="E94" s="7"/>
    </row>
    <row r="95" spans="2:5" ht="45" customHeight="1" x14ac:dyDescent="0.25">
      <c r="B95" s="21" t="s">
        <v>81</v>
      </c>
      <c r="C95" s="21"/>
      <c r="D95" s="21"/>
      <c r="E95" s="21"/>
    </row>
    <row r="96" spans="2:5" ht="35.25" customHeight="1" x14ac:dyDescent="0.25">
      <c r="B96" s="21" t="s">
        <v>82</v>
      </c>
      <c r="C96" s="21"/>
      <c r="D96" s="21"/>
      <c r="E96" s="21"/>
    </row>
    <row r="97" spans="2:5" ht="39.75" customHeight="1" x14ac:dyDescent="0.25">
      <c r="B97" s="14" t="s">
        <v>83</v>
      </c>
      <c r="C97" s="14"/>
      <c r="D97" s="14"/>
      <c r="E97" s="14"/>
    </row>
    <row r="98" spans="2:5" ht="51.75" customHeight="1" x14ac:dyDescent="0.25">
      <c r="B98" s="21" t="s">
        <v>84</v>
      </c>
      <c r="C98" s="21"/>
      <c r="D98" s="21"/>
      <c r="E98" s="21"/>
    </row>
    <row r="99" spans="2:5" ht="19.5" customHeight="1" x14ac:dyDescent="0.25">
      <c r="B99" s="16"/>
      <c r="C99" s="16"/>
      <c r="D99" s="16"/>
      <c r="E99" s="16"/>
    </row>
    <row r="100" spans="2:5" ht="19.5" customHeight="1" x14ac:dyDescent="0.25">
      <c r="B100" s="16"/>
      <c r="C100" s="16"/>
      <c r="D100" s="16"/>
      <c r="E100" s="16"/>
    </row>
    <row r="101" spans="2:5" ht="21" customHeight="1" x14ac:dyDescent="0.25">
      <c r="B101" s="16"/>
      <c r="C101" s="16"/>
      <c r="D101" s="16"/>
      <c r="E101" s="16"/>
    </row>
    <row r="102" spans="2:5" ht="24.75" customHeight="1" x14ac:dyDescent="0.25">
      <c r="B102" s="16"/>
      <c r="C102" s="16"/>
      <c r="D102" s="16"/>
      <c r="E102" s="16"/>
    </row>
    <row r="103" spans="2:5" ht="33" customHeight="1" x14ac:dyDescent="0.25">
      <c r="B103" s="16"/>
      <c r="C103" s="16"/>
      <c r="D103" s="16"/>
      <c r="E103" s="16"/>
    </row>
    <row r="104" spans="2:5" ht="36.75" customHeight="1" x14ac:dyDescent="0.25">
      <c r="B104" s="21" t="s">
        <v>85</v>
      </c>
      <c r="C104" s="21"/>
      <c r="D104" s="21"/>
      <c r="E104" s="21"/>
    </row>
    <row r="105" spans="2:5" ht="77.25" customHeight="1" x14ac:dyDescent="0.25">
      <c r="B105" s="21" t="s">
        <v>86</v>
      </c>
      <c r="C105" s="21"/>
      <c r="D105" s="21"/>
      <c r="E105" s="21"/>
    </row>
    <row r="106" spans="2:5" ht="18.75" customHeight="1" x14ac:dyDescent="0.25">
      <c r="B106" s="12" t="s">
        <v>87</v>
      </c>
      <c r="C106" s="12"/>
      <c r="D106" s="12"/>
      <c r="E106" s="12"/>
    </row>
    <row r="107" spans="2:5" ht="66.75" customHeight="1" x14ac:dyDescent="0.25">
      <c r="B107" s="21" t="s">
        <v>88</v>
      </c>
      <c r="C107" s="21"/>
      <c r="D107" s="21"/>
      <c r="E107" s="21"/>
    </row>
    <row r="108" spans="2:5" ht="55.5" customHeight="1" x14ac:dyDescent="0.25">
      <c r="B108" s="21" t="s">
        <v>89</v>
      </c>
      <c r="C108" s="21"/>
      <c r="D108" s="21"/>
      <c r="E108" s="21"/>
    </row>
    <row r="109" spans="2:5" ht="18.75" customHeight="1" x14ac:dyDescent="0.25">
      <c r="B109" s="12" t="s">
        <v>90</v>
      </c>
      <c r="C109" s="12"/>
      <c r="D109" s="12"/>
      <c r="E109" s="12"/>
    </row>
    <row r="110" spans="2:5" ht="42" customHeight="1" x14ac:dyDescent="0.25">
      <c r="B110" s="21" t="s">
        <v>91</v>
      </c>
      <c r="C110" s="21"/>
      <c r="D110" s="21"/>
      <c r="E110" s="21"/>
    </row>
    <row r="111" spans="2:5" x14ac:dyDescent="0.25">
      <c r="B111" s="7" t="s">
        <v>92</v>
      </c>
      <c r="C111" s="7"/>
      <c r="D111" s="7"/>
      <c r="E111" s="7"/>
    </row>
    <row r="112" spans="2:5" ht="21.75" customHeight="1" x14ac:dyDescent="0.25">
      <c r="B112" s="7" t="s">
        <v>93</v>
      </c>
      <c r="C112" s="7"/>
      <c r="D112" s="7"/>
      <c r="E112" s="7"/>
    </row>
    <row r="113" spans="2:26" ht="30.75" customHeight="1" x14ac:dyDescent="0.25">
      <c r="B113" s="14" t="str">
        <f>("Un detalle del "&amp;_Toc208202813&amp;" al "&amp;[1]BALANZA!$B$3&amp;" "&amp;[1]BALANZA!$C$3&amp;" es como se detalla a continuación:")</f>
        <v>Un detalle del Efectivo y equivalentes de efectivo. al 31 de Mayo del 2025 - 2024 es como se detalla a continuación:</v>
      </c>
      <c r="C113" s="32"/>
      <c r="D113" s="32"/>
      <c r="E113" s="32"/>
    </row>
    <row r="114" spans="2:26" ht="37.5" customHeight="1" x14ac:dyDescent="0.25">
      <c r="B114" s="21" t="str">
        <f>("El efectivo disponible en caja y cuentas bancarias presenta los siguientes ascenso  para el "&amp;C118&amp;" RD$"&amp;R127&amp;"  y para el "&amp;D118&amp;" fue de RD$ "&amp;R128&amp;" , el cual se detalla a continuación:")</f>
        <v>El efectivo disponible en caja y cuentas bancarias presenta los siguientes ascenso  para el 2025 RD$338,693,769.40  y para el 2024 fue de RD$ 305,489,331.63 , el cual se detalla a continuación:</v>
      </c>
      <c r="C114" s="21"/>
      <c r="D114" s="21"/>
      <c r="E114" s="21"/>
    </row>
    <row r="115" spans="2:26" ht="75" customHeight="1" x14ac:dyDescent="0.25">
      <c r="B115" s="21" t="s">
        <v>94</v>
      </c>
      <c r="C115" s="21"/>
      <c r="D115" s="21"/>
      <c r="E115" s="21"/>
    </row>
    <row r="116" spans="2:26" ht="22.5" customHeight="1" x14ac:dyDescent="0.25">
      <c r="B116" s="21" t="s">
        <v>95</v>
      </c>
      <c r="C116" s="21"/>
      <c r="D116" s="21"/>
      <c r="E116" s="21"/>
    </row>
    <row r="117" spans="2:26" ht="7.5" customHeight="1" x14ac:dyDescent="0.25">
      <c r="B117" s="13"/>
    </row>
    <row r="118" spans="2:26" x14ac:dyDescent="0.25">
      <c r="B118" s="33" t="s">
        <v>96</v>
      </c>
      <c r="C118" s="34">
        <f>+[1]BALANZA!B4</f>
        <v>2025</v>
      </c>
      <c r="D118" s="35">
        <f>+[1]BALANZA!C4</f>
        <v>2024</v>
      </c>
      <c r="E118" s="36" t="s">
        <v>97</v>
      </c>
    </row>
    <row r="119" spans="2:26" ht="18" hidden="1" customHeight="1" x14ac:dyDescent="0.25">
      <c r="B119" s="37" t="s">
        <v>98</v>
      </c>
      <c r="C119" s="38">
        <f>+'[1]BALANZA G'!C12</f>
        <v>0</v>
      </c>
      <c r="D119" s="39">
        <f>+'[1]BALANZA G'!D12</f>
        <v>0</v>
      </c>
      <c r="E119" s="40">
        <f t="shared" ref="E119:E125" si="0">+C119-D119</f>
        <v>0</v>
      </c>
    </row>
    <row r="120" spans="2:26" ht="18" customHeight="1" x14ac:dyDescent="0.25">
      <c r="B120" s="37" t="s">
        <v>99</v>
      </c>
      <c r="C120" s="38">
        <f>+'[1]BALANZA G'!C13</f>
        <v>95000</v>
      </c>
      <c r="D120" s="39">
        <f>+'[1]BALANZA G'!D13</f>
        <v>110000</v>
      </c>
      <c r="E120" s="40">
        <f t="shared" si="0"/>
        <v>-15000</v>
      </c>
    </row>
    <row r="121" spans="2:26" ht="18" customHeight="1" x14ac:dyDescent="0.25">
      <c r="B121" s="37" t="s">
        <v>100</v>
      </c>
      <c r="C121" s="38">
        <f>+'[1]BALANZA G'!C23</f>
        <v>1041.2</v>
      </c>
      <c r="D121" s="38">
        <f>IF(+'[1]BALANZA G'!D23&gt;0,+'[1]BALANZA G'!D23,0)</f>
        <v>236.2</v>
      </c>
      <c r="E121" s="40">
        <f t="shared" si="0"/>
        <v>805</v>
      </c>
    </row>
    <row r="122" spans="2:26" ht="18" customHeight="1" x14ac:dyDescent="0.25">
      <c r="B122" s="41" t="s">
        <v>101</v>
      </c>
      <c r="C122" s="38">
        <f>+'[1]BALANZA G'!C25</f>
        <v>1345972.55</v>
      </c>
      <c r="D122" s="38">
        <f>IF(+'[1]BALANZA G'!D25&gt;0,+'[1]BALANZA G'!D25,0)</f>
        <v>2093182.13</v>
      </c>
      <c r="E122" s="42">
        <f t="shared" si="0"/>
        <v>-747209.57999999984</v>
      </c>
    </row>
    <row r="123" spans="2:26" ht="30" customHeight="1" x14ac:dyDescent="0.25">
      <c r="B123" s="37" t="s">
        <v>102</v>
      </c>
      <c r="C123" s="38">
        <f>+'[1]BALANZA G'!C24</f>
        <v>10.75</v>
      </c>
      <c r="D123" s="38">
        <f>IF(+'[1]BALANZA G'!D24&gt;0,+'[1]BALANZA G'!D24,0)</f>
        <v>1310.75</v>
      </c>
      <c r="E123" s="40">
        <f t="shared" si="0"/>
        <v>-1300</v>
      </c>
    </row>
    <row r="124" spans="2:26" ht="17.25" customHeight="1" x14ac:dyDescent="0.25">
      <c r="B124" s="37" t="s">
        <v>103</v>
      </c>
      <c r="C124" s="38">
        <f>+'[1]BALANZA G'!C26</f>
        <v>1251990.33</v>
      </c>
      <c r="D124" s="38">
        <f>+'[1]BALANZA G'!D26</f>
        <v>453230.39</v>
      </c>
      <c r="E124" s="40">
        <f t="shared" si="0"/>
        <v>798759.94000000006</v>
      </c>
    </row>
    <row r="125" spans="2:26" ht="17.25" customHeight="1" x14ac:dyDescent="0.25">
      <c r="B125" s="43" t="s">
        <v>104</v>
      </c>
      <c r="C125" s="44">
        <f>+'[1]BALANZA G'!C27+'[1]BALANZA G'!C22</f>
        <v>335999754.56999999</v>
      </c>
      <c r="D125" s="38">
        <f>+'[1]BALANZA G'!D27+'[1]BALANZA G'!D22</f>
        <v>302831372.16000003</v>
      </c>
      <c r="E125" s="40">
        <f t="shared" si="0"/>
        <v>33168382.409999967</v>
      </c>
    </row>
    <row r="126" spans="2:26" ht="12.75" hidden="1" customHeight="1" x14ac:dyDescent="0.25">
      <c r="B126" s="43" t="s">
        <v>105</v>
      </c>
      <c r="C126" s="44">
        <f>+'[1]BALANZA G'!C28</f>
        <v>0</v>
      </c>
      <c r="D126" s="38">
        <f>+'[1]BALANZA G'!D28</f>
        <v>0</v>
      </c>
      <c r="E126" s="40"/>
    </row>
    <row r="127" spans="2:26" s="45" customFormat="1" ht="12.75" customHeight="1" x14ac:dyDescent="0.25">
      <c r="B127" s="46" t="s">
        <v>106</v>
      </c>
      <c r="C127" s="47">
        <f>SUM(C119:C126)</f>
        <v>338693769.39999998</v>
      </c>
      <c r="D127" s="47">
        <f>SUM(D119:D126)</f>
        <v>305489331.63000005</v>
      </c>
      <c r="E127" s="48">
        <f>SUM(E119:E123)</f>
        <v>-762704.57999999984</v>
      </c>
      <c r="J127" s="49"/>
      <c r="K127" s="49"/>
      <c r="N127" s="49"/>
      <c r="R127" s="4" t="str">
        <f>+CONCATENATE(T127,",",U127,",",V127,W127,"0")</f>
        <v>338,693,769.40</v>
      </c>
      <c r="S127" s="4"/>
      <c r="T127" s="4" t="str">
        <f>MID(C127,1,3)</f>
        <v>338</v>
      </c>
      <c r="U127" s="4" t="str">
        <f>MID(C127,4,3)</f>
        <v>693</v>
      </c>
      <c r="V127" s="4" t="str">
        <f>MID(C127,7,3)</f>
        <v>769</v>
      </c>
      <c r="W127" s="4" t="str">
        <f>MID(C127,10,3)</f>
        <v>.4</v>
      </c>
      <c r="X127" s="4"/>
      <c r="Y127" s="50"/>
      <c r="Z127" s="49"/>
    </row>
    <row r="128" spans="2:26" s="45" customFormat="1" x14ac:dyDescent="0.25">
      <c r="B128" s="51"/>
      <c r="C128" s="52">
        <f>+C127-'[1]ES F '!B11</f>
        <v>0</v>
      </c>
      <c r="D128" s="53"/>
      <c r="E128" s="54"/>
      <c r="J128" s="49"/>
      <c r="K128" s="49"/>
      <c r="N128" s="49"/>
      <c r="R128" s="4" t="str">
        <f>+CONCATENATE(T128,",",U128,",",V128,W128)</f>
        <v>305,489,331.63</v>
      </c>
      <c r="S128" s="4"/>
      <c r="T128" s="4" t="str">
        <f>MID(D127,1,3)</f>
        <v>305</v>
      </c>
      <c r="U128" s="4" t="str">
        <f>MID(D127,4,3)</f>
        <v>489</v>
      </c>
      <c r="V128" s="4" t="str">
        <f>MID(D127,7,3)</f>
        <v>331</v>
      </c>
      <c r="W128" s="4" t="str">
        <f>MID(D127,10,3)</f>
        <v>.63</v>
      </c>
      <c r="X128" s="4" t="str">
        <f>MID(E128,7,3)</f>
        <v/>
      </c>
      <c r="Y128" s="4" t="str">
        <f>MID(C128,10,3)</f>
        <v/>
      </c>
      <c r="Z128" s="49"/>
    </row>
    <row r="129" spans="2:26" s="45" customFormat="1" x14ac:dyDescent="0.25">
      <c r="B129" s="55" t="str">
        <f>("Cambio porcentual con relación al "&amp;$D$118&amp;".")</f>
        <v>Cambio porcentual con relación al 2024.</v>
      </c>
      <c r="C129" s="56"/>
      <c r="D129" s="57" t="str">
        <f>IF(E129&gt;=0,"Aumento","Disminución")</f>
        <v>Disminución</v>
      </c>
      <c r="E129" s="58">
        <f>+E127/D127</f>
        <v>-2.4966651893551747E-3</v>
      </c>
      <c r="J129" s="49"/>
      <c r="K129" s="49"/>
      <c r="N129" s="49"/>
      <c r="R129" s="50"/>
      <c r="S129" s="50"/>
      <c r="T129" s="50"/>
      <c r="U129" s="50"/>
      <c r="V129" s="50"/>
      <c r="W129" s="50"/>
      <c r="X129" s="50"/>
      <c r="Y129" s="50"/>
      <c r="Z129" s="49"/>
    </row>
    <row r="130" spans="2:26" s="45" customFormat="1" x14ac:dyDescent="0.25">
      <c r="B130" s="59"/>
      <c r="C130" s="59"/>
      <c r="D130" s="60"/>
      <c r="E130" s="61"/>
      <c r="J130" s="49"/>
      <c r="K130" s="49"/>
      <c r="N130" s="49"/>
      <c r="R130" s="50"/>
      <c r="S130" s="50"/>
      <c r="T130" s="50"/>
      <c r="U130" s="50"/>
      <c r="V130" s="50"/>
      <c r="W130" s="50"/>
      <c r="X130" s="50"/>
      <c r="Y130" s="50"/>
      <c r="Z130" s="49"/>
    </row>
    <row r="131" spans="2:26" s="45" customFormat="1" x14ac:dyDescent="0.25">
      <c r="B131" s="62"/>
      <c r="C131" s="62"/>
      <c r="D131" s="60"/>
      <c r="E131" s="63"/>
      <c r="J131" s="49"/>
      <c r="K131" s="49"/>
      <c r="N131" s="49"/>
      <c r="R131" s="50"/>
      <c r="S131" s="50"/>
      <c r="T131" s="50"/>
      <c r="U131" s="50"/>
      <c r="V131" s="50"/>
      <c r="W131" s="50"/>
      <c r="X131" s="50"/>
      <c r="Y131" s="50"/>
      <c r="Z131" s="49"/>
    </row>
    <row r="132" spans="2:26" s="45" customFormat="1" x14ac:dyDescent="0.25">
      <c r="B132" s="62"/>
      <c r="C132" s="62"/>
      <c r="D132" s="60"/>
      <c r="E132" s="63"/>
      <c r="J132" s="49"/>
      <c r="K132" s="49"/>
      <c r="N132" s="49"/>
      <c r="R132" s="50"/>
      <c r="S132" s="50"/>
      <c r="T132" s="50"/>
      <c r="U132" s="50"/>
      <c r="V132" s="50"/>
      <c r="W132" s="50"/>
      <c r="X132" s="50"/>
      <c r="Y132" s="50"/>
      <c r="Z132" s="49"/>
    </row>
    <row r="133" spans="2:26" s="45" customFormat="1" x14ac:dyDescent="0.25">
      <c r="B133" s="62"/>
      <c r="C133" s="62"/>
      <c r="D133" s="60"/>
      <c r="E133" s="63"/>
      <c r="J133" s="49"/>
      <c r="K133" s="49"/>
      <c r="N133" s="49"/>
      <c r="R133" s="50"/>
      <c r="S133" s="50"/>
      <c r="T133" s="50"/>
      <c r="U133" s="50"/>
      <c r="V133" s="50"/>
      <c r="W133" s="50"/>
      <c r="X133" s="50"/>
      <c r="Y133" s="50"/>
      <c r="Z133" s="49"/>
    </row>
    <row r="134" spans="2:26" s="45" customFormat="1" x14ac:dyDescent="0.25">
      <c r="B134" s="62"/>
      <c r="C134" s="62"/>
      <c r="D134" s="60"/>
      <c r="E134" s="63"/>
      <c r="J134" s="49"/>
      <c r="K134" s="49"/>
      <c r="N134" s="49"/>
      <c r="R134" s="50"/>
      <c r="S134" s="50"/>
      <c r="T134" s="50"/>
      <c r="U134" s="50"/>
      <c r="V134" s="50"/>
      <c r="W134" s="50"/>
      <c r="X134" s="50"/>
      <c r="Y134" s="50"/>
      <c r="Z134" s="49"/>
    </row>
    <row r="135" spans="2:26" hidden="1" x14ac:dyDescent="0.25">
      <c r="B135" s="11" t="s">
        <v>107</v>
      </c>
    </row>
    <row r="136" spans="2:26" hidden="1" x14ac:dyDescent="0.25">
      <c r="B136" s="64" t="s">
        <v>108</v>
      </c>
      <c r="C136" s="64"/>
      <c r="D136" s="64"/>
      <c r="E136" s="64"/>
    </row>
    <row r="137" spans="2:26" ht="23.25" hidden="1" customHeight="1" x14ac:dyDescent="0.25">
      <c r="B137" s="14" t="str">
        <f>("Un detalle del "&amp;B136&amp;" al "&amp;[1]BALANZA!$B$3&amp;" "&amp;[1]BALANZA!$C$3&amp;" es como se detalla a continuación:")</f>
        <v>Un detalle del Inversiones a corto plazo al 31 de Mayo del 2025 - 2024 es como se detalla a continuación:</v>
      </c>
      <c r="C137" s="32"/>
      <c r="D137" s="32"/>
      <c r="E137" s="32"/>
    </row>
    <row r="138" spans="2:26" ht="45" hidden="1" customHeight="1" x14ac:dyDescent="0.25">
      <c r="B138" s="21" t="str">
        <f>("Las inversiones a corto plazo enta integrado por un certificado financiero en el banco de reservas a un año renobable a la tasa de 0.12% anual, para el "&amp;C140&amp;" el total era de RD$ "&amp;R143&amp;" en vista de que se cancelo y para el "&amp;D140&amp;" el total fue de RD$ "&amp;R144&amp;" , Según el siguiente detalle:")</f>
        <v>Las inversiones a corto plazo enta integrado por un certificado financiero en el banco de reservas a un año renobable a la tasa de 0.12% anual, para el 2025 el total era de RD$ 0.00 en vista de que se cancelo y para el 2024 el total fue de RD$ 0,.00 , Según el siguiente detalle:</v>
      </c>
      <c r="C138" s="21"/>
      <c r="D138" s="21"/>
      <c r="E138" s="21"/>
    </row>
    <row r="139" spans="2:26" hidden="1" x14ac:dyDescent="0.25">
      <c r="B139" s="65"/>
    </row>
    <row r="140" spans="2:26" hidden="1" x14ac:dyDescent="0.25">
      <c r="B140" s="36" t="s">
        <v>96</v>
      </c>
      <c r="C140" s="36">
        <f>+[1]BALANZA!B4</f>
        <v>2025</v>
      </c>
      <c r="D140" s="36">
        <f>+[1]BALANZA!C4</f>
        <v>2024</v>
      </c>
      <c r="E140" s="36" t="s">
        <v>97</v>
      </c>
    </row>
    <row r="141" spans="2:26" hidden="1" x14ac:dyDescent="0.25">
      <c r="B141" s="66" t="s">
        <v>109</v>
      </c>
      <c r="C141" s="67">
        <f>+'[1]BALANZA G'!C15</f>
        <v>80000</v>
      </c>
      <c r="D141" s="68">
        <f>+'[1]BALANZA G'!D15</f>
        <v>80000</v>
      </c>
      <c r="E141" s="69">
        <f>+C141-D141</f>
        <v>0</v>
      </c>
    </row>
    <row r="142" spans="2:26" hidden="1" x14ac:dyDescent="0.25">
      <c r="B142" s="66" t="s">
        <v>110</v>
      </c>
      <c r="C142" s="70">
        <f>+'[1]BALANZA G'!C30</f>
        <v>0</v>
      </c>
      <c r="D142" s="71">
        <f>+'[1]BALANZA G'!D30</f>
        <v>0</v>
      </c>
      <c r="E142" s="72">
        <f>+C142-D142</f>
        <v>0</v>
      </c>
    </row>
    <row r="143" spans="2:26" hidden="1" x14ac:dyDescent="0.25">
      <c r="B143" s="73" t="s">
        <v>111</v>
      </c>
      <c r="C143" s="48">
        <f>SUM(C142:C142)</f>
        <v>0</v>
      </c>
      <c r="D143" s="74">
        <f>SUM(D142:D142)</f>
        <v>0</v>
      </c>
      <c r="E143" s="48">
        <f>SUM(E141:E142)</f>
        <v>0</v>
      </c>
      <c r="R143" s="4" t="str">
        <f>+CONCATENATE(S143,T143,U143,".00")</f>
        <v>0.00</v>
      </c>
      <c r="S143" s="4" t="str">
        <f>MID(C143,1,3)</f>
        <v>0</v>
      </c>
      <c r="T143" s="4" t="str">
        <f>MID(C142,4,3)</f>
        <v/>
      </c>
      <c r="U143" s="4" t="str">
        <f>MID(D142,7,3)</f>
        <v/>
      </c>
    </row>
    <row r="144" spans="2:26" hidden="1" x14ac:dyDescent="0.25">
      <c r="B144" s="75"/>
      <c r="C144" s="76">
        <f>+C143-'[1]ES F '!B12</f>
        <v>0</v>
      </c>
      <c r="D144" s="77"/>
      <c r="E144" s="76"/>
      <c r="R144" s="4" t="str">
        <f>+CONCATENATE(S144,",",T144,U144,".00")</f>
        <v>0,.00</v>
      </c>
      <c r="S144" s="4" t="str">
        <f>MID(D143,1,3)</f>
        <v>0</v>
      </c>
      <c r="T144" s="4" t="str">
        <f>MID(D143,4,3)</f>
        <v/>
      </c>
      <c r="U144" s="4" t="str">
        <f>MID(E143,7,3)</f>
        <v/>
      </c>
    </row>
    <row r="145" spans="1:26" s="45" customFormat="1" hidden="1" x14ac:dyDescent="0.25">
      <c r="B145" s="55" t="str">
        <f>("Cambio porcentual con relación al "&amp;$D$118&amp;".")</f>
        <v>Cambio porcentual con relación al 2024.</v>
      </c>
      <c r="C145" s="56"/>
      <c r="D145" s="78" t="e">
        <f>IF(E145&gt;=0,"Aumento","Disminución")</f>
        <v>#DIV/0!</v>
      </c>
      <c r="E145" s="58" t="e">
        <f>+E143/D143</f>
        <v>#DIV/0!</v>
      </c>
      <c r="J145" s="49"/>
      <c r="K145" s="49"/>
      <c r="N145" s="49"/>
      <c r="R145" s="50"/>
      <c r="S145" s="50"/>
      <c r="T145" s="50"/>
      <c r="U145" s="50"/>
      <c r="V145" s="50"/>
      <c r="W145" s="50"/>
      <c r="X145" s="50"/>
      <c r="Y145" s="50"/>
      <c r="Z145" s="49"/>
    </row>
    <row r="146" spans="1:26" s="45" customFormat="1" x14ac:dyDescent="0.25">
      <c r="B146" s="62"/>
      <c r="C146" s="62"/>
      <c r="D146" s="60"/>
      <c r="E146" s="63"/>
      <c r="J146" s="49"/>
      <c r="K146" s="49"/>
      <c r="N146" s="49"/>
      <c r="R146" s="50"/>
      <c r="S146" s="50"/>
      <c r="T146" s="50"/>
      <c r="U146" s="50"/>
      <c r="V146" s="50"/>
      <c r="W146" s="50"/>
      <c r="X146" s="50"/>
      <c r="Y146" s="50"/>
      <c r="Z146" s="49"/>
    </row>
    <row r="147" spans="1:26" x14ac:dyDescent="0.25">
      <c r="B147" s="65" t="s">
        <v>112</v>
      </c>
    </row>
    <row r="148" spans="1:26" ht="18.75" customHeight="1" x14ac:dyDescent="0.25">
      <c r="B148" s="64" t="s">
        <v>113</v>
      </c>
      <c r="C148" s="64"/>
      <c r="D148" s="64"/>
      <c r="E148" s="64"/>
    </row>
    <row r="149" spans="1:26" ht="36" customHeight="1" x14ac:dyDescent="0.25">
      <c r="B149" s="14" t="str">
        <f>("Un detalle de las "&amp;B148&amp;" al "&amp;[1]BALANZA!$B$3&amp;""&amp;[1]BALANZA!$C$3&amp;" es como se detalla a continuación:")</f>
        <v>Un detalle de las Cuentas por cobrar a corto plazo al 31 de Mayo del 2025- 2024 es como se detalla a continuación:</v>
      </c>
      <c r="C149" s="32"/>
      <c r="D149" s="32"/>
      <c r="E149" s="32"/>
      <c r="L149" s="2" t="s">
        <v>114</v>
      </c>
    </row>
    <row r="150" spans="1:26" ht="51" customHeight="1" x14ac:dyDescent="0.25">
      <c r="A150" s="79"/>
      <c r="B150" s="80" t="str">
        <f>("Las Cuentas por cobrar  están representados por las partidas  Cuentas por cobrar Empleados, Para el "&amp;C151&amp;" el monto total de estas partidas fue por RD$ "&amp;R154&amp;" y para el "&amp;D151&amp;" el monto era RD$ "&amp;R155&amp;"  ,   de Según el siguiente detalle:")</f>
        <v>Las Cuentas por cobrar  están representados por las partidas  Cuentas por cobrar Empleados, Para el 2025 el monto total de estas partidas fue por RD$ 0.00 y para el 2024 el monto era RD$ 1,350.12  ,   de Según el siguiente detalle:</v>
      </c>
      <c r="C150" s="80"/>
      <c r="D150" s="80"/>
      <c r="E150" s="80"/>
    </row>
    <row r="151" spans="1:26" x14ac:dyDescent="0.25">
      <c r="B151" s="33" t="s">
        <v>96</v>
      </c>
      <c r="C151" s="33">
        <f>+C379</f>
        <v>2025</v>
      </c>
      <c r="D151" s="33">
        <f>+D379</f>
        <v>2024</v>
      </c>
      <c r="E151" s="33" t="s">
        <v>97</v>
      </c>
    </row>
    <row r="152" spans="1:26" ht="17.25" customHeight="1" x14ac:dyDescent="0.25">
      <c r="B152" s="41" t="s">
        <v>115</v>
      </c>
      <c r="C152" s="81">
        <f>+'[1]BALANZA G'!C34-C153</f>
        <v>0</v>
      </c>
      <c r="D152" s="82">
        <v>13208228.880000001</v>
      </c>
      <c r="E152" s="83">
        <f>+C152-D152</f>
        <v>-13208228.880000001</v>
      </c>
    </row>
    <row r="153" spans="1:26" x14ac:dyDescent="0.25">
      <c r="B153" s="41" t="s">
        <v>116</v>
      </c>
      <c r="C153" s="84">
        <f>+'[1]BALANZA G'!C34</f>
        <v>0</v>
      </c>
      <c r="D153" s="39">
        <f>+'[1]BALANZA G'!D34-D152</f>
        <v>-13206878.760000002</v>
      </c>
      <c r="E153" s="83">
        <f>+C153-D153</f>
        <v>13206878.760000002</v>
      </c>
    </row>
    <row r="154" spans="1:26" x14ac:dyDescent="0.25">
      <c r="B154" s="85" t="s">
        <v>117</v>
      </c>
      <c r="C154" s="47">
        <f>SUM(C152:C153)</f>
        <v>0</v>
      </c>
      <c r="D154" s="47">
        <f>SUM(D152:D153)</f>
        <v>1350.1199999991804</v>
      </c>
      <c r="E154" s="47">
        <f>SUM(E152:E153)</f>
        <v>-1350.1199999991804</v>
      </c>
      <c r="R154" s="4" t="str">
        <f>+CONCATENATE(S154,"",T154,U154,".00")</f>
        <v>0.00</v>
      </c>
      <c r="S154" s="4" t="str">
        <f>MID(C154,1,1)</f>
        <v>0</v>
      </c>
      <c r="T154" s="4" t="str">
        <f>MID(C154,2,3)</f>
        <v/>
      </c>
      <c r="U154" s="4" t="str">
        <f>MID(C154,5,3)</f>
        <v/>
      </c>
      <c r="V154" s="4" t="str">
        <f>MID(C154,9,3)</f>
        <v/>
      </c>
    </row>
    <row r="155" spans="1:26" x14ac:dyDescent="0.25">
      <c r="B155" s="86"/>
      <c r="C155" s="87"/>
      <c r="D155" s="88"/>
      <c r="E155" s="89"/>
      <c r="R155" s="4" t="str">
        <f>+CONCATENATE(S155,",",T155,U155,V155,"2")</f>
        <v>1,350.12</v>
      </c>
      <c r="S155" s="4" t="str">
        <f>MID(D154,1,1)</f>
        <v>1</v>
      </c>
      <c r="T155" s="4" t="str">
        <f>MID(D154,2,3)</f>
        <v>350</v>
      </c>
      <c r="U155" s="4" t="str">
        <f>MID(D154,5,2)</f>
        <v>.1</v>
      </c>
    </row>
    <row r="156" spans="1:26" s="45" customFormat="1" x14ac:dyDescent="0.25">
      <c r="B156" s="55" t="str">
        <f>("Cambio porcentual con relación al "&amp;$D$118&amp;".")</f>
        <v>Cambio porcentual con relación al 2024.</v>
      </c>
      <c r="C156" s="56"/>
      <c r="D156" s="57" t="str">
        <f>IF(E156&gt;=0,"Aumento","Disminución")</f>
        <v>Disminución</v>
      </c>
      <c r="E156" s="90">
        <f>IFERROR(+E154/D154,0)</f>
        <v>-1</v>
      </c>
      <c r="J156" s="49"/>
      <c r="K156" s="49"/>
      <c r="N156" s="49"/>
      <c r="R156" s="50"/>
      <c r="S156" s="50"/>
      <c r="T156" s="50"/>
      <c r="U156" s="50"/>
      <c r="V156" s="50"/>
      <c r="W156" s="50"/>
      <c r="X156" s="50"/>
      <c r="Y156" s="50"/>
      <c r="Z156" s="49"/>
    </row>
    <row r="157" spans="1:26" ht="9" customHeight="1" x14ac:dyDescent="0.25">
      <c r="B157" s="91"/>
    </row>
    <row r="158" spans="1:26" ht="80.25" customHeight="1" x14ac:dyDescent="0.25">
      <c r="B158" s="92" t="s">
        <v>118</v>
      </c>
      <c r="C158" s="92"/>
      <c r="D158" s="92"/>
      <c r="E158" s="92"/>
    </row>
    <row r="159" spans="1:26" x14ac:dyDescent="0.25">
      <c r="B159" s="91"/>
    </row>
    <row r="160" spans="1:26" x14ac:dyDescent="0.25">
      <c r="B160" s="64" t="s">
        <v>119</v>
      </c>
      <c r="C160" s="64"/>
      <c r="D160" s="64"/>
      <c r="E160" s="64"/>
    </row>
    <row r="161" spans="2:26" x14ac:dyDescent="0.25">
      <c r="B161" s="64" t="s">
        <v>120</v>
      </c>
      <c r="C161" s="64"/>
      <c r="D161" s="64"/>
      <c r="E161" s="64"/>
    </row>
    <row r="162" spans="2:26" ht="18.75" customHeight="1" x14ac:dyDescent="0.25">
      <c r="B162" s="14" t="str">
        <f>("Un detalle de las "&amp;B161&amp;" al "&amp;[1]BALANZA!$B$3&amp;""&amp;[1]BALANZA!$C$3&amp;" es como se detalla a continuación:")</f>
        <v>Un detalle de las Inventario al 31 de Mayo del 2025- 2024 es como se detalla a continuación:</v>
      </c>
      <c r="C162" s="32"/>
      <c r="D162" s="32"/>
      <c r="E162" s="32"/>
    </row>
    <row r="163" spans="2:26" ht="36" customHeight="1" x14ac:dyDescent="0.25">
      <c r="B163" s="21" t="str">
        <f>("Los  inventarios están representados por las partidas de materiales en existencia, Para el "&amp;[1]BALANZA!B4&amp;" RD$ "&amp;R168&amp;" y para el "&amp;[1]BALANZA!C4&amp;" RD$ "&amp;R169&amp;", Según el siguiente detalle:")</f>
        <v>Los  inventarios están representados por las partidas de materiales en existencia, Para el 2025 RD$ 20,985,438.98 y para el 2024 RD$ 18,382,280.28, Según el siguiente detalle:</v>
      </c>
      <c r="C163" s="21"/>
      <c r="D163" s="21"/>
      <c r="E163" s="21"/>
    </row>
    <row r="164" spans="2:26" ht="7.5" customHeight="1" x14ac:dyDescent="0.25">
      <c r="B164" s="91"/>
    </row>
    <row r="165" spans="2:26" x14ac:dyDescent="0.25">
      <c r="B165" s="33" t="s">
        <v>96</v>
      </c>
      <c r="C165" s="33">
        <f>+C379</f>
        <v>2025</v>
      </c>
      <c r="D165" s="33">
        <f>+D379</f>
        <v>2024</v>
      </c>
      <c r="E165" s="33" t="s">
        <v>97</v>
      </c>
    </row>
    <row r="166" spans="2:26" hidden="1" x14ac:dyDescent="0.25">
      <c r="B166" s="41" t="s">
        <v>109</v>
      </c>
      <c r="C166" s="84">
        <f>+'[1]BALANZA G'!C40</f>
        <v>0</v>
      </c>
      <c r="D166" s="39">
        <f>+'[1]BALANZA G'!D40</f>
        <v>0</v>
      </c>
      <c r="E166" s="93">
        <f>+C166-D166</f>
        <v>0</v>
      </c>
    </row>
    <row r="167" spans="2:26" ht="30" x14ac:dyDescent="0.25">
      <c r="B167" s="41" t="s">
        <v>121</v>
      </c>
      <c r="C167" s="84">
        <f>+'[1]BALANZA G'!C41</f>
        <v>20985438.98</v>
      </c>
      <c r="D167" s="94">
        <f>+'[1]BALANZA G'!D41</f>
        <v>18382280.280000001</v>
      </c>
      <c r="E167" s="95">
        <f>+C167-D167</f>
        <v>2603158.6999999993</v>
      </c>
    </row>
    <row r="168" spans="2:26" x14ac:dyDescent="0.25">
      <c r="B168" s="85" t="s">
        <v>122</v>
      </c>
      <c r="C168" s="47">
        <f>SUM(C166:C167)</f>
        <v>20985438.98</v>
      </c>
      <c r="D168" s="96">
        <f>SUM(D166:D167)</f>
        <v>18382280.280000001</v>
      </c>
      <c r="E168" s="47">
        <f>SUM(E166:E167)</f>
        <v>2603158.6999999993</v>
      </c>
      <c r="R168" s="4" t="str">
        <f>+CONCATENATE(S168,",",T168,",",U168,V168,AB168,"")</f>
        <v>20,985,438.98</v>
      </c>
      <c r="S168" s="4" t="str">
        <f>MID(C168,1,2)</f>
        <v>20</v>
      </c>
      <c r="T168" s="4" t="str">
        <f>MID(C168,3,3)</f>
        <v>985</v>
      </c>
      <c r="U168" s="4" t="str">
        <f>MID(C168,6,3)</f>
        <v>438</v>
      </c>
      <c r="V168" s="4" t="str">
        <f>MID(C168,9,3)</f>
        <v>.98</v>
      </c>
    </row>
    <row r="169" spans="2:26" x14ac:dyDescent="0.25">
      <c r="B169" s="86"/>
      <c r="C169" s="97">
        <f>+C168-'[1]ES F '!B15</f>
        <v>0</v>
      </c>
      <c r="D169" s="88"/>
      <c r="E169" s="89"/>
      <c r="R169" s="4" t="str">
        <f>+CONCATENATE(S169,",",T169,",",U169,V169,"")</f>
        <v>18,382,280.28</v>
      </c>
      <c r="S169" s="4" t="str">
        <f>MID(D168,1,2)</f>
        <v>18</v>
      </c>
      <c r="T169" s="4" t="str">
        <f>MID(D168,3,3)</f>
        <v>382</v>
      </c>
      <c r="U169" s="4" t="str">
        <f>MID(D168,6,3)</f>
        <v>280</v>
      </c>
      <c r="V169" s="4" t="str">
        <f>MID(D168,9,3)</f>
        <v>.28</v>
      </c>
    </row>
    <row r="170" spans="2:26" s="45" customFormat="1" x14ac:dyDescent="0.25">
      <c r="B170" s="55" t="str">
        <f>("Cambio porcentual con relación al "&amp;$D$118&amp;".")</f>
        <v>Cambio porcentual con relación al 2024.</v>
      </c>
      <c r="C170" s="56"/>
      <c r="D170" s="57" t="str">
        <f>IF(E170&gt;=0,"Aumento","Disminución")</f>
        <v>Aumento</v>
      </c>
      <c r="E170" s="90">
        <f>IFERROR((+E168/D168),0)</f>
        <v>0.14161239304093556</v>
      </c>
      <c r="J170" s="49"/>
      <c r="K170" s="49"/>
      <c r="N170" s="49"/>
      <c r="R170" s="50"/>
      <c r="S170" s="50"/>
      <c r="T170" s="50"/>
      <c r="U170" s="50"/>
      <c r="V170" s="50"/>
      <c r="W170" s="50"/>
      <c r="X170" s="50"/>
      <c r="Y170" s="50"/>
      <c r="Z170" s="49"/>
    </row>
    <row r="171" spans="2:26" s="45" customFormat="1" x14ac:dyDescent="0.25">
      <c r="B171" s="59"/>
      <c r="C171" s="59"/>
      <c r="D171" s="60"/>
      <c r="E171" s="63"/>
      <c r="J171" s="49"/>
      <c r="K171" s="49"/>
      <c r="N171" s="49"/>
      <c r="R171" s="50"/>
      <c r="S171" s="50"/>
      <c r="T171" s="50"/>
      <c r="U171" s="50"/>
      <c r="V171" s="50"/>
      <c r="W171" s="50"/>
      <c r="X171" s="50"/>
      <c r="Y171" s="50"/>
      <c r="Z171" s="49"/>
    </row>
    <row r="172" spans="2:26" s="45" customFormat="1" x14ac:dyDescent="0.25">
      <c r="B172" s="59"/>
      <c r="C172" s="59"/>
      <c r="D172" s="60"/>
      <c r="E172" s="63"/>
      <c r="J172" s="49"/>
      <c r="K172" s="49"/>
      <c r="N172" s="49"/>
      <c r="R172" s="50"/>
      <c r="S172" s="50"/>
      <c r="T172" s="50"/>
      <c r="U172" s="50"/>
      <c r="V172" s="50"/>
      <c r="W172" s="50"/>
      <c r="X172" s="50"/>
      <c r="Y172" s="50"/>
      <c r="Z172" s="49"/>
    </row>
    <row r="173" spans="2:26" s="45" customFormat="1" x14ac:dyDescent="0.25">
      <c r="B173" s="59"/>
      <c r="C173" s="59"/>
      <c r="D173" s="60"/>
      <c r="E173" s="63"/>
      <c r="J173" s="49"/>
      <c r="K173" s="49"/>
      <c r="N173" s="49"/>
      <c r="R173" s="50"/>
      <c r="S173" s="50"/>
      <c r="T173" s="50"/>
      <c r="U173" s="50"/>
      <c r="V173" s="50"/>
      <c r="W173" s="50"/>
      <c r="X173" s="50"/>
      <c r="Y173" s="50"/>
      <c r="Z173" s="49"/>
    </row>
    <row r="174" spans="2:26" s="45" customFormat="1" x14ac:dyDescent="0.25">
      <c r="B174" s="59"/>
      <c r="C174" s="59"/>
      <c r="D174" s="60"/>
      <c r="E174" s="63"/>
      <c r="J174" s="49"/>
      <c r="K174" s="49"/>
      <c r="N174" s="49"/>
      <c r="R174" s="50"/>
      <c r="S174" s="50"/>
      <c r="T174" s="50"/>
      <c r="U174" s="50"/>
      <c r="V174" s="50"/>
      <c r="W174" s="50"/>
      <c r="X174" s="50"/>
      <c r="Y174" s="50"/>
      <c r="Z174" s="49"/>
    </row>
    <row r="175" spans="2:26" s="45" customFormat="1" x14ac:dyDescent="0.25">
      <c r="B175" s="59"/>
      <c r="C175" s="59"/>
      <c r="D175" s="60"/>
      <c r="E175" s="63"/>
      <c r="J175" s="49"/>
      <c r="K175" s="49"/>
      <c r="N175" s="49"/>
      <c r="R175" s="50"/>
      <c r="S175" s="50"/>
      <c r="T175" s="50"/>
      <c r="U175" s="50"/>
      <c r="V175" s="50"/>
      <c r="W175" s="50"/>
      <c r="X175" s="50"/>
      <c r="Y175" s="50"/>
      <c r="Z175" s="49"/>
    </row>
    <row r="176" spans="2:26" s="45" customFormat="1" x14ac:dyDescent="0.25">
      <c r="B176" s="59"/>
      <c r="C176" s="59"/>
      <c r="D176" s="60"/>
      <c r="E176" s="63"/>
      <c r="J176" s="49"/>
      <c r="K176" s="49"/>
      <c r="N176" s="49"/>
      <c r="R176" s="50"/>
      <c r="S176" s="50"/>
      <c r="T176" s="50"/>
      <c r="U176" s="50"/>
      <c r="V176" s="50"/>
      <c r="W176" s="50"/>
      <c r="X176" s="50"/>
      <c r="Y176" s="50"/>
      <c r="Z176" s="49"/>
    </row>
    <row r="177" spans="2:26" s="45" customFormat="1" x14ac:dyDescent="0.25">
      <c r="B177" s="59"/>
      <c r="C177" s="59"/>
      <c r="D177" s="60"/>
      <c r="E177" s="63"/>
      <c r="J177" s="49"/>
      <c r="K177" s="49"/>
      <c r="N177" s="49"/>
      <c r="R177" s="50"/>
      <c r="S177" s="50"/>
      <c r="T177" s="50"/>
      <c r="U177" s="50"/>
      <c r="V177" s="50"/>
      <c r="W177" s="50"/>
      <c r="X177" s="50"/>
      <c r="Y177" s="50"/>
      <c r="Z177" s="49"/>
    </row>
    <row r="178" spans="2:26" s="45" customFormat="1" x14ac:dyDescent="0.25">
      <c r="B178" s="59"/>
      <c r="C178" s="59"/>
      <c r="D178" s="60"/>
      <c r="E178" s="63"/>
      <c r="J178" s="49"/>
      <c r="K178" s="49"/>
      <c r="N178" s="49"/>
      <c r="R178" s="50"/>
      <c r="S178" s="50"/>
      <c r="T178" s="50"/>
      <c r="U178" s="50"/>
      <c r="V178" s="50"/>
      <c r="W178" s="50"/>
      <c r="X178" s="50"/>
      <c r="Y178" s="50"/>
      <c r="Z178" s="49"/>
    </row>
    <row r="179" spans="2:26" s="45" customFormat="1" x14ac:dyDescent="0.25">
      <c r="B179" s="59"/>
      <c r="C179" s="59"/>
      <c r="D179" s="60"/>
      <c r="E179" s="63"/>
      <c r="J179" s="49"/>
      <c r="K179" s="49"/>
      <c r="N179" s="49"/>
      <c r="R179" s="50"/>
      <c r="S179" s="50"/>
      <c r="T179" s="50"/>
      <c r="U179" s="50"/>
      <c r="V179" s="50"/>
      <c r="W179" s="50"/>
      <c r="X179" s="50"/>
      <c r="Y179" s="50"/>
      <c r="Z179" s="49"/>
    </row>
    <row r="180" spans="2:26" s="45" customFormat="1" x14ac:dyDescent="0.25">
      <c r="B180" s="59"/>
      <c r="C180" s="59"/>
      <c r="D180" s="60"/>
      <c r="E180" s="63"/>
      <c r="J180" s="49"/>
      <c r="K180" s="49"/>
      <c r="N180" s="49"/>
      <c r="R180" s="50"/>
      <c r="S180" s="50"/>
      <c r="T180" s="50"/>
      <c r="U180" s="50"/>
      <c r="V180" s="50"/>
      <c r="W180" s="50"/>
      <c r="X180" s="50"/>
      <c r="Y180" s="50"/>
      <c r="Z180" s="49"/>
    </row>
    <row r="181" spans="2:26" s="45" customFormat="1" x14ac:dyDescent="0.25">
      <c r="B181" s="59"/>
      <c r="C181" s="59"/>
      <c r="D181" s="60"/>
      <c r="E181" s="63"/>
      <c r="J181" s="49"/>
      <c r="K181" s="49"/>
      <c r="N181" s="49"/>
      <c r="R181" s="50"/>
      <c r="S181" s="50"/>
      <c r="T181" s="50"/>
      <c r="U181" s="50"/>
      <c r="V181" s="50"/>
      <c r="W181" s="50"/>
      <c r="X181" s="50"/>
      <c r="Y181" s="50"/>
      <c r="Z181" s="49"/>
    </row>
    <row r="182" spans="2:26" s="45" customFormat="1" x14ac:dyDescent="0.25">
      <c r="B182" s="59"/>
      <c r="C182" s="59"/>
      <c r="D182" s="60"/>
      <c r="E182" s="63"/>
      <c r="J182" s="49"/>
      <c r="K182" s="49"/>
      <c r="N182" s="49"/>
      <c r="R182" s="50"/>
      <c r="S182" s="50"/>
      <c r="T182" s="50"/>
      <c r="U182" s="50"/>
      <c r="V182" s="50"/>
      <c r="W182" s="50"/>
      <c r="X182" s="50"/>
      <c r="Y182" s="50"/>
      <c r="Z182" s="49"/>
    </row>
    <row r="183" spans="2:26" s="45" customFormat="1" x14ac:dyDescent="0.25">
      <c r="B183" s="59"/>
      <c r="C183" s="59"/>
      <c r="D183" s="60"/>
      <c r="E183" s="63"/>
      <c r="J183" s="49"/>
      <c r="K183" s="49"/>
      <c r="N183" s="49"/>
      <c r="R183" s="50"/>
      <c r="S183" s="50"/>
      <c r="T183" s="50"/>
      <c r="U183" s="50"/>
      <c r="V183" s="50"/>
      <c r="W183" s="50"/>
      <c r="X183" s="50"/>
      <c r="Y183" s="50"/>
      <c r="Z183" s="49"/>
    </row>
    <row r="184" spans="2:26" s="45" customFormat="1" x14ac:dyDescent="0.25">
      <c r="B184" s="59"/>
      <c r="C184" s="59"/>
      <c r="D184" s="60"/>
      <c r="E184" s="63"/>
      <c r="J184" s="49"/>
      <c r="K184" s="49"/>
      <c r="N184" s="49"/>
      <c r="R184" s="50"/>
      <c r="S184" s="50"/>
      <c r="T184" s="50"/>
      <c r="U184" s="50"/>
      <c r="V184" s="50"/>
      <c r="W184" s="50"/>
      <c r="X184" s="50"/>
      <c r="Y184" s="50"/>
      <c r="Z184" s="49"/>
    </row>
    <row r="185" spans="2:26" ht="6" customHeight="1" x14ac:dyDescent="0.25">
      <c r="B185" s="21"/>
      <c r="C185" s="21"/>
      <c r="D185" s="21"/>
      <c r="E185" s="21"/>
    </row>
    <row r="186" spans="2:26" ht="6" customHeight="1" x14ac:dyDescent="0.25">
      <c r="B186" s="16"/>
      <c r="C186" s="16"/>
      <c r="D186" s="16"/>
      <c r="E186" s="16"/>
    </row>
    <row r="187" spans="2:26" ht="6" customHeight="1" x14ac:dyDescent="0.25">
      <c r="B187" s="16"/>
      <c r="C187" s="16"/>
      <c r="D187" s="16"/>
      <c r="E187" s="16"/>
    </row>
    <row r="188" spans="2:26" ht="6" customHeight="1" x14ac:dyDescent="0.25">
      <c r="B188" s="16"/>
      <c r="C188" s="16"/>
      <c r="D188" s="16"/>
      <c r="E188" s="16"/>
    </row>
    <row r="189" spans="2:26" ht="6" customHeight="1" x14ac:dyDescent="0.25">
      <c r="B189" s="16"/>
      <c r="C189" s="16"/>
      <c r="D189" s="16"/>
      <c r="E189" s="16"/>
    </row>
    <row r="190" spans="2:26" ht="6" customHeight="1" x14ac:dyDescent="0.25">
      <c r="B190" s="16"/>
      <c r="C190" s="16"/>
      <c r="D190" s="16"/>
      <c r="E190" s="16"/>
    </row>
    <row r="191" spans="2:26" ht="6" customHeight="1" x14ac:dyDescent="0.25">
      <c r="B191" s="16"/>
      <c r="C191" s="16"/>
      <c r="D191" s="16"/>
      <c r="E191" s="16"/>
    </row>
    <row r="192" spans="2:26" ht="6" customHeight="1" x14ac:dyDescent="0.25">
      <c r="B192" s="16"/>
      <c r="C192" s="16"/>
      <c r="D192" s="16"/>
      <c r="E192" s="16"/>
    </row>
    <row r="193" spans="2:21" ht="6" customHeight="1" x14ac:dyDescent="0.25">
      <c r="B193" s="16"/>
      <c r="C193" s="16"/>
      <c r="D193" s="16"/>
      <c r="E193" s="16"/>
    </row>
    <row r="194" spans="2:21" ht="6" customHeight="1" x14ac:dyDescent="0.25">
      <c r="B194" s="16"/>
      <c r="C194" s="16"/>
      <c r="D194" s="16"/>
      <c r="E194" s="16"/>
    </row>
    <row r="195" spans="2:21" ht="6" customHeight="1" x14ac:dyDescent="0.25">
      <c r="B195" s="16"/>
      <c r="C195" s="16"/>
      <c r="D195" s="16"/>
      <c r="E195" s="16"/>
    </row>
    <row r="196" spans="2:21" ht="12" customHeight="1" x14ac:dyDescent="0.25">
      <c r="B196" s="16"/>
      <c r="C196" s="16"/>
      <c r="D196" s="16"/>
      <c r="E196" s="16"/>
    </row>
    <row r="197" spans="2:21" ht="6" customHeight="1" x14ac:dyDescent="0.25">
      <c r="B197" s="16"/>
      <c r="C197" s="16"/>
      <c r="D197" s="16"/>
      <c r="E197" s="16"/>
    </row>
    <row r="198" spans="2:21" ht="6" customHeight="1" x14ac:dyDescent="0.25">
      <c r="B198" s="16"/>
      <c r="C198" s="16"/>
      <c r="D198" s="16"/>
      <c r="E198" s="16"/>
    </row>
    <row r="199" spans="2:21" ht="16.5" customHeight="1" x14ac:dyDescent="0.25">
      <c r="B199" s="65" t="s">
        <v>123</v>
      </c>
      <c r="C199" s="16"/>
      <c r="D199" s="98"/>
      <c r="E199" s="16"/>
    </row>
    <row r="200" spans="2:21" ht="16.5" customHeight="1" x14ac:dyDescent="0.25">
      <c r="B200" s="65" t="s">
        <v>124</v>
      </c>
      <c r="C200" s="16"/>
      <c r="D200" s="98"/>
      <c r="E200" s="16"/>
    </row>
    <row r="201" spans="2:21" ht="27.75" customHeight="1" x14ac:dyDescent="0.25">
      <c r="B201" s="14" t="str">
        <f>("Un detalle del "&amp;B200&amp;" al "&amp;[1]BALANZA!$B$3&amp;" "&amp;[1]BALANZA!$C$3&amp;" es como se detalla a continuación:")</f>
        <v>Un detalle del Pagos anticipados al 31 de Mayo del 2025 - 2024 es como se detalla a continuación:</v>
      </c>
      <c r="C201" s="32"/>
      <c r="D201" s="32"/>
      <c r="E201" s="32"/>
    </row>
    <row r="202" spans="2:21" ht="41.25" customHeight="1" x14ac:dyDescent="0.25">
      <c r="B202" s="21" t="str">
        <f>("Los  pagos anticipados están representados por las partidas de seguros pagados por adelantado, Para el "&amp;[1]BALANZA!B4&amp;" el monto ascendio  a RD$ "&amp;R210&amp;" y para el "&amp;[1]BALANZA!C4&amp;" el monto era RD$ "&amp;R211&amp;", Según el siguiente detalle:")</f>
        <v>Los  pagos anticipados están representados por las partidas de seguros pagados por adelantado, Para el 2025 el monto ascendio  a RD$ 187,691.84 y para el 2024 el monto era RD$ 422,306.74, Según el siguiente detalle:</v>
      </c>
      <c r="C202" s="21"/>
      <c r="D202" s="21"/>
      <c r="E202" s="21"/>
    </row>
    <row r="203" spans="2:21" x14ac:dyDescent="0.25">
      <c r="B203" s="91"/>
    </row>
    <row r="204" spans="2:21" x14ac:dyDescent="0.25">
      <c r="B204" s="33" t="s">
        <v>96</v>
      </c>
      <c r="C204" s="36">
        <f>+C165</f>
        <v>2025</v>
      </c>
      <c r="D204" s="36">
        <f>+D165</f>
        <v>2024</v>
      </c>
      <c r="E204" s="33" t="s">
        <v>97</v>
      </c>
    </row>
    <row r="205" spans="2:21" ht="15" customHeight="1" x14ac:dyDescent="0.25">
      <c r="B205" s="41" t="s">
        <v>125</v>
      </c>
      <c r="C205" s="84">
        <f>+D209</f>
        <v>422306.74</v>
      </c>
      <c r="D205" s="39">
        <f>+D209-D207-D206</f>
        <v>841536.45</v>
      </c>
      <c r="E205" s="83">
        <f>+C205-D205</f>
        <v>-419229.70999999996</v>
      </c>
    </row>
    <row r="206" spans="2:21" ht="15" customHeight="1" x14ac:dyDescent="0.25">
      <c r="B206" s="41" t="s">
        <v>126</v>
      </c>
      <c r="C206" s="99">
        <f>+C209-C205-C207</f>
        <v>45048.24000000002</v>
      </c>
      <c r="D206" s="39">
        <f>205890.43+32007.08</f>
        <v>237897.51</v>
      </c>
      <c r="E206" s="83">
        <f>+C206-D206</f>
        <v>-192849.27</v>
      </c>
    </row>
    <row r="207" spans="2:21" ht="15" customHeight="1" x14ac:dyDescent="0.25">
      <c r="B207" s="41" t="s">
        <v>127</v>
      </c>
      <c r="C207" s="100">
        <f>-'[1]Notas NF'!C617</f>
        <v>-279663.14</v>
      </c>
      <c r="D207" s="100">
        <f>-'[1]Notas NF'!D617</f>
        <v>-657127.22</v>
      </c>
      <c r="E207" s="83">
        <f>+C207-D207</f>
        <v>377464.07999999996</v>
      </c>
      <c r="U207" s="101"/>
    </row>
    <row r="208" spans="2:21" ht="15" customHeight="1" x14ac:dyDescent="0.25">
      <c r="B208" s="41"/>
      <c r="C208" s="84"/>
      <c r="D208" s="84"/>
      <c r="E208" s="83"/>
    </row>
    <row r="209" spans="2:26" x14ac:dyDescent="0.25">
      <c r="B209" s="41" t="s">
        <v>128</v>
      </c>
      <c r="C209" s="84">
        <f>+'[1]BALANZA G'!C48</f>
        <v>187691.84</v>
      </c>
      <c r="D209" s="94">
        <f>+'[1]BALANZA G'!D48</f>
        <v>422306.74</v>
      </c>
      <c r="E209" s="83">
        <f>+C209-D209</f>
        <v>-234614.9</v>
      </c>
    </row>
    <row r="210" spans="2:26" x14ac:dyDescent="0.25">
      <c r="B210" s="85" t="s">
        <v>129</v>
      </c>
      <c r="C210" s="47">
        <f>SUM(C209:C209)</f>
        <v>187691.84</v>
      </c>
      <c r="D210" s="47">
        <f>SUM(D209:D209)</f>
        <v>422306.74</v>
      </c>
      <c r="E210" s="102">
        <f>+C210-D210</f>
        <v>-234614.9</v>
      </c>
      <c r="R210" s="4" t="str">
        <f>+CONCATENATE(S210,",",T210,U210,"")</f>
        <v>187,691.84</v>
      </c>
      <c r="S210" s="4" t="str">
        <f>MID(C210,1,3)</f>
        <v>187</v>
      </c>
      <c r="T210" s="4" t="str">
        <f>MID(C210,4,3)</f>
        <v>691</v>
      </c>
      <c r="U210" s="4" t="str">
        <f>MID(C210,7,3)</f>
        <v>.84</v>
      </c>
    </row>
    <row r="211" spans="2:26" x14ac:dyDescent="0.25">
      <c r="B211" s="103"/>
      <c r="C211" s="104">
        <f>+C210-'[1]ES F '!B16</f>
        <v>0</v>
      </c>
      <c r="D211" s="105"/>
      <c r="E211" s="106"/>
      <c r="R211" s="4" t="str">
        <f>+CONCATENATE(S211,",",T211,U211)</f>
        <v>422,306.74</v>
      </c>
      <c r="S211" s="4" t="str">
        <f>MID(D210,1,3)</f>
        <v>422</v>
      </c>
      <c r="T211" s="4" t="str">
        <f>MID(D210,4,3)</f>
        <v>306</v>
      </c>
      <c r="U211" s="4" t="str">
        <f>MID(D210,7,3)</f>
        <v>.74</v>
      </c>
    </row>
    <row r="212" spans="2:26" s="45" customFormat="1" x14ac:dyDescent="0.25">
      <c r="B212" s="55" t="str">
        <f>("Cambio porcentual con relación al "&amp;$D$118&amp;".")</f>
        <v>Cambio porcentual con relación al 2024.</v>
      </c>
      <c r="C212" s="56"/>
      <c r="D212" s="57" t="str">
        <f>IF(E212&gt;=0,"Aumento","Disminución")</f>
        <v>Disminución</v>
      </c>
      <c r="E212" s="90">
        <f>IFERROR((+E210/D210),0)</f>
        <v>-0.55555566079764673</v>
      </c>
      <c r="J212" s="49"/>
      <c r="K212" s="49"/>
      <c r="N212" s="49"/>
      <c r="R212" s="50"/>
      <c r="S212" s="50"/>
      <c r="T212" s="50"/>
      <c r="U212" s="50"/>
      <c r="V212" s="50"/>
      <c r="W212" s="50"/>
      <c r="X212" s="50"/>
      <c r="Y212" s="50"/>
      <c r="Z212" s="49"/>
    </row>
    <row r="213" spans="2:26" ht="16.5" customHeight="1" x14ac:dyDescent="0.25">
      <c r="B213" s="65"/>
      <c r="C213" s="16"/>
      <c r="D213" s="98"/>
      <c r="E213" s="16"/>
    </row>
    <row r="214" spans="2:26" ht="16.5" customHeight="1" x14ac:dyDescent="0.25">
      <c r="B214" s="65"/>
      <c r="C214" s="107"/>
      <c r="D214" s="98"/>
      <c r="E214" s="16"/>
    </row>
    <row r="215" spans="2:26" ht="14.25" customHeight="1" x14ac:dyDescent="0.25">
      <c r="B215" s="65" t="s">
        <v>130</v>
      </c>
      <c r="C215" s="107"/>
      <c r="D215" s="98"/>
      <c r="E215" s="16"/>
    </row>
    <row r="216" spans="2:26" x14ac:dyDescent="0.25">
      <c r="B216" s="65" t="s">
        <v>131</v>
      </c>
    </row>
    <row r="217" spans="2:26" ht="28.5" customHeight="1" x14ac:dyDescent="0.25">
      <c r="B217" s="14" t="str">
        <f>("Un detalle de "&amp;B216&amp;" al "&amp;[1]BALANZA!$B$3&amp;" "&amp;[1]BALANZA!$C$3&amp;" es como se detalla a continuación:")</f>
        <v>Un detalle de Otros activos corrientes al 31 de Mayo del 2025 - 2024 es como se detalla a continuación:</v>
      </c>
      <c r="C217" s="32"/>
      <c r="D217" s="32"/>
      <c r="E217" s="32"/>
    </row>
    <row r="218" spans="2:26" ht="49.5" customHeight="1" x14ac:dyDescent="0.25">
      <c r="B218" s="21" t="str">
        <f>("Los depósitos o fianzas por los alquileres de locales de CORAAMOCA, vigentes, están registrado en el Estado de Balance General, dentro  de la partida de otros activos, en  periodos "&amp;[1]BALANZA!B4&amp;" el valor estaba en RD$ "&amp;R236&amp;".  Según detalles:")</f>
        <v>Los depósitos o fianzas por los alquileres de locales de CORAAMOCA, vigentes, están registrado en el Estado de Balance General, dentro  de la partida de otros activos, en  periodos 2025 el valor estaba en RD$ 0.00.  Según detalles:</v>
      </c>
      <c r="C218" s="21"/>
      <c r="D218" s="21"/>
      <c r="E218" s="21"/>
    </row>
    <row r="219" spans="2:26" ht="37.5" customHeight="1" x14ac:dyDescent="0.25">
      <c r="B219" s="21"/>
      <c r="C219" s="21"/>
      <c r="D219" s="21"/>
      <c r="E219" s="21"/>
    </row>
    <row r="220" spans="2:26" ht="14.25" customHeight="1" x14ac:dyDescent="0.25">
      <c r="B220" s="108"/>
    </row>
    <row r="221" spans="2:26" s="109" customFormat="1" ht="19.5" hidden="1" customHeight="1" x14ac:dyDescent="0.25">
      <c r="B221" s="33" t="s">
        <v>132</v>
      </c>
      <c r="C221" s="33" t="s">
        <v>133</v>
      </c>
      <c r="D221" s="110" t="s">
        <v>134</v>
      </c>
      <c r="E221" s="34" t="s">
        <v>135</v>
      </c>
      <c r="J221" s="111"/>
      <c r="K221" s="111"/>
      <c r="N221" s="111"/>
      <c r="R221" s="112"/>
      <c r="S221" s="112"/>
      <c r="T221" s="112"/>
      <c r="U221" s="112"/>
      <c r="V221" s="112"/>
      <c r="W221" s="112"/>
      <c r="X221" s="112"/>
      <c r="Y221" s="112"/>
      <c r="Z221" s="111"/>
    </row>
    <row r="222" spans="2:26" hidden="1" x14ac:dyDescent="0.25">
      <c r="B222" s="113" t="s">
        <v>136</v>
      </c>
      <c r="C222" s="114" t="s">
        <v>137</v>
      </c>
      <c r="D222" s="115">
        <v>12000</v>
      </c>
      <c r="E222" s="116">
        <f>+D222</f>
        <v>12000</v>
      </c>
    </row>
    <row r="223" spans="2:26" hidden="1" x14ac:dyDescent="0.25">
      <c r="B223" s="113" t="s">
        <v>138</v>
      </c>
      <c r="C223" s="114" t="s">
        <v>139</v>
      </c>
      <c r="D223" s="115">
        <v>21000</v>
      </c>
      <c r="E223" s="116">
        <f t="shared" ref="E223:E230" si="1">+D223</f>
        <v>21000</v>
      </c>
    </row>
    <row r="224" spans="2:26" hidden="1" x14ac:dyDescent="0.25">
      <c r="B224" s="113" t="s">
        <v>140</v>
      </c>
      <c r="C224" s="114" t="s">
        <v>141</v>
      </c>
      <c r="D224" s="115">
        <v>28500</v>
      </c>
      <c r="E224" s="116">
        <f t="shared" si="1"/>
        <v>28500</v>
      </c>
    </row>
    <row r="225" spans="2:26" hidden="1" x14ac:dyDescent="0.25">
      <c r="B225" s="113" t="s">
        <v>142</v>
      </c>
      <c r="C225" s="114" t="s">
        <v>143</v>
      </c>
      <c r="D225" s="115">
        <v>33336</v>
      </c>
      <c r="E225" s="116">
        <f t="shared" si="1"/>
        <v>33336</v>
      </c>
    </row>
    <row r="226" spans="2:26" hidden="1" x14ac:dyDescent="0.25">
      <c r="B226" s="117" t="s">
        <v>144</v>
      </c>
      <c r="C226" s="118" t="s">
        <v>145</v>
      </c>
      <c r="D226" s="119">
        <v>20000</v>
      </c>
      <c r="E226" s="116">
        <f t="shared" si="1"/>
        <v>20000</v>
      </c>
    </row>
    <row r="227" spans="2:26" hidden="1" x14ac:dyDescent="0.25">
      <c r="B227" s="117" t="s">
        <v>146</v>
      </c>
      <c r="C227" s="118" t="s">
        <v>147</v>
      </c>
      <c r="D227" s="119">
        <v>18000</v>
      </c>
      <c r="E227" s="116">
        <f t="shared" si="1"/>
        <v>18000</v>
      </c>
    </row>
    <row r="228" spans="2:26" hidden="1" x14ac:dyDescent="0.25">
      <c r="B228" s="117" t="s">
        <v>148</v>
      </c>
      <c r="C228" s="118" t="s">
        <v>149</v>
      </c>
      <c r="D228" s="119">
        <v>33336</v>
      </c>
      <c r="E228" s="116">
        <f t="shared" si="1"/>
        <v>33336</v>
      </c>
    </row>
    <row r="229" spans="2:26" hidden="1" x14ac:dyDescent="0.25">
      <c r="B229" s="117" t="s">
        <v>150</v>
      </c>
      <c r="C229" s="118" t="s">
        <v>151</v>
      </c>
      <c r="D229" s="119">
        <v>27000</v>
      </c>
      <c r="E229" s="116">
        <v>27000</v>
      </c>
    </row>
    <row r="230" spans="2:26" hidden="1" x14ac:dyDescent="0.25">
      <c r="B230" s="117"/>
      <c r="C230" s="118"/>
      <c r="D230" s="119"/>
      <c r="E230" s="116">
        <f t="shared" si="1"/>
        <v>0</v>
      </c>
    </row>
    <row r="231" spans="2:26" hidden="1" x14ac:dyDescent="0.25">
      <c r="B231" s="120" t="s">
        <v>152</v>
      </c>
      <c r="C231" s="120"/>
      <c r="D231" s="121"/>
      <c r="E231" s="122">
        <f>SUM(E222:E230)</f>
        <v>193172</v>
      </c>
    </row>
    <row r="232" spans="2:26" hidden="1" x14ac:dyDescent="0.25">
      <c r="B232" s="123"/>
      <c r="C232" s="123"/>
      <c r="D232" s="124"/>
      <c r="E232" s="87">
        <f>+E231-'[1]ES F '!B17</f>
        <v>193172</v>
      </c>
    </row>
    <row r="233" spans="2:26" ht="26.25" customHeight="1" x14ac:dyDescent="0.25">
      <c r="B233" s="33" t="s">
        <v>96</v>
      </c>
      <c r="C233" s="33">
        <f>+C151</f>
        <v>2025</v>
      </c>
      <c r="D233" s="33">
        <f>+D151</f>
        <v>2024</v>
      </c>
      <c r="E233" s="33" t="s">
        <v>97</v>
      </c>
    </row>
    <row r="234" spans="2:26" ht="15.75" hidden="1" customHeight="1" x14ac:dyDescent="0.25">
      <c r="B234" s="41" t="s">
        <v>109</v>
      </c>
      <c r="C234" s="84">
        <v>0</v>
      </c>
      <c r="D234" s="39">
        <v>0</v>
      </c>
      <c r="E234" s="93">
        <f>+C234-D234</f>
        <v>0</v>
      </c>
    </row>
    <row r="235" spans="2:26" x14ac:dyDescent="0.25">
      <c r="B235" s="41" t="s">
        <v>153</v>
      </c>
      <c r="C235" s="94">
        <f>+'[1]BALANZA G'!C46</f>
        <v>0</v>
      </c>
      <c r="D235" s="94">
        <f>+E231+10500-18000+13500-6000</f>
        <v>193172</v>
      </c>
      <c r="E235" s="3">
        <f>+C235-D235</f>
        <v>-193172</v>
      </c>
    </row>
    <row r="236" spans="2:26" s="125" customFormat="1" x14ac:dyDescent="0.25">
      <c r="B236" s="73" t="s">
        <v>154</v>
      </c>
      <c r="C236" s="74">
        <f>SUM(C234:C235)</f>
        <v>0</v>
      </c>
      <c r="D236" s="74">
        <f>SUM(D234:D235)</f>
        <v>193172</v>
      </c>
      <c r="E236" s="74">
        <f>SUM(E234:E235)</f>
        <v>-193172</v>
      </c>
      <c r="J236" s="126"/>
      <c r="K236" s="126"/>
      <c r="N236" s="126"/>
      <c r="R236" s="4" t="str">
        <f>+CONCATENATE(S236,"",T236,".00")</f>
        <v>0.00</v>
      </c>
      <c r="S236" s="4" t="str">
        <f>MID(C236,1,3)</f>
        <v>0</v>
      </c>
      <c r="T236" s="4" t="str">
        <f>MID(C236,4,3)</f>
        <v/>
      </c>
      <c r="U236" s="4" t="str">
        <f>MID(C236,7,3)</f>
        <v/>
      </c>
      <c r="V236" s="4" t="str">
        <f>MID(C236,9,3)</f>
        <v/>
      </c>
      <c r="W236" s="127"/>
      <c r="X236" s="127"/>
      <c r="Y236" s="127"/>
      <c r="Z236" s="126"/>
    </row>
    <row r="237" spans="2:26" s="125" customFormat="1" x14ac:dyDescent="0.25">
      <c r="B237" s="128"/>
      <c r="C237" s="129">
        <f>+C236-'[1]ES F '!B17</f>
        <v>0</v>
      </c>
      <c r="D237" s="130">
        <f>+D236-'[1]ES F '!C17</f>
        <v>0</v>
      </c>
      <c r="E237" s="129"/>
      <c r="J237" s="126"/>
      <c r="K237" s="126"/>
      <c r="N237" s="126"/>
      <c r="R237" s="4" t="str">
        <f>+CONCATENATE(S237,",",T237,".00")</f>
        <v>193,172.00</v>
      </c>
      <c r="S237" s="4" t="str">
        <f>MID(D236,1,3)</f>
        <v>193</v>
      </c>
      <c r="T237" s="4" t="str">
        <f>MID(D236,4,3)</f>
        <v>172</v>
      </c>
      <c r="U237" s="4" t="str">
        <f>MID(D236,7,3)</f>
        <v/>
      </c>
      <c r="V237" s="4" t="str">
        <f>MID(D236,8,3)</f>
        <v/>
      </c>
      <c r="W237" s="127"/>
      <c r="X237" s="127"/>
      <c r="Y237" s="127"/>
      <c r="Z237" s="126"/>
    </row>
    <row r="238" spans="2:26" s="131" customFormat="1" x14ac:dyDescent="0.25">
      <c r="B238" s="55" t="str">
        <f>("Cambio porcentual con relación al "&amp;$D$118&amp;".")</f>
        <v>Cambio porcentual con relación al 2024.</v>
      </c>
      <c r="C238" s="56"/>
      <c r="D238" s="132" t="str">
        <f>IF(E238&gt;=0,"Aumento","Disminución")</f>
        <v>Disminución</v>
      </c>
      <c r="E238" s="133">
        <f>IFERROR((+E236/D236),0)</f>
        <v>-1</v>
      </c>
      <c r="J238" s="134"/>
      <c r="K238" s="134"/>
      <c r="N238" s="134"/>
      <c r="R238" s="135"/>
      <c r="S238" s="135"/>
      <c r="T238" s="135"/>
      <c r="U238" s="135"/>
      <c r="V238" s="135"/>
      <c r="W238" s="135"/>
      <c r="X238" s="135"/>
      <c r="Y238" s="135"/>
      <c r="Z238" s="134"/>
    </row>
    <row r="239" spans="2:26" s="131" customFormat="1" x14ac:dyDescent="0.25">
      <c r="B239" s="136"/>
      <c r="C239" s="136"/>
      <c r="D239" s="137"/>
      <c r="E239" s="138"/>
      <c r="J239" s="134"/>
      <c r="K239" s="134"/>
      <c r="N239" s="134"/>
      <c r="R239" s="135"/>
      <c r="S239" s="135"/>
      <c r="T239" s="135"/>
      <c r="U239" s="135"/>
      <c r="V239" s="135"/>
      <c r="W239" s="135"/>
      <c r="X239" s="135"/>
      <c r="Y239" s="135"/>
      <c r="Z239" s="134"/>
    </row>
    <row r="240" spans="2:26" x14ac:dyDescent="0.25">
      <c r="B240" s="11"/>
    </row>
    <row r="241" spans="2:5" x14ac:dyDescent="0.25">
      <c r="B241" s="11"/>
    </row>
    <row r="242" spans="2:5" x14ac:dyDescent="0.25">
      <c r="B242" s="11"/>
    </row>
    <row r="243" spans="2:5" x14ac:dyDescent="0.25">
      <c r="B243" s="11"/>
    </row>
    <row r="244" spans="2:5" x14ac:dyDescent="0.25">
      <c r="B244" s="11"/>
    </row>
    <row r="245" spans="2:5" x14ac:dyDescent="0.25">
      <c r="B245" s="11"/>
    </row>
    <row r="246" spans="2:5" x14ac:dyDescent="0.25">
      <c r="B246" s="11"/>
    </row>
    <row r="247" spans="2:5" x14ac:dyDescent="0.25">
      <c r="B247" s="11"/>
    </row>
    <row r="248" spans="2:5" x14ac:dyDescent="0.25">
      <c r="B248" s="11"/>
    </row>
    <row r="249" spans="2:5" x14ac:dyDescent="0.25">
      <c r="B249" s="11"/>
    </row>
    <row r="250" spans="2:5" x14ac:dyDescent="0.25">
      <c r="B250" s="11"/>
    </row>
    <row r="251" spans="2:5" x14ac:dyDescent="0.25">
      <c r="B251" s="11"/>
    </row>
    <row r="252" spans="2:5" x14ac:dyDescent="0.25">
      <c r="B252" s="11"/>
    </row>
    <row r="253" spans="2:5" x14ac:dyDescent="0.25">
      <c r="B253" s="11" t="s">
        <v>130</v>
      </c>
    </row>
    <row r="254" spans="2:5" ht="19.5" customHeight="1" x14ac:dyDescent="0.25">
      <c r="B254" s="12" t="s">
        <v>155</v>
      </c>
      <c r="C254" s="12"/>
      <c r="D254" s="12"/>
      <c r="E254" s="12"/>
    </row>
    <row r="255" spans="2:5" ht="19.5" customHeight="1" x14ac:dyDescent="0.25">
      <c r="B255" s="14" t="str">
        <f>("Un detalle de "&amp;B254&amp;" al "&amp;[1]BALANZA!$B$3&amp;" "&amp;[1]BALANZA!$C$3&amp;" es como se detalla a continuación:")</f>
        <v>Un detalle de Propiedad planta y equipo al 31 de Mayo del 2025 - 2024 es como se detalla a continuación:</v>
      </c>
      <c r="C255" s="32"/>
      <c r="D255" s="32"/>
      <c r="E255" s="32"/>
    </row>
    <row r="256" spans="2:5" ht="19.5" customHeight="1" x14ac:dyDescent="0.25">
      <c r="B256" s="21" t="s">
        <v>156</v>
      </c>
      <c r="C256" s="21"/>
      <c r="D256" s="21"/>
      <c r="E256" s="21"/>
    </row>
    <row r="257" spans="2:7" ht="91.5" customHeight="1" x14ac:dyDescent="0.25">
      <c r="B257" s="30" t="s">
        <v>157</v>
      </c>
      <c r="C257" s="30"/>
      <c r="D257" s="30"/>
      <c r="E257" s="30"/>
    </row>
    <row r="258" spans="2:7" x14ac:dyDescent="0.25">
      <c r="B258" s="13" t="str">
        <f>+B254</f>
        <v>Propiedad planta y equipo</v>
      </c>
      <c r="C258" s="10" t="s">
        <v>158</v>
      </c>
      <c r="D258" s="15"/>
    </row>
    <row r="259" spans="2:7" hidden="1" x14ac:dyDescent="0.25">
      <c r="B259" s="139" t="s">
        <v>159</v>
      </c>
      <c r="C259" s="139">
        <f>+[1]BALANZA!B4</f>
        <v>2025</v>
      </c>
      <c r="D259" s="140">
        <f>+[1]BALANZA!C4</f>
        <v>2024</v>
      </c>
      <c r="E259" s="141" t="s">
        <v>97</v>
      </c>
    </row>
    <row r="260" spans="2:7" hidden="1" x14ac:dyDescent="0.25">
      <c r="B260" s="142" t="s">
        <v>160</v>
      </c>
      <c r="C260" s="143"/>
      <c r="D260" s="144"/>
      <c r="E260" s="145"/>
    </row>
    <row r="261" spans="2:7" ht="20.25" hidden="1" customHeight="1" x14ac:dyDescent="0.25">
      <c r="B261" s="117" t="s">
        <v>161</v>
      </c>
      <c r="C261" s="143"/>
      <c r="D261" s="144"/>
      <c r="E261" s="145"/>
    </row>
    <row r="262" spans="2:7" ht="20.25" hidden="1" customHeight="1" x14ac:dyDescent="0.25">
      <c r="B262" s="65" t="s">
        <v>162</v>
      </c>
      <c r="C262" s="84">
        <f>+D262+D263</f>
        <v>28416592.940000001</v>
      </c>
      <c r="D262" s="146">
        <f>+'[1]BALANZA G'!D74+'[1]BALANZA G'!D59-D263</f>
        <v>25239892.940000001</v>
      </c>
      <c r="E262" s="83">
        <f>+C262-D262</f>
        <v>3176700</v>
      </c>
    </row>
    <row r="263" spans="2:7" ht="20.25" hidden="1" customHeight="1" x14ac:dyDescent="0.25">
      <c r="B263" s="117" t="s">
        <v>163</v>
      </c>
      <c r="C263" s="84">
        <f>+'[1]BALANZA G'!C74-'[1]BALANZA G'!D74+'[1]BALANZA G'!C59+'[1]BALANZA G'!C77-E262</f>
        <v>6667637.4700000007</v>
      </c>
      <c r="D263" s="147">
        <v>3176700</v>
      </c>
      <c r="E263" s="83">
        <f>+C263-D263</f>
        <v>3490937.4700000007</v>
      </c>
    </row>
    <row r="264" spans="2:7" ht="20.25" hidden="1" customHeight="1" x14ac:dyDescent="0.25">
      <c r="B264" s="117" t="s">
        <v>164</v>
      </c>
      <c r="C264" s="84"/>
      <c r="D264" s="146"/>
      <c r="E264" s="83">
        <f>+C264-D264</f>
        <v>0</v>
      </c>
    </row>
    <row r="265" spans="2:7" ht="20.25" hidden="1" customHeight="1" x14ac:dyDescent="0.25">
      <c r="B265" s="117" t="s">
        <v>165</v>
      </c>
      <c r="C265" s="84">
        <f>-[1]nota12!F28</f>
        <v>-26935891.919999998</v>
      </c>
      <c r="D265" s="146"/>
      <c r="E265" s="83"/>
    </row>
    <row r="266" spans="2:7" ht="20.25" hidden="1" customHeight="1" x14ac:dyDescent="0.25">
      <c r="B266" s="117" t="s">
        <v>166</v>
      </c>
      <c r="C266" s="84">
        <f>-[1]nota12!F29</f>
        <v>-1.1059455573558807E-9</v>
      </c>
      <c r="D266" s="146"/>
      <c r="E266" s="83"/>
    </row>
    <row r="267" spans="2:7" hidden="1" x14ac:dyDescent="0.25">
      <c r="B267" s="148" t="s">
        <v>167</v>
      </c>
      <c r="C267" s="149">
        <f>SUM(C262:C266)</f>
        <v>8148338.4900000049</v>
      </c>
      <c r="D267" s="150">
        <f>SUM(D260:D264)</f>
        <v>28416592.940000001</v>
      </c>
      <c r="E267" s="149">
        <f>SUM(E260:E264)</f>
        <v>6667637.4700000007</v>
      </c>
    </row>
    <row r="268" spans="2:7" ht="28.5" hidden="1" x14ac:dyDescent="0.25">
      <c r="B268" s="148" t="s">
        <v>168</v>
      </c>
      <c r="C268" s="151">
        <v>0</v>
      </c>
      <c r="D268" s="152">
        <v>0</v>
      </c>
      <c r="E268" s="153">
        <f>+C268-D268</f>
        <v>0</v>
      </c>
    </row>
    <row r="269" spans="2:7" ht="28.5" hidden="1" x14ac:dyDescent="0.25">
      <c r="B269" s="148" t="s">
        <v>169</v>
      </c>
      <c r="C269" s="149">
        <f>+C267-C268</f>
        <v>8148338.4900000049</v>
      </c>
      <c r="D269" s="150">
        <f>+D267-D268</f>
        <v>28416592.940000001</v>
      </c>
      <c r="E269" s="149">
        <f>+E267-E268</f>
        <v>6667637.4700000007</v>
      </c>
    </row>
    <row r="270" spans="2:7" ht="23.25" hidden="1" customHeight="1" x14ac:dyDescent="0.25">
      <c r="B270" s="142" t="s">
        <v>170</v>
      </c>
      <c r="C270" s="154"/>
      <c r="D270" s="155"/>
      <c r="E270" s="156"/>
    </row>
    <row r="271" spans="2:7" hidden="1" x14ac:dyDescent="0.25">
      <c r="B271" s="117" t="str">
        <f>+B262</f>
        <v xml:space="preserve">Costos de adquisición  </v>
      </c>
      <c r="C271" s="84">
        <f>+'[1]BALANZA G'!C64</f>
        <v>55553258.920000002</v>
      </c>
      <c r="D271" s="146">
        <f>+'[1]BALANZA G'!D64</f>
        <v>52883325.560000002</v>
      </c>
      <c r="E271" s="83">
        <f>+C271-D271</f>
        <v>2669933.3599999994</v>
      </c>
      <c r="G271" s="2" t="s">
        <v>114</v>
      </c>
    </row>
    <row r="272" spans="2:7" hidden="1" x14ac:dyDescent="0.25">
      <c r="B272" s="117" t="str">
        <f>+B263</f>
        <v>Adiciones</v>
      </c>
      <c r="C272" s="84"/>
      <c r="D272" s="146">
        <f>+'[1]BALANZA G'!F64</f>
        <v>45922302.979999997</v>
      </c>
      <c r="E272" s="83">
        <f>+C272-D272</f>
        <v>-45922302.979999997</v>
      </c>
    </row>
    <row r="273" spans="2:5" hidden="1" x14ac:dyDescent="0.25">
      <c r="B273" s="117" t="str">
        <f>+B264</f>
        <v>Retiros</v>
      </c>
      <c r="C273" s="84"/>
      <c r="D273" s="146"/>
      <c r="E273" s="83">
        <f>+C273-D273</f>
        <v>0</v>
      </c>
    </row>
    <row r="274" spans="2:5" hidden="1" x14ac:dyDescent="0.25">
      <c r="B274" s="117" t="str">
        <f>+B265</f>
        <v>Depreciación Acumulada</v>
      </c>
      <c r="C274" s="84">
        <f>-[1]nota12!I28</f>
        <v>-38206151.979999997</v>
      </c>
      <c r="D274" s="146"/>
      <c r="E274" s="83"/>
    </row>
    <row r="275" spans="2:5" hidden="1" x14ac:dyDescent="0.25">
      <c r="B275" s="117" t="str">
        <f>+B266</f>
        <v>Depreciación del periodo</v>
      </c>
      <c r="C275" s="84">
        <f>-[1]nota12!I29</f>
        <v>0</v>
      </c>
      <c r="D275" s="146"/>
      <c r="E275" s="83"/>
    </row>
    <row r="276" spans="2:5" ht="28.5" hidden="1" x14ac:dyDescent="0.25">
      <c r="B276" s="157" t="s">
        <v>171</v>
      </c>
      <c r="C276" s="149">
        <f>SUM(C271:C275)</f>
        <v>17347106.940000005</v>
      </c>
      <c r="D276" s="150">
        <f>SUM(D271:D273)</f>
        <v>98805628.539999992</v>
      </c>
      <c r="E276" s="149">
        <f>SUM(E271:E273)</f>
        <v>-43252369.619999997</v>
      </c>
    </row>
    <row r="277" spans="2:5" ht="28.5" hidden="1" x14ac:dyDescent="0.25">
      <c r="B277" s="148" t="s">
        <v>172</v>
      </c>
      <c r="C277" s="151">
        <v>0</v>
      </c>
      <c r="D277" s="152">
        <v>0</v>
      </c>
      <c r="E277" s="153">
        <f>+C277-D277</f>
        <v>0</v>
      </c>
    </row>
    <row r="278" spans="2:5" ht="42.75" hidden="1" x14ac:dyDescent="0.25">
      <c r="B278" s="148" t="s">
        <v>173</v>
      </c>
      <c r="C278" s="149">
        <f>+C276-C277</f>
        <v>17347106.940000005</v>
      </c>
      <c r="D278" s="150">
        <f>+D276-D277</f>
        <v>98805628.539999992</v>
      </c>
      <c r="E278" s="149">
        <f>+E276-E277</f>
        <v>-43252369.619999997</v>
      </c>
    </row>
    <row r="279" spans="2:5" ht="26.25" hidden="1" customHeight="1" x14ac:dyDescent="0.25">
      <c r="B279" s="158" t="s">
        <v>174</v>
      </c>
      <c r="C279" s="154"/>
      <c r="D279" s="155"/>
      <c r="E279" s="156"/>
    </row>
    <row r="280" spans="2:5" hidden="1" x14ac:dyDescent="0.25">
      <c r="B280" s="117" t="str">
        <f>+B271</f>
        <v xml:space="preserve">Costos de adquisición  </v>
      </c>
      <c r="C280" s="84">
        <f>+'[1]BALANZA G'!C68</f>
        <v>510150</v>
      </c>
      <c r="D280" s="146">
        <f>+'[1]BALANZA G'!D68-D281</f>
        <v>503947</v>
      </c>
      <c r="E280" s="83">
        <f>+C280-D280</f>
        <v>6203</v>
      </c>
    </row>
    <row r="281" spans="2:5" hidden="1" x14ac:dyDescent="0.25">
      <c r="B281" s="117" t="str">
        <f>+B272</f>
        <v>Adiciones</v>
      </c>
      <c r="C281" s="84"/>
      <c r="D281" s="146">
        <f>+'[1]BALANZA G'!F68</f>
        <v>74900</v>
      </c>
      <c r="E281" s="83">
        <f>+C281-D281</f>
        <v>-74900</v>
      </c>
    </row>
    <row r="282" spans="2:5" hidden="1" x14ac:dyDescent="0.25">
      <c r="B282" s="117" t="str">
        <f>+B273</f>
        <v>Retiros</v>
      </c>
      <c r="C282" s="84"/>
      <c r="D282" s="146"/>
      <c r="E282" s="83">
        <f>+C282-D282</f>
        <v>0</v>
      </c>
    </row>
    <row r="283" spans="2:5" hidden="1" x14ac:dyDescent="0.25">
      <c r="B283" s="117" t="str">
        <f>+B274</f>
        <v>Depreciación Acumulada</v>
      </c>
      <c r="C283" s="84"/>
      <c r="D283" s="146"/>
      <c r="E283" s="83"/>
    </row>
    <row r="284" spans="2:5" hidden="1" x14ac:dyDescent="0.25">
      <c r="B284" s="117" t="str">
        <f>+B275</f>
        <v>Depreciación del periodo</v>
      </c>
      <c r="C284" s="84">
        <f>-[1]nota12!G29</f>
        <v>0</v>
      </c>
      <c r="D284" s="146"/>
      <c r="E284" s="83"/>
    </row>
    <row r="285" spans="2:5" ht="28.5" hidden="1" x14ac:dyDescent="0.25">
      <c r="B285" s="148" t="s">
        <v>175</v>
      </c>
      <c r="C285" s="149">
        <f>SUM(C280:C284)</f>
        <v>510150</v>
      </c>
      <c r="D285" s="150">
        <f>SUM(D280:D284)</f>
        <v>578847</v>
      </c>
      <c r="E285" s="149">
        <f>SUM(E280)</f>
        <v>6203</v>
      </c>
    </row>
    <row r="286" spans="2:5" ht="27" hidden="1" customHeight="1" x14ac:dyDescent="0.25">
      <c r="B286" s="148" t="s">
        <v>176</v>
      </c>
      <c r="C286" s="151">
        <v>0</v>
      </c>
      <c r="D286" s="152">
        <v>0</v>
      </c>
      <c r="E286" s="153">
        <f>+C286-D286</f>
        <v>0</v>
      </c>
    </row>
    <row r="287" spans="2:5" ht="28.5" hidden="1" x14ac:dyDescent="0.25">
      <c r="B287" s="148" t="s">
        <v>177</v>
      </c>
      <c r="C287" s="149">
        <f>+C285-C286</f>
        <v>510150</v>
      </c>
      <c r="D287" s="150">
        <f>+D285-D286</f>
        <v>578847</v>
      </c>
      <c r="E287" s="149">
        <f>+E285-E286</f>
        <v>6203</v>
      </c>
    </row>
    <row r="288" spans="2:5" hidden="1" x14ac:dyDescent="0.25">
      <c r="B288" s="142" t="s">
        <v>178</v>
      </c>
      <c r="C288" s="154"/>
      <c r="D288" s="155"/>
      <c r="E288" s="156"/>
    </row>
    <row r="289" spans="2:5" hidden="1" x14ac:dyDescent="0.25">
      <c r="B289" s="117" t="str">
        <f>+B280</f>
        <v xml:space="preserve">Costos de adquisición  </v>
      </c>
      <c r="C289" s="84">
        <f>+'[1]BALANZA G'!C65+'[1]BALANZA G'!C71-C290</f>
        <v>16016968.830000002</v>
      </c>
      <c r="D289" s="146">
        <f>+'[1]BALANZA G'!D65+'[1]BALANZA G'!D71-D290</f>
        <v>10179245.880000003</v>
      </c>
      <c r="E289" s="83">
        <f>+C289-D289</f>
        <v>5837722.9499999993</v>
      </c>
    </row>
    <row r="290" spans="2:5" hidden="1" x14ac:dyDescent="0.25">
      <c r="B290" s="117" t="str">
        <f>+B281</f>
        <v>Adiciones</v>
      </c>
      <c r="C290" s="84">
        <f>+'[1]BALANZA G'!C71-D290+'[1]BALANZA G'!C65-'[1]BALANZA G'!D65</f>
        <v>169600</v>
      </c>
      <c r="D290" s="94">
        <f>+'[1]BALANZA G'!D71</f>
        <v>5837722.9500000002</v>
      </c>
      <c r="E290" s="83">
        <f>+C290-D290</f>
        <v>-5668122.9500000002</v>
      </c>
    </row>
    <row r="291" spans="2:5" hidden="1" x14ac:dyDescent="0.25">
      <c r="B291" s="117" t="str">
        <f>+B282</f>
        <v>Retiros</v>
      </c>
      <c r="C291" s="84"/>
      <c r="D291" s="146"/>
      <c r="E291" s="83">
        <f>+C291-D291</f>
        <v>0</v>
      </c>
    </row>
    <row r="292" spans="2:5" hidden="1" x14ac:dyDescent="0.25">
      <c r="B292" s="117" t="str">
        <f>+B283</f>
        <v>Depreciación Acumulada</v>
      </c>
      <c r="C292" s="84">
        <f>-[1]nota12!H28</f>
        <v>-11856936.66</v>
      </c>
      <c r="D292" s="146"/>
      <c r="E292" s="83"/>
    </row>
    <row r="293" spans="2:5" hidden="1" x14ac:dyDescent="0.25">
      <c r="B293" s="117" t="str">
        <f>+B284</f>
        <v>Depreciación del periodo</v>
      </c>
      <c r="C293" s="84">
        <f>-[1]nota12!H29</f>
        <v>0</v>
      </c>
      <c r="D293" s="146"/>
      <c r="E293" s="83"/>
    </row>
    <row r="294" spans="2:5" ht="28.5" hidden="1" x14ac:dyDescent="0.25">
      <c r="B294" s="148" t="s">
        <v>179</v>
      </c>
      <c r="C294" s="149">
        <f>SUM(C289:C293)</f>
        <v>4329632.1700000018</v>
      </c>
      <c r="D294" s="150">
        <f>SUM(D289:D291)</f>
        <v>16016968.830000002</v>
      </c>
      <c r="E294" s="149">
        <f>SUM(E289:E291)</f>
        <v>169599.99999999907</v>
      </c>
    </row>
    <row r="295" spans="2:5" ht="28.5" hidden="1" x14ac:dyDescent="0.25">
      <c r="B295" s="148" t="s">
        <v>180</v>
      </c>
      <c r="C295" s="151"/>
      <c r="D295" s="152"/>
      <c r="E295" s="153"/>
    </row>
    <row r="296" spans="2:5" ht="28.5" hidden="1" x14ac:dyDescent="0.25">
      <c r="B296" s="148" t="s">
        <v>181</v>
      </c>
      <c r="C296" s="149">
        <f>+C294-C295</f>
        <v>4329632.1700000018</v>
      </c>
      <c r="D296" s="150">
        <f>+D294-D295</f>
        <v>16016968.830000002</v>
      </c>
      <c r="E296" s="149">
        <f>+E294-E295</f>
        <v>169599.99999999907</v>
      </c>
    </row>
    <row r="297" spans="2:5" hidden="1" x14ac:dyDescent="0.25">
      <c r="B297" s="142" t="s">
        <v>182</v>
      </c>
      <c r="C297" s="159"/>
      <c r="D297" s="146"/>
      <c r="E297" s="83">
        <f>+C297-D297</f>
        <v>0</v>
      </c>
    </row>
    <row r="298" spans="2:5" hidden="1" x14ac:dyDescent="0.25">
      <c r="B298" s="117" t="s">
        <v>183</v>
      </c>
      <c r="C298" s="84"/>
      <c r="D298" s="146"/>
      <c r="E298" s="83">
        <f>+C298-D298</f>
        <v>0</v>
      </c>
    </row>
    <row r="299" spans="2:5" hidden="1" x14ac:dyDescent="0.25">
      <c r="B299" s="160" t="s">
        <v>184</v>
      </c>
      <c r="C299" s="84"/>
      <c r="D299" s="146"/>
      <c r="E299" s="83">
        <f>+C299-D299</f>
        <v>0</v>
      </c>
    </row>
    <row r="300" spans="2:5" ht="28.5" hidden="1" x14ac:dyDescent="0.25">
      <c r="B300" s="148" t="s">
        <v>185</v>
      </c>
      <c r="C300" s="161">
        <f>SUM(C298:C299)</f>
        <v>0</v>
      </c>
      <c r="D300" s="162">
        <f>SUM(D298:D299)</f>
        <v>0</v>
      </c>
      <c r="E300" s="161">
        <f>SUM(E298:E299)</f>
        <v>0</v>
      </c>
    </row>
    <row r="301" spans="2:5" ht="28.5" hidden="1" x14ac:dyDescent="0.25">
      <c r="B301" s="148" t="s">
        <v>186</v>
      </c>
      <c r="C301" s="163">
        <v>0</v>
      </c>
      <c r="D301" s="152">
        <v>0</v>
      </c>
      <c r="E301" s="153">
        <f>+C301-D301</f>
        <v>0</v>
      </c>
    </row>
    <row r="302" spans="2:5" ht="28.5" hidden="1" x14ac:dyDescent="0.25">
      <c r="B302" s="148" t="s">
        <v>187</v>
      </c>
      <c r="C302" s="161">
        <f>+C300-C301</f>
        <v>0</v>
      </c>
      <c r="D302" s="162">
        <f>+D300-D301</f>
        <v>0</v>
      </c>
      <c r="E302" s="161">
        <f>+E300-E301</f>
        <v>0</v>
      </c>
    </row>
    <row r="303" spans="2:5" hidden="1" x14ac:dyDescent="0.25">
      <c r="B303" s="158" t="s">
        <v>188</v>
      </c>
      <c r="C303" s="154"/>
      <c r="D303" s="155"/>
      <c r="E303" s="156"/>
    </row>
    <row r="304" spans="2:5" hidden="1" x14ac:dyDescent="0.25">
      <c r="B304" s="41" t="str">
        <f>+B289</f>
        <v xml:space="preserve">Costos de adquisición  </v>
      </c>
      <c r="C304" s="84">
        <f>+'[1]BALANZA G'!D55</f>
        <v>1623675</v>
      </c>
      <c r="D304" s="146">
        <f>+'[1]BALANZA G'!D55</f>
        <v>1623675</v>
      </c>
      <c r="E304" s="83">
        <f>+C304-D304</f>
        <v>0</v>
      </c>
    </row>
    <row r="305" spans="2:6" hidden="1" x14ac:dyDescent="0.25">
      <c r="B305" s="41" t="str">
        <f>+B290</f>
        <v>Adiciones</v>
      </c>
      <c r="C305" s="84">
        <f>+'[1]BALANZA G'!C55-'[1]BALANZA G'!D55</f>
        <v>0</v>
      </c>
      <c r="D305" s="146">
        <f>+'[1]BALANZA G'!F55</f>
        <v>1623675</v>
      </c>
      <c r="E305" s="83">
        <f>+C305-D305</f>
        <v>-1623675</v>
      </c>
    </row>
    <row r="306" spans="2:6" hidden="1" x14ac:dyDescent="0.25">
      <c r="B306" s="41" t="str">
        <f>+B291</f>
        <v>Retiros</v>
      </c>
      <c r="C306" s="84"/>
      <c r="D306" s="146"/>
      <c r="E306" s="83">
        <f>+C306-D306</f>
        <v>0</v>
      </c>
    </row>
    <row r="307" spans="2:6" hidden="1" x14ac:dyDescent="0.25">
      <c r="B307" s="41" t="str">
        <f>+B292</f>
        <v>Depreciación Acumulada</v>
      </c>
      <c r="C307" s="84"/>
      <c r="D307" s="146"/>
      <c r="E307" s="83"/>
    </row>
    <row r="308" spans="2:6" hidden="1" x14ac:dyDescent="0.25">
      <c r="B308" s="41" t="str">
        <f>+B293</f>
        <v>Depreciación del periodo</v>
      </c>
      <c r="C308" s="84"/>
      <c r="D308" s="146"/>
      <c r="E308" s="83"/>
    </row>
    <row r="309" spans="2:6" hidden="1" x14ac:dyDescent="0.25">
      <c r="B309" s="148" t="s">
        <v>189</v>
      </c>
      <c r="C309" s="149">
        <f>SUM(C298:C305)</f>
        <v>1623675</v>
      </c>
      <c r="D309" s="150">
        <f>SUM(D298:D305)</f>
        <v>3247350</v>
      </c>
      <c r="E309" s="149">
        <f>SUM(E298:E305)</f>
        <v>-1623675</v>
      </c>
    </row>
    <row r="310" spans="2:6" hidden="1" x14ac:dyDescent="0.25">
      <c r="B310" s="158" t="s">
        <v>190</v>
      </c>
      <c r="C310" s="154"/>
      <c r="D310" s="155"/>
      <c r="E310" s="156"/>
    </row>
    <row r="311" spans="2:6" hidden="1" x14ac:dyDescent="0.25">
      <c r="B311" s="41" t="str">
        <f>+B304</f>
        <v xml:space="preserve">Costos de adquisición  </v>
      </c>
      <c r="C311" s="84">
        <f>+'[1]BALANZA G'!D58</f>
        <v>953149176.46000004</v>
      </c>
      <c r="D311" s="146">
        <f>+'[1]BALANZA G'!D58</f>
        <v>953149176.46000004</v>
      </c>
      <c r="E311" s="83">
        <f>+C311-D311</f>
        <v>0</v>
      </c>
    </row>
    <row r="312" spans="2:6" hidden="1" x14ac:dyDescent="0.25">
      <c r="B312" s="41" t="str">
        <f>+B305</f>
        <v>Adiciones</v>
      </c>
      <c r="C312" s="84">
        <f>+'[1]BALANZA G'!C58-'[1]BALANZA G'!D58</f>
        <v>0</v>
      </c>
      <c r="D312" s="146">
        <f>+'[1]BALANZA G'!J57</f>
        <v>0</v>
      </c>
      <c r="E312" s="83">
        <f>+C312-D312</f>
        <v>0</v>
      </c>
    </row>
    <row r="313" spans="2:6" hidden="1" x14ac:dyDescent="0.25">
      <c r="B313" s="41" t="str">
        <f>+B306</f>
        <v>Retiros</v>
      </c>
      <c r="C313" s="84"/>
      <c r="D313" s="146"/>
      <c r="E313" s="83"/>
    </row>
    <row r="314" spans="2:6" hidden="1" x14ac:dyDescent="0.25">
      <c r="B314" s="41" t="str">
        <f>+B307</f>
        <v>Depreciación Acumulada</v>
      </c>
      <c r="C314" s="84">
        <f>-[1]nota12!E28</f>
        <v>-270856525.61000001</v>
      </c>
      <c r="D314" s="146"/>
      <c r="E314" s="83"/>
    </row>
    <row r="315" spans="2:6" hidden="1" x14ac:dyDescent="0.25">
      <c r="B315" s="41" t="str">
        <f>+B308</f>
        <v>Depreciación del periodo</v>
      </c>
      <c r="C315" s="84">
        <f>-[1]nota12!E29</f>
        <v>0</v>
      </c>
      <c r="D315" s="146"/>
      <c r="E315" s="83"/>
    </row>
    <row r="316" spans="2:6" hidden="1" x14ac:dyDescent="0.25">
      <c r="B316" s="148" t="s">
        <v>191</v>
      </c>
      <c r="C316" s="149">
        <f>SUM(C311:C315)</f>
        <v>682292650.85000002</v>
      </c>
      <c r="D316" s="150">
        <f>+D311+D312-D313</f>
        <v>953149176.46000004</v>
      </c>
      <c r="E316" s="149">
        <f>+E311+E312-E313</f>
        <v>0</v>
      </c>
    </row>
    <row r="317" spans="2:6" hidden="1" x14ac:dyDescent="0.25">
      <c r="B317" s="148" t="s">
        <v>189</v>
      </c>
      <c r="C317" s="149">
        <f>+C316+C309</f>
        <v>683916325.85000002</v>
      </c>
      <c r="D317" s="150">
        <f>+D316+D309</f>
        <v>956396526.46000004</v>
      </c>
      <c r="E317" s="149">
        <f>+E316+E309</f>
        <v>-1623675</v>
      </c>
      <c r="F317" s="164">
        <f>+F316+F309</f>
        <v>0</v>
      </c>
    </row>
    <row r="318" spans="2:6" hidden="1" x14ac:dyDescent="0.25">
      <c r="B318" s="148" t="s">
        <v>192</v>
      </c>
      <c r="C318" s="151"/>
      <c r="D318" s="152"/>
      <c r="E318" s="153">
        <f>+C318-D318</f>
        <v>0</v>
      </c>
    </row>
    <row r="319" spans="2:6" ht="27" hidden="1" customHeight="1" x14ac:dyDescent="0.25">
      <c r="B319" s="148" t="s">
        <v>193</v>
      </c>
      <c r="C319" s="149">
        <f>+C317-C318</f>
        <v>683916325.85000002</v>
      </c>
      <c r="D319" s="150">
        <f>+D317-D318</f>
        <v>956396526.46000004</v>
      </c>
      <c r="E319" s="149">
        <f>+E317-E318</f>
        <v>-1623675</v>
      </c>
    </row>
    <row r="320" spans="2:6" hidden="1" x14ac:dyDescent="0.25">
      <c r="B320" s="165" t="s">
        <v>194</v>
      </c>
      <c r="C320" s="159"/>
      <c r="D320" s="146"/>
      <c r="E320" s="83">
        <f>+C320-D320</f>
        <v>0</v>
      </c>
    </row>
    <row r="321" spans="2:26" hidden="1" x14ac:dyDescent="0.25">
      <c r="B321" s="117" t="s">
        <v>195</v>
      </c>
      <c r="C321" s="84"/>
      <c r="D321" s="146"/>
      <c r="E321" s="83">
        <f>+C321-D321</f>
        <v>0</v>
      </c>
    </row>
    <row r="322" spans="2:26" hidden="1" x14ac:dyDescent="0.25">
      <c r="B322" s="148" t="s">
        <v>196</v>
      </c>
      <c r="C322" s="149">
        <f>SUM(C321)</f>
        <v>0</v>
      </c>
      <c r="D322" s="150">
        <f>SUM(D321)</f>
        <v>0</v>
      </c>
      <c r="E322" s="149">
        <f>SUM(E321)</f>
        <v>0</v>
      </c>
    </row>
    <row r="323" spans="2:26" ht="28.5" hidden="1" x14ac:dyDescent="0.25">
      <c r="B323" s="148" t="s">
        <v>197</v>
      </c>
      <c r="C323" s="151"/>
      <c r="D323" s="152"/>
      <c r="E323" s="153">
        <f>+C323-D323</f>
        <v>0</v>
      </c>
    </row>
    <row r="324" spans="2:26" ht="28.5" hidden="1" x14ac:dyDescent="0.25">
      <c r="B324" s="148" t="s">
        <v>198</v>
      </c>
      <c r="C324" s="149">
        <f>+C322-C323</f>
        <v>0</v>
      </c>
      <c r="D324" s="150">
        <f>+D322-D323</f>
        <v>0</v>
      </c>
      <c r="E324" s="149">
        <f>+E322-E323</f>
        <v>0</v>
      </c>
    </row>
    <row r="325" spans="2:26" hidden="1" x14ac:dyDescent="0.25">
      <c r="B325" s="165" t="s">
        <v>199</v>
      </c>
      <c r="C325" s="159"/>
      <c r="D325" s="146"/>
      <c r="E325" s="83"/>
    </row>
    <row r="326" spans="2:26" hidden="1" x14ac:dyDescent="0.25">
      <c r="B326" s="160" t="s">
        <v>200</v>
      </c>
      <c r="C326" s="84"/>
      <c r="D326" s="146"/>
      <c r="E326" s="83">
        <f>+C326-D326</f>
        <v>0</v>
      </c>
    </row>
    <row r="327" spans="2:26" ht="12" hidden="1" customHeight="1" x14ac:dyDescent="0.25">
      <c r="B327" s="160" t="s">
        <v>201</v>
      </c>
      <c r="C327" s="84"/>
      <c r="D327" s="146"/>
      <c r="E327" s="83">
        <f>+C327-D327</f>
        <v>0</v>
      </c>
    </row>
    <row r="328" spans="2:26" ht="13.5" hidden="1" customHeight="1" x14ac:dyDescent="0.25">
      <c r="B328" s="160" t="s">
        <v>202</v>
      </c>
      <c r="C328" s="84"/>
      <c r="D328" s="146"/>
      <c r="E328" s="83">
        <f>+C328-D328</f>
        <v>0</v>
      </c>
    </row>
    <row r="329" spans="2:26" ht="24.75" hidden="1" customHeight="1" x14ac:dyDescent="0.25">
      <c r="B329" s="148" t="s">
        <v>203</v>
      </c>
      <c r="C329" s="149">
        <f>SUM(C326:C328)</f>
        <v>0</v>
      </c>
      <c r="D329" s="150">
        <f>SUM(D326:D328)</f>
        <v>0</v>
      </c>
      <c r="E329" s="149">
        <f>SUM(E326:E328)</f>
        <v>0</v>
      </c>
    </row>
    <row r="330" spans="2:26" ht="21" hidden="1" customHeight="1" x14ac:dyDescent="0.25">
      <c r="B330" s="148" t="s">
        <v>204</v>
      </c>
      <c r="C330" s="151"/>
      <c r="D330" s="152"/>
      <c r="E330" s="153">
        <f>+C330-D330</f>
        <v>0</v>
      </c>
    </row>
    <row r="331" spans="2:26" ht="33" hidden="1" customHeight="1" x14ac:dyDescent="0.25">
      <c r="B331" s="148" t="s">
        <v>205</v>
      </c>
      <c r="C331" s="149">
        <f>+C329-C330</f>
        <v>0</v>
      </c>
      <c r="D331" s="150">
        <f>+D329-D330</f>
        <v>0</v>
      </c>
      <c r="E331" s="149">
        <f>+E329-E330</f>
        <v>0</v>
      </c>
    </row>
    <row r="332" spans="2:26" hidden="1" x14ac:dyDescent="0.25">
      <c r="B332" s="148" t="s">
        <v>206</v>
      </c>
      <c r="C332" s="166">
        <f>+C331+C324+C319+C302+C296+C287+C278+C269</f>
        <v>714251553.45000005</v>
      </c>
      <c r="D332" s="167">
        <f>+D331+D324+D319+D302+D296+D287+D278+D269</f>
        <v>1100214563.77</v>
      </c>
      <c r="E332" s="166">
        <f>+E331+E324+E319+E302+E296+E287+E278+E269</f>
        <v>-38032604.149999999</v>
      </c>
    </row>
    <row r="333" spans="2:26" hidden="1" x14ac:dyDescent="0.25">
      <c r="B333" s="148" t="s">
        <v>207</v>
      </c>
      <c r="C333" s="168">
        <f>+C330+C323+C318+C301+C295+C286+C277+C268</f>
        <v>0</v>
      </c>
      <c r="D333" s="152">
        <f>+D330+D323+D318+D301+D295+D286+D277+D268</f>
        <v>0</v>
      </c>
      <c r="E333" s="153">
        <f>+C333-D333</f>
        <v>0</v>
      </c>
    </row>
    <row r="334" spans="2:26" hidden="1" x14ac:dyDescent="0.25">
      <c r="B334" s="148" t="s">
        <v>208</v>
      </c>
      <c r="C334" s="166">
        <f>+C317+C296+C287+C278+C269</f>
        <v>714251553.45000005</v>
      </c>
      <c r="D334" s="167">
        <f>+D317+D296+D287+D278+D269</f>
        <v>1100214563.77</v>
      </c>
      <c r="E334" s="166">
        <f>+E332-E333</f>
        <v>-38032604.149999999</v>
      </c>
    </row>
    <row r="335" spans="2:26" s="10" customFormat="1" ht="9.75" hidden="1" customHeight="1" x14ac:dyDescent="0.25">
      <c r="B335" s="169"/>
      <c r="C335" s="170"/>
      <c r="D335" s="171"/>
      <c r="E335" s="172"/>
      <c r="J335" s="15"/>
      <c r="K335" s="15"/>
      <c r="N335" s="15"/>
      <c r="R335" s="4"/>
      <c r="S335" s="4"/>
      <c r="T335" s="4"/>
      <c r="U335" s="4"/>
      <c r="V335" s="4"/>
      <c r="W335" s="4"/>
      <c r="X335" s="4"/>
      <c r="Y335" s="4"/>
      <c r="Z335" s="15"/>
    </row>
    <row r="336" spans="2:26" s="45" customFormat="1" x14ac:dyDescent="0.25">
      <c r="B336" s="55" t="str">
        <f>("Cambio porcentual con relación al "&amp;$D$118&amp;".")</f>
        <v>Cambio porcentual con relación al 2024.</v>
      </c>
      <c r="C336" s="56"/>
      <c r="D336" s="132" t="str">
        <f>IF(E336&gt;=0,"Aumento","Disminución")</f>
        <v>Disminución</v>
      </c>
      <c r="E336" s="133">
        <f>+E334/D334</f>
        <v>-3.4568351849185955E-2</v>
      </c>
      <c r="J336" s="49"/>
      <c r="K336" s="49"/>
      <c r="N336" s="49"/>
      <c r="R336" s="50"/>
      <c r="S336" s="50"/>
      <c r="T336" s="50"/>
      <c r="U336" s="50"/>
      <c r="V336" s="50"/>
      <c r="W336" s="50"/>
      <c r="X336" s="50"/>
      <c r="Y336" s="50"/>
      <c r="Z336" s="49"/>
    </row>
    <row r="337" spans="2:2" x14ac:dyDescent="0.25">
      <c r="B337" s="108"/>
    </row>
    <row r="338" spans="2:2" x14ac:dyDescent="0.25">
      <c r="B338" s="108"/>
    </row>
    <row r="339" spans="2:2" x14ac:dyDescent="0.25">
      <c r="B339" s="108"/>
    </row>
    <row r="340" spans="2:2" x14ac:dyDescent="0.25">
      <c r="B340" s="108"/>
    </row>
    <row r="341" spans="2:2" x14ac:dyDescent="0.25">
      <c r="B341" s="108"/>
    </row>
    <row r="342" spans="2:2" x14ac:dyDescent="0.25">
      <c r="B342" s="108"/>
    </row>
    <row r="343" spans="2:2" x14ac:dyDescent="0.25">
      <c r="B343" s="108"/>
    </row>
    <row r="344" spans="2:2" x14ac:dyDescent="0.25">
      <c r="B344" s="108"/>
    </row>
    <row r="345" spans="2:2" x14ac:dyDescent="0.25">
      <c r="B345" s="108"/>
    </row>
    <row r="346" spans="2:2" x14ac:dyDescent="0.25">
      <c r="B346" s="108"/>
    </row>
    <row r="347" spans="2:2" x14ac:dyDescent="0.25">
      <c r="B347" s="108"/>
    </row>
    <row r="348" spans="2:2" x14ac:dyDescent="0.25">
      <c r="B348" s="108"/>
    </row>
    <row r="349" spans="2:2" x14ac:dyDescent="0.25">
      <c r="B349" s="108"/>
    </row>
    <row r="350" spans="2:2" x14ac:dyDescent="0.25">
      <c r="B350" s="108"/>
    </row>
    <row r="351" spans="2:2" x14ac:dyDescent="0.25">
      <c r="B351" s="108"/>
    </row>
    <row r="352" spans="2:2" x14ac:dyDescent="0.25">
      <c r="B352" s="108"/>
    </row>
    <row r="353" spans="2:2" x14ac:dyDescent="0.25">
      <c r="B353" s="108"/>
    </row>
    <row r="354" spans="2:2" x14ac:dyDescent="0.25">
      <c r="B354" s="108"/>
    </row>
    <row r="355" spans="2:2" x14ac:dyDescent="0.25">
      <c r="B355" s="108"/>
    </row>
    <row r="356" spans="2:2" x14ac:dyDescent="0.25">
      <c r="B356" s="108"/>
    </row>
    <row r="357" spans="2:2" x14ac:dyDescent="0.25">
      <c r="B357" s="108"/>
    </row>
    <row r="358" spans="2:2" x14ac:dyDescent="0.25">
      <c r="B358" s="108"/>
    </row>
    <row r="359" spans="2:2" x14ac:dyDescent="0.25">
      <c r="B359" s="108"/>
    </row>
    <row r="360" spans="2:2" x14ac:dyDescent="0.25">
      <c r="B360" s="108"/>
    </row>
    <row r="361" spans="2:2" x14ac:dyDescent="0.25">
      <c r="B361" s="108"/>
    </row>
    <row r="362" spans="2:2" x14ac:dyDescent="0.25">
      <c r="B362" s="108"/>
    </row>
    <row r="363" spans="2:2" x14ac:dyDescent="0.25">
      <c r="B363" s="108"/>
    </row>
    <row r="364" spans="2:2" x14ac:dyDescent="0.25">
      <c r="B364" s="108"/>
    </row>
    <row r="365" spans="2:2" ht="35.25" customHeight="1" x14ac:dyDescent="0.25">
      <c r="B365" s="108"/>
    </row>
    <row r="366" spans="2:2" x14ac:dyDescent="0.25">
      <c r="B366" s="108"/>
    </row>
    <row r="367" spans="2:2" x14ac:dyDescent="0.25">
      <c r="B367" s="108"/>
    </row>
    <row r="368" spans="2:2" x14ac:dyDescent="0.25">
      <c r="B368" s="108"/>
    </row>
    <row r="369" spans="2:26" ht="7.5" customHeight="1" x14ac:dyDescent="0.25">
      <c r="B369" s="108"/>
    </row>
    <row r="370" spans="2:26" ht="7.5" customHeight="1" x14ac:dyDescent="0.25">
      <c r="B370" s="108"/>
    </row>
    <row r="371" spans="2:26" x14ac:dyDescent="0.25">
      <c r="B371" s="108"/>
    </row>
    <row r="372" spans="2:26" x14ac:dyDescent="0.25">
      <c r="B372" s="108"/>
    </row>
    <row r="373" spans="2:26" x14ac:dyDescent="0.25">
      <c r="B373" s="108"/>
    </row>
    <row r="374" spans="2:26" x14ac:dyDescent="0.25">
      <c r="B374" s="65" t="s">
        <v>209</v>
      </c>
    </row>
    <row r="375" spans="2:26" x14ac:dyDescent="0.25">
      <c r="B375" s="65" t="s">
        <v>210</v>
      </c>
    </row>
    <row r="376" spans="2:26" ht="15" customHeight="1" x14ac:dyDescent="0.25">
      <c r="B376" s="14" t="str">
        <f>("Un detalle de las  "&amp;B375&amp;" al "&amp;[1]BALANZA!$B$3&amp;" "&amp;[1]BALANZA!$C$3&amp;" es como se detalla a continuación:")</f>
        <v>Un detalle de las  Activos Intangible  al 31 de Mayo del 2025 - 2024 es como se detalla a continuación:</v>
      </c>
      <c r="C376" s="32"/>
      <c r="D376" s="32"/>
      <c r="E376" s="32"/>
    </row>
    <row r="377" spans="2:26" ht="33.75" customHeight="1" x14ac:dyDescent="0.25">
      <c r="B377" s="21" t="str">
        <f>("Las "&amp;B375&amp;" está integrado siguientes cuentas, para el "&amp;C379&amp;" el total era de RD$"&amp;R382&amp;" y para el "&amp;D379&amp;" el total fue de RD$"&amp;R383&amp;" , Según el siguiente detalle:")</f>
        <v>Las Activos Intangible  está integrado siguientes cuentas, para el 2025 el total era de RD$173,800.00 y para el 2024 el total fue de RD$0.00 , Según el siguiente detalle:</v>
      </c>
      <c r="C377" s="21"/>
      <c r="D377" s="21"/>
      <c r="E377" s="21"/>
      <c r="I377" s="173"/>
      <c r="J377" s="174"/>
    </row>
    <row r="378" spans="2:26" s="45" customFormat="1" ht="12.75" customHeight="1" x14ac:dyDescent="0.25">
      <c r="B378" s="175"/>
      <c r="C378" s="175"/>
      <c r="D378" s="176"/>
      <c r="E378" s="177"/>
      <c r="J378" s="49"/>
      <c r="K378" s="49"/>
      <c r="N378" s="49"/>
      <c r="R378" s="50"/>
      <c r="S378" s="50"/>
      <c r="T378" s="50"/>
      <c r="U378" s="50"/>
      <c r="V378" s="50"/>
      <c r="W378" s="50"/>
      <c r="X378" s="50"/>
      <c r="Y378" s="50"/>
      <c r="Z378" s="49"/>
    </row>
    <row r="379" spans="2:26" x14ac:dyDescent="0.25">
      <c r="B379" s="178" t="s">
        <v>96</v>
      </c>
      <c r="C379" s="179">
        <f>+[1]BALANZA!B4</f>
        <v>2025</v>
      </c>
      <c r="D379" s="179">
        <f>+[1]BALANZA!C4</f>
        <v>2024</v>
      </c>
      <c r="E379" s="178" t="s">
        <v>97</v>
      </c>
    </row>
    <row r="380" spans="2:26" x14ac:dyDescent="0.25">
      <c r="B380" s="180" t="s">
        <v>211</v>
      </c>
      <c r="C380" s="94">
        <v>208560</v>
      </c>
      <c r="D380" s="94">
        <v>160568.42000000001</v>
      </c>
      <c r="E380" s="181">
        <f>+C380-D380</f>
        <v>47991.579999999987</v>
      </c>
      <c r="K380" s="3">
        <v>160568.42000000001</v>
      </c>
    </row>
    <row r="381" spans="2:26" x14ac:dyDescent="0.25">
      <c r="B381" s="180" t="s">
        <v>212</v>
      </c>
      <c r="C381" s="94">
        <f>-C596</f>
        <v>-34760</v>
      </c>
      <c r="D381" s="94">
        <f>-D380</f>
        <v>-160568.42000000001</v>
      </c>
      <c r="E381" s="181">
        <f>+C381-D381</f>
        <v>125808.42000000001</v>
      </c>
      <c r="J381" s="3">
        <v>-20309</v>
      </c>
      <c r="K381" s="3">
        <v>-160568.42000000001</v>
      </c>
    </row>
    <row r="382" spans="2:26" x14ac:dyDescent="0.25">
      <c r="B382" s="120" t="s">
        <v>213</v>
      </c>
      <c r="C382" s="121">
        <f>+C380+C381</f>
        <v>173800</v>
      </c>
      <c r="D382" s="121">
        <f>SUM(D380:D380)+D381</f>
        <v>0</v>
      </c>
      <c r="E382" s="121">
        <f>SUM(E380:E380)-E381</f>
        <v>-77816.840000000026</v>
      </c>
      <c r="K382" s="3">
        <v>0</v>
      </c>
      <c r="R382" s="4" t="str">
        <f>+CONCATENATE(S382,",",T382,".00",)</f>
        <v>173,800.00</v>
      </c>
      <c r="S382" s="4" t="str">
        <f>MID(C382,1,3)</f>
        <v>173</v>
      </c>
      <c r="T382" s="4" t="str">
        <f>MID(C382,4,3)</f>
        <v>800</v>
      </c>
      <c r="U382" s="4" t="str">
        <f>MID(C382,7,3)</f>
        <v/>
      </c>
    </row>
    <row r="383" spans="2:26" ht="10.5" customHeight="1" x14ac:dyDescent="0.25">
      <c r="B383" s="182"/>
      <c r="C383" s="183"/>
      <c r="D383" s="184"/>
      <c r="E383" s="185"/>
      <c r="R383" s="4" t="str">
        <f>+CONCATENATE(S383,".00",T383,U383)</f>
        <v>0.00</v>
      </c>
      <c r="S383" s="4" t="str">
        <f>MID(D382,1,3)</f>
        <v>0</v>
      </c>
      <c r="T383" s="4" t="str">
        <f>MID(D382,4,3)</f>
        <v/>
      </c>
      <c r="U383" s="4" t="str">
        <f>MID(D382,7,3)</f>
        <v/>
      </c>
    </row>
    <row r="384" spans="2:26" s="45" customFormat="1" x14ac:dyDescent="0.25">
      <c r="B384" s="55" t="str">
        <f>("Cambio porcentual con relación al "&amp;$D$118&amp;".")</f>
        <v>Cambio porcentual con relación al 2024.</v>
      </c>
      <c r="C384" s="56"/>
      <c r="D384" s="186">
        <v>0</v>
      </c>
      <c r="E384" s="90">
        <f>IFERROR(+E382/D382,0)</f>
        <v>0</v>
      </c>
      <c r="J384" s="49"/>
      <c r="K384" s="49"/>
      <c r="N384" s="49"/>
      <c r="R384" s="50"/>
      <c r="S384" s="50"/>
      <c r="T384" s="50"/>
      <c r="U384" s="50"/>
      <c r="V384" s="50"/>
      <c r="W384" s="50"/>
      <c r="X384" s="50"/>
      <c r="Y384" s="50"/>
      <c r="Z384" s="49"/>
    </row>
    <row r="385" spans="2:26" s="45" customFormat="1" x14ac:dyDescent="0.25">
      <c r="B385" s="175"/>
      <c r="C385" s="175"/>
      <c r="D385" s="187"/>
      <c r="E385" s="177"/>
      <c r="J385" s="49"/>
      <c r="K385" s="49"/>
      <c r="N385" s="49"/>
      <c r="R385" s="50"/>
      <c r="S385" s="50"/>
      <c r="T385" s="50"/>
      <c r="U385" s="50"/>
      <c r="V385" s="50"/>
      <c r="W385" s="50"/>
      <c r="X385" s="50"/>
      <c r="Y385" s="50"/>
      <c r="Z385" s="49"/>
    </row>
    <row r="386" spans="2:26" s="45" customFormat="1" x14ac:dyDescent="0.25">
      <c r="B386" s="30" t="s">
        <v>157</v>
      </c>
      <c r="C386" s="30"/>
      <c r="D386" s="30"/>
      <c r="E386" s="30"/>
      <c r="J386" s="49"/>
      <c r="K386" s="49"/>
      <c r="N386" s="49"/>
      <c r="R386" s="50"/>
      <c r="S386" s="50"/>
      <c r="T386" s="50"/>
      <c r="U386" s="50"/>
      <c r="V386" s="50"/>
      <c r="W386" s="50"/>
      <c r="X386" s="50"/>
      <c r="Y386" s="50"/>
      <c r="Z386" s="49"/>
    </row>
    <row r="387" spans="2:26" s="45" customFormat="1" x14ac:dyDescent="0.25">
      <c r="B387" s="175"/>
      <c r="C387" s="175"/>
      <c r="D387" s="187"/>
      <c r="E387" s="177"/>
      <c r="J387" s="49"/>
      <c r="K387" s="49"/>
      <c r="N387" s="49"/>
      <c r="R387" s="50"/>
      <c r="S387" s="50"/>
      <c r="T387" s="50"/>
      <c r="U387" s="50"/>
      <c r="V387" s="50"/>
      <c r="W387" s="50"/>
      <c r="X387" s="50"/>
      <c r="Y387" s="50"/>
      <c r="Z387" s="49"/>
    </row>
    <row r="388" spans="2:26" s="45" customFormat="1" x14ac:dyDescent="0.25">
      <c r="B388" s="175"/>
      <c r="C388" s="175"/>
      <c r="D388" s="187"/>
      <c r="E388" s="177"/>
      <c r="J388" s="49"/>
      <c r="K388" s="49"/>
      <c r="N388" s="49"/>
      <c r="R388" s="50"/>
      <c r="S388" s="50"/>
      <c r="T388" s="50"/>
      <c r="U388" s="50"/>
      <c r="V388" s="50"/>
      <c r="W388" s="50"/>
      <c r="X388" s="50"/>
      <c r="Y388" s="50"/>
      <c r="Z388" s="49"/>
    </row>
    <row r="389" spans="2:26" s="45" customFormat="1" x14ac:dyDescent="0.25">
      <c r="B389" s="175"/>
      <c r="C389" s="175"/>
      <c r="D389" s="187"/>
      <c r="E389" s="177"/>
      <c r="J389" s="49"/>
      <c r="K389" s="49"/>
      <c r="N389" s="49"/>
      <c r="R389" s="50"/>
      <c r="S389" s="50"/>
      <c r="T389" s="50"/>
      <c r="U389" s="50"/>
      <c r="V389" s="50"/>
      <c r="W389" s="50"/>
      <c r="X389" s="50"/>
      <c r="Y389" s="50"/>
      <c r="Z389" s="49"/>
    </row>
    <row r="390" spans="2:26" s="45" customFormat="1" x14ac:dyDescent="0.25">
      <c r="B390" s="175"/>
      <c r="C390" s="175"/>
      <c r="D390" s="187"/>
      <c r="E390" s="177"/>
      <c r="J390" s="49"/>
      <c r="K390" s="49"/>
      <c r="N390" s="49"/>
      <c r="R390" s="50"/>
      <c r="S390" s="50"/>
      <c r="T390" s="50"/>
      <c r="U390" s="50"/>
      <c r="V390" s="50"/>
      <c r="W390" s="50"/>
      <c r="X390" s="50"/>
      <c r="Y390" s="50"/>
      <c r="Z390" s="49"/>
    </row>
    <row r="391" spans="2:26" s="45" customFormat="1" ht="8.25" customHeight="1" x14ac:dyDescent="0.25">
      <c r="B391" s="188"/>
      <c r="C391" s="188"/>
      <c r="D391" s="189"/>
      <c r="E391" s="190"/>
      <c r="J391" s="49"/>
      <c r="K391" s="49"/>
      <c r="N391" s="49"/>
      <c r="R391" s="50"/>
      <c r="S391" s="50"/>
      <c r="T391" s="50"/>
      <c r="U391" s="50"/>
      <c r="V391" s="50"/>
      <c r="W391" s="50"/>
      <c r="X391" s="50"/>
      <c r="Y391" s="50"/>
      <c r="Z391" s="49"/>
    </row>
    <row r="392" spans="2:26" x14ac:dyDescent="0.25">
      <c r="B392" s="191" t="s">
        <v>214</v>
      </c>
      <c r="C392" s="192"/>
      <c r="D392" s="193"/>
      <c r="E392" s="192"/>
    </row>
    <row r="393" spans="2:26" ht="21.75" customHeight="1" x14ac:dyDescent="0.25">
      <c r="B393" s="7" t="s">
        <v>215</v>
      </c>
      <c r="C393" s="7"/>
      <c r="D393" s="7"/>
      <c r="E393" s="7"/>
    </row>
    <row r="394" spans="2:26" ht="27.75" customHeight="1" x14ac:dyDescent="0.25">
      <c r="B394" s="14" t="str">
        <f>("Un detalle de las  "&amp;B393&amp;" al "&amp;[1]BALANZA!$B$3&amp;" "&amp;[1]BALANZA!$C$3&amp;" es como se detalla a continuación:")</f>
        <v>Un detalle de las  Cuentas por pagar a corto plazo al 31 de Mayo del 2025 - 2024 es como se detalla a continuación:</v>
      </c>
      <c r="C394" s="32"/>
      <c r="D394" s="32"/>
      <c r="E394" s="32"/>
    </row>
    <row r="395" spans="2:26" ht="59.25" customHeight="1" x14ac:dyDescent="0.25">
      <c r="B395" s="21" t="str">
        <f>("Las Cuentas por Pagar está integrado por las deudas y compromisos de pago que tiene la institución con los suplidores de servicios, retenciones impositivas y documentos por pagar, con un aumento en el "&amp;C398&amp;"  el total era de RD$ "&amp;R402&amp;" y para el "&amp;D398&amp;" el total fue de RD$ "&amp;R403&amp;" , Según el siguiente detalle:")</f>
        <v>Las Cuentas por Pagar está integrado por las deudas y compromisos de pago que tiene la institución con los suplidores de servicios, retenciones impositivas y documentos por pagar, con un aumento en el 2025  el total era de RD$ 32,032,928.32 y para el 2024 el total fue de RD$ 15,390,184.53 , Según el siguiente detalle:</v>
      </c>
      <c r="C395" s="21"/>
      <c r="D395" s="21"/>
      <c r="E395" s="21"/>
    </row>
    <row r="396" spans="2:26" ht="45" customHeight="1" x14ac:dyDescent="0.25">
      <c r="B396" s="14" t="s">
        <v>216</v>
      </c>
      <c r="C396" s="14"/>
      <c r="D396" s="14"/>
      <c r="E396" s="14"/>
    </row>
    <row r="397" spans="2:26" x14ac:dyDescent="0.25">
      <c r="B397" s="13" t="s">
        <v>217</v>
      </c>
    </row>
    <row r="398" spans="2:26" x14ac:dyDescent="0.25">
      <c r="B398" s="194" t="s">
        <v>218</v>
      </c>
      <c r="C398" s="179">
        <f>+[1]BALANZA!B4</f>
        <v>2025</v>
      </c>
      <c r="D398" s="179">
        <f>+[1]BALANZA!C4</f>
        <v>2024</v>
      </c>
      <c r="E398" s="195" t="s">
        <v>219</v>
      </c>
      <c r="K398" s="3">
        <f>+D399+D400+K401</f>
        <v>13947930.439999999</v>
      </c>
    </row>
    <row r="399" spans="2:26" x14ac:dyDescent="0.25">
      <c r="B399" s="160" t="s">
        <v>220</v>
      </c>
      <c r="C399" s="94">
        <f>+'[1]BALANZA G'!C105-C400</f>
        <v>19910999.439999998</v>
      </c>
      <c r="D399" s="94">
        <f>+'[1]BALANZA G'!D105-D400</f>
        <v>13147066.369999999</v>
      </c>
      <c r="E399" s="44">
        <f>+C399-D399</f>
        <v>6763933.0699999984</v>
      </c>
      <c r="K399" s="3">
        <v>930.44</v>
      </c>
    </row>
    <row r="400" spans="2:26" x14ac:dyDescent="0.25">
      <c r="B400" s="160" t="s">
        <v>221</v>
      </c>
      <c r="C400" s="196">
        <f>12121928.88</f>
        <v>12121928.880000001</v>
      </c>
      <c r="D400" s="94">
        <v>800000</v>
      </c>
      <c r="E400" s="44">
        <f>+C400-D400</f>
        <v>11321928.880000001</v>
      </c>
      <c r="K400" s="3">
        <v>66.37</v>
      </c>
    </row>
    <row r="401" spans="2:26" x14ac:dyDescent="0.25">
      <c r="B401" s="160" t="s">
        <v>222</v>
      </c>
      <c r="C401" s="196">
        <f>+'[1]BALANZA G'!C106+'[1]BALANZA G'!C107</f>
        <v>0</v>
      </c>
      <c r="D401" s="94">
        <f>+'[1]BALANZA G'!D106+'[1]BALANZA G'!D107</f>
        <v>1443118.16</v>
      </c>
      <c r="E401" s="44">
        <f>+C401-D401</f>
        <v>-1443118.16</v>
      </c>
      <c r="K401" s="3">
        <f>+K399-K400</f>
        <v>864.07</v>
      </c>
    </row>
    <row r="402" spans="2:26" x14ac:dyDescent="0.25">
      <c r="B402" s="194" t="s">
        <v>223</v>
      </c>
      <c r="C402" s="122">
        <f>SUM(C399:C401)</f>
        <v>32032928.32</v>
      </c>
      <c r="D402" s="197">
        <f>SUM(D399:D401)</f>
        <v>15390184.529999999</v>
      </c>
      <c r="E402" s="122">
        <f>SUM(E399:E401)</f>
        <v>16642743.789999999</v>
      </c>
      <c r="R402" s="4" t="str">
        <f>+CONCATENATE(S402,",",T402,",",U402,V402,AB402,"")</f>
        <v>32,032,928.32</v>
      </c>
      <c r="S402" s="4" t="str">
        <f>MID(C402,1,2)</f>
        <v>32</v>
      </c>
      <c r="T402" s="4" t="str">
        <f>MID(C402,3,3)</f>
        <v>032</v>
      </c>
      <c r="U402" s="4" t="str">
        <f>MID(C402,6,3)</f>
        <v>928</v>
      </c>
      <c r="V402" s="4" t="str">
        <f>MID(C402,9,3)</f>
        <v>.32</v>
      </c>
    </row>
    <row r="403" spans="2:26" x14ac:dyDescent="0.25">
      <c r="B403" s="198"/>
      <c r="C403" s="199"/>
      <c r="D403" s="200"/>
      <c r="R403" s="4" t="str">
        <f>+CONCATENATE(S403,",",T403,",",U403,V403,AB403)</f>
        <v>15,390,184.53</v>
      </c>
      <c r="S403" s="4" t="str">
        <f>MID(D402,1,2)</f>
        <v>15</v>
      </c>
      <c r="T403" s="4" t="str">
        <f>MID(D402,3,3)</f>
        <v>390</v>
      </c>
      <c r="U403" s="4" t="str">
        <f>MID(D402,6,3)</f>
        <v>184</v>
      </c>
      <c r="V403" s="4" t="str">
        <f>MID(D402,9,3)</f>
        <v>.53</v>
      </c>
    </row>
    <row r="404" spans="2:26" s="45" customFormat="1" x14ac:dyDescent="0.25">
      <c r="B404" s="55" t="str">
        <f>("Cambio porcentual con relación al "&amp;$D$118&amp;".")</f>
        <v>Cambio porcentual con relación al 2024.</v>
      </c>
      <c r="C404" s="56"/>
      <c r="D404" s="57" t="str">
        <f>IF(E404&gt;=0,"Aumento","Disminución")</f>
        <v>Aumento</v>
      </c>
      <c r="E404" s="90">
        <f>+E402/D402</f>
        <v>1.0813868902974095</v>
      </c>
      <c r="J404" s="49"/>
      <c r="K404" s="49"/>
      <c r="N404" s="49"/>
      <c r="R404" s="50"/>
      <c r="S404" s="50"/>
      <c r="T404" s="50"/>
      <c r="U404" s="50"/>
      <c r="V404" s="50"/>
      <c r="W404" s="50"/>
      <c r="X404" s="50"/>
      <c r="Y404" s="50"/>
      <c r="Z404" s="49"/>
    </row>
    <row r="405" spans="2:26" ht="22.5" customHeight="1" x14ac:dyDescent="0.25">
      <c r="B405" s="7" t="s">
        <v>224</v>
      </c>
      <c r="C405" s="7"/>
      <c r="D405" s="7"/>
      <c r="E405" s="7"/>
    </row>
    <row r="406" spans="2:26" ht="12.75" customHeight="1" x14ac:dyDescent="0.25">
      <c r="B406" s="201"/>
      <c r="C406" s="201"/>
      <c r="D406" s="202"/>
      <c r="E406" s="201"/>
    </row>
    <row r="407" spans="2:26" hidden="1" x14ac:dyDescent="0.25">
      <c r="B407" s="65" t="s">
        <v>225</v>
      </c>
    </row>
    <row r="408" spans="2:26" ht="24" hidden="1" customHeight="1" x14ac:dyDescent="0.25">
      <c r="B408" s="21" t="str">
        <f>+B137</f>
        <v>Un detalle del Inversiones a corto plazo al 31 de Mayo del 2025 - 2024 es como se detalla a continuación:</v>
      </c>
      <c r="C408" s="21"/>
      <c r="D408" s="21"/>
      <c r="E408" s="21"/>
    </row>
    <row r="409" spans="2:26" ht="78" hidden="1" customHeight="1" x14ac:dyDescent="0.25">
      <c r="B409" s="21" t="str">
        <f>("Los Prestamos por Pagar está integrado por las deudas y compromisos de pago que tiene la institución con los bancos, para el "&amp;C411&amp;" el total era de RD$"&amp;C413&amp;" y para el "&amp;D411&amp;" el total fue de RD$"&amp;D413&amp;" , Según el siguiente detalle:")</f>
        <v>Los Prestamos por Pagar está integrado por las deudas y compromisos de pago que tiene la institución con los bancos, para el 2025 el total era de RD$0 y para el 2024 el total fue de RD$0 , Según el siguiente detalle:</v>
      </c>
      <c r="C409" s="21"/>
      <c r="D409" s="21"/>
      <c r="E409" s="21"/>
    </row>
    <row r="410" spans="2:26" hidden="1" x14ac:dyDescent="0.25">
      <c r="B410" s="13" t="s">
        <v>217</v>
      </c>
    </row>
    <row r="411" spans="2:26" hidden="1" x14ac:dyDescent="0.25">
      <c r="B411" s="194" t="s">
        <v>218</v>
      </c>
      <c r="C411" s="179">
        <f>+C140</f>
        <v>2025</v>
      </c>
      <c r="D411" s="203">
        <f>+D140</f>
        <v>2024</v>
      </c>
      <c r="E411" s="195" t="s">
        <v>219</v>
      </c>
    </row>
    <row r="412" spans="2:26" hidden="1" x14ac:dyDescent="0.25">
      <c r="B412" s="160" t="s">
        <v>226</v>
      </c>
      <c r="C412" s="84">
        <f>+'[1]BALANZA G'!C116</f>
        <v>0</v>
      </c>
      <c r="D412" s="94">
        <f>+'[1]BALANZA G'!D116</f>
        <v>0</v>
      </c>
      <c r="E412" s="83">
        <f>+C412-D412</f>
        <v>0</v>
      </c>
    </row>
    <row r="413" spans="2:26" hidden="1" x14ac:dyDescent="0.25">
      <c r="B413" s="194" t="s">
        <v>227</v>
      </c>
      <c r="C413" s="122">
        <f>SUM(C412:C412)</f>
        <v>0</v>
      </c>
      <c r="D413" s="197">
        <f>SUM(D412:D412)</f>
        <v>0</v>
      </c>
      <c r="E413" s="122">
        <f>SUM(E412:E412)</f>
        <v>0</v>
      </c>
    </row>
    <row r="414" spans="2:26" hidden="1" x14ac:dyDescent="0.25">
      <c r="B414" s="198"/>
      <c r="C414" s="87"/>
      <c r="D414" s="200"/>
    </row>
    <row r="415" spans="2:26" s="45" customFormat="1" hidden="1" x14ac:dyDescent="0.25">
      <c r="B415" s="204" t="s">
        <v>228</v>
      </c>
      <c r="C415" s="205"/>
      <c r="D415" s="57" t="e">
        <f>IF(E415&gt;=0,"Aumento","Disminución")</f>
        <v>#DIV/0!</v>
      </c>
      <c r="E415" s="90" t="e">
        <f>+E413/D413</f>
        <v>#DIV/0!</v>
      </c>
      <c r="J415" s="49"/>
      <c r="K415" s="49"/>
      <c r="N415" s="49"/>
      <c r="R415" s="50"/>
      <c r="S415" s="50"/>
      <c r="T415" s="50"/>
      <c r="U415" s="50"/>
      <c r="V415" s="50"/>
      <c r="W415" s="50"/>
      <c r="X415" s="50"/>
      <c r="Y415" s="50"/>
      <c r="Z415" s="49"/>
    </row>
    <row r="416" spans="2:26" s="45" customFormat="1" x14ac:dyDescent="0.25">
      <c r="B416" s="62"/>
      <c r="C416" s="62"/>
      <c r="D416" s="60"/>
      <c r="E416" s="63"/>
      <c r="J416" s="49"/>
      <c r="K416" s="49"/>
      <c r="N416" s="49"/>
      <c r="R416" s="50"/>
      <c r="S416" s="50"/>
      <c r="T416" s="50"/>
      <c r="U416" s="50"/>
      <c r="V416" s="50"/>
      <c r="W416" s="50"/>
      <c r="X416" s="50"/>
      <c r="Y416" s="50"/>
      <c r="Z416" s="49"/>
    </row>
    <row r="417" spans="2:26" s="45" customFormat="1" x14ac:dyDescent="0.25">
      <c r="B417" s="62"/>
      <c r="C417" s="62"/>
      <c r="D417" s="60"/>
      <c r="E417" s="63"/>
      <c r="J417" s="49"/>
      <c r="K417" s="49"/>
      <c r="N417" s="49"/>
      <c r="R417" s="50"/>
      <c r="S417" s="50"/>
      <c r="T417" s="50"/>
      <c r="U417" s="50"/>
      <c r="V417" s="50"/>
      <c r="W417" s="50"/>
      <c r="X417" s="50"/>
      <c r="Y417" s="50"/>
      <c r="Z417" s="49"/>
    </row>
    <row r="418" spans="2:26" s="45" customFormat="1" x14ac:dyDescent="0.25">
      <c r="B418" s="62"/>
      <c r="C418" s="62"/>
      <c r="D418" s="60"/>
      <c r="E418" s="63"/>
      <c r="J418" s="49"/>
      <c r="K418" s="49"/>
      <c r="N418" s="49"/>
      <c r="R418" s="50"/>
      <c r="S418" s="50"/>
      <c r="T418" s="50"/>
      <c r="U418" s="50"/>
      <c r="V418" s="50"/>
      <c r="W418" s="50"/>
      <c r="X418" s="50"/>
      <c r="Y418" s="50"/>
      <c r="Z418" s="49"/>
    </row>
    <row r="419" spans="2:26" s="45" customFormat="1" x14ac:dyDescent="0.25">
      <c r="B419" s="62"/>
      <c r="C419" s="62"/>
      <c r="D419" s="60"/>
      <c r="E419" s="63"/>
      <c r="J419" s="49"/>
      <c r="K419" s="49"/>
      <c r="N419" s="49"/>
      <c r="R419" s="50"/>
      <c r="S419" s="50"/>
      <c r="T419" s="50"/>
      <c r="U419" s="50"/>
      <c r="V419" s="50"/>
      <c r="W419" s="50"/>
      <c r="X419" s="50"/>
      <c r="Y419" s="50"/>
      <c r="Z419" s="49"/>
    </row>
    <row r="420" spans="2:26" s="45" customFormat="1" x14ac:dyDescent="0.25">
      <c r="B420" s="62"/>
      <c r="C420" s="62"/>
      <c r="D420" s="60"/>
      <c r="E420" s="63"/>
      <c r="J420" s="49"/>
      <c r="K420" s="49"/>
      <c r="N420" s="49"/>
      <c r="R420" s="50"/>
      <c r="S420" s="50"/>
      <c r="T420" s="50"/>
      <c r="U420" s="50"/>
      <c r="V420" s="50"/>
      <c r="W420" s="50"/>
      <c r="X420" s="50"/>
      <c r="Y420" s="50"/>
      <c r="Z420" s="49"/>
    </row>
    <row r="421" spans="2:26" s="45" customFormat="1" x14ac:dyDescent="0.25">
      <c r="B421" s="62"/>
      <c r="C421" s="62"/>
      <c r="D421" s="60"/>
      <c r="E421" s="63"/>
      <c r="J421" s="49"/>
      <c r="K421" s="49"/>
      <c r="N421" s="49"/>
      <c r="R421" s="50"/>
      <c r="S421" s="50"/>
      <c r="T421" s="50"/>
      <c r="U421" s="50"/>
      <c r="V421" s="50"/>
      <c r="W421" s="50"/>
      <c r="X421" s="50"/>
      <c r="Y421" s="50"/>
      <c r="Z421" s="49"/>
    </row>
    <row r="422" spans="2:26" s="45" customFormat="1" x14ac:dyDescent="0.25">
      <c r="B422" s="62"/>
      <c r="C422" s="62"/>
      <c r="D422" s="60"/>
      <c r="E422" s="63"/>
      <c r="J422" s="49"/>
      <c r="K422" s="49"/>
      <c r="N422" s="49"/>
      <c r="R422" s="50"/>
      <c r="S422" s="50"/>
      <c r="T422" s="50"/>
      <c r="U422" s="50"/>
      <c r="V422" s="50"/>
      <c r="W422" s="50"/>
      <c r="X422" s="50"/>
      <c r="Y422" s="50"/>
      <c r="Z422" s="49"/>
    </row>
    <row r="423" spans="2:26" s="45" customFormat="1" x14ac:dyDescent="0.25">
      <c r="B423" s="62"/>
      <c r="C423" s="62"/>
      <c r="D423" s="60"/>
      <c r="E423" s="63"/>
      <c r="J423" s="49"/>
      <c r="K423" s="49"/>
      <c r="N423" s="49"/>
      <c r="R423" s="50"/>
      <c r="S423" s="50"/>
      <c r="T423" s="50"/>
      <c r="U423" s="50"/>
      <c r="V423" s="50"/>
      <c r="W423" s="50"/>
      <c r="X423" s="50"/>
      <c r="Y423" s="50"/>
      <c r="Z423" s="49"/>
    </row>
    <row r="424" spans="2:26" s="45" customFormat="1" x14ac:dyDescent="0.25">
      <c r="B424" s="62"/>
      <c r="C424" s="62"/>
      <c r="D424" s="60"/>
      <c r="E424" s="63"/>
      <c r="J424" s="49"/>
      <c r="K424" s="49"/>
      <c r="N424" s="49"/>
      <c r="R424" s="50"/>
      <c r="S424" s="50"/>
      <c r="T424" s="50"/>
      <c r="U424" s="50"/>
      <c r="V424" s="50"/>
      <c r="W424" s="50"/>
      <c r="X424" s="50"/>
      <c r="Y424" s="50"/>
      <c r="Z424" s="49"/>
    </row>
    <row r="425" spans="2:26" s="45" customFormat="1" x14ac:dyDescent="0.25">
      <c r="B425" s="62"/>
      <c r="C425" s="62"/>
      <c r="D425" s="60"/>
      <c r="E425" s="63"/>
      <c r="J425" s="49"/>
      <c r="K425" s="49"/>
      <c r="N425" s="49"/>
      <c r="R425" s="50"/>
      <c r="S425" s="50"/>
      <c r="T425" s="50"/>
      <c r="U425" s="50"/>
      <c r="V425" s="50"/>
      <c r="W425" s="50"/>
      <c r="X425" s="50"/>
      <c r="Y425" s="50"/>
      <c r="Z425" s="49"/>
    </row>
    <row r="426" spans="2:26" s="45" customFormat="1" x14ac:dyDescent="0.25">
      <c r="B426" s="62"/>
      <c r="C426" s="62"/>
      <c r="D426" s="60"/>
      <c r="E426" s="63"/>
      <c r="J426" s="49"/>
      <c r="K426" s="49"/>
      <c r="N426" s="49"/>
      <c r="R426" s="50"/>
      <c r="S426" s="50"/>
      <c r="T426" s="50"/>
      <c r="U426" s="50"/>
      <c r="V426" s="50"/>
      <c r="W426" s="50"/>
      <c r="X426" s="50"/>
      <c r="Y426" s="50"/>
      <c r="Z426" s="49"/>
    </row>
    <row r="427" spans="2:26" s="45" customFormat="1" x14ac:dyDescent="0.25">
      <c r="B427" s="62"/>
      <c r="C427" s="62"/>
      <c r="D427" s="60"/>
      <c r="E427" s="63"/>
      <c r="J427" s="49"/>
      <c r="K427" s="49"/>
      <c r="N427" s="49"/>
      <c r="R427" s="50"/>
      <c r="S427" s="50"/>
      <c r="T427" s="50"/>
      <c r="U427" s="50"/>
      <c r="V427" s="50"/>
      <c r="W427" s="50"/>
      <c r="X427" s="50"/>
      <c r="Y427" s="50"/>
      <c r="Z427" s="49"/>
    </row>
    <row r="428" spans="2:26" s="45" customFormat="1" ht="17.25" customHeight="1" x14ac:dyDescent="0.25">
      <c r="B428" s="62" t="s">
        <v>229</v>
      </c>
      <c r="C428" s="62"/>
      <c r="D428" s="60"/>
      <c r="E428" s="63"/>
      <c r="J428" s="49"/>
      <c r="K428" s="49"/>
      <c r="N428" s="49"/>
      <c r="R428" s="50"/>
      <c r="S428" s="50"/>
      <c r="T428" s="50"/>
      <c r="U428" s="50"/>
      <c r="V428" s="50"/>
      <c r="W428" s="50"/>
      <c r="X428" s="50"/>
      <c r="Y428" s="50"/>
      <c r="Z428" s="49"/>
    </row>
    <row r="429" spans="2:26" s="45" customFormat="1" ht="17.25" customHeight="1" x14ac:dyDescent="0.25">
      <c r="B429" s="62" t="s">
        <v>230</v>
      </c>
      <c r="C429" s="62"/>
      <c r="D429" s="60"/>
      <c r="E429" s="63"/>
      <c r="J429" s="49"/>
      <c r="K429" s="49"/>
      <c r="N429" s="49"/>
      <c r="R429" s="50"/>
      <c r="S429" s="50"/>
      <c r="T429" s="50"/>
      <c r="U429" s="50"/>
      <c r="V429" s="50"/>
      <c r="W429" s="50"/>
      <c r="X429" s="50"/>
      <c r="Y429" s="50"/>
      <c r="Z429" s="49"/>
    </row>
    <row r="430" spans="2:26" x14ac:dyDescent="0.25">
      <c r="B430" s="65" t="s">
        <v>231</v>
      </c>
    </row>
    <row r="431" spans="2:26" ht="20.25" customHeight="1" x14ac:dyDescent="0.25">
      <c r="B431" s="14" t="str">
        <f>("Un detalle de las  "&amp;B430&amp;" al "&amp;[1]BALANZA!$B$3&amp;" "&amp;[1]BALANZA!$C$3&amp;" es como se detalla a continuación:")</f>
        <v>Un detalle de las  Acumulaciones por pagar al 31 de Mayo del 2025 - 2024 es como se detalla a continuación:</v>
      </c>
      <c r="C431" s="32"/>
      <c r="D431" s="32"/>
      <c r="E431" s="32"/>
    </row>
    <row r="432" spans="2:26" ht="36" customHeight="1" x14ac:dyDescent="0.25">
      <c r="B432" s="21" t="str">
        <f>("Las acumulaciones por pagar para el "&amp;C434&amp;" el total era RD$ "&amp;R438&amp;" y para el "&amp;D434&amp;" el total fue de RD$ "&amp;R439&amp;" , Según el siguiente detalle:")</f>
        <v>Las acumulaciones por pagar para el 2025 el total era RD$ 0.00 y para el 2024 el total fue de RD$ 252,299.30 , Según el siguiente detalle:</v>
      </c>
      <c r="C432" s="21"/>
      <c r="D432" s="21"/>
      <c r="E432" s="21"/>
    </row>
    <row r="433" spans="2:26" ht="9" customHeight="1" x14ac:dyDescent="0.25">
      <c r="B433" s="206"/>
      <c r="C433" s="206"/>
      <c r="D433" s="206"/>
      <c r="E433" s="206"/>
    </row>
    <row r="434" spans="2:26" x14ac:dyDescent="0.25">
      <c r="B434" s="194" t="s">
        <v>218</v>
      </c>
      <c r="C434" s="179">
        <f>+C140</f>
        <v>2025</v>
      </c>
      <c r="D434" s="179">
        <f>+D140</f>
        <v>2024</v>
      </c>
      <c r="E434" s="195" t="s">
        <v>219</v>
      </c>
    </row>
    <row r="435" spans="2:26" x14ac:dyDescent="0.25">
      <c r="B435" s="160" t="s">
        <v>232</v>
      </c>
      <c r="C435" s="94">
        <f>+'[1]BALANZA G'!C112+'[1]BALANZA G'!C113</f>
        <v>0</v>
      </c>
      <c r="D435" s="94">
        <f>+'[1]BALANZA G'!D112+'[1]BALANZA G'!D113</f>
        <v>252299.3</v>
      </c>
      <c r="E435" s="44">
        <f>+C435-D435</f>
        <v>-252299.3</v>
      </c>
    </row>
    <row r="436" spans="2:26" ht="14.25" customHeight="1" x14ac:dyDescent="0.25">
      <c r="B436" s="160" t="s">
        <v>233</v>
      </c>
      <c r="C436" s="94">
        <f>+'[1]BALANZA G'!C102+'[1]BALANZA G'!C103</f>
        <v>0</v>
      </c>
      <c r="D436" s="94">
        <f>+'[1]BALANZA G'!D102+'[1]BALANZA G'!D103</f>
        <v>0</v>
      </c>
      <c r="E436" s="44">
        <f>+C436-D436</f>
        <v>0</v>
      </c>
    </row>
    <row r="437" spans="2:26" hidden="1" x14ac:dyDescent="0.25">
      <c r="B437" s="160"/>
      <c r="C437" s="94"/>
      <c r="D437" s="94"/>
      <c r="E437" s="44"/>
    </row>
    <row r="438" spans="2:26" x14ac:dyDescent="0.25">
      <c r="B438" s="194" t="s">
        <v>234</v>
      </c>
      <c r="C438" s="197">
        <f>SUM(C435:C437)</f>
        <v>0</v>
      </c>
      <c r="D438" s="197">
        <f>SUM(D435:D437)</f>
        <v>252299.3</v>
      </c>
      <c r="E438" s="197">
        <f>SUM(E435:E437)</f>
        <v>-252299.3</v>
      </c>
      <c r="R438" s="4" t="str">
        <f>+CONCATENATE(T438,".",U438,"",V438,"00")</f>
        <v>0.00</v>
      </c>
      <c r="T438" s="4" t="str">
        <f>MID(C438,1,3)</f>
        <v>0</v>
      </c>
      <c r="U438" s="4" t="str">
        <f>MID(C438,4,3)</f>
        <v/>
      </c>
      <c r="V438" s="4" t="str">
        <f>MID(C438,7,3)</f>
        <v/>
      </c>
    </row>
    <row r="439" spans="2:26" ht="10.5" customHeight="1" x14ac:dyDescent="0.25">
      <c r="B439" s="198"/>
      <c r="C439" s="97">
        <f>+C438-'[1]ES F '!B36+C455</f>
        <v>0</v>
      </c>
      <c r="D439" s="200"/>
      <c r="R439" s="4" t="str">
        <f>+CONCATENATE(S439,",",T439,U439,V439,AB439,"0")</f>
        <v>252,299.30</v>
      </c>
      <c r="S439" s="4" t="str">
        <f>MID(D438,1,3)</f>
        <v>252</v>
      </c>
      <c r="T439" s="4" t="str">
        <f>MID(D438,4,3)</f>
        <v>299</v>
      </c>
      <c r="U439" s="4" t="str">
        <f>MID(D438,7,3)</f>
        <v>.3</v>
      </c>
    </row>
    <row r="440" spans="2:26" s="45" customFormat="1" x14ac:dyDescent="0.25">
      <c r="B440" s="55" t="str">
        <f>("Cambio porcentual con relación al "&amp;$D$118&amp;".")</f>
        <v>Cambio porcentual con relación al 2024.</v>
      </c>
      <c r="C440" s="56"/>
      <c r="D440" s="57" t="str">
        <f>IF(E440&gt;=0,"Aumento","Disminución")</f>
        <v>Disminución</v>
      </c>
      <c r="E440" s="90">
        <f>+E438/D438</f>
        <v>-1</v>
      </c>
      <c r="J440" s="49"/>
      <c r="K440" s="49"/>
      <c r="N440" s="49"/>
      <c r="R440" s="50"/>
      <c r="S440" s="50"/>
      <c r="T440" s="50"/>
      <c r="U440" s="50"/>
      <c r="V440" s="50"/>
      <c r="W440" s="50"/>
      <c r="X440" s="50"/>
      <c r="Y440" s="50"/>
      <c r="Z440" s="49"/>
    </row>
    <row r="441" spans="2:26" s="45" customFormat="1" ht="6" customHeight="1" x14ac:dyDescent="0.25">
      <c r="B441" s="62"/>
      <c r="C441" s="62"/>
      <c r="D441" s="60"/>
      <c r="E441" s="63"/>
      <c r="J441" s="49"/>
      <c r="K441" s="49"/>
      <c r="N441" s="49"/>
      <c r="R441" s="50"/>
      <c r="S441" s="50"/>
      <c r="T441" s="50"/>
      <c r="U441" s="50"/>
      <c r="V441" s="50"/>
      <c r="W441" s="50"/>
      <c r="X441" s="50"/>
      <c r="Y441" s="50"/>
      <c r="Z441" s="49"/>
    </row>
    <row r="442" spans="2:26" ht="14.25" customHeight="1" x14ac:dyDescent="0.25">
      <c r="B442" s="65" t="s">
        <v>235</v>
      </c>
      <c r="C442" s="201"/>
      <c r="D442" s="201"/>
      <c r="E442" s="201"/>
    </row>
    <row r="443" spans="2:26" ht="24.75" customHeight="1" x14ac:dyDescent="0.25">
      <c r="B443" s="14" t="str">
        <f>("Un detalle de las "&amp;B442&amp;" al "&amp;[1]BALANZA!$B$3&amp;" "&amp;[1]BALANZA!$C$3&amp;" es como se detalla a continuación:")</f>
        <v>Un detalle de las Retenciones por pagar al 31 de Mayo del 2025 - 2024 es como se detalla a continuación:</v>
      </c>
      <c r="C443" s="32"/>
      <c r="D443" s="32"/>
      <c r="E443" s="32"/>
    </row>
    <row r="444" spans="2:26" ht="29.25" customHeight="1" x14ac:dyDescent="0.25">
      <c r="B444" s="21" t="str">
        <f>("Las  retenciones impositivas  por pagar  para el "&amp;C447&amp;" el total era RD$ "&amp;R455&amp;" y para el "&amp;D447&amp;" el total fue de RD$ "&amp;R456&amp;" , Según el siguiente detalle:")</f>
        <v>Las  retenciones impositivas  por pagar  para el 2025 el total era RD$ 128,249.85 y para el 2024 el total fue de RD$ 0.00 , Según el siguiente detalle:</v>
      </c>
      <c r="C444" s="21"/>
      <c r="D444" s="21"/>
      <c r="E444" s="21"/>
    </row>
    <row r="445" spans="2:26" ht="6" customHeight="1" x14ac:dyDescent="0.25">
      <c r="B445" s="65"/>
      <c r="C445" s="201"/>
      <c r="D445" s="201"/>
      <c r="E445" s="201"/>
    </row>
    <row r="446" spans="2:26" ht="9.75" customHeight="1" x14ac:dyDescent="0.25">
      <c r="B446" s="65"/>
      <c r="C446" s="201"/>
      <c r="D446" s="201"/>
      <c r="E446" s="201"/>
    </row>
    <row r="447" spans="2:26" x14ac:dyDescent="0.25">
      <c r="B447" s="194" t="s">
        <v>218</v>
      </c>
      <c r="C447" s="179">
        <f>+C434</f>
        <v>2025</v>
      </c>
      <c r="D447" s="179">
        <f>+D434</f>
        <v>2024</v>
      </c>
      <c r="E447" s="207" t="s">
        <v>219</v>
      </c>
    </row>
    <row r="448" spans="2:26" hidden="1" x14ac:dyDescent="0.25">
      <c r="B448" s="117" t="s">
        <v>236</v>
      </c>
      <c r="C448" s="84">
        <f>+'[1]BALANZA G'!C92</f>
        <v>0</v>
      </c>
      <c r="D448" s="94">
        <f>+'[1]BALANZA G'!D92</f>
        <v>0</v>
      </c>
      <c r="E448" s="83">
        <f>+C448-D448</f>
        <v>0</v>
      </c>
    </row>
    <row r="449" spans="2:28" hidden="1" x14ac:dyDescent="0.25">
      <c r="B449" s="117" t="s">
        <v>237</v>
      </c>
      <c r="C449" s="84">
        <f>+'[1]BALANZA G'!C94</f>
        <v>0</v>
      </c>
      <c r="D449" s="94">
        <f>+'[1]BALANZA G'!D94</f>
        <v>0</v>
      </c>
      <c r="E449" s="83">
        <f t="shared" ref="E449:E454" si="2">+C449-D449</f>
        <v>0</v>
      </c>
    </row>
    <row r="450" spans="2:28" hidden="1" x14ac:dyDescent="0.25">
      <c r="B450" s="117" t="s">
        <v>238</v>
      </c>
      <c r="C450" s="84">
        <f>+'[1]BALANZA G'!C95</f>
        <v>0</v>
      </c>
      <c r="D450" s="94">
        <f>+'[1]BALANZA G'!D95</f>
        <v>0</v>
      </c>
      <c r="E450" s="83">
        <f t="shared" si="2"/>
        <v>0</v>
      </c>
    </row>
    <row r="451" spans="2:28" x14ac:dyDescent="0.25">
      <c r="B451" s="117" t="s">
        <v>239</v>
      </c>
      <c r="C451" s="84">
        <f>+'[1]BALANZA G'!C96</f>
        <v>0</v>
      </c>
      <c r="D451" s="94">
        <f>+'[1]BALANZA G'!D96</f>
        <v>0</v>
      </c>
      <c r="E451" s="83">
        <f t="shared" si="2"/>
        <v>0</v>
      </c>
    </row>
    <row r="452" spans="2:28" x14ac:dyDescent="0.25">
      <c r="B452" s="117" t="s">
        <v>240</v>
      </c>
      <c r="C452" s="84">
        <f>+'[1]BALANZA G'!C97</f>
        <v>56304.6</v>
      </c>
      <c r="D452" s="94">
        <f>+'[1]BALANZA G'!D97</f>
        <v>0</v>
      </c>
      <c r="E452" s="83">
        <f t="shared" si="2"/>
        <v>56304.6</v>
      </c>
    </row>
    <row r="453" spans="2:28" x14ac:dyDescent="0.25">
      <c r="B453" s="117" t="s">
        <v>241</v>
      </c>
      <c r="C453" s="84">
        <f>+'[1]BALANZA G'!C98+'[1]BALANZA G'!C93</f>
        <v>0</v>
      </c>
      <c r="D453" s="84">
        <f>+'[1]BALANZA G'!D98+'[1]BALANZA G'!D93</f>
        <v>0</v>
      </c>
      <c r="E453" s="83">
        <f t="shared" si="2"/>
        <v>0</v>
      </c>
    </row>
    <row r="454" spans="2:28" x14ac:dyDescent="0.25">
      <c r="B454" s="117" t="s">
        <v>242</v>
      </c>
      <c r="C454" s="84">
        <f>+'[1]BALANZA G'!C99</f>
        <v>71945.25</v>
      </c>
      <c r="D454" s="94">
        <f>+'[1]BALANZA G'!D99</f>
        <v>0</v>
      </c>
      <c r="E454" s="83">
        <f t="shared" si="2"/>
        <v>71945.25</v>
      </c>
    </row>
    <row r="455" spans="2:28" x14ac:dyDescent="0.25">
      <c r="B455" s="194" t="s">
        <v>243</v>
      </c>
      <c r="C455" s="122">
        <f>SUM(C448:C454)</f>
        <v>128249.85</v>
      </c>
      <c r="D455" s="197">
        <f>SUM(D448:D454)</f>
        <v>0</v>
      </c>
      <c r="E455" s="122">
        <f>SUM(E448:E454)</f>
        <v>128249.85</v>
      </c>
      <c r="R455" s="4" t="str">
        <f>+CONCATENATE(T455,",",U455,"",V455,AB455)</f>
        <v>128,249.85</v>
      </c>
      <c r="T455" s="4" t="str">
        <f>MID(C455,1,3)</f>
        <v>128</v>
      </c>
      <c r="U455" s="4" t="str">
        <f>MID(C455,4,3)</f>
        <v>249</v>
      </c>
      <c r="V455" s="4" t="str">
        <f>MID(C455,7,3)</f>
        <v>.85</v>
      </c>
      <c r="Z455" s="2"/>
      <c r="AA455" s="2" t="str">
        <f>MID(H455,7,3)</f>
        <v/>
      </c>
      <c r="AB455" s="2" t="str">
        <f>MID(C455,10,3)</f>
        <v/>
      </c>
    </row>
    <row r="456" spans="2:28" ht="6" customHeight="1" x14ac:dyDescent="0.25">
      <c r="B456" s="198"/>
      <c r="C456" s="97">
        <f>+C455-'[1]ES F '!B36+C438</f>
        <v>0</v>
      </c>
      <c r="D456" s="200"/>
      <c r="R456" s="4" t="str">
        <f>+CONCATENATE(S456,T456,".00",U456,V456,AB456)</f>
        <v>0.00</v>
      </c>
      <c r="T456" s="4" t="str">
        <f>MID(D455,1,3)</f>
        <v>0</v>
      </c>
      <c r="U456" s="4" t="str">
        <f>MID(D455,4,3)</f>
        <v/>
      </c>
      <c r="V456" s="4" t="str">
        <f>MID(D455,7,3)</f>
        <v/>
      </c>
      <c r="W456" s="4" t="str">
        <f>MID(H455,1,3)</f>
        <v/>
      </c>
      <c r="X456" s="4" t="str">
        <f>MID(I455,1,3)</f>
        <v/>
      </c>
      <c r="Y456" s="4" t="str">
        <f>MID(J455,1,3)</f>
        <v/>
      </c>
      <c r="Z456" s="2"/>
      <c r="AA456" s="2" t="str">
        <f>MID(L455,1,3)</f>
        <v/>
      </c>
      <c r="AB456" s="2" t="str">
        <f>MID(D455,11,3)</f>
        <v/>
      </c>
    </row>
    <row r="457" spans="2:28" ht="14.25" customHeight="1" x14ac:dyDescent="0.25">
      <c r="B457" s="55" t="str">
        <f>("Cambio porcentual con relación al "&amp;$D$118&amp;".")</f>
        <v>Cambio porcentual con relación al 2024.</v>
      </c>
      <c r="C457" s="56"/>
      <c r="D457" s="57">
        <v>0</v>
      </c>
      <c r="E457" s="90">
        <v>0</v>
      </c>
    </row>
    <row r="458" spans="2:28" ht="7.5" customHeight="1" x14ac:dyDescent="0.25">
      <c r="B458" s="201"/>
      <c r="C458" s="201"/>
      <c r="D458" s="201"/>
      <c r="E458" s="201"/>
    </row>
    <row r="459" spans="2:28" ht="16.5" customHeight="1" x14ac:dyDescent="0.25">
      <c r="B459" s="208" t="s">
        <v>244</v>
      </c>
      <c r="C459" s="209">
        <f>+C455+C438</f>
        <v>128249.85</v>
      </c>
      <c r="D459" s="209">
        <f>+D455+D438</f>
        <v>252299.3</v>
      </c>
      <c r="E459" s="122">
        <f>SUM(E452:E458)</f>
        <v>256499.7</v>
      </c>
    </row>
    <row r="460" spans="2:28" ht="14.25" customHeight="1" x14ac:dyDescent="0.25">
      <c r="B460" s="201"/>
      <c r="C460" s="201"/>
      <c r="D460" s="201"/>
      <c r="E460" s="201"/>
    </row>
    <row r="461" spans="2:28" ht="14.25" customHeight="1" x14ac:dyDescent="0.25">
      <c r="B461" s="65" t="s">
        <v>245</v>
      </c>
      <c r="C461" s="201"/>
      <c r="D461" s="201"/>
      <c r="E461" s="201"/>
    </row>
    <row r="462" spans="2:28" ht="19.5" customHeight="1" x14ac:dyDescent="0.25">
      <c r="B462" s="65" t="s">
        <v>246</v>
      </c>
      <c r="C462" s="201"/>
      <c r="D462" s="98"/>
      <c r="E462" s="201"/>
    </row>
    <row r="463" spans="2:28" ht="26.25" customHeight="1" x14ac:dyDescent="0.25">
      <c r="B463" s="14" t="str">
        <f>("Un detalle del "&amp;B462&amp;" al "&amp;[1]BALANZA!$B$3&amp;" "&amp;[1]BALANZA!$C$3&amp;" es como se detalla a continuación:")</f>
        <v>Un detalle del Activos Netos/Patrimonio al 31 de Mayo del 2025 - 2024 es como se detalla a continuación:</v>
      </c>
      <c r="C463" s="32"/>
      <c r="D463" s="32"/>
      <c r="E463" s="32"/>
    </row>
    <row r="464" spans="2:28" ht="38.25" customHeight="1" x14ac:dyDescent="0.25">
      <c r="B464" s="210" t="str">
        <f>("El patrimonio institucional  para el "&amp;C466&amp;" tenia monto por RD$ "&amp;R471&amp;" y para el "&amp;D466&amp;" el monto fue de RD$ "&amp;R472&amp;" y está conformado con las siguientes partidas: ")</f>
        <v xml:space="preserve">El patrimonio institucional  para el 2025 tenia monto por RD$ 1,119,525,860.84 y para el 2024 el monto fue de RD$ 1,086,596,554.24 y está conformado con las siguientes partidas: </v>
      </c>
      <c r="C464" s="21"/>
      <c r="D464" s="21"/>
      <c r="E464" s="21"/>
    </row>
    <row r="465" spans="2:27" ht="9.75" customHeight="1" x14ac:dyDescent="0.25">
      <c r="B465" s="13"/>
    </row>
    <row r="466" spans="2:27" x14ac:dyDescent="0.25">
      <c r="B466" s="194" t="s">
        <v>218</v>
      </c>
      <c r="C466" s="33">
        <f>+C610</f>
        <v>2025</v>
      </c>
      <c r="D466" s="33">
        <f>+D610</f>
        <v>2024</v>
      </c>
      <c r="E466" s="207" t="s">
        <v>219</v>
      </c>
    </row>
    <row r="467" spans="2:27" x14ac:dyDescent="0.25">
      <c r="B467" s="211" t="s">
        <v>247</v>
      </c>
      <c r="C467" s="212">
        <f>+'[1]BALANZA G'!C125</f>
        <v>808793054.60000002</v>
      </c>
      <c r="D467" s="212">
        <f>+'[1]BALANZA G'!D125</f>
        <v>808793054.60000002</v>
      </c>
      <c r="E467" s="44">
        <f>+C467-D467</f>
        <v>0</v>
      </c>
      <c r="G467" s="213"/>
      <c r="U467" s="214"/>
    </row>
    <row r="468" spans="2:27" x14ac:dyDescent="0.25">
      <c r="B468" s="211" t="s">
        <v>248</v>
      </c>
      <c r="C468" s="215">
        <f>+D470+D469+D468</f>
        <v>277803499.63999999</v>
      </c>
      <c r="D468" s="215">
        <v>236147019.97999999</v>
      </c>
      <c r="E468" s="44">
        <f>+C468-D468</f>
        <v>41656479.659999996</v>
      </c>
      <c r="G468" s="213"/>
      <c r="I468" s="93"/>
      <c r="U468" s="214"/>
    </row>
    <row r="469" spans="2:27" x14ac:dyDescent="0.25">
      <c r="B469" s="37" t="s">
        <v>249</v>
      </c>
      <c r="C469" s="215">
        <f>+[1]BALANZA!B6</f>
        <v>1485895.34</v>
      </c>
      <c r="D469" s="215">
        <v>0</v>
      </c>
      <c r="E469" s="44">
        <f>+C469-D469</f>
        <v>1485895.34</v>
      </c>
      <c r="G469" s="213"/>
      <c r="I469" s="93"/>
      <c r="U469" s="214"/>
      <c r="Z469" s="2"/>
    </row>
    <row r="470" spans="2:27" x14ac:dyDescent="0.25">
      <c r="B470" s="37" t="s">
        <v>250</v>
      </c>
      <c r="C470" s="215">
        <f>+[1]ERF!B35</f>
        <v>31443411.25999999</v>
      </c>
      <c r="D470" s="215">
        <f>+[1]ERF!C30</f>
        <v>41656479.659999967</v>
      </c>
      <c r="E470" s="44">
        <f>+C470-D470</f>
        <v>-10213068.399999976</v>
      </c>
      <c r="G470" s="213"/>
      <c r="I470" s="93"/>
      <c r="U470" s="214"/>
      <c r="Z470" s="49"/>
    </row>
    <row r="471" spans="2:27" x14ac:dyDescent="0.25">
      <c r="B471" s="85" t="s">
        <v>251</v>
      </c>
      <c r="C471" s="216">
        <f>SUM(C467:C470)</f>
        <v>1119525860.8399999</v>
      </c>
      <c r="D471" s="216">
        <f>SUM(D467:D470)</f>
        <v>1086596554.24</v>
      </c>
      <c r="E471" s="216">
        <f>SUM(E467:E470)</f>
        <v>32929306.600000024</v>
      </c>
      <c r="I471" s="93"/>
      <c r="R471" s="4" t="str">
        <f>+CONCATENATE(S471,",",T471,",",U471,",",V471,W471)</f>
        <v>1,119,525,860.84</v>
      </c>
      <c r="S471" s="4" t="str">
        <f>MID(C471,1,1)</f>
        <v>1</v>
      </c>
      <c r="T471" s="4" t="str">
        <f>MID(C471,2,3)</f>
        <v>119</v>
      </c>
      <c r="U471" s="4" t="str">
        <f>MID(C471,5,3)</f>
        <v>525</v>
      </c>
      <c r="V471" s="4" t="str">
        <f>MID(C471,8,3)</f>
        <v>860</v>
      </c>
      <c r="W471" s="4" t="str">
        <f>MID(C471,11,3)</f>
        <v>.84</v>
      </c>
      <c r="Z471" s="2"/>
      <c r="AA471" s="2" t="str">
        <f>MID(H471,7,3)</f>
        <v/>
      </c>
    </row>
    <row r="472" spans="2:27" x14ac:dyDescent="0.25">
      <c r="B472" s="217"/>
      <c r="C472" s="218">
        <f>+C471-'[1]ES F '!B59</f>
        <v>0</v>
      </c>
      <c r="D472" s="218">
        <f>+D471-'[1]ES F '!C59</f>
        <v>0</v>
      </c>
      <c r="E472" s="219"/>
      <c r="R472" s="4" t="str">
        <f>+CONCATENATE(S472,",",T472,",",U472,",",V472,W472)</f>
        <v>1,086,596,554.24</v>
      </c>
      <c r="S472" s="4" t="str">
        <f>MID(D471,1,1)</f>
        <v>1</v>
      </c>
      <c r="T472" s="4" t="str">
        <f>MID(D471,2,3)</f>
        <v>086</v>
      </c>
      <c r="U472" s="4" t="str">
        <f>MID(D471,5,3)</f>
        <v>596</v>
      </c>
      <c r="V472" s="4" t="str">
        <f>MID(D471,8,3)</f>
        <v>554</v>
      </c>
      <c r="W472" s="4" t="str">
        <f>MID(D471,11,3)</f>
        <v>.24</v>
      </c>
      <c r="X472" s="4" t="str">
        <f>MID(I471,1,3)</f>
        <v/>
      </c>
      <c r="AA472" s="2" t="str">
        <f>MID(L471,1,3)</f>
        <v/>
      </c>
    </row>
    <row r="473" spans="2:27" s="45" customFormat="1" x14ac:dyDescent="0.25">
      <c r="B473" s="55" t="str">
        <f>("Cambio porcentual con relación al "&amp;$D$118&amp;".")</f>
        <v>Cambio porcentual con relación al 2024.</v>
      </c>
      <c r="C473" s="56"/>
      <c r="D473" s="57" t="str">
        <f>IF(E473&gt;=0,"Aumento","Disminución")</f>
        <v>Aumento</v>
      </c>
      <c r="E473" s="90">
        <f>+E471/D471</f>
        <v>3.0304998181253963E-2</v>
      </c>
      <c r="J473" s="49"/>
      <c r="K473" s="49"/>
      <c r="N473" s="49"/>
      <c r="R473" s="50"/>
      <c r="S473" s="50"/>
      <c r="T473" s="50"/>
      <c r="U473" s="50"/>
      <c r="V473" s="50"/>
      <c r="W473" s="50"/>
      <c r="X473" s="50"/>
      <c r="Y473" s="50"/>
    </row>
    <row r="474" spans="2:27" ht="21" customHeight="1" x14ac:dyDescent="0.25">
      <c r="B474" s="220" t="s">
        <v>252</v>
      </c>
      <c r="C474" s="220"/>
      <c r="D474" s="220"/>
      <c r="E474" s="220"/>
    </row>
    <row r="475" spans="2:27" ht="21" customHeight="1" x14ac:dyDescent="0.25">
      <c r="B475" s="221"/>
      <c r="C475" s="221"/>
      <c r="D475" s="221"/>
      <c r="E475" s="221"/>
    </row>
    <row r="476" spans="2:27" ht="31.5" customHeight="1" x14ac:dyDescent="0.25">
      <c r="B476" s="221"/>
      <c r="C476" s="221"/>
      <c r="D476" s="221"/>
      <c r="E476" s="221"/>
    </row>
    <row r="477" spans="2:27" ht="12" customHeight="1" x14ac:dyDescent="0.25">
      <c r="B477" s="221"/>
      <c r="C477" s="221"/>
      <c r="D477" s="221"/>
      <c r="E477" s="221"/>
    </row>
    <row r="478" spans="2:27" ht="12" customHeight="1" x14ac:dyDescent="0.25">
      <c r="B478" s="221"/>
      <c r="C478" s="221"/>
      <c r="D478" s="221"/>
      <c r="E478" s="221"/>
    </row>
    <row r="479" spans="2:27" ht="12" customHeight="1" x14ac:dyDescent="0.25">
      <c r="B479" s="91"/>
    </row>
    <row r="480" spans="2:27" ht="13.5" customHeight="1" x14ac:dyDescent="0.25">
      <c r="B480" s="65" t="s">
        <v>245</v>
      </c>
    </row>
    <row r="481" spans="2:26" x14ac:dyDescent="0.25">
      <c r="B481" s="65" t="s">
        <v>253</v>
      </c>
    </row>
    <row r="482" spans="2:26" ht="39.75" customHeight="1" x14ac:dyDescent="0.25">
      <c r="B482" s="14" t="str">
        <f>("Un detalle del "&amp;B481&amp;" al "&amp;[1]BALANZA!$B$3&amp;" "&amp;[1]BALANZA!$C$3&amp;" es como se detalla a continuación:")</f>
        <v>Un detalle del Ingresos por transacciones con contraprestaciones al 31 de Mayo del 2025 - 2024 es como se detalla a continuación:</v>
      </c>
      <c r="C482" s="32"/>
      <c r="D482" s="32"/>
      <c r="E482" s="32"/>
    </row>
    <row r="483" spans="2:26" ht="42.75" customHeight="1" x14ac:dyDescent="0.25">
      <c r="B483" s="210" t="str">
        <f>("Los ingresos recibidos por cobros de  servicios de aguas potable y saneamiento (APS) para en el  "&amp;C486&amp;" es RD$ "&amp;R489&amp;" y del "&amp;D486&amp;" es RD$ "&amp;R490&amp;" :")</f>
        <v>Los ingresos recibidos por cobros de  servicios de aguas potable y saneamiento (APS) para en el  2025 es RD$ 76,817,905.38 y del 2024 es RD$ 180,976,832.24 :</v>
      </c>
      <c r="C483" s="210"/>
      <c r="D483" s="210"/>
      <c r="E483" s="210"/>
    </row>
    <row r="484" spans="2:26" x14ac:dyDescent="0.25">
      <c r="B484" s="222"/>
    </row>
    <row r="485" spans="2:26" x14ac:dyDescent="0.25">
      <c r="B485" s="194"/>
      <c r="C485" s="223" t="s">
        <v>254</v>
      </c>
      <c r="D485" s="223"/>
      <c r="E485" s="224"/>
    </row>
    <row r="486" spans="2:26" x14ac:dyDescent="0.25">
      <c r="B486" s="194" t="s">
        <v>218</v>
      </c>
      <c r="C486" s="225">
        <f>+C140</f>
        <v>2025</v>
      </c>
      <c r="D486" s="225">
        <f>+D140</f>
        <v>2024</v>
      </c>
      <c r="E486" s="195" t="s">
        <v>219</v>
      </c>
    </row>
    <row r="487" spans="2:26" x14ac:dyDescent="0.25">
      <c r="B487" s="160" t="s">
        <v>255</v>
      </c>
      <c r="C487" s="226">
        <f>+'[1]BALANZA G'!C133-C488</f>
        <v>76817905.379999995</v>
      </c>
      <c r="D487" s="146">
        <f>+'[1]BALANZA G'!D133-D488</f>
        <v>180953599.51999998</v>
      </c>
      <c r="E487" s="83">
        <f>+C487-D487</f>
        <v>-104135694.13999999</v>
      </c>
      <c r="H487" s="93"/>
    </row>
    <row r="488" spans="2:26" x14ac:dyDescent="0.25">
      <c r="B488" s="160" t="s">
        <v>256</v>
      </c>
      <c r="C488" s="226">
        <v>0</v>
      </c>
      <c r="D488" s="226">
        <f>1936.06*12</f>
        <v>23232.720000000001</v>
      </c>
      <c r="E488" s="83">
        <f>+C488-D488</f>
        <v>-23232.720000000001</v>
      </c>
      <c r="H488" s="93"/>
    </row>
    <row r="489" spans="2:26" ht="28.5" x14ac:dyDescent="0.25">
      <c r="B489" s="227" t="s">
        <v>257</v>
      </c>
      <c r="C489" s="228">
        <f>SUM(C487:C488)</f>
        <v>76817905.379999995</v>
      </c>
      <c r="D489" s="229">
        <f>SUM(D487:D488)</f>
        <v>180976832.23999998</v>
      </c>
      <c r="E489" s="228">
        <f>SUM(E487:E487)</f>
        <v>-104135694.13999999</v>
      </c>
      <c r="H489" s="93"/>
      <c r="R489" s="4" t="str">
        <f>+CONCATENATE(S489,",",T489,",",U489,V489,"")</f>
        <v>76,817,905.38</v>
      </c>
      <c r="S489" s="4" t="str">
        <f>MID(C489,1,2)</f>
        <v>76</v>
      </c>
      <c r="T489" s="4" t="str">
        <f>MID(C489,3,3)</f>
        <v>817</v>
      </c>
      <c r="U489" s="4" t="str">
        <f>MID(C489,6,3)</f>
        <v>905</v>
      </c>
      <c r="V489" s="4" t="str">
        <f>MID(C489,9,3)</f>
        <v>.38</v>
      </c>
    </row>
    <row r="490" spans="2:26" x14ac:dyDescent="0.25">
      <c r="B490" s="230"/>
      <c r="C490" s="231">
        <f>+C489-[1]ERF!B11-[1]ERF!B13</f>
        <v>0</v>
      </c>
      <c r="D490" s="232"/>
      <c r="E490" s="233"/>
      <c r="H490" s="93"/>
      <c r="R490" s="4" t="str">
        <f>+CONCATENATE(S490,",",T490,",",U490,V490,AB490,"")</f>
        <v>180,976,832.24</v>
      </c>
      <c r="S490" s="4" t="str">
        <f>MID(D489,1,3)</f>
        <v>180</v>
      </c>
      <c r="T490" s="4" t="str">
        <f>MID(D489,4,3)</f>
        <v>976</v>
      </c>
      <c r="U490" s="4" t="str">
        <f>MID(D489,7,3)</f>
        <v>832</v>
      </c>
      <c r="V490" s="4" t="str">
        <f>MID(D489,10,3)</f>
        <v>.24</v>
      </c>
    </row>
    <row r="491" spans="2:26" s="45" customFormat="1" x14ac:dyDescent="0.25">
      <c r="B491" s="55" t="str">
        <f>("Cambio porcentual con relación al "&amp;$D$118&amp;".")</f>
        <v>Cambio porcentual con relación al 2024.</v>
      </c>
      <c r="C491" s="56"/>
      <c r="D491" s="57" t="str">
        <f>IF(E491&gt;=0,"Aumento","Disminución")</f>
        <v>Disminución</v>
      </c>
      <c r="E491" s="90">
        <f>+E489/D489</f>
        <v>-0.575408978326584</v>
      </c>
      <c r="J491" s="49"/>
      <c r="K491" s="49"/>
      <c r="N491" s="49"/>
      <c r="R491" s="50"/>
      <c r="S491" s="50"/>
      <c r="T491" s="50"/>
      <c r="U491" s="50"/>
      <c r="V491" s="50"/>
      <c r="W491" s="50"/>
      <c r="X491" s="50"/>
      <c r="Y491" s="50"/>
      <c r="Z491" s="49"/>
    </row>
    <row r="492" spans="2:26" x14ac:dyDescent="0.25">
      <c r="B492" s="91"/>
    </row>
    <row r="494" spans="2:26" x14ac:dyDescent="0.25">
      <c r="B494" s="65" t="s">
        <v>258</v>
      </c>
    </row>
    <row r="495" spans="2:26" x14ac:dyDescent="0.25">
      <c r="B495" s="65" t="s">
        <v>259</v>
      </c>
    </row>
    <row r="496" spans="2:26" ht="32.25" customHeight="1" x14ac:dyDescent="0.25">
      <c r="B496" s="14" t="str">
        <f>("Un detalle de las "&amp;B495&amp;" al "&amp;[1]BALANZA!$B$3&amp;" "&amp;[1]BALANZA!$C$3&amp;" es como se detalla a continuación:")</f>
        <v>Un detalle de las Transferencias y donaciones  al 31 de Mayo del 2025 - 2024 es como se detalla a continuación:</v>
      </c>
      <c r="C496" s="32"/>
      <c r="D496" s="32"/>
      <c r="E496" s="32"/>
    </row>
    <row r="497" spans="2:26" ht="61.5" customHeight="1" x14ac:dyDescent="0.25">
      <c r="B497" s="210" t="str">
        <f>("Los recursos recibidos por transferencias fueron por los montos según el siguiente detalle:  para el "&amp;C501&amp;" transferencia de para Gasto  Corrientes RD$ "&amp;R502&amp;", para Gasto de  Capital RD$ "&amp;R503&amp;" y para Energia no cortable RD$ "&amp;R504&amp;" y para el "&amp;D501&amp;" Transferencia para Gasto  Corrientes RD$ "&amp;R508&amp;", para Gasto  de Capital RD$ "&amp;R509&amp;" y para Energia no cortable RD$ "&amp;R510&amp;" ")</f>
        <v xml:space="preserve">Los recursos recibidos por transferencias fueron por los montos según el siguiente detalle:  para el 2025 transferencia de para Gasto  Corrientes RD$ 19,965,835.00, para Gasto de  Capital RD$ 41,862,250.00 y para Energia no cortable RD$ 23,143,260.00 y para el 2024 Transferencia para Gasto  Corrientes RD$ 165,298,809.00, para Gasto  de Capital RD$ 12,714,356.04 y para Energia no cortable RD$ 51,161,468.00 </v>
      </c>
      <c r="C497" s="210"/>
      <c r="D497" s="210"/>
      <c r="E497" s="210"/>
    </row>
    <row r="498" spans="2:26" ht="27.75" customHeight="1" x14ac:dyDescent="0.25">
      <c r="B498" s="210" t="str">
        <f>("Para el "&amp;D501&amp;" recibimos transferencia fuera del circuito para Gasto  Corrientes RD$ "&amp;R512&amp;" ")</f>
        <v xml:space="preserve">Para el 2024 recibimos transferencia fuera del circuito para Gasto  Corrientes RD$ 4,235,517.00 </v>
      </c>
      <c r="C498" s="210"/>
      <c r="D498" s="210"/>
      <c r="E498" s="210"/>
    </row>
    <row r="499" spans="2:26" x14ac:dyDescent="0.25">
      <c r="B499" s="13"/>
    </row>
    <row r="500" spans="2:26" x14ac:dyDescent="0.25">
      <c r="B500" s="178" t="str">
        <f>+B486</f>
        <v>Cuenta</v>
      </c>
      <c r="C500" s="223" t="s">
        <v>254</v>
      </c>
      <c r="D500" s="223"/>
      <c r="E500" s="224"/>
    </row>
    <row r="501" spans="2:26" x14ac:dyDescent="0.25">
      <c r="B501" s="178" t="s">
        <v>260</v>
      </c>
      <c r="C501" s="225">
        <f>+[1]BALANZA!B4</f>
        <v>2025</v>
      </c>
      <c r="D501" s="225">
        <f>+[1]BALANZA!C4</f>
        <v>2024</v>
      </c>
      <c r="E501" s="195" t="s">
        <v>219</v>
      </c>
      <c r="R501" s="4" t="str">
        <f>+CONCATENATE(S501,",",T501,",",U501,V501,".00")</f>
        <v>0,,.00</v>
      </c>
      <c r="S501" s="4" t="str">
        <f>MID(C505,1,1)</f>
        <v>0</v>
      </c>
      <c r="T501" s="4" t="str">
        <f>MID(C505,2,3)</f>
        <v/>
      </c>
      <c r="U501" s="4" t="str">
        <f>MID(C505,5,3)</f>
        <v/>
      </c>
    </row>
    <row r="502" spans="2:26" ht="15.75" customHeight="1" x14ac:dyDescent="0.25">
      <c r="B502" s="160" t="s">
        <v>261</v>
      </c>
      <c r="C502" s="146">
        <f>+'[1]BALANZA G'!C146+'[1]BALANZA G'!C150-C505</f>
        <v>19965835</v>
      </c>
      <c r="D502" s="146">
        <f>+[1]RESULTADO!E10-D503-D504</f>
        <v>165298809</v>
      </c>
      <c r="E502" s="83">
        <f>+C502-D502</f>
        <v>-145332974</v>
      </c>
      <c r="R502" s="4" t="str">
        <f>+CONCATENATE(S502,",",T502,",",U502,V502,".00")</f>
        <v>19,965,835.00</v>
      </c>
      <c r="S502" s="4" t="str">
        <f>MID(C502,1,2)</f>
        <v>19</v>
      </c>
      <c r="T502" s="4" t="str">
        <f>MID(C502,3,3)</f>
        <v>965</v>
      </c>
      <c r="U502" s="4" t="str">
        <f>MID(C502,6,3)</f>
        <v>835</v>
      </c>
      <c r="V502" s="4" t="str">
        <f>MID(C502,9,3)</f>
        <v/>
      </c>
    </row>
    <row r="503" spans="2:26" ht="15.75" customHeight="1" x14ac:dyDescent="0.25">
      <c r="B503" s="160" t="s">
        <v>262</v>
      </c>
      <c r="C503" s="234">
        <f>+'[1]BALANZA G'!C151</f>
        <v>41862500</v>
      </c>
      <c r="D503" s="234">
        <v>12714356.039999999</v>
      </c>
      <c r="E503" s="83">
        <f>+C503-D503</f>
        <v>29148143.960000001</v>
      </c>
      <c r="R503" s="4" t="str">
        <f>+CONCATENATE(S503,",",T503,",",U503,V503,".00")</f>
        <v>41,862,250.00</v>
      </c>
      <c r="S503" s="4" t="str">
        <f>MID(C503,1,2)</f>
        <v>41</v>
      </c>
      <c r="T503" s="4" t="str">
        <f>MID(C503,3,3)</f>
        <v>862</v>
      </c>
      <c r="U503" s="4" t="str">
        <f>MID(C503,5,3)</f>
        <v>250</v>
      </c>
      <c r="V503" s="4" t="str">
        <f>MID(C503,10,3)</f>
        <v/>
      </c>
    </row>
    <row r="504" spans="2:26" ht="28.5" customHeight="1" x14ac:dyDescent="0.25">
      <c r="B504" s="235" t="s">
        <v>263</v>
      </c>
      <c r="C504" s="234">
        <f>+'[1]BALANZA G'!C152</f>
        <v>23143260</v>
      </c>
      <c r="D504" s="234">
        <v>51161468</v>
      </c>
      <c r="E504" s="236">
        <f>+C504-D504</f>
        <v>-28018208</v>
      </c>
      <c r="N504" s="3">
        <f>3106590.67*5</f>
        <v>15532953.35</v>
      </c>
      <c r="R504" s="4" t="str">
        <f>+CONCATENATE(S504,",",T504,",",U504,V504,".00")</f>
        <v>23,143,260.00</v>
      </c>
      <c r="S504" s="4" t="str">
        <f>MID(C504,1,2)</f>
        <v>23</v>
      </c>
      <c r="T504" s="4" t="str">
        <f>MID(C504,3,3)</f>
        <v>143</v>
      </c>
      <c r="U504" s="4" t="str">
        <f>MID(C504,6,3)</f>
        <v>260</v>
      </c>
      <c r="V504" s="4" t="str">
        <f>MID(C504,9,3)</f>
        <v/>
      </c>
    </row>
    <row r="505" spans="2:26" ht="19.5" customHeight="1" x14ac:dyDescent="0.25">
      <c r="B505" s="235" t="s">
        <v>264</v>
      </c>
      <c r="C505" s="234">
        <v>0</v>
      </c>
      <c r="D505" s="234">
        <v>4235517</v>
      </c>
      <c r="E505" s="236">
        <f>+C505-D505</f>
        <v>-4235517</v>
      </c>
    </row>
    <row r="506" spans="2:26" x14ac:dyDescent="0.25">
      <c r="B506" s="178" t="s">
        <v>265</v>
      </c>
      <c r="C506" s="228">
        <f>SUM(C502:C505)</f>
        <v>84971595</v>
      </c>
      <c r="D506" s="229">
        <f>SUM(D502:D504)</f>
        <v>229174633.03999999</v>
      </c>
      <c r="E506" s="228">
        <f>SUM(E502:E504)</f>
        <v>-144203038.03999999</v>
      </c>
      <c r="H506" s="93"/>
      <c r="N506" s="3">
        <v>2556519</v>
      </c>
      <c r="R506" s="4" t="str">
        <f>+CONCATENATE(S506,",",T506,",",U506,V506,AB506)</f>
        <v>84,971,595</v>
      </c>
      <c r="S506" s="4" t="str">
        <f>MID(C506,1,2)</f>
        <v>84</v>
      </c>
      <c r="T506" s="4" t="str">
        <f>MID(C506,3,3)</f>
        <v>971</v>
      </c>
      <c r="U506" s="4" t="str">
        <f>MID(C506,6,3)</f>
        <v>595</v>
      </c>
      <c r="V506" s="4" t="str">
        <f>MID(C506,9,3)</f>
        <v/>
      </c>
    </row>
    <row r="507" spans="2:26" x14ac:dyDescent="0.25">
      <c r="B507" s="230"/>
      <c r="C507" s="231">
        <f>+C506-[1]ERF!B12</f>
        <v>0</v>
      </c>
      <c r="D507" s="231">
        <f>+D506-[1]ERF!C12</f>
        <v>0</v>
      </c>
      <c r="E507" s="233"/>
      <c r="H507" s="93"/>
      <c r="N507" s="3">
        <f>+N504+N506</f>
        <v>18089472.350000001</v>
      </c>
      <c r="R507" s="4" t="str">
        <f>+CONCATENATE(S507,",",T507,",",U507,V507,AB507)</f>
        <v>229,174,633.04</v>
      </c>
      <c r="S507" s="4" t="str">
        <f>MID(D506,1,3)</f>
        <v>229</v>
      </c>
      <c r="T507" s="4" t="str">
        <f>MID(D506,4,3)</f>
        <v>174</v>
      </c>
      <c r="U507" s="4" t="str">
        <f>MID(D506,7,3)</f>
        <v>633</v>
      </c>
      <c r="V507" s="4" t="str">
        <f>MID(D506,10,3)</f>
        <v>.04</v>
      </c>
    </row>
    <row r="508" spans="2:26" s="45" customFormat="1" x14ac:dyDescent="0.25">
      <c r="B508" s="55" t="str">
        <f>("Cambio porcentual con relación al "&amp;$D$118&amp;".")</f>
        <v>Cambio porcentual con relación al 2024.</v>
      </c>
      <c r="C508" s="56"/>
      <c r="D508" s="57" t="str">
        <f>IF(E508&gt;=0,"Aumento","Disminución")</f>
        <v>Disminución</v>
      </c>
      <c r="E508" s="90">
        <f>+E506/D506</f>
        <v>-0.62922774709900331</v>
      </c>
      <c r="J508" s="49"/>
      <c r="K508" s="49"/>
      <c r="N508" s="49"/>
      <c r="R508" s="4" t="str">
        <f>+CONCATENATE(S508,",",T508,",",U508,V508,AB508,".00")</f>
        <v>165,298,809.00</v>
      </c>
      <c r="S508" s="4" t="str">
        <f>MID(D502,1,3)</f>
        <v>165</v>
      </c>
      <c r="T508" s="4" t="str">
        <f>MID(D502,4,3)</f>
        <v>298</v>
      </c>
      <c r="U508" s="4" t="str">
        <f>MID(D502,7,3)</f>
        <v>809</v>
      </c>
      <c r="V508" s="4" t="str">
        <f>MID(D502,10,3)</f>
        <v/>
      </c>
      <c r="W508" s="50"/>
      <c r="X508" s="50"/>
      <c r="Y508" s="50"/>
      <c r="Z508" s="49"/>
    </row>
    <row r="509" spans="2:26" ht="21" customHeight="1" x14ac:dyDescent="0.25">
      <c r="B509" s="13"/>
      <c r="H509" s="93"/>
      <c r="R509" s="4" t="str">
        <f>+CONCATENATE(S509,",",T509,",",U509,V509,AB509)</f>
        <v>12,714,356.04</v>
      </c>
      <c r="S509" s="4" t="str">
        <f>MID(D503,1,2)</f>
        <v>12</v>
      </c>
      <c r="T509" s="4" t="str">
        <f>MID(D503,3,3)</f>
        <v>714</v>
      </c>
      <c r="U509" s="4" t="str">
        <f>MID(D503,6,3)</f>
        <v>356</v>
      </c>
      <c r="V509" s="4" t="str">
        <f>MID(D503,9,3)</f>
        <v>.04</v>
      </c>
    </row>
    <row r="510" spans="2:26" ht="28.5" hidden="1" customHeight="1" x14ac:dyDescent="0.25">
      <c r="B510" s="26" t="e">
        <f>("Nota: CORAAMOCA tiene un presupuesto aprobado para el "&amp;C501&amp;" por un valor de RD$ "&amp;#REF!&amp;" ")</f>
        <v>#REF!</v>
      </c>
      <c r="C510" s="26"/>
      <c r="D510" s="26"/>
      <c r="E510" s="26"/>
      <c r="R510" s="4" t="str">
        <f>+CONCATENATE(S510,",",T510,",",U510,V510,AB510,".00")</f>
        <v>51,161,468.00</v>
      </c>
      <c r="S510" s="4" t="str">
        <f>MID(D504,1,2)</f>
        <v>51</v>
      </c>
      <c r="T510" s="4" t="str">
        <f>MID(D504,3,3)</f>
        <v>161</v>
      </c>
      <c r="U510" s="4" t="str">
        <f>MID(D504,6,3)</f>
        <v>468</v>
      </c>
      <c r="V510" s="4" t="str">
        <f>MID(D504,9,3)</f>
        <v/>
      </c>
    </row>
    <row r="511" spans="2:26" ht="69.75" customHeight="1" x14ac:dyDescent="0.25">
      <c r="B511" s="26" t="str">
        <f>("El cual  recibirá mediante asignación de fondos del Gobierno Central,  para gastos corriente RD$ "&amp;R511&amp;" , para Gasto de capital RD$ "&amp;R514&amp;" y para  Energia Electrica de  RD$ "&amp;R512&amp;" y la Institución ingresará por ventas de servicios agua y saneamiento  un monto de RD$ "&amp;R515&amp;".")</f>
        <v>El cual  recibirá mediante asignación de fondos del Gobierno Central,  para gastos corriente RD$ 51,195,285.00 , para Gasto de capital RD$ 100,470,000.00 y para  Energia Electrica de  RD$ 4,235,517.00 y la Institución ingresará por ventas de servicios agua y saneamiento  un monto de RD$ 240,000,000.00.</v>
      </c>
      <c r="C511" s="26"/>
      <c r="D511" s="26"/>
      <c r="E511" s="26"/>
      <c r="R511" s="4" t="str">
        <f>+CONCATENATE(T511,",",U511,",",V511,W511,".00")</f>
        <v>51,195,285.00</v>
      </c>
      <c r="S511" s="237">
        <f>+'[1]Pres A'!E289</f>
        <v>51195285</v>
      </c>
      <c r="T511" s="4" t="str">
        <f>MID(S511,1,2)</f>
        <v>51</v>
      </c>
      <c r="U511" s="4" t="str">
        <f>MID(S511,3,3)</f>
        <v>195</v>
      </c>
      <c r="V511" s="4" t="str">
        <f>MID(S511,6,3)</f>
        <v>285</v>
      </c>
    </row>
    <row r="512" spans="2:26" ht="15.75" customHeight="1" x14ac:dyDescent="0.25">
      <c r="B512" s="22"/>
      <c r="C512" s="22"/>
      <c r="D512" s="22"/>
      <c r="E512" s="22"/>
      <c r="R512" s="4" t="str">
        <f>+CONCATENATE(S512,",",T512,",",U512,V512,".00")</f>
        <v>4,235,517.00</v>
      </c>
      <c r="S512" s="4" t="str">
        <f>MID(D505,1,1)</f>
        <v>4</v>
      </c>
      <c r="T512" s="4" t="str">
        <f>MID(D505,2,3)</f>
        <v>235</v>
      </c>
      <c r="U512" s="4" t="str">
        <f>MID(F505,1,1)</f>
        <v/>
      </c>
      <c r="V512" s="4" t="str">
        <f>MID(D505,5,3)</f>
        <v>517</v>
      </c>
      <c r="W512" s="4" t="str">
        <f>MID(S512,9,3)</f>
        <v/>
      </c>
    </row>
    <row r="513" spans="2:23" ht="15.75" customHeight="1" x14ac:dyDescent="0.25">
      <c r="B513" s="22"/>
      <c r="C513" s="22"/>
      <c r="D513" s="22"/>
      <c r="E513" s="22"/>
      <c r="R513" s="4" t="str">
        <f>+CONCATENATE(T513,",",U513,",",V513,W513,".00")</f>
        <v>10,047,0000.00</v>
      </c>
      <c r="S513" s="237">
        <f>+'[1]Pres A'!E291</f>
        <v>100470000</v>
      </c>
      <c r="T513" s="4" t="str">
        <f>MID(S513,1,2)</f>
        <v>10</v>
      </c>
      <c r="U513" s="4" t="str">
        <f>MID(S513,3,3)</f>
        <v>047</v>
      </c>
      <c r="V513" s="4" t="str">
        <f>MID(S513,6,3)</f>
        <v>000</v>
      </c>
      <c r="W513" s="4" t="str">
        <f>MID(S513,9,3)</f>
        <v>0</v>
      </c>
    </row>
    <row r="514" spans="2:23" ht="9" customHeight="1" x14ac:dyDescent="0.25">
      <c r="B514" s="22"/>
      <c r="C514" s="22"/>
      <c r="D514" s="22"/>
      <c r="E514" s="22"/>
      <c r="R514" s="4" t="str">
        <f>+CONCATENATE(T514,",",U514,",",V514,W514,".00")</f>
        <v>100,470,000.00</v>
      </c>
      <c r="S514" s="237">
        <f>+'[1]Pres A'!E291</f>
        <v>100470000</v>
      </c>
      <c r="T514" s="4" t="str">
        <f>MID(S514,1,3)</f>
        <v>100</v>
      </c>
      <c r="U514" s="4" t="str">
        <f>MID(S514,4,3)</f>
        <v>470</v>
      </c>
      <c r="V514" s="4" t="str">
        <f>MID(S514,7,3)</f>
        <v>000</v>
      </c>
      <c r="W514" s="4" t="str">
        <f>MID(S514,10,3)</f>
        <v/>
      </c>
    </row>
    <row r="515" spans="2:23" ht="9" customHeight="1" x14ac:dyDescent="0.25">
      <c r="B515" s="22"/>
      <c r="C515" s="22"/>
      <c r="D515" s="22"/>
      <c r="E515" s="22"/>
      <c r="R515" s="4" t="str">
        <f>+CONCATENATE(T515,",",U515,",",V515,W515,".00")</f>
        <v>240,000,000.00</v>
      </c>
      <c r="S515" s="237">
        <f>+'[1]Pres A'!E295</f>
        <v>240000000</v>
      </c>
      <c r="T515" s="4" t="str">
        <f>MID(S515,1,3)</f>
        <v>240</v>
      </c>
      <c r="U515" s="4" t="str">
        <f>MID(S515,4,3)</f>
        <v>000</v>
      </c>
      <c r="V515" s="4" t="str">
        <f>MID(S515,7,3)</f>
        <v>000</v>
      </c>
    </row>
    <row r="516" spans="2:23" ht="15.75" customHeight="1" x14ac:dyDescent="0.25">
      <c r="B516" s="22"/>
      <c r="C516" s="22"/>
      <c r="D516" s="22"/>
      <c r="E516" s="22"/>
    </row>
    <row r="517" spans="2:23" ht="15.75" customHeight="1" x14ac:dyDescent="0.25">
      <c r="B517" s="22"/>
      <c r="C517" s="22"/>
      <c r="D517" s="22"/>
      <c r="E517" s="22"/>
    </row>
    <row r="518" spans="2:23" ht="15.75" customHeight="1" x14ac:dyDescent="0.25">
      <c r="B518" s="178" t="s">
        <v>260</v>
      </c>
      <c r="C518" s="238" t="s">
        <v>266</v>
      </c>
      <c r="D518" s="238" t="s">
        <v>247</v>
      </c>
      <c r="E518" s="238" t="s">
        <v>267</v>
      </c>
    </row>
    <row r="519" spans="2:23" ht="15.75" customHeight="1" x14ac:dyDescent="0.25">
      <c r="B519" s="66" t="s">
        <v>268</v>
      </c>
      <c r="C519" s="239">
        <f>+'[1]19'!$D$25</f>
        <v>3993167</v>
      </c>
      <c r="D519" s="239">
        <f>+'[1]19'!$D$26</f>
        <v>0</v>
      </c>
      <c r="E519" s="239">
        <f>+'[1]19'!$D$27</f>
        <v>4628652</v>
      </c>
    </row>
    <row r="520" spans="2:23" ht="32.25" customHeight="1" x14ac:dyDescent="0.25">
      <c r="B520" s="66" t="s">
        <v>269</v>
      </c>
      <c r="C520" s="239">
        <f>+'[1]19'!$E$25</f>
        <v>3993167</v>
      </c>
      <c r="D520" s="239">
        <f>+'[1]19'!$E$26</f>
        <v>8372500</v>
      </c>
      <c r="E520" s="239">
        <f>+'[1]19'!$E$27</f>
        <v>4628652</v>
      </c>
    </row>
    <row r="521" spans="2:23" ht="15.75" customHeight="1" x14ac:dyDescent="0.25">
      <c r="B521" s="66" t="s">
        <v>270</v>
      </c>
      <c r="C521" s="239">
        <f>+'[1]19'!$F$25</f>
        <v>3993167</v>
      </c>
      <c r="D521" s="239">
        <f>+'[1]19'!$F$26</f>
        <v>0</v>
      </c>
      <c r="E521" s="239">
        <f>+'[1]19'!$F$27</f>
        <v>4628652</v>
      </c>
    </row>
    <row r="522" spans="2:23" ht="15.75" customHeight="1" x14ac:dyDescent="0.25">
      <c r="B522" s="66" t="s">
        <v>271</v>
      </c>
      <c r="C522" s="239">
        <f>+'[1]19'!$G$25</f>
        <v>3993167</v>
      </c>
      <c r="D522" s="239">
        <f>+'[1]19'!$G$26</f>
        <v>25117500</v>
      </c>
      <c r="E522" s="239">
        <f>+'[1]19'!$G$27</f>
        <v>4628652</v>
      </c>
    </row>
    <row r="523" spans="2:23" ht="15.75" customHeight="1" x14ac:dyDescent="0.25">
      <c r="B523" s="66" t="s">
        <v>272</v>
      </c>
      <c r="C523" s="239">
        <f>+'[1]19'!$H$25</f>
        <v>3993167</v>
      </c>
      <c r="D523" s="239">
        <f>+'[1]19'!$H$26</f>
        <v>8372500</v>
      </c>
      <c r="E523" s="239">
        <f>+'[1]19'!$H$27</f>
        <v>4628652</v>
      </c>
    </row>
    <row r="524" spans="2:23" ht="15.75" customHeight="1" x14ac:dyDescent="0.25">
      <c r="B524" s="66" t="s">
        <v>273</v>
      </c>
      <c r="C524" s="239">
        <f>+'[1]19'!$I$25</f>
        <v>0</v>
      </c>
      <c r="D524" s="239">
        <f>+'[1]19'!$I$26</f>
        <v>0</v>
      </c>
      <c r="E524" s="239">
        <f>+'[1]19'!$I$27</f>
        <v>0</v>
      </c>
    </row>
    <row r="525" spans="2:23" ht="15.75" customHeight="1" x14ac:dyDescent="0.25">
      <c r="B525" s="66" t="s">
        <v>274</v>
      </c>
      <c r="C525" s="239">
        <f>+'[1]19'!$J$25</f>
        <v>0</v>
      </c>
      <c r="D525" s="239">
        <f>+'[1]19'!$J$26</f>
        <v>0</v>
      </c>
      <c r="E525" s="239">
        <f>+'[1]19'!$J$27</f>
        <v>0</v>
      </c>
    </row>
    <row r="526" spans="2:23" ht="15.75" customHeight="1" x14ac:dyDescent="0.25">
      <c r="B526" s="66" t="s">
        <v>275</v>
      </c>
      <c r="C526" s="239">
        <f>+'[1]19'!$K$25</f>
        <v>0</v>
      </c>
      <c r="D526" s="239">
        <f>+'[1]19'!$K$26</f>
        <v>0</v>
      </c>
      <c r="E526" s="239">
        <f>+'[1]19'!$K$27</f>
        <v>0</v>
      </c>
    </row>
    <row r="527" spans="2:23" ht="15.75" customHeight="1" x14ac:dyDescent="0.25">
      <c r="B527" s="66" t="s">
        <v>276</v>
      </c>
      <c r="C527" s="239">
        <f>+'[1]19'!$L$25</f>
        <v>0</v>
      </c>
      <c r="D527" s="239">
        <f>+'[1]19'!$L$26</f>
        <v>0</v>
      </c>
      <c r="E527" s="239">
        <f>+'[1]19'!$L$27</f>
        <v>0</v>
      </c>
    </row>
    <row r="528" spans="2:23" ht="15.75" customHeight="1" x14ac:dyDescent="0.25">
      <c r="B528" s="66" t="s">
        <v>277</v>
      </c>
      <c r="C528" s="239">
        <f>+'[1]19'!$M$25</f>
        <v>0</v>
      </c>
      <c r="D528" s="239">
        <f>+'[1]19'!$M$26</f>
        <v>0</v>
      </c>
      <c r="E528" s="239">
        <f>+'[1]19'!$M$27</f>
        <v>0</v>
      </c>
    </row>
    <row r="529" spans="2:12" ht="15.75" customHeight="1" x14ac:dyDescent="0.25">
      <c r="B529" s="66" t="s">
        <v>278</v>
      </c>
      <c r="C529" s="239">
        <f>+'[1]19'!$N$25</f>
        <v>0</v>
      </c>
      <c r="D529" s="239">
        <f>+'[1]19'!$N$26</f>
        <v>0</v>
      </c>
      <c r="E529" s="239">
        <f>+'[1]19'!$N$27</f>
        <v>0</v>
      </c>
    </row>
    <row r="530" spans="2:12" ht="15.75" customHeight="1" x14ac:dyDescent="0.25">
      <c r="B530" s="66" t="s">
        <v>279</v>
      </c>
      <c r="C530" s="239">
        <f>+'[1]19'!$O$25</f>
        <v>0</v>
      </c>
      <c r="D530" s="239">
        <f>+'[1]19'!$O$26</f>
        <v>0</v>
      </c>
      <c r="E530" s="239">
        <f>+'[1]19'!$O$27</f>
        <v>0</v>
      </c>
    </row>
    <row r="531" spans="2:12" ht="15.75" customHeight="1" x14ac:dyDescent="0.25">
      <c r="B531" s="240" t="s">
        <v>213</v>
      </c>
      <c r="C531" s="241">
        <f>SUM(C519:C530)</f>
        <v>19965835</v>
      </c>
      <c r="D531" s="241">
        <f>SUM(D519:D530)</f>
        <v>41862500</v>
      </c>
      <c r="E531" s="241">
        <f>SUM(E519:E530)</f>
        <v>23143260</v>
      </c>
    </row>
    <row r="532" spans="2:12" ht="15.75" customHeight="1" x14ac:dyDescent="0.25">
      <c r="B532" s="242"/>
      <c r="C532" s="243"/>
      <c r="D532" s="243"/>
      <c r="E532" s="243"/>
    </row>
    <row r="533" spans="2:12" ht="15.75" customHeight="1" x14ac:dyDescent="0.25">
      <c r="B533" s="242" t="s">
        <v>280</v>
      </c>
      <c r="C533" s="243">
        <f>+C531+E531</f>
        <v>43109095</v>
      </c>
      <c r="D533" s="243"/>
      <c r="E533" s="243"/>
    </row>
    <row r="534" spans="2:12" ht="15.75" customHeight="1" x14ac:dyDescent="0.25">
      <c r="B534" s="242" t="s">
        <v>281</v>
      </c>
      <c r="C534" s="243">
        <f>+D531</f>
        <v>41862500</v>
      </c>
      <c r="D534" s="243"/>
      <c r="E534" s="243"/>
    </row>
    <row r="535" spans="2:12" ht="11.25" customHeight="1" x14ac:dyDescent="0.25">
      <c r="B535" s="22"/>
      <c r="C535" s="22"/>
      <c r="D535" s="22"/>
      <c r="E535" s="22"/>
    </row>
    <row r="536" spans="2:12" ht="31.5" customHeight="1" x14ac:dyDescent="0.25">
      <c r="B536" s="26" t="s">
        <v>282</v>
      </c>
      <c r="C536" s="26"/>
      <c r="D536" s="26"/>
      <c r="E536" s="26"/>
    </row>
    <row r="537" spans="2:12" ht="14.25" customHeight="1" x14ac:dyDescent="0.25">
      <c r="B537" s="22"/>
      <c r="C537" s="22"/>
      <c r="D537" s="22"/>
      <c r="E537" s="22"/>
    </row>
    <row r="538" spans="2:12" ht="14.25" customHeight="1" x14ac:dyDescent="0.25">
      <c r="B538" s="65" t="s">
        <v>283</v>
      </c>
      <c r="C538" s="213"/>
    </row>
    <row r="539" spans="2:12" ht="15.75" customHeight="1" x14ac:dyDescent="0.25">
      <c r="B539" s="65" t="s">
        <v>284</v>
      </c>
    </row>
    <row r="540" spans="2:12" ht="23.25" customHeight="1" x14ac:dyDescent="0.25">
      <c r="B540" s="14" t="str">
        <f>("Un detalle de los "&amp;B539&amp;" al "&amp;[1]BALANZA!$B$3&amp;" "&amp;[1]BALANZA!$C$3&amp;" es como se detalla a continuación:")</f>
        <v>Un detalle de los Sueldos, Salarios y beneficios a empleados al 31 de Mayo del 2025 - 2024 es como se detalla a continuación:</v>
      </c>
      <c r="C540" s="32"/>
      <c r="D540" s="32"/>
      <c r="E540" s="32"/>
      <c r="J540" s="3">
        <v>192000000</v>
      </c>
      <c r="K540" s="3">
        <f>J540/12</f>
        <v>16000000</v>
      </c>
    </row>
    <row r="541" spans="2:12" x14ac:dyDescent="0.25">
      <c r="B541" s="210"/>
      <c r="C541" s="21"/>
      <c r="D541" s="21"/>
      <c r="E541" s="21"/>
      <c r="J541" s="3">
        <v>21106726</v>
      </c>
      <c r="K541" s="3">
        <f>J541/12</f>
        <v>1758893.8333333333</v>
      </c>
    </row>
    <row r="542" spans="2:12" ht="36.75" customHeight="1" x14ac:dyDescent="0.25">
      <c r="B542" s="178" t="str">
        <f>+B486</f>
        <v>Cuenta</v>
      </c>
      <c r="C542" s="179">
        <f>+[1]BALANZA!B4</f>
        <v>2025</v>
      </c>
      <c r="D542" s="179">
        <f>+[1]BALANZA!C4</f>
        <v>2024</v>
      </c>
      <c r="E542" s="195" t="s">
        <v>219</v>
      </c>
      <c r="J542" s="3">
        <v>70000000</v>
      </c>
      <c r="K542" s="3">
        <f>J542/12</f>
        <v>5833333.333333333</v>
      </c>
      <c r="L542" s="3">
        <f>4666666*3</f>
        <v>13999998</v>
      </c>
    </row>
    <row r="543" spans="2:12" ht="16.5" customHeight="1" x14ac:dyDescent="0.25">
      <c r="B543" s="244" t="s">
        <v>285</v>
      </c>
      <c r="C543" s="245">
        <f>+'[1]BALANZA G'!C159+'[1]BALANZA G'!C160</f>
        <v>60012720</v>
      </c>
      <c r="D543" s="245">
        <f>+'[1]BALANZA G'!D159+'[1]BALANZA G'!D160</f>
        <v>147133178</v>
      </c>
      <c r="E543" s="44">
        <f t="shared" ref="E543:E548" si="3">+C543-D543</f>
        <v>-87120458</v>
      </c>
      <c r="J543" s="3">
        <v>37279088</v>
      </c>
      <c r="L543" s="3">
        <f>1598764*5</f>
        <v>7993820</v>
      </c>
    </row>
    <row r="544" spans="2:12" x14ac:dyDescent="0.25">
      <c r="B544" s="244" t="s">
        <v>286</v>
      </c>
      <c r="C544" s="245">
        <f>+'[1]BALANZA G'!C162+'[1]BALANZA G'!C163+'[1]BALANZA G'!C164+'[1]BALANZA G'!C165+'[1]BALANZA G'!C161</f>
        <v>0</v>
      </c>
      <c r="D544" s="245">
        <f>+'[1]BALANZA G'!D162+'[1]BALANZA G'!D163+'[1]BALANZA G'!D164+'[1]BALANZA G'!D165+'[1]BALANZA G'!D161</f>
        <v>0</v>
      </c>
      <c r="E544" s="44">
        <f t="shared" si="3"/>
        <v>0</v>
      </c>
      <c r="K544" s="3">
        <f>J541+J542+J543</f>
        <v>128385814</v>
      </c>
      <c r="L544" s="3">
        <f>10296372.36+13618335.6</f>
        <v>23914707.960000001</v>
      </c>
    </row>
    <row r="545" spans="1:26" ht="45" x14ac:dyDescent="0.25">
      <c r="B545" s="244" t="s">
        <v>287</v>
      </c>
      <c r="C545" s="245">
        <f>+'[1]BALANZA G'!C168+'[1]BALANZA G'!C169+'[1]BALANZA G'!C166+'[1]BALANZA G'!C170+'[1]BALANZA G'!C172+'[1]BALANZA G'!C167</f>
        <v>7713689.5899999999</v>
      </c>
      <c r="D545" s="245">
        <f>+'[1]BALANZA G'!D166+'[1]BALANZA G'!D168+'[1]BALANZA G'!D169+'[1]BALANZA G'!D170+'[1]BALANZA G'!D172+'[1]BALANZA G'!D167</f>
        <v>8257005.8200000003</v>
      </c>
      <c r="E545" s="44">
        <f t="shared" si="3"/>
        <v>-543316.23000000045</v>
      </c>
      <c r="J545" s="3">
        <f>+J543+J540+J542+J541</f>
        <v>320385814</v>
      </c>
      <c r="U545" s="214"/>
    </row>
    <row r="546" spans="1:26" x14ac:dyDescent="0.25">
      <c r="B546" s="244" t="s">
        <v>288</v>
      </c>
      <c r="C546" s="245">
        <f>+'[1]BALANZA G'!C174</f>
        <v>0</v>
      </c>
      <c r="D546" s="245">
        <f>+'[1]BALANZA G'!D174</f>
        <v>0</v>
      </c>
      <c r="E546" s="44">
        <f t="shared" si="3"/>
        <v>0</v>
      </c>
      <c r="L546" s="213">
        <f>L544+L543+L542</f>
        <v>45908525.960000001</v>
      </c>
      <c r="U546" s="214"/>
    </row>
    <row r="547" spans="1:26" ht="44.25" customHeight="1" x14ac:dyDescent="0.25">
      <c r="B547" s="244" t="s">
        <v>289</v>
      </c>
      <c r="C547" s="245">
        <f>+'[1]BALANZA G'!C175+'[1]BALANZA G'!C176+'[1]BALANZA G'!C177+'[1]BALANZA G'!C179</f>
        <v>1075000</v>
      </c>
      <c r="D547" s="245">
        <f>+'[1]BALANZA G'!D175+'[1]BALANZA G'!D176+'[1]BALANZA G'!D177+'[1]BALANZA G'!D179</f>
        <v>2970000</v>
      </c>
      <c r="E547" s="44">
        <f t="shared" si="3"/>
        <v>-1895000</v>
      </c>
      <c r="U547" s="214"/>
    </row>
    <row r="548" spans="1:26" hidden="1" x14ac:dyDescent="0.25">
      <c r="B548" s="244" t="s">
        <v>290</v>
      </c>
      <c r="C548" s="245">
        <f>+'[1]BALANZA G'!C180+'[1]BALANZA G'!C182+'[1]BALANZA G'!C179+'[1]BALANZA G'!C181+'[1]BALANZA G'!C178+'[1]BALANZA G'!C171</f>
        <v>8250</v>
      </c>
      <c r="D548" s="245">
        <f>+'[1]BALANZA G'!D179+'[1]BALANZA G'!D180+'[1]BALANZA G'!D181+'[1]BALANZA G'!D182+'[1]BALANZA G'!D178+'[1]BALANZA G'!D171</f>
        <v>12210081.5</v>
      </c>
      <c r="E548" s="44">
        <f t="shared" si="3"/>
        <v>-12201831.5</v>
      </c>
      <c r="U548" s="214"/>
    </row>
    <row r="549" spans="1:26" x14ac:dyDescent="0.25">
      <c r="B549" s="244" t="s">
        <v>291</v>
      </c>
      <c r="C549" s="245">
        <f>+'[1]BALANZA G'!C300</f>
        <v>1525456.69</v>
      </c>
      <c r="D549" s="245">
        <f>+'[1]BALANZA G'!D300</f>
        <v>1193947.54</v>
      </c>
      <c r="E549" s="44">
        <f>+C549-D549</f>
        <v>331509.14999999991</v>
      </c>
      <c r="U549" s="214"/>
    </row>
    <row r="550" spans="1:26" x14ac:dyDescent="0.25">
      <c r="B550" s="244" t="s">
        <v>292</v>
      </c>
      <c r="C550" s="245">
        <f>+'[1]BALANZA G'!C185</f>
        <v>4253963.8499999996</v>
      </c>
      <c r="D550" s="245">
        <f>+'[1]BALANZA G'!D185</f>
        <v>10463761.68</v>
      </c>
      <c r="E550" s="44">
        <f>+C550-D550</f>
        <v>-6209797.8300000001</v>
      </c>
      <c r="U550" s="214"/>
    </row>
    <row r="551" spans="1:26" x14ac:dyDescent="0.25">
      <c r="B551" s="244" t="s">
        <v>293</v>
      </c>
      <c r="C551" s="245">
        <f>+'[1]BALANZA G'!C186</f>
        <v>4261335.01</v>
      </c>
      <c r="D551" s="245">
        <f>+'[1]BALANZA G'!D186</f>
        <v>9101205.8599999994</v>
      </c>
      <c r="E551" s="44">
        <f>+C551-D551</f>
        <v>-4839870.8499999996</v>
      </c>
      <c r="U551" s="214"/>
    </row>
    <row r="552" spans="1:26" x14ac:dyDescent="0.25">
      <c r="B552" s="244" t="s">
        <v>294</v>
      </c>
      <c r="C552" s="245">
        <f>+'[1]BALANZA G'!C187</f>
        <v>713072.14</v>
      </c>
      <c r="D552" s="245">
        <f>+'[1]BALANZA G'!D187</f>
        <v>3131774.53</v>
      </c>
      <c r="E552" s="44">
        <f>+C552-D552</f>
        <v>-2418702.3899999997</v>
      </c>
      <c r="U552" s="214"/>
    </row>
    <row r="553" spans="1:26" ht="28.5" x14ac:dyDescent="0.25">
      <c r="B553" s="246" t="s">
        <v>295</v>
      </c>
      <c r="C553" s="122">
        <f>SUM(C543:C552)</f>
        <v>79563487.280000001</v>
      </c>
      <c r="D553" s="197">
        <f>SUM(D543:D552)</f>
        <v>194460954.92999998</v>
      </c>
      <c r="E553" s="247">
        <f>SUM(E543:E552)</f>
        <v>-114897467.64999999</v>
      </c>
      <c r="U553" s="214"/>
    </row>
    <row r="554" spans="1:26" x14ac:dyDescent="0.25">
      <c r="B554" s="11"/>
      <c r="C554" s="248">
        <f>+C553-[1]ERF!B17</f>
        <v>0</v>
      </c>
      <c r="U554" s="214"/>
    </row>
    <row r="555" spans="1:26" x14ac:dyDescent="0.25">
      <c r="A555" s="45"/>
      <c r="B555" s="55" t="str">
        <f>("Cambio porcentual con relación al "&amp;$D$118&amp;".")</f>
        <v>Cambio porcentual con relación al 2024.</v>
      </c>
      <c r="C555" s="56"/>
      <c r="D555" s="249" t="str">
        <f>IF(E555&gt;=0,"Aumento","Disminución")</f>
        <v>Aumento</v>
      </c>
      <c r="E555" s="250">
        <f>+C553/D553</f>
        <v>0.40914890759762251</v>
      </c>
      <c r="F555" s="45"/>
      <c r="G555" s="45"/>
    </row>
    <row r="556" spans="1:26" x14ac:dyDescent="0.25">
      <c r="B556" s="11"/>
      <c r="J556" s="49"/>
    </row>
    <row r="557" spans="1:26" s="45" customFormat="1" x14ac:dyDescent="0.25">
      <c r="A557" s="2"/>
      <c r="B557" s="11"/>
      <c r="C557" s="2"/>
      <c r="D557" s="3"/>
      <c r="E557" s="2"/>
      <c r="F557" s="2"/>
      <c r="G557" s="2"/>
      <c r="J557" s="3"/>
      <c r="K557" s="49"/>
      <c r="N557" s="49"/>
      <c r="R557" s="50"/>
      <c r="S557" s="50"/>
      <c r="T557" s="50"/>
      <c r="U557" s="50"/>
      <c r="V557" s="50"/>
      <c r="W557" s="50"/>
      <c r="X557" s="50"/>
      <c r="Y557" s="50"/>
      <c r="Z557" s="49"/>
    </row>
    <row r="558" spans="1:26" x14ac:dyDescent="0.25">
      <c r="B558" s="11"/>
    </row>
    <row r="559" spans="1:26" x14ac:dyDescent="0.25">
      <c r="B559" s="11"/>
    </row>
    <row r="560" spans="1:26" x14ac:dyDescent="0.25">
      <c r="B560" s="11"/>
    </row>
    <row r="561" spans="1:26" x14ac:dyDescent="0.25">
      <c r="B561" s="65" t="s">
        <v>296</v>
      </c>
    </row>
    <row r="562" spans="1:26" ht="9.75" customHeight="1" x14ac:dyDescent="0.25">
      <c r="B562" s="65" t="s">
        <v>297</v>
      </c>
    </row>
    <row r="563" spans="1:26" x14ac:dyDescent="0.25">
      <c r="B563" s="14" t="str">
        <f>("Un detalle de  "&amp;B562&amp;" al "&amp;[1]BALANZA!$B$3&amp;" "&amp;[1]BALANZA!$C$3&amp;" es como se detalla a continuación:")</f>
        <v>Un detalle de  Subvenciones y otros pagos por transferencias al 31 de Mayo del 2025 - 2024 es como se detalla a continuación:</v>
      </c>
      <c r="C563" s="32"/>
      <c r="D563" s="32"/>
      <c r="E563" s="32"/>
    </row>
    <row r="564" spans="1:26" x14ac:dyDescent="0.25">
      <c r="B564" s="13"/>
    </row>
    <row r="565" spans="1:26" ht="38.25" customHeight="1" x14ac:dyDescent="0.25">
      <c r="B565" s="178" t="s">
        <v>298</v>
      </c>
      <c r="C565" s="179">
        <f>+C577</f>
        <v>2025</v>
      </c>
      <c r="D565" s="179">
        <f>+D577</f>
        <v>2024</v>
      </c>
      <c r="E565" s="207" t="s">
        <v>219</v>
      </c>
    </row>
    <row r="566" spans="1:26" ht="12" customHeight="1" x14ac:dyDescent="0.25">
      <c r="B566" s="251" t="s">
        <v>299</v>
      </c>
      <c r="C566" s="116">
        <f>+'[1]BALANZA G'!C301</f>
        <v>30000</v>
      </c>
      <c r="D566" s="245">
        <f>+'[1]BALANZA G'!D301+'[1]BALANZA G'!D302</f>
        <v>0</v>
      </c>
      <c r="E566" s="83">
        <f>+C566-D566</f>
        <v>30000</v>
      </c>
    </row>
    <row r="567" spans="1:26" hidden="1" x14ac:dyDescent="0.25">
      <c r="B567" s="252"/>
      <c r="C567" s="253"/>
      <c r="D567" s="254"/>
      <c r="E567" s="255"/>
    </row>
    <row r="568" spans="1:26" ht="25.5" customHeight="1" x14ac:dyDescent="0.25">
      <c r="B568" s="246" t="s">
        <v>300</v>
      </c>
      <c r="C568" s="122">
        <f>SUM(C566+C567)</f>
        <v>30000</v>
      </c>
      <c r="D568" s="197">
        <f>SUM(D566)</f>
        <v>0</v>
      </c>
      <c r="E568" s="256">
        <f>+C568-D568</f>
        <v>30000</v>
      </c>
    </row>
    <row r="569" spans="1:26" ht="5.25" customHeight="1" x14ac:dyDescent="0.25">
      <c r="B569" s="108"/>
      <c r="C569" s="248">
        <f>+C568-[1]ERF!B18</f>
        <v>0</v>
      </c>
      <c r="I569" s="173"/>
      <c r="J569" s="174"/>
      <c r="K569" s="174"/>
    </row>
    <row r="570" spans="1:26" x14ac:dyDescent="0.25">
      <c r="A570" s="45"/>
      <c r="B570" s="55" t="str">
        <f>("Cambio porcentual con relación al "&amp;$D$118&amp;".")</f>
        <v>Cambio porcentual con relación al 2024.</v>
      </c>
      <c r="C570" s="56"/>
      <c r="D570" s="57">
        <v>0</v>
      </c>
      <c r="E570" s="90">
        <v>0</v>
      </c>
      <c r="F570" s="45"/>
      <c r="G570" s="45"/>
    </row>
    <row r="571" spans="1:26" x14ac:dyDescent="0.25">
      <c r="A571" s="45"/>
      <c r="B571" s="62"/>
      <c r="C571" s="62"/>
      <c r="D571" s="60"/>
      <c r="E571" s="63"/>
      <c r="F571" s="45"/>
      <c r="G571" s="45"/>
      <c r="J571" s="49"/>
    </row>
    <row r="572" spans="1:26" s="45" customFormat="1" x14ac:dyDescent="0.25">
      <c r="B572" s="62"/>
      <c r="C572" s="62"/>
      <c r="D572" s="60"/>
      <c r="E572" s="63"/>
      <c r="J572" s="49"/>
      <c r="K572" s="49"/>
      <c r="N572" s="49"/>
      <c r="R572" s="50"/>
      <c r="S572" s="50"/>
      <c r="T572" s="50"/>
      <c r="U572" s="50"/>
      <c r="V572" s="50"/>
      <c r="W572" s="50"/>
      <c r="X572" s="50"/>
      <c r="Y572" s="50"/>
      <c r="Z572" s="49"/>
    </row>
    <row r="573" spans="1:26" s="45" customFormat="1" ht="17.25" customHeight="1" x14ac:dyDescent="0.25">
      <c r="A573" s="2"/>
      <c r="B573" s="65" t="s">
        <v>301</v>
      </c>
      <c r="C573" s="2"/>
      <c r="D573" s="3"/>
      <c r="E573" s="2"/>
      <c r="F573" s="2"/>
      <c r="G573" s="2"/>
      <c r="J573" s="49"/>
      <c r="K573" s="49"/>
      <c r="N573" s="49"/>
      <c r="R573" s="50"/>
      <c r="S573" s="50"/>
      <c r="T573" s="50"/>
      <c r="U573" s="50"/>
      <c r="V573" s="50"/>
      <c r="W573" s="50"/>
      <c r="X573" s="50"/>
      <c r="Y573" s="50"/>
      <c r="Z573" s="49"/>
    </row>
    <row r="574" spans="1:26" s="45" customFormat="1" ht="30" customHeight="1" x14ac:dyDescent="0.25">
      <c r="A574" s="2"/>
      <c r="B574" s="65" t="s">
        <v>302</v>
      </c>
      <c r="C574" s="2"/>
      <c r="D574" s="3"/>
      <c r="E574" s="2"/>
      <c r="F574" s="2"/>
      <c r="G574" s="2"/>
      <c r="J574" s="3"/>
      <c r="K574" s="49"/>
      <c r="N574" s="49"/>
      <c r="R574" s="50"/>
      <c r="S574" s="50"/>
      <c r="T574" s="50"/>
      <c r="U574" s="50"/>
      <c r="V574" s="50"/>
      <c r="W574" s="50"/>
      <c r="X574" s="50"/>
      <c r="Y574" s="50"/>
      <c r="Z574" s="49"/>
    </row>
    <row r="575" spans="1:26" x14ac:dyDescent="0.25">
      <c r="B575" s="14" t="str">
        <f>("Un detalle del "&amp;B574&amp;" al "&amp;[1]BALANZA!$B$3&amp;" "&amp;[1]BALANZA!$C$3&amp;" es como se detalla a continuación:")</f>
        <v>Un detalle del Suministro y materiales para consumo al 31 de Mayo del 2025 - 2024 es como se detalla a continuación:</v>
      </c>
      <c r="C575" s="32"/>
      <c r="D575" s="32"/>
      <c r="E575" s="32"/>
    </row>
    <row r="576" spans="1:26" x14ac:dyDescent="0.25">
      <c r="B576" s="13"/>
    </row>
    <row r="577" spans="1:27" ht="36.75" customHeight="1" x14ac:dyDescent="0.25">
      <c r="B577" s="178" t="s">
        <v>298</v>
      </c>
      <c r="C577" s="179">
        <f>+[1]BALANZA!B4</f>
        <v>2025</v>
      </c>
      <c r="D577" s="179">
        <f>+[1]BALANZA!C4</f>
        <v>2024</v>
      </c>
      <c r="E577" s="207" t="s">
        <v>219</v>
      </c>
    </row>
    <row r="578" spans="1:27" ht="8.25" customHeight="1" x14ac:dyDescent="0.25">
      <c r="B578" s="160" t="s">
        <v>303</v>
      </c>
      <c r="C578" s="257">
        <f>+'[1]BALANZA G'!C254+'[1]BALANZA G'!C256+'[1]BALANZA G'!C255+'[1]BALANZA G'!C291</f>
        <v>1686863.12</v>
      </c>
      <c r="D578" s="257">
        <f>+'[1]BALANZA G'!D254+'[1]BALANZA G'!D256+'[1]BALANZA G'!D255+'[1]BALANZA G'!D291</f>
        <v>866355.16</v>
      </c>
      <c r="E578" s="83">
        <f t="shared" ref="E578:E584" si="4">+C578-D578</f>
        <v>820507.96000000008</v>
      </c>
    </row>
    <row r="579" spans="1:27" x14ac:dyDescent="0.25">
      <c r="B579" s="160" t="s">
        <v>304</v>
      </c>
      <c r="C579" s="257">
        <f>+'[1]BALANZA G'!C257+'[1]BALANZA G'!C258+'[1]BALANZA G'!C259</f>
        <v>0</v>
      </c>
      <c r="D579" s="38">
        <f>+'[1]BALANZA G'!D257+'[1]BALANZA G'!D258+'[1]BALANZA G'!D259</f>
        <v>0</v>
      </c>
      <c r="E579" s="83">
        <f t="shared" si="4"/>
        <v>0</v>
      </c>
    </row>
    <row r="580" spans="1:27" x14ac:dyDescent="0.25">
      <c r="B580" s="160" t="s">
        <v>305</v>
      </c>
      <c r="C580" s="257">
        <f>+'[1]BALANZA G'!C260+'[1]BALANZA G'!C261+'[1]BALANZA G'!C262</f>
        <v>39848.28</v>
      </c>
      <c r="D580" s="38">
        <f>+'[1]BALANZA G'!D260+'[1]BALANZA G'!D261+'[1]BALANZA G'!D262</f>
        <v>480383.55</v>
      </c>
      <c r="E580" s="83">
        <f t="shared" si="4"/>
        <v>-440535.27</v>
      </c>
      <c r="K580" s="3">
        <v>866355.16</v>
      </c>
      <c r="T580" s="101"/>
      <c r="Z580" s="3">
        <v>1008264.5</v>
      </c>
      <c r="AA580" s="213">
        <f t="shared" ref="AA580:AA585" si="5">+D578-Z580</f>
        <v>-141909.33999999997</v>
      </c>
    </row>
    <row r="581" spans="1:27" x14ac:dyDescent="0.25">
      <c r="B581" s="160" t="s">
        <v>306</v>
      </c>
      <c r="C581" s="257">
        <f>+'[1]BALANZA G'!C264+'[1]BALANZA G'!C266+'[1]BALANZA G'!C270+'[1]BALANZA G'!C265</f>
        <v>3916805</v>
      </c>
      <c r="D581" s="38">
        <f>+'[1]BALANZA G'!D264+'[1]BALANZA G'!D266+'[1]BALANZA G'!D270+'[1]BALANZA G'!D265</f>
        <v>8347130</v>
      </c>
      <c r="E581" s="83">
        <f t="shared" si="4"/>
        <v>-4430325</v>
      </c>
      <c r="K581" s="3">
        <v>0</v>
      </c>
      <c r="T581" s="101"/>
      <c r="Z581" s="3">
        <v>1300</v>
      </c>
      <c r="AA581" s="213">
        <f t="shared" si="5"/>
        <v>-1300</v>
      </c>
    </row>
    <row r="582" spans="1:27" x14ac:dyDescent="0.25">
      <c r="B582" s="160" t="s">
        <v>307</v>
      </c>
      <c r="C582" s="257">
        <f>+'[1]BALANZA G'!C267+'[1]BALANZA G'!C271+'[1]BALANZA G'!C269+'[1]BALANZA G'!C268+'[1]BALANZA G'!C273</f>
        <v>1924300</v>
      </c>
      <c r="D582" s="257">
        <f>+'[1]BALANZA G'!D267+'[1]BALANZA G'!D271+'[1]BALANZA G'!D269+'[1]BALANZA G'!D268+'[1]BALANZA G'!D273</f>
        <v>4435677.3899999997</v>
      </c>
      <c r="E582" s="83">
        <f t="shared" si="4"/>
        <v>-2511377.3899999997</v>
      </c>
      <c r="K582" s="3">
        <v>480383.55</v>
      </c>
      <c r="T582" s="101"/>
      <c r="Z582" s="3">
        <v>330702</v>
      </c>
      <c r="AA582" s="213">
        <f t="shared" si="5"/>
        <v>149681.54999999999</v>
      </c>
    </row>
    <row r="583" spans="1:27" x14ac:dyDescent="0.25">
      <c r="B583" s="160" t="s">
        <v>308</v>
      </c>
      <c r="C583" s="257">
        <f>+'[1]BALANZA G'!C274+'[1]BALANZA G'!C275+'[1]BALANZA G'!C276+'[1]BALANZA G'!C277+'[1]BALANZA G'!C278+'[1]BALANZA G'!C279+'[1]BALANZA G'!C296+'[1]BALANZA G'!C286+'[1]BALANZA G'!C287+'[1]BALANZA G'!C284+'[1]BALANZA G'!C285+'[1]BALANZA G'!C281+'[1]BALANZA G'!C282+'[1]BALANZA G'!C283+'[1]BALANZA G'!C288+'[1]BALANZA G'!C289+'[1]BALANZA G'!C290+'[1]BALANZA G'!C292+'[1]BALANZA G'!C294+'[1]BALANZA G'!C293+'[1]BALANZA G'!C280+'[1]BALANZA G'!C236</f>
        <v>4581163.0299999993</v>
      </c>
      <c r="D583" s="257">
        <f>+'[1]BALANZA G'!D274+'[1]BALANZA G'!D275+'[1]BALANZA G'!D276+'[1]BALANZA G'!D277+'[1]BALANZA G'!D278+'[1]BALANZA G'!D279+'[1]BALANZA G'!D296+'[1]BALANZA G'!D286+'[1]BALANZA G'!D287+'[1]BALANZA G'!D284+'[1]BALANZA G'!D285+'[1]BALANZA G'!D281+'[1]BALANZA G'!D282+'[1]BALANZA G'!D283+'[1]BALANZA G'!D288+'[1]BALANZA G'!D289+'[1]BALANZA G'!D290+'[1]BALANZA G'!D292+'[1]BALANZA G'!D294+'[1]BALANZA G'!D293+'[1]BALANZA G'!D280+'[1]BALANZA G'!D236</f>
        <v>12024201.759999998</v>
      </c>
      <c r="E583" s="83">
        <f t="shared" si="4"/>
        <v>-7443038.7299999986</v>
      </c>
      <c r="K583" s="3">
        <v>8347130</v>
      </c>
      <c r="T583" s="101"/>
      <c r="Z583" s="3">
        <v>7580799</v>
      </c>
      <c r="AA583" s="213">
        <f t="shared" si="5"/>
        <v>766331</v>
      </c>
    </row>
    <row r="584" spans="1:27" x14ac:dyDescent="0.25">
      <c r="B584" s="160" t="s">
        <v>309</v>
      </c>
      <c r="C584" s="257">
        <f>+'[1]BALANZA G'!C296</f>
        <v>0</v>
      </c>
      <c r="D584" s="38">
        <f>+'[1]BALANZA G'!D297-160568.42</f>
        <v>0</v>
      </c>
      <c r="E584" s="83">
        <f t="shared" si="4"/>
        <v>0</v>
      </c>
      <c r="K584" s="3">
        <v>4435677.3899999997</v>
      </c>
      <c r="T584" s="101"/>
      <c r="Z584" s="3">
        <v>7786358.3699999992</v>
      </c>
      <c r="AA584" s="213">
        <f t="shared" si="5"/>
        <v>-3350680.9799999995</v>
      </c>
    </row>
    <row r="585" spans="1:27" x14ac:dyDescent="0.25">
      <c r="B585" s="246" t="s">
        <v>310</v>
      </c>
      <c r="C585" s="47">
        <f>SUM(C578:C584)</f>
        <v>12148979.43</v>
      </c>
      <c r="D585" s="96">
        <f>SUM(D578:D584)</f>
        <v>26153747.859999999</v>
      </c>
      <c r="E585" s="47">
        <f>SUM(E578:E584)</f>
        <v>-14004768.429999998</v>
      </c>
      <c r="K585" s="3">
        <v>12024201.759999998</v>
      </c>
      <c r="T585" s="101"/>
      <c r="Z585" s="3">
        <v>3423165.7</v>
      </c>
      <c r="AA585" s="213">
        <f t="shared" si="5"/>
        <v>8601036.0599999987</v>
      </c>
    </row>
    <row r="586" spans="1:27" x14ac:dyDescent="0.25">
      <c r="B586" s="258"/>
      <c r="C586" s="97">
        <f>+C585-[1]ERF!B19</f>
        <v>0</v>
      </c>
      <c r="D586" s="88"/>
      <c r="E586" s="89"/>
      <c r="K586" s="3">
        <v>0</v>
      </c>
    </row>
    <row r="587" spans="1:27" x14ac:dyDescent="0.25">
      <c r="A587" s="45"/>
      <c r="B587" s="55" t="str">
        <f>("Cambio porcentual con relación al "&amp;$D$118&amp;".")</f>
        <v>Cambio porcentual con relación al 2024.</v>
      </c>
      <c r="C587" s="56"/>
      <c r="D587" s="57" t="str">
        <f>IF(E587&gt;=0,"Aumento","Disminución")</f>
        <v>Disminución</v>
      </c>
      <c r="E587" s="90">
        <f>+E585/D585</f>
        <v>-0.53547845245610615</v>
      </c>
      <c r="F587" s="45"/>
      <c r="G587" s="45"/>
      <c r="K587" s="3">
        <v>26153747.859999999</v>
      </c>
    </row>
    <row r="588" spans="1:27" x14ac:dyDescent="0.25">
      <c r="B588" s="62"/>
      <c r="C588" s="62"/>
      <c r="D588" s="259"/>
      <c r="E588" s="63"/>
      <c r="J588" s="49"/>
    </row>
    <row r="589" spans="1:27" s="45" customFormat="1" x14ac:dyDescent="0.25">
      <c r="A589" s="2"/>
      <c r="B589" s="62"/>
      <c r="C589" s="62"/>
      <c r="D589" s="259"/>
      <c r="E589" s="63"/>
      <c r="F589" s="2"/>
      <c r="G589" s="2"/>
      <c r="J589" s="3"/>
      <c r="K589" s="49"/>
      <c r="N589" s="49"/>
      <c r="R589" s="50"/>
      <c r="S589" s="50"/>
      <c r="T589" s="50"/>
      <c r="U589" s="50"/>
      <c r="V589" s="50"/>
      <c r="W589" s="50"/>
      <c r="X589" s="50"/>
      <c r="Y589" s="50"/>
      <c r="Z589" s="49"/>
    </row>
    <row r="590" spans="1:27" x14ac:dyDescent="0.25">
      <c r="B590" s="65" t="s">
        <v>311</v>
      </c>
    </row>
    <row r="591" spans="1:27" ht="44.25" customHeight="1" x14ac:dyDescent="0.25">
      <c r="B591" s="65" t="s">
        <v>312</v>
      </c>
    </row>
    <row r="592" spans="1:27" x14ac:dyDescent="0.25">
      <c r="B592" s="14" t="str">
        <f>("Un detalle del "&amp;B591&amp;" al "&amp;[1]BALANZA!$B$3&amp;" "&amp;[1]BALANZA!$C$3&amp;" es como se detalla a continuación:")</f>
        <v>Un detalle del Gasto de Depreciación y Amortización al 31 de Mayo del 2025 - 2024 es como se detalla a continuación:</v>
      </c>
      <c r="C592" s="32"/>
      <c r="D592" s="32"/>
      <c r="E592" s="32"/>
    </row>
    <row r="593" spans="2:5" x14ac:dyDescent="0.25">
      <c r="B593" s="13"/>
    </row>
    <row r="594" spans="2:5" x14ac:dyDescent="0.25">
      <c r="B594" s="178" t="s">
        <v>298</v>
      </c>
      <c r="C594" s="179">
        <f>+C577</f>
        <v>2025</v>
      </c>
      <c r="D594" s="179">
        <f>+D577</f>
        <v>2024</v>
      </c>
      <c r="E594" s="207" t="s">
        <v>219</v>
      </c>
    </row>
    <row r="595" spans="2:5" x14ac:dyDescent="0.25">
      <c r="B595" s="160" t="s">
        <v>313</v>
      </c>
      <c r="C595" s="257">
        <f>+[1]nota12!K29</f>
        <v>1.1059455573558807E-9</v>
      </c>
      <c r="D595" s="38">
        <f>+[1]nota12!K14</f>
        <v>57143407.930000007</v>
      </c>
      <c r="E595" s="83">
        <f>+C595-D595</f>
        <v>-57143407.930000007</v>
      </c>
    </row>
    <row r="596" spans="2:5" x14ac:dyDescent="0.25">
      <c r="B596" s="160" t="s">
        <v>314</v>
      </c>
      <c r="C596" s="257">
        <f>+'[1]BALANZA G'!C297</f>
        <v>34760</v>
      </c>
      <c r="D596" s="257">
        <f>-D381</f>
        <v>160568.42000000001</v>
      </c>
      <c r="E596" s="83">
        <f>+C596-D596</f>
        <v>-125808.42000000001</v>
      </c>
    </row>
    <row r="597" spans="2:5" x14ac:dyDescent="0.25">
      <c r="B597" s="160"/>
      <c r="C597" s="257"/>
      <c r="D597" s="38"/>
      <c r="E597" s="83">
        <f>+C597-D597</f>
        <v>0</v>
      </c>
    </row>
    <row r="598" spans="2:5" x14ac:dyDescent="0.25">
      <c r="B598" s="246" t="s">
        <v>315</v>
      </c>
      <c r="C598" s="47">
        <f>SUM(C595:C597)</f>
        <v>34760.000000001106</v>
      </c>
      <c r="D598" s="96">
        <f>SUM(D595:D597)</f>
        <v>57303976.350000009</v>
      </c>
      <c r="E598" s="47">
        <f>SUM(E595:E597)</f>
        <v>-57269216.350000009</v>
      </c>
    </row>
    <row r="599" spans="2:5" x14ac:dyDescent="0.25">
      <c r="B599" s="258"/>
      <c r="C599" s="260">
        <f>+C598-[1]ERF!B20</f>
        <v>0</v>
      </c>
      <c r="D599" s="260">
        <f>+D598-[1]ERF!C20</f>
        <v>0</v>
      </c>
      <c r="E599" s="89"/>
    </row>
    <row r="600" spans="2:5" x14ac:dyDescent="0.25">
      <c r="B600" s="55" t="str">
        <f>("Cambio porcentual con relación al "&amp;$D$118&amp;".")</f>
        <v>Cambio porcentual con relación al 2024.</v>
      </c>
      <c r="C600" s="56"/>
      <c r="D600" s="57" t="str">
        <f>IF(E600&gt;=0,"Aumento","Disminución")</f>
        <v>Disminución</v>
      </c>
      <c r="E600" s="90">
        <f>+E598/D598</f>
        <v>-0.99939341033181195</v>
      </c>
    </row>
    <row r="601" spans="2:5" x14ac:dyDescent="0.25">
      <c r="B601" s="62"/>
      <c r="C601" s="62"/>
      <c r="D601" s="259"/>
      <c r="E601" s="63"/>
    </row>
    <row r="602" spans="2:5" x14ac:dyDescent="0.25">
      <c r="B602" s="62"/>
      <c r="C602" s="62"/>
      <c r="D602" s="259"/>
      <c r="E602" s="63"/>
    </row>
    <row r="603" spans="2:5" x14ac:dyDescent="0.25">
      <c r="B603" s="62"/>
      <c r="C603" s="261"/>
      <c r="D603" s="259"/>
      <c r="E603" s="63"/>
    </row>
    <row r="604" spans="2:5" x14ac:dyDescent="0.25">
      <c r="B604" s="62"/>
      <c r="C604" s="62"/>
      <c r="D604" s="259"/>
      <c r="E604" s="63"/>
    </row>
    <row r="605" spans="2:5" ht="11.25" customHeight="1" x14ac:dyDescent="0.25">
      <c r="B605" s="62"/>
      <c r="C605" s="62"/>
      <c r="D605" s="259"/>
      <c r="E605" s="63"/>
    </row>
    <row r="606" spans="2:5" ht="9.75" customHeight="1" x14ac:dyDescent="0.25">
      <c r="B606" s="262" t="s">
        <v>316</v>
      </c>
    </row>
    <row r="607" spans="2:5" ht="56.25" customHeight="1" x14ac:dyDescent="0.25">
      <c r="B607" s="262" t="s">
        <v>317</v>
      </c>
    </row>
    <row r="608" spans="2:5" ht="16.5" customHeight="1" x14ac:dyDescent="0.25">
      <c r="B608" s="14" t="str">
        <f>("Un detalle de "&amp;B607&amp;" al "&amp;[1]BALANZA!$B$3&amp;" "&amp;[1]BALANZA!$C$3&amp;" es como se detalla a continuación:")</f>
        <v>Un detalle de Otros gastos  al 31 de Mayo del 2025 - 2024 es como se detalla a continuación:</v>
      </c>
      <c r="C608" s="32"/>
      <c r="D608" s="32"/>
      <c r="E608" s="32"/>
    </row>
    <row r="609" spans="1:26" x14ac:dyDescent="0.25">
      <c r="B609" s="13"/>
      <c r="G609" s="10"/>
    </row>
    <row r="610" spans="1:26" ht="18.75" customHeight="1" x14ac:dyDescent="0.25">
      <c r="B610" s="33" t="s">
        <v>318</v>
      </c>
      <c r="C610" s="34">
        <f>+[1]BALANZA!B4</f>
        <v>2025</v>
      </c>
      <c r="D610" s="34">
        <f>+[1]BALANZA!C4</f>
        <v>2024</v>
      </c>
      <c r="E610" s="207" t="s">
        <v>219</v>
      </c>
    </row>
    <row r="611" spans="1:26" ht="13.5" customHeight="1" x14ac:dyDescent="0.25">
      <c r="B611" s="117" t="s">
        <v>319</v>
      </c>
      <c r="C611" s="263">
        <f>+'[1]BALANZA G'!C199+'[1]BALANZA G'!C200+'[1]BALANZA G'!C201+'[1]BALANZA G'!C202</f>
        <v>1254535.96</v>
      </c>
      <c r="D611" s="263">
        <f>+'[1]BALANZA G'!D199+'[1]BALANZA G'!D200+'[1]BALANZA G'!D201+'[1]BALANZA G'!D202</f>
        <v>2898777.65</v>
      </c>
      <c r="E611" s="44">
        <f>+C611-D611</f>
        <v>-1644241.69</v>
      </c>
    </row>
    <row r="612" spans="1:26" ht="18.75" customHeight="1" x14ac:dyDescent="0.25">
      <c r="B612" s="117" t="s">
        <v>320</v>
      </c>
      <c r="C612" s="263">
        <f>+'[1]BALANZA G'!C203</f>
        <v>32701575.030000001</v>
      </c>
      <c r="D612" s="263">
        <f>+'[1]BALANZA G'!D203</f>
        <v>63713429.090000004</v>
      </c>
      <c r="E612" s="44">
        <f>+C612-D612</f>
        <v>-31011854.060000002</v>
      </c>
    </row>
    <row r="613" spans="1:26" x14ac:dyDescent="0.25">
      <c r="B613" s="160" t="s">
        <v>321</v>
      </c>
      <c r="C613" s="263">
        <f>+'[1]BALANZA G'!C207+'[1]BALANZA G'!C204+'[1]BALANZA G'!C205</f>
        <v>437642.55</v>
      </c>
      <c r="D613" s="263">
        <f>+'[1]BALANZA G'!D207+'[1]BALANZA G'!D204+'[1]BALANZA G'!D205</f>
        <v>1132137.44</v>
      </c>
      <c r="E613" s="44">
        <f t="shared" ref="E613:E619" si="6">+C613-D613</f>
        <v>-694494.8899999999</v>
      </c>
      <c r="I613" s="93"/>
      <c r="K613" s="3">
        <v>2898777.65</v>
      </c>
      <c r="U613" s="214"/>
    </row>
    <row r="614" spans="1:26" x14ac:dyDescent="0.25">
      <c r="B614" s="160" t="s">
        <v>322</v>
      </c>
      <c r="C614" s="263">
        <f>+'[1]BALANZA G'!C209+'[1]BALANZA G'!C208+'[1]BALANZA G'!C206</f>
        <v>298250</v>
      </c>
      <c r="D614" s="263">
        <f>+'[1]BALANZA G'!D206+'[1]BALANZA G'!D208+'[1]BALANZA G'!D209</f>
        <v>925630</v>
      </c>
      <c r="E614" s="44">
        <f t="shared" si="6"/>
        <v>-627380</v>
      </c>
      <c r="I614" s="93"/>
      <c r="K614" s="3">
        <v>63713429.090000004</v>
      </c>
      <c r="U614" s="214"/>
    </row>
    <row r="615" spans="1:26" x14ac:dyDescent="0.25">
      <c r="B615" s="160" t="s">
        <v>323</v>
      </c>
      <c r="C615" s="263">
        <f>+'[1]BALANZA G'!C212+'[1]BALANZA G'!C211+'[1]BALANZA G'!C210</f>
        <v>0</v>
      </c>
      <c r="D615" s="263">
        <f>+'[1]BALANZA G'!D212+'[1]BALANZA G'!D211+'[1]BALANZA G'!D210</f>
        <v>175</v>
      </c>
      <c r="E615" s="44">
        <f t="shared" si="6"/>
        <v>-175</v>
      </c>
      <c r="I615" s="93"/>
      <c r="K615" s="3">
        <v>1132137.44</v>
      </c>
      <c r="U615" s="214"/>
    </row>
    <row r="616" spans="1:26" x14ac:dyDescent="0.25">
      <c r="B616" s="117" t="s">
        <v>324</v>
      </c>
      <c r="C616" s="263">
        <f>+'[1]BALANZA G'!C214+'[1]BALANZA G'!C215+'[1]BALANZA G'!C217+'[1]BALANZA G'!C218+'[1]BALANZA G'!C219+'[1]BALANZA G'!C216+'[1]BALANZA G'!C220</f>
        <v>1702439.73</v>
      </c>
      <c r="D616" s="263">
        <f>+'[1]BALANZA G'!D214+'[1]BALANZA G'!D215+'[1]BALANZA G'!D217+'[1]BALANZA G'!D218+'[1]BALANZA G'!D219+'[1]BALANZA G'!D216+'[1]BALANZA G'!D220</f>
        <v>3151848.58</v>
      </c>
      <c r="E616" s="44">
        <f t="shared" si="6"/>
        <v>-1449408.85</v>
      </c>
      <c r="G616" s="213">
        <f>+K618-D616</f>
        <v>0</v>
      </c>
      <c r="I616" s="93"/>
      <c r="K616" s="3">
        <v>925630</v>
      </c>
      <c r="U616" s="214"/>
    </row>
    <row r="617" spans="1:26" x14ac:dyDescent="0.25">
      <c r="B617" s="117" t="s">
        <v>325</v>
      </c>
      <c r="C617" s="263">
        <f>+'[1]BALANZA G'!C221+'[1]BALANZA G'!C222</f>
        <v>279663.14</v>
      </c>
      <c r="D617" s="263">
        <f>+'[1]BALANZA G'!D222+'[1]BALANZA G'!D221</f>
        <v>657127.22</v>
      </c>
      <c r="E617" s="44">
        <f t="shared" si="6"/>
        <v>-377464.07999999996</v>
      </c>
      <c r="I617" s="93"/>
      <c r="K617" s="3">
        <v>175</v>
      </c>
      <c r="U617" s="214"/>
    </row>
    <row r="618" spans="1:26" ht="30" x14ac:dyDescent="0.25">
      <c r="B618" s="160" t="s">
        <v>326</v>
      </c>
      <c r="C618" s="263">
        <f>+'[1]BALANZA G'!C224+'[1]BALANZA G'!C225+'[1]BALANZA G'!C226+'[1]BALANZA G'!C227+'[1]BALANZA G'!C228+'[1]BALANZA G'!C230+'[1]BALANZA G'!C232+'[1]BALANZA G'!C233+'[1]BALANZA G'!C234+'[1]BALANZA G'!C235+'[1]BALANZA G'!C237+'[1]BALANZA G'!C238+'[1]BALANZA G'!C239+'[1]BALANZA G'!C229</f>
        <v>-1797577.0200000003</v>
      </c>
      <c r="D618" s="263">
        <f>+'[1]BALANZA G'!D224+'[1]BALANZA G'!D225+'[1]BALANZA G'!D226+'[1]BALANZA G'!D227+'[1]BALANZA G'!D228+'[1]BALANZA G'!D230+'[1]BALANZA G'!D232+'[1]BALANZA G'!D233+'[1]BALANZA G'!D234+'[1]BALANZA G'!D235+'[1]BALANZA G'!D237+'[1]BALANZA G'!D238+'[1]BALANZA G'!D239+'[1]BALANZA G'!D229</f>
        <v>9859491.7400000002</v>
      </c>
      <c r="E618" s="264">
        <f t="shared" si="6"/>
        <v>-11657068.76</v>
      </c>
      <c r="I618" s="93"/>
      <c r="K618" s="3">
        <v>3151848.58</v>
      </c>
      <c r="U618" s="214"/>
    </row>
    <row r="619" spans="1:26" ht="30" x14ac:dyDescent="0.25">
      <c r="B619" s="160" t="s">
        <v>327</v>
      </c>
      <c r="C619" s="263">
        <f>+'[1]BALANZA G'!C241+'[1]BALANZA G'!C242+'[1]BALANZA G'!C244+'[1]BALANZA G'!C245+'[1]BALANZA G'!C246+'[1]BALANZA G'!C248+'[1]BALANZA G'!C193+'[1]BALANZA G'!C194+'[1]BALANZA G'!C198+'[1]BALANZA G'!C247</f>
        <v>3385425.57</v>
      </c>
      <c r="D619" s="263">
        <f>+'[1]BALANZA G'!D193+'[1]BALANZA G'!D194+'[1]BALANZA G'!D241+'[1]BALANZA G'!D244+'[1]BALANZA G'!D245+'[1]BALANZA G'!D246+'[1]BALANZA G'!D248+'[1]BALANZA G'!D242+'[1]BALANZA G'!D198+'[1]BALANZA G'!D247</f>
        <v>7481995.21</v>
      </c>
      <c r="E619" s="265">
        <f t="shared" si="6"/>
        <v>-4096569.64</v>
      </c>
      <c r="I619" s="93"/>
      <c r="K619" s="3">
        <v>657127.22</v>
      </c>
      <c r="U619" s="214"/>
    </row>
    <row r="620" spans="1:26" x14ac:dyDescent="0.25">
      <c r="B620" s="85" t="s">
        <v>328</v>
      </c>
      <c r="C620" s="47">
        <f>SUM(C611:C619)</f>
        <v>38261954.959999993</v>
      </c>
      <c r="D620" s="110">
        <f>SUM(D611:D619)</f>
        <v>89820611.929999992</v>
      </c>
      <c r="E620" s="266">
        <f>SUM(E611:E619)</f>
        <v>-51558656.969999999</v>
      </c>
      <c r="I620" s="93"/>
      <c r="K620" s="3">
        <v>9859491.7400000002</v>
      </c>
      <c r="U620" s="214"/>
    </row>
    <row r="621" spans="1:26" ht="21.75" customHeight="1" x14ac:dyDescent="0.25">
      <c r="B621" s="13" t="s">
        <v>114</v>
      </c>
      <c r="C621" s="248">
        <f>+C620-[1]ERF!B22</f>
        <v>0</v>
      </c>
      <c r="D621" s="248">
        <f>+D620-[1]ERF!C22</f>
        <v>0</v>
      </c>
      <c r="I621" s="93"/>
      <c r="K621" s="3">
        <v>7481995.21</v>
      </c>
      <c r="U621" s="214"/>
    </row>
    <row r="622" spans="1:26" ht="18.75" customHeight="1" x14ac:dyDescent="0.25">
      <c r="A622" s="45"/>
      <c r="B622" s="55" t="str">
        <f>("Cambio porcentual con relación al "&amp;$D$118&amp;".")</f>
        <v>Cambio porcentual con relación al 2024.</v>
      </c>
      <c r="C622" s="56"/>
      <c r="D622" s="57" t="str">
        <f>IF(E622&gt;=0,"Aumento","Disminución")</f>
        <v>Disminución</v>
      </c>
      <c r="E622" s="90">
        <f>+E620/D620</f>
        <v>-0.57401809965602624</v>
      </c>
      <c r="F622" s="45"/>
      <c r="G622" s="45"/>
      <c r="K622" s="3">
        <v>89820611.929999992</v>
      </c>
    </row>
    <row r="623" spans="1:26" ht="12.75" customHeight="1" x14ac:dyDescent="0.25">
      <c r="A623" s="45"/>
      <c r="B623" s="62"/>
      <c r="C623" s="62"/>
      <c r="D623" s="60"/>
      <c r="E623" s="63"/>
      <c r="F623" s="45"/>
      <c r="G623" s="45"/>
      <c r="J623" s="49"/>
    </row>
    <row r="624" spans="1:26" s="45" customFormat="1" x14ac:dyDescent="0.25">
      <c r="B624" s="62"/>
      <c r="C624" s="62"/>
      <c r="D624" s="60"/>
      <c r="E624" s="63"/>
      <c r="J624" s="3"/>
      <c r="K624" s="49"/>
      <c r="N624" s="49"/>
      <c r="R624" s="50"/>
      <c r="S624" s="50"/>
      <c r="T624" s="50"/>
      <c r="U624" s="50"/>
      <c r="V624" s="50"/>
      <c r="W624" s="50"/>
      <c r="X624" s="50"/>
      <c r="Y624" s="50"/>
      <c r="Z624" s="49"/>
    </row>
    <row r="625" spans="1:26" s="45" customFormat="1" x14ac:dyDescent="0.25">
      <c r="A625" s="2"/>
      <c r="B625" s="62"/>
      <c r="C625" s="62"/>
      <c r="D625" s="259"/>
      <c r="E625" s="63"/>
      <c r="F625" s="2"/>
      <c r="G625" s="2"/>
      <c r="J625" s="3"/>
      <c r="K625" s="49"/>
      <c r="N625" s="49"/>
      <c r="R625" s="50"/>
      <c r="S625" s="50"/>
      <c r="T625" s="50"/>
      <c r="U625" s="50"/>
      <c r="V625" s="50"/>
      <c r="W625" s="50"/>
      <c r="X625" s="50"/>
      <c r="Y625" s="50"/>
      <c r="Z625" s="49"/>
    </row>
    <row r="626" spans="1:26" s="45" customFormat="1" x14ac:dyDescent="0.25">
      <c r="A626" s="2"/>
      <c r="B626" s="65" t="s">
        <v>329</v>
      </c>
      <c r="C626" s="2"/>
      <c r="D626" s="3"/>
      <c r="E626" s="2"/>
      <c r="F626" s="2"/>
      <c r="G626" s="2"/>
      <c r="J626" s="3"/>
      <c r="K626" s="49"/>
      <c r="N626" s="49"/>
      <c r="R626" s="50"/>
      <c r="S626" s="50"/>
      <c r="T626" s="50"/>
      <c r="U626" s="50"/>
      <c r="V626" s="50"/>
      <c r="W626" s="50"/>
      <c r="X626" s="50"/>
      <c r="Y626" s="50"/>
      <c r="Z626" s="49"/>
    </row>
    <row r="627" spans="1:26" ht="10.5" customHeight="1" x14ac:dyDescent="0.25">
      <c r="B627" s="65" t="s">
        <v>330</v>
      </c>
    </row>
    <row r="628" spans="1:26" x14ac:dyDescent="0.25">
      <c r="B628" s="14" t="str">
        <f>("Un detalle del "&amp;B627&amp;" al "&amp;[1]BALANZA!$B$3&amp;" "&amp;[1]BALANZA!$C$3&amp;" es como se detalla a continuación:")</f>
        <v>Un detalle del Gastos Financieros  al 31 de Mayo del 2025 - 2024 es como se detalla a continuación:</v>
      </c>
      <c r="C628" s="32"/>
      <c r="D628" s="32"/>
      <c r="E628" s="32"/>
    </row>
    <row r="629" spans="1:26" ht="21" customHeight="1" x14ac:dyDescent="0.25">
      <c r="B629" s="2"/>
    </row>
    <row r="630" spans="1:26" ht="30" customHeight="1" x14ac:dyDescent="0.25">
      <c r="B630" s="36" t="str">
        <f>+B610</f>
        <v>PARTIDA</v>
      </c>
      <c r="C630" s="267">
        <f>+C610</f>
        <v>2025</v>
      </c>
      <c r="D630" s="267">
        <f>+D610</f>
        <v>2024</v>
      </c>
      <c r="E630" s="207" t="s">
        <v>219</v>
      </c>
    </row>
    <row r="631" spans="1:26" ht="13.5" customHeight="1" x14ac:dyDescent="0.25">
      <c r="B631" s="160" t="s">
        <v>331</v>
      </c>
      <c r="C631" s="38">
        <f>+'[1]BALANZA G'!C243</f>
        <v>306907.45</v>
      </c>
      <c r="D631" s="38">
        <f>+'[1]BALANZA G'!D243</f>
        <v>755694.55</v>
      </c>
      <c r="E631" s="44">
        <f>+C631-D631</f>
        <v>-448787.10000000003</v>
      </c>
    </row>
    <row r="632" spans="1:26" x14ac:dyDescent="0.25">
      <c r="B632" s="160" t="s">
        <v>332</v>
      </c>
      <c r="C632" s="38">
        <f>+'[1]BALANZA G'!C249</f>
        <v>0</v>
      </c>
      <c r="D632" s="38">
        <f>+'[1]BALANZA G'!D249</f>
        <v>0</v>
      </c>
      <c r="E632" s="44">
        <f>+C632-D632</f>
        <v>0</v>
      </c>
    </row>
    <row r="633" spans="1:26" x14ac:dyDescent="0.25">
      <c r="B633" s="246" t="s">
        <v>333</v>
      </c>
      <c r="C633" s="96">
        <f>SUM(C631:C632)</f>
        <v>306907.45</v>
      </c>
      <c r="D633" s="96">
        <f>SUM(D631:D632)</f>
        <v>755694.55</v>
      </c>
      <c r="E633" s="96">
        <f>SUM(E631:E632)</f>
        <v>-448787.10000000003</v>
      </c>
    </row>
    <row r="634" spans="1:26" hidden="1" x14ac:dyDescent="0.25">
      <c r="B634" s="268"/>
      <c r="C634" s="104">
        <f>+C633-[1]ERF!B23</f>
        <v>0</v>
      </c>
      <c r="D634" s="104">
        <f>+D633-[1]ERF!C23</f>
        <v>0</v>
      </c>
      <c r="E634" s="106"/>
    </row>
    <row r="635" spans="1:26" x14ac:dyDescent="0.25">
      <c r="A635" s="45"/>
      <c r="B635" s="55" t="str">
        <f>("Cambio porcentual con relación al "&amp;$D$118&amp;".")</f>
        <v>Cambio porcentual con relación al 2024.</v>
      </c>
      <c r="C635" s="56"/>
      <c r="D635" s="57" t="str">
        <f>IF(E635&gt;=0,"Aumento","Disminución")</f>
        <v>Disminución</v>
      </c>
      <c r="E635" s="90">
        <f>+E633/D633</f>
        <v>-0.5938736755478784</v>
      </c>
      <c r="F635" s="45"/>
      <c r="G635" s="45"/>
    </row>
    <row r="636" spans="1:26" x14ac:dyDescent="0.25">
      <c r="B636" s="62"/>
      <c r="C636" s="62"/>
      <c r="D636" s="259"/>
      <c r="E636" s="63"/>
      <c r="J636" s="49"/>
    </row>
    <row r="637" spans="1:26" s="45" customFormat="1" x14ac:dyDescent="0.25">
      <c r="A637" s="2"/>
      <c r="B637" s="65" t="s">
        <v>334</v>
      </c>
      <c r="C637" s="62"/>
      <c r="D637" s="259"/>
      <c r="E637" s="63"/>
      <c r="F637" s="2"/>
      <c r="G637" s="2"/>
      <c r="J637" s="3"/>
      <c r="K637" s="49"/>
      <c r="N637" s="49"/>
      <c r="R637" s="50"/>
      <c r="S637" s="50"/>
      <c r="T637" s="50"/>
      <c r="U637" s="50"/>
      <c r="V637" s="50"/>
      <c r="W637" s="50"/>
      <c r="X637" s="50"/>
      <c r="Y637" s="50"/>
      <c r="Z637" s="49"/>
    </row>
    <row r="638" spans="1:26" x14ac:dyDescent="0.25">
      <c r="B638" s="65" t="s">
        <v>335</v>
      </c>
      <c r="C638" s="62"/>
      <c r="D638" s="259"/>
      <c r="E638" s="63"/>
    </row>
    <row r="639" spans="1:26" x14ac:dyDescent="0.25">
      <c r="B639" s="14" t="str">
        <f>("Un detalle de "&amp;B638&amp;" al "&amp;[1]BALANZA!$B$3&amp;" "&amp;[1]BALANZA!$C$3&amp;" es como se detalla a continuación:")</f>
        <v>Un detalle de Compromisos y contingencias al 31 de Mayo del 2025 - 2024 es como se detalla a continuación:</v>
      </c>
      <c r="C639" s="32"/>
      <c r="D639" s="32"/>
      <c r="E639" s="32"/>
    </row>
    <row r="640" spans="1:26" x14ac:dyDescent="0.25">
      <c r="B640" s="21" t="str">
        <f>("La facturación historica no cobrada a la fecha de corte, para el "&amp;C642&amp;" presenta un monto de RD$"&amp;R647&amp;" y para el "&amp;D642&amp;" presenta un monto de RD$"&amp;R648&amp;"." )</f>
        <v>La facturación historica no cobrada a la fecha de corte, para el 2025 presenta un monto de RD$513,985,120.94 y para el 2024 presenta un monto de RD$453,841,689.00.</v>
      </c>
      <c r="C640" s="21"/>
      <c r="D640" s="21"/>
      <c r="E640" s="21"/>
    </row>
    <row r="641" spans="1:26" ht="15" customHeight="1" x14ac:dyDescent="0.25">
      <c r="B641" s="21"/>
      <c r="C641" s="21"/>
      <c r="D641" s="21"/>
      <c r="E641" s="21"/>
    </row>
    <row r="642" spans="1:26" ht="41.25" customHeight="1" x14ac:dyDescent="0.25">
      <c r="B642" s="267" t="str">
        <f>+B630</f>
        <v>PARTIDA</v>
      </c>
      <c r="C642" s="267">
        <f>+C630</f>
        <v>2025</v>
      </c>
      <c r="D642" s="267">
        <f>+D630</f>
        <v>2024</v>
      </c>
      <c r="E642" s="207" t="s">
        <v>219</v>
      </c>
    </row>
    <row r="643" spans="1:26" ht="13.5" customHeight="1" x14ac:dyDescent="0.25">
      <c r="B643" s="160" t="s">
        <v>336</v>
      </c>
      <c r="C643" s="257">
        <f>+C661</f>
        <v>1817264</v>
      </c>
      <c r="D643" s="257">
        <f>+D661</f>
        <v>7909235</v>
      </c>
      <c r="E643" s="83">
        <f>+C643-D643</f>
        <v>-6091971</v>
      </c>
    </row>
    <row r="644" spans="1:26" x14ac:dyDescent="0.25">
      <c r="B644" s="160" t="s">
        <v>337</v>
      </c>
      <c r="C644" s="257">
        <f>+C672-C643</f>
        <v>512167856.94</v>
      </c>
      <c r="D644" s="257">
        <f>+D672-D643</f>
        <v>445932454</v>
      </c>
      <c r="E644" s="83">
        <f>+C644-D644</f>
        <v>66235402.939999998</v>
      </c>
    </row>
    <row r="645" spans="1:26" x14ac:dyDescent="0.25">
      <c r="B645" s="246" t="s">
        <v>338</v>
      </c>
      <c r="C645" s="47">
        <f>SUM(C643:C644)</f>
        <v>513985120.94</v>
      </c>
      <c r="D645" s="47">
        <f>SUM(D643:D644)</f>
        <v>453841689</v>
      </c>
      <c r="E645" s="47">
        <f>SUM(E643:E644)</f>
        <v>60143431.939999998</v>
      </c>
    </row>
    <row r="646" spans="1:26" x14ac:dyDescent="0.25">
      <c r="B646" s="268"/>
      <c r="C646" s="269"/>
      <c r="D646" s="105"/>
      <c r="E646" s="106"/>
    </row>
    <row r="647" spans="1:26" x14ac:dyDescent="0.25">
      <c r="A647" s="45"/>
      <c r="B647" s="55" t="str">
        <f>("Cambio porcentual con relación al "&amp;$D$118&amp;".")</f>
        <v>Cambio porcentual con relación al 2024.</v>
      </c>
      <c r="C647" s="56"/>
      <c r="D647" s="270" t="str">
        <f>IF(E647&gt;=0,"Aumento","Disminución")</f>
        <v>Aumento</v>
      </c>
      <c r="E647" s="271">
        <f>IFERROR((+E645/D645),0)</f>
        <v>0.13252073002046313</v>
      </c>
      <c r="F647" s="45"/>
      <c r="G647" s="45"/>
      <c r="R647" s="4" t="str">
        <f>+CONCATENATE(S647,",",T647,",",U647,V647,AB647)</f>
        <v>513,985,120.94</v>
      </c>
      <c r="S647" s="4" t="str">
        <f>MID(C645,1,3)</f>
        <v>513</v>
      </c>
      <c r="T647" s="4" t="str">
        <f>MID(C645,4,3)</f>
        <v>985</v>
      </c>
      <c r="U647" s="4" t="str">
        <f>MID(C645,7,3)</f>
        <v>120</v>
      </c>
      <c r="V647" s="4" t="str">
        <f>MID(C645,10,3)</f>
        <v>.94</v>
      </c>
    </row>
    <row r="648" spans="1:26" x14ac:dyDescent="0.25">
      <c r="A648" s="45"/>
      <c r="B648" s="59"/>
      <c r="C648" s="59"/>
      <c r="D648" s="272"/>
      <c r="E648" s="273"/>
      <c r="F648" s="45"/>
      <c r="G648" s="45"/>
      <c r="J648" s="49"/>
      <c r="R648" s="4" t="str">
        <f>+CONCATENATE(S648,",",T648,",",U648,V648,AB648,".00")</f>
        <v>453,841,689.00</v>
      </c>
      <c r="S648" s="4" t="str">
        <f>MID(D645,1,3)</f>
        <v>453</v>
      </c>
      <c r="T648" s="4" t="str">
        <f>MID(D645,4,3)</f>
        <v>841</v>
      </c>
      <c r="U648" s="4" t="str">
        <f>MID(D645,7,3)</f>
        <v>689</v>
      </c>
      <c r="V648" s="4" t="str">
        <f>MID(D645,10,3)</f>
        <v/>
      </c>
    </row>
    <row r="649" spans="1:26" x14ac:dyDescent="0.25">
      <c r="A649" s="45"/>
      <c r="B649" s="59"/>
      <c r="C649" s="59"/>
      <c r="D649" s="272"/>
      <c r="E649" s="273"/>
      <c r="F649" s="45"/>
      <c r="G649" s="45"/>
      <c r="J649" s="49"/>
    </row>
    <row r="650" spans="1:26" x14ac:dyDescent="0.25">
      <c r="A650" s="45"/>
      <c r="B650" s="59"/>
      <c r="C650" s="59"/>
      <c r="D650" s="272"/>
      <c r="E650" s="273"/>
      <c r="F650" s="45"/>
      <c r="G650" s="45"/>
      <c r="J650" s="49"/>
    </row>
    <row r="651" spans="1:26" s="45" customFormat="1" x14ac:dyDescent="0.25">
      <c r="B651" s="59"/>
      <c r="C651" s="59"/>
      <c r="D651" s="272"/>
      <c r="E651" s="273"/>
      <c r="J651" s="3"/>
      <c r="K651" s="49"/>
      <c r="N651" s="49"/>
      <c r="R651" s="50"/>
      <c r="S651" s="50"/>
      <c r="T651" s="50"/>
      <c r="U651" s="50"/>
      <c r="V651" s="50"/>
      <c r="W651" s="50"/>
      <c r="X651" s="50"/>
      <c r="Y651" s="50"/>
      <c r="Z651" s="49"/>
    </row>
    <row r="652" spans="1:26" s="45" customFormat="1" x14ac:dyDescent="0.25">
      <c r="A652" s="2"/>
      <c r="B652" s="16"/>
      <c r="C652" s="16"/>
      <c r="D652" s="16"/>
      <c r="E652" s="16"/>
      <c r="F652" s="2"/>
      <c r="G652" s="2"/>
      <c r="J652" s="3"/>
      <c r="K652" s="49"/>
      <c r="N652" s="49"/>
      <c r="R652" s="50"/>
      <c r="S652" s="50"/>
      <c r="T652" s="50"/>
      <c r="U652" s="50"/>
      <c r="V652" s="50"/>
      <c r="W652" s="50"/>
      <c r="X652" s="50"/>
      <c r="Y652" s="50"/>
      <c r="Z652" s="49"/>
    </row>
    <row r="653" spans="1:26" s="45" customFormat="1" x14ac:dyDescent="0.25">
      <c r="A653" s="2"/>
      <c r="B653" s="19"/>
      <c r="C653" s="2"/>
      <c r="D653" s="3"/>
      <c r="E653" s="2"/>
      <c r="F653" s="2"/>
      <c r="G653" s="2"/>
      <c r="J653" s="3"/>
      <c r="K653" s="49"/>
      <c r="N653" s="49"/>
      <c r="R653" s="50"/>
      <c r="S653" s="50"/>
      <c r="T653" s="50"/>
      <c r="U653" s="50"/>
      <c r="V653" s="50"/>
      <c r="W653" s="50"/>
      <c r="X653" s="50"/>
      <c r="Y653" s="50"/>
      <c r="Z653" s="49"/>
    </row>
    <row r="654" spans="1:26" ht="13.5" customHeight="1" x14ac:dyDescent="0.25"/>
    <row r="655" spans="1:26" ht="14.25" customHeight="1" x14ac:dyDescent="0.25">
      <c r="B655" s="274" t="s">
        <v>339</v>
      </c>
      <c r="C655" s="274"/>
      <c r="D655" s="274"/>
      <c r="E655" s="274"/>
    </row>
    <row r="656" spans="1:26" ht="41.25" customHeight="1" x14ac:dyDescent="0.25">
      <c r="A656" s="5"/>
      <c r="B656" s="275" t="str">
        <f>("La informacion de  Cuentas por Cobrar según el Sistema Comercial al "&amp;[1]BALANZA!B3&amp;" "&amp;[1]BALANZA!C3&amp;" se detalla a continuación")</f>
        <v>La informacion de  Cuentas por Cobrar según el Sistema Comercial al 31 de Mayo del 2025 - 2024 se detalla a continuación</v>
      </c>
      <c r="C656" s="275"/>
      <c r="D656" s="275"/>
      <c r="E656" s="275"/>
      <c r="F656" s="5"/>
      <c r="G656" s="5"/>
    </row>
    <row r="657" spans="1:26" ht="70.5" customHeight="1" x14ac:dyDescent="0.25">
      <c r="B657" s="207" t="str">
        <f>+B642</f>
        <v>PARTIDA</v>
      </c>
      <c r="C657" s="207">
        <f>+C642</f>
        <v>2025</v>
      </c>
      <c r="D657" s="207">
        <f>+D642</f>
        <v>2024</v>
      </c>
      <c r="E657" s="276"/>
    </row>
    <row r="658" spans="1:26" s="5" customFormat="1" ht="42.75" customHeight="1" x14ac:dyDescent="0.25">
      <c r="A658" s="2"/>
      <c r="B658" s="224"/>
      <c r="C658" s="44"/>
      <c r="D658" s="277"/>
      <c r="E658" s="2"/>
      <c r="F658" s="2"/>
      <c r="G658" s="2"/>
      <c r="J658" s="6"/>
      <c r="K658" s="6"/>
      <c r="N658" s="6"/>
      <c r="R658" s="278"/>
      <c r="S658" s="278"/>
      <c r="T658" s="278"/>
      <c r="U658" s="278"/>
      <c r="V658" s="278"/>
      <c r="W658" s="278"/>
      <c r="X658" s="278"/>
      <c r="Y658" s="278"/>
      <c r="Z658" s="6"/>
    </row>
    <row r="659" spans="1:26" x14ac:dyDescent="0.25">
      <c r="B659" s="224" t="s">
        <v>340</v>
      </c>
      <c r="C659" s="44">
        <v>243262</v>
      </c>
      <c r="D659" s="181">
        <v>235712</v>
      </c>
    </row>
    <row r="660" spans="1:26" x14ac:dyDescent="0.25">
      <c r="B660" s="224" t="s">
        <v>341</v>
      </c>
      <c r="C660" s="44">
        <v>2000</v>
      </c>
      <c r="D660" s="181">
        <v>1210</v>
      </c>
    </row>
    <row r="661" spans="1:26" x14ac:dyDescent="0.25">
      <c r="B661" s="224" t="s">
        <v>342</v>
      </c>
      <c r="C661" s="44">
        <f>980788+836476</f>
        <v>1817264</v>
      </c>
      <c r="D661" s="181">
        <f>7130810+778425</f>
        <v>7909235</v>
      </c>
    </row>
    <row r="662" spans="1:26" x14ac:dyDescent="0.25">
      <c r="B662" s="224" t="s">
        <v>343</v>
      </c>
      <c r="C662" s="44">
        <v>590249</v>
      </c>
      <c r="D662" s="181">
        <v>869044</v>
      </c>
    </row>
    <row r="663" spans="1:26" x14ac:dyDescent="0.25">
      <c r="B663" s="224" t="s">
        <v>344</v>
      </c>
      <c r="C663" s="44">
        <v>635899</v>
      </c>
      <c r="D663" s="181">
        <v>920884</v>
      </c>
    </row>
    <row r="664" spans="1:26" x14ac:dyDescent="0.25">
      <c r="B664" s="279" t="s">
        <v>345</v>
      </c>
      <c r="C664" s="280">
        <f>SUM(C659:C663)</f>
        <v>3288674</v>
      </c>
      <c r="D664" s="280">
        <f>SUM(D659:D663)</f>
        <v>9936085</v>
      </c>
    </row>
    <row r="665" spans="1:26" x14ac:dyDescent="0.25">
      <c r="B665" s="224" t="s">
        <v>340</v>
      </c>
      <c r="C665" s="44">
        <v>24407875</v>
      </c>
      <c r="D665" s="181">
        <f>14368305</f>
        <v>14368305</v>
      </c>
    </row>
    <row r="666" spans="1:26" x14ac:dyDescent="0.25">
      <c r="B666" s="224" t="s">
        <v>341</v>
      </c>
      <c r="C666" s="44">
        <v>90874</v>
      </c>
      <c r="D666" s="181">
        <v>68295</v>
      </c>
    </row>
    <row r="667" spans="1:26" x14ac:dyDescent="0.25">
      <c r="B667" s="224" t="s">
        <v>346</v>
      </c>
      <c r="C667" s="44">
        <v>267076</v>
      </c>
      <c r="D667" s="181">
        <v>63646</v>
      </c>
    </row>
    <row r="668" spans="1:26" x14ac:dyDescent="0.25">
      <c r="B668" s="224" t="s">
        <v>347</v>
      </c>
      <c r="C668" s="44">
        <v>3804338</v>
      </c>
      <c r="D668" s="181">
        <v>3352009</v>
      </c>
    </row>
    <row r="669" spans="1:26" x14ac:dyDescent="0.25">
      <c r="B669" s="224" t="s">
        <v>343</v>
      </c>
      <c r="C669" s="44">
        <v>197155719.75</v>
      </c>
      <c r="D669" s="181">
        <v>133132858</v>
      </c>
    </row>
    <row r="670" spans="1:26" x14ac:dyDescent="0.25">
      <c r="B670" s="224" t="s">
        <v>344</v>
      </c>
      <c r="C670" s="44">
        <v>284970564.19</v>
      </c>
      <c r="D670" s="181">
        <v>292920491</v>
      </c>
    </row>
    <row r="671" spans="1:26" x14ac:dyDescent="0.25">
      <c r="B671" s="279" t="s">
        <v>345</v>
      </c>
      <c r="C671" s="280">
        <f>SUM(C665:C670)</f>
        <v>510696446.94</v>
      </c>
      <c r="D671" s="280">
        <f>SUM(D665:D670)</f>
        <v>443905604</v>
      </c>
    </row>
    <row r="672" spans="1:26" x14ac:dyDescent="0.25">
      <c r="B672" s="279" t="s">
        <v>348</v>
      </c>
      <c r="C672" s="280">
        <f>+C664+C671</f>
        <v>513985120.94</v>
      </c>
      <c r="D672" s="280">
        <f>+D664+D671</f>
        <v>453841689</v>
      </c>
    </row>
    <row r="673" spans="2:5" x14ac:dyDescent="0.25">
      <c r="B673" s="281"/>
      <c r="E673" s="276"/>
    </row>
    <row r="674" spans="2:5" x14ac:dyDescent="0.25">
      <c r="B674" s="281"/>
      <c r="C674" s="282"/>
      <c r="E674" s="283"/>
    </row>
    <row r="675" spans="2:5" x14ac:dyDescent="0.25">
      <c r="B675" s="281"/>
      <c r="E675" s="283"/>
    </row>
    <row r="676" spans="2:5" x14ac:dyDescent="0.25">
      <c r="B676" s="281"/>
      <c r="E676" s="276"/>
    </row>
    <row r="677" spans="2:5" x14ac:dyDescent="0.25">
      <c r="B677" s="281"/>
      <c r="E677" s="276"/>
    </row>
    <row r="678" spans="2:5" x14ac:dyDescent="0.25">
      <c r="B678" s="281"/>
      <c r="E678" s="283"/>
    </row>
    <row r="679" spans="2:5" x14ac:dyDescent="0.25">
      <c r="B679" s="281"/>
      <c r="E679" s="276"/>
    </row>
    <row r="680" spans="2:5" x14ac:dyDescent="0.25">
      <c r="B680" s="281"/>
      <c r="E680" s="276"/>
    </row>
    <row r="681" spans="2:5" x14ac:dyDescent="0.25">
      <c r="B681" s="281"/>
      <c r="E681" s="276"/>
    </row>
    <row r="682" spans="2:5" x14ac:dyDescent="0.25">
      <c r="B682" s="281"/>
      <c r="E682" s="276"/>
    </row>
    <row r="683" spans="2:5" x14ac:dyDescent="0.25">
      <c r="B683" s="281"/>
      <c r="E683" s="276"/>
    </row>
    <row r="684" spans="2:5" x14ac:dyDescent="0.25">
      <c r="B684" s="281"/>
      <c r="E684" s="276"/>
    </row>
    <row r="685" spans="2:5" x14ac:dyDescent="0.25">
      <c r="B685" s="281"/>
      <c r="E685" s="276"/>
    </row>
    <row r="686" spans="2:5" x14ac:dyDescent="0.25">
      <c r="B686" s="281"/>
      <c r="E686" s="276"/>
    </row>
    <row r="687" spans="2:5" x14ac:dyDescent="0.25">
      <c r="B687" s="281"/>
      <c r="E687" s="276"/>
    </row>
    <row r="688" spans="2:5" x14ac:dyDescent="0.25">
      <c r="B688" s="281"/>
      <c r="E688" s="276"/>
    </row>
    <row r="689" spans="2:5" x14ac:dyDescent="0.25">
      <c r="B689" s="281"/>
      <c r="E689" s="276"/>
    </row>
    <row r="690" spans="2:5" x14ac:dyDescent="0.25">
      <c r="B690" s="281"/>
      <c r="E690" s="276"/>
    </row>
    <row r="691" spans="2:5" x14ac:dyDescent="0.25">
      <c r="B691" s="281"/>
      <c r="E691" s="276"/>
    </row>
    <row r="692" spans="2:5" x14ac:dyDescent="0.25">
      <c r="B692" s="281"/>
      <c r="E692" s="276"/>
    </row>
    <row r="693" spans="2:5" x14ac:dyDescent="0.25">
      <c r="B693" s="281"/>
      <c r="E693" s="276"/>
    </row>
    <row r="694" spans="2:5" x14ac:dyDescent="0.25">
      <c r="B694" s="281"/>
      <c r="E694" s="276"/>
    </row>
    <row r="695" spans="2:5" x14ac:dyDescent="0.25">
      <c r="B695" s="281"/>
      <c r="E695" s="276"/>
    </row>
    <row r="696" spans="2:5" x14ac:dyDescent="0.25">
      <c r="B696" s="281"/>
      <c r="E696" s="276"/>
    </row>
    <row r="697" spans="2:5" x14ac:dyDescent="0.25">
      <c r="B697" s="281"/>
      <c r="E697" s="276"/>
    </row>
    <row r="698" spans="2:5" x14ac:dyDescent="0.25">
      <c r="B698" s="281"/>
      <c r="E698" s="276"/>
    </row>
    <row r="699" spans="2:5" x14ac:dyDescent="0.25">
      <c r="B699" s="281"/>
      <c r="E699" s="276"/>
    </row>
    <row r="700" spans="2:5" x14ac:dyDescent="0.25">
      <c r="B700" s="281"/>
      <c r="E700" s="276"/>
    </row>
    <row r="701" spans="2:5" x14ac:dyDescent="0.25">
      <c r="B701" s="281"/>
      <c r="E701" s="276"/>
    </row>
    <row r="702" spans="2:5" x14ac:dyDescent="0.25">
      <c r="B702" s="281"/>
      <c r="E702" s="276"/>
    </row>
    <row r="703" spans="2:5" x14ac:dyDescent="0.25">
      <c r="B703" s="281"/>
      <c r="E703" s="276"/>
    </row>
    <row r="704" spans="2:5" x14ac:dyDescent="0.25">
      <c r="B704" s="281"/>
      <c r="E704" s="276"/>
    </row>
    <row r="705" spans="2:5" x14ac:dyDescent="0.25">
      <c r="B705" s="281"/>
      <c r="E705" s="276"/>
    </row>
    <row r="706" spans="2:5" x14ac:dyDescent="0.25">
      <c r="B706" s="281"/>
      <c r="E706" s="276"/>
    </row>
    <row r="707" spans="2:5" x14ac:dyDescent="0.25">
      <c r="B707" s="281"/>
      <c r="E707" s="276"/>
    </row>
    <row r="708" spans="2:5" x14ac:dyDescent="0.25">
      <c r="B708" s="281"/>
      <c r="E708" s="276"/>
    </row>
    <row r="709" spans="2:5" x14ac:dyDescent="0.25">
      <c r="B709" s="281"/>
      <c r="E709" s="276"/>
    </row>
    <row r="710" spans="2:5" x14ac:dyDescent="0.25">
      <c r="B710" s="281"/>
      <c r="E710" s="276"/>
    </row>
    <row r="711" spans="2:5" x14ac:dyDescent="0.25">
      <c r="B711" s="281"/>
      <c r="E711" s="276"/>
    </row>
    <row r="712" spans="2:5" x14ac:dyDescent="0.25">
      <c r="B712" s="281"/>
      <c r="E712" s="276"/>
    </row>
    <row r="713" spans="2:5" x14ac:dyDescent="0.25">
      <c r="B713" s="281"/>
    </row>
    <row r="714" spans="2:5" ht="15" customHeight="1" x14ac:dyDescent="0.25">
      <c r="C714" s="3"/>
    </row>
    <row r="717" spans="2:5" x14ac:dyDescent="0.25">
      <c r="B717" s="281"/>
    </row>
    <row r="719" spans="2:5" x14ac:dyDescent="0.25">
      <c r="B719" s="281"/>
    </row>
    <row r="720" spans="2:5" x14ac:dyDescent="0.25">
      <c r="B720" s="281"/>
    </row>
    <row r="721" spans="2:2" x14ac:dyDescent="0.25">
      <c r="B721" s="281"/>
    </row>
    <row r="722" spans="2:2" x14ac:dyDescent="0.25">
      <c r="B722" s="281"/>
    </row>
    <row r="723" spans="2:2" x14ac:dyDescent="0.25">
      <c r="B723" s="281"/>
    </row>
    <row r="724" spans="2:2" x14ac:dyDescent="0.25">
      <c r="B724" s="281"/>
    </row>
    <row r="725" spans="2:2" x14ac:dyDescent="0.25">
      <c r="B725" s="281"/>
    </row>
    <row r="726" spans="2:2" x14ac:dyDescent="0.25">
      <c r="B726" s="281"/>
    </row>
    <row r="727" spans="2:2" x14ac:dyDescent="0.25">
      <c r="B727" s="281"/>
    </row>
    <row r="728" spans="2:2" x14ac:dyDescent="0.25">
      <c r="B728" s="281"/>
    </row>
    <row r="729" spans="2:2" x14ac:dyDescent="0.25">
      <c r="B729" s="281"/>
    </row>
    <row r="730" spans="2:2" x14ac:dyDescent="0.25">
      <c r="B730" s="281"/>
    </row>
    <row r="731" spans="2:2" x14ac:dyDescent="0.25">
      <c r="B731" s="281"/>
    </row>
    <row r="732" spans="2:2" x14ac:dyDescent="0.25">
      <c r="B732" s="281"/>
    </row>
    <row r="733" spans="2:2" x14ac:dyDescent="0.25">
      <c r="B733" s="281"/>
    </row>
    <row r="734" spans="2:2" x14ac:dyDescent="0.25">
      <c r="B734" s="281"/>
    </row>
    <row r="735" spans="2:2" x14ac:dyDescent="0.25">
      <c r="B735" s="281"/>
    </row>
    <row r="736" spans="2:2" x14ac:dyDescent="0.25">
      <c r="B736" s="281"/>
    </row>
    <row r="737" spans="2:2" x14ac:dyDescent="0.25">
      <c r="B737" s="281"/>
    </row>
    <row r="738" spans="2:2" x14ac:dyDescent="0.25">
      <c r="B738" s="281"/>
    </row>
    <row r="739" spans="2:2" x14ac:dyDescent="0.25">
      <c r="B739" s="281"/>
    </row>
    <row r="740" spans="2:2" x14ac:dyDescent="0.25">
      <c r="B740" s="281"/>
    </row>
    <row r="741" spans="2:2" x14ac:dyDescent="0.25">
      <c r="B741" s="281"/>
    </row>
    <row r="742" spans="2:2" x14ac:dyDescent="0.25">
      <c r="B742" s="281"/>
    </row>
    <row r="743" spans="2:2" x14ac:dyDescent="0.25">
      <c r="B743" s="281"/>
    </row>
    <row r="744" spans="2:2" x14ac:dyDescent="0.25">
      <c r="B744" s="281"/>
    </row>
    <row r="745" spans="2:2" x14ac:dyDescent="0.25">
      <c r="B745" s="281"/>
    </row>
    <row r="746" spans="2:2" x14ac:dyDescent="0.25">
      <c r="B746" s="281"/>
    </row>
    <row r="747" spans="2:2" x14ac:dyDescent="0.25">
      <c r="B747" s="281"/>
    </row>
    <row r="748" spans="2:2" x14ac:dyDescent="0.25">
      <c r="B748" s="281"/>
    </row>
    <row r="749" spans="2:2" x14ac:dyDescent="0.25">
      <c r="B749" s="281"/>
    </row>
    <row r="750" spans="2:2" x14ac:dyDescent="0.25">
      <c r="B750" s="281"/>
    </row>
    <row r="751" spans="2:2" x14ac:dyDescent="0.25">
      <c r="B751" s="281"/>
    </row>
    <row r="752" spans="2:2" x14ac:dyDescent="0.25">
      <c r="B752" s="281"/>
    </row>
    <row r="753" spans="2:2" x14ac:dyDescent="0.25">
      <c r="B753" s="281"/>
    </row>
    <row r="754" spans="2:2" x14ac:dyDescent="0.25">
      <c r="B754" s="281"/>
    </row>
    <row r="755" spans="2:2" x14ac:dyDescent="0.25">
      <c r="B755" s="281"/>
    </row>
    <row r="756" spans="2:2" x14ac:dyDescent="0.25">
      <c r="B756" s="281"/>
    </row>
    <row r="757" spans="2:2" x14ac:dyDescent="0.25">
      <c r="B757" s="281"/>
    </row>
    <row r="758" spans="2:2" x14ac:dyDescent="0.25">
      <c r="B758" s="281"/>
    </row>
    <row r="759" spans="2:2" x14ac:dyDescent="0.25">
      <c r="B759" s="281"/>
    </row>
    <row r="760" spans="2:2" x14ac:dyDescent="0.25">
      <c r="B760" s="281"/>
    </row>
    <row r="761" spans="2:2" x14ac:dyDescent="0.25">
      <c r="B761" s="281"/>
    </row>
    <row r="762" spans="2:2" x14ac:dyDescent="0.25">
      <c r="B762" s="281"/>
    </row>
    <row r="763" spans="2:2" x14ac:dyDescent="0.25">
      <c r="B763" s="281"/>
    </row>
    <row r="764" spans="2:2" x14ac:dyDescent="0.25">
      <c r="B764" s="281"/>
    </row>
    <row r="765" spans="2:2" x14ac:dyDescent="0.25">
      <c r="B765" s="281"/>
    </row>
    <row r="766" spans="2:2" x14ac:dyDescent="0.25">
      <c r="B766" s="281"/>
    </row>
    <row r="767" spans="2:2" x14ac:dyDescent="0.25">
      <c r="B767" s="281"/>
    </row>
    <row r="768" spans="2:2" x14ac:dyDescent="0.25">
      <c r="B768" s="281"/>
    </row>
    <row r="769" spans="2:2" x14ac:dyDescent="0.25">
      <c r="B769" s="281"/>
    </row>
    <row r="770" spans="2:2" x14ac:dyDescent="0.25">
      <c r="B770" s="281"/>
    </row>
    <row r="771" spans="2:2" x14ac:dyDescent="0.25">
      <c r="B771" s="281"/>
    </row>
    <row r="772" spans="2:2" x14ac:dyDescent="0.25">
      <c r="B772" s="281"/>
    </row>
    <row r="773" spans="2:2" x14ac:dyDescent="0.25">
      <c r="B773" s="281"/>
    </row>
    <row r="774" spans="2:2" x14ac:dyDescent="0.25">
      <c r="B774" s="281"/>
    </row>
    <row r="775" spans="2:2" x14ac:dyDescent="0.25">
      <c r="B775" s="281"/>
    </row>
    <row r="776" spans="2:2" x14ac:dyDescent="0.25">
      <c r="B776" s="281"/>
    </row>
    <row r="777" spans="2:2" x14ac:dyDescent="0.25">
      <c r="B777" s="281"/>
    </row>
    <row r="778" spans="2:2" x14ac:dyDescent="0.25">
      <c r="B778" s="281"/>
    </row>
    <row r="779" spans="2:2" x14ac:dyDescent="0.25">
      <c r="B779" s="281"/>
    </row>
    <row r="780" spans="2:2" x14ac:dyDescent="0.25">
      <c r="B780" s="281"/>
    </row>
    <row r="781" spans="2:2" x14ac:dyDescent="0.25">
      <c r="B781" s="281"/>
    </row>
    <row r="782" spans="2:2" x14ac:dyDescent="0.25">
      <c r="B782" s="281"/>
    </row>
    <row r="783" spans="2:2" x14ac:dyDescent="0.25">
      <c r="B783" s="281"/>
    </row>
    <row r="784" spans="2:2" x14ac:dyDescent="0.25">
      <c r="B784" s="281"/>
    </row>
    <row r="785" spans="2:2" x14ac:dyDescent="0.25">
      <c r="B785" s="281"/>
    </row>
    <row r="786" spans="2:2" x14ac:dyDescent="0.25">
      <c r="B786" s="281"/>
    </row>
    <row r="787" spans="2:2" x14ac:dyDescent="0.25">
      <c r="B787" s="281"/>
    </row>
    <row r="788" spans="2:2" x14ac:dyDescent="0.25">
      <c r="B788" s="281"/>
    </row>
    <row r="789" spans="2:2" x14ac:dyDescent="0.25">
      <c r="B789" s="281"/>
    </row>
    <row r="790" spans="2:2" x14ac:dyDescent="0.25">
      <c r="B790" s="281"/>
    </row>
    <row r="791" spans="2:2" x14ac:dyDescent="0.25">
      <c r="B791" s="281"/>
    </row>
  </sheetData>
  <mergeCells count="143">
    <mergeCell ref="B640:E640"/>
    <mergeCell ref="B641:E641"/>
    <mergeCell ref="B647:C647"/>
    <mergeCell ref="B655:E655"/>
    <mergeCell ref="B656:E656"/>
    <mergeCell ref="B600:C600"/>
    <mergeCell ref="B608:E608"/>
    <mergeCell ref="B622:C622"/>
    <mergeCell ref="B628:E628"/>
    <mergeCell ref="B635:C635"/>
    <mergeCell ref="B639:E639"/>
    <mergeCell ref="B555:C555"/>
    <mergeCell ref="B563:E563"/>
    <mergeCell ref="B570:C570"/>
    <mergeCell ref="B575:E575"/>
    <mergeCell ref="B587:C587"/>
    <mergeCell ref="B592:E592"/>
    <mergeCell ref="B508:C508"/>
    <mergeCell ref="B510:E510"/>
    <mergeCell ref="B511:E511"/>
    <mergeCell ref="B536:E536"/>
    <mergeCell ref="B540:E540"/>
    <mergeCell ref="B541:E541"/>
    <mergeCell ref="C485:D485"/>
    <mergeCell ref="B491:C491"/>
    <mergeCell ref="B496:E496"/>
    <mergeCell ref="B497:E497"/>
    <mergeCell ref="B498:E498"/>
    <mergeCell ref="C500:D500"/>
    <mergeCell ref="B463:E463"/>
    <mergeCell ref="B464:E464"/>
    <mergeCell ref="B473:C473"/>
    <mergeCell ref="B474:E474"/>
    <mergeCell ref="B482:E482"/>
    <mergeCell ref="B483:E483"/>
    <mergeCell ref="B432:E432"/>
    <mergeCell ref="B433:E433"/>
    <mergeCell ref="B440:C440"/>
    <mergeCell ref="B443:E443"/>
    <mergeCell ref="B444:E444"/>
    <mergeCell ref="B457:C457"/>
    <mergeCell ref="B404:C404"/>
    <mergeCell ref="B405:E405"/>
    <mergeCell ref="B408:E408"/>
    <mergeCell ref="B409:E409"/>
    <mergeCell ref="B415:C415"/>
    <mergeCell ref="B431:E431"/>
    <mergeCell ref="B384:C384"/>
    <mergeCell ref="B386:E386"/>
    <mergeCell ref="B393:E393"/>
    <mergeCell ref="B394:E394"/>
    <mergeCell ref="B395:E395"/>
    <mergeCell ref="B396:E396"/>
    <mergeCell ref="B255:E255"/>
    <mergeCell ref="B256:E256"/>
    <mergeCell ref="B257:E257"/>
    <mergeCell ref="B336:C336"/>
    <mergeCell ref="B376:E376"/>
    <mergeCell ref="B377:E377"/>
    <mergeCell ref="B212:C212"/>
    <mergeCell ref="B217:E217"/>
    <mergeCell ref="B218:E218"/>
    <mergeCell ref="B219:E219"/>
    <mergeCell ref="B238:C238"/>
    <mergeCell ref="B254:E254"/>
    <mergeCell ref="B162:E162"/>
    <mergeCell ref="B163:E163"/>
    <mergeCell ref="B170:C170"/>
    <mergeCell ref="B185:E185"/>
    <mergeCell ref="B201:E201"/>
    <mergeCell ref="B202:E202"/>
    <mergeCell ref="B149:E149"/>
    <mergeCell ref="B150:E150"/>
    <mergeCell ref="B156:C156"/>
    <mergeCell ref="B158:E158"/>
    <mergeCell ref="B160:E160"/>
    <mergeCell ref="B161:E161"/>
    <mergeCell ref="B129:C129"/>
    <mergeCell ref="B136:E136"/>
    <mergeCell ref="B137:E137"/>
    <mergeCell ref="B138:E138"/>
    <mergeCell ref="B145:C145"/>
    <mergeCell ref="B148:E148"/>
    <mergeCell ref="B111:E111"/>
    <mergeCell ref="B112:E112"/>
    <mergeCell ref="B113:E113"/>
    <mergeCell ref="B114:E114"/>
    <mergeCell ref="B115:E115"/>
    <mergeCell ref="B116:E116"/>
    <mergeCell ref="B105:E105"/>
    <mergeCell ref="B106:E106"/>
    <mergeCell ref="B107:E107"/>
    <mergeCell ref="B108:E108"/>
    <mergeCell ref="B109:E109"/>
    <mergeCell ref="B110:E110"/>
    <mergeCell ref="B94:E94"/>
    <mergeCell ref="B95:E95"/>
    <mergeCell ref="B96:E96"/>
    <mergeCell ref="B97:E97"/>
    <mergeCell ref="B98:E98"/>
    <mergeCell ref="B104:E104"/>
    <mergeCell ref="B88:E88"/>
    <mergeCell ref="B89:E89"/>
    <mergeCell ref="B90:E90"/>
    <mergeCell ref="B91:E91"/>
    <mergeCell ref="B92:E92"/>
    <mergeCell ref="B93:E93"/>
    <mergeCell ref="B82:E82"/>
    <mergeCell ref="B83:E83"/>
    <mergeCell ref="B84:E84"/>
    <mergeCell ref="B85:E85"/>
    <mergeCell ref="B86:E86"/>
    <mergeCell ref="B87:E87"/>
    <mergeCell ref="B73:E73"/>
    <mergeCell ref="B74:E74"/>
    <mergeCell ref="B75:E75"/>
    <mergeCell ref="B76:E76"/>
    <mergeCell ref="B78:E78"/>
    <mergeCell ref="B79:E79"/>
    <mergeCell ref="B67:E67"/>
    <mergeCell ref="B68:E68"/>
    <mergeCell ref="B69:E69"/>
    <mergeCell ref="B70:E70"/>
    <mergeCell ref="B71:E71"/>
    <mergeCell ref="B72:E72"/>
    <mergeCell ref="B60:E60"/>
    <mergeCell ref="B61:E61"/>
    <mergeCell ref="B62:E62"/>
    <mergeCell ref="B63:E63"/>
    <mergeCell ref="B64:E64"/>
    <mergeCell ref="B65:E65"/>
    <mergeCell ref="B47:E47"/>
    <mergeCell ref="B48:E48"/>
    <mergeCell ref="B49:E49"/>
    <mergeCell ref="B52:E52"/>
    <mergeCell ref="B53:E53"/>
    <mergeCell ref="B55:E55"/>
    <mergeCell ref="A4:E4"/>
    <mergeCell ref="B6:E6"/>
    <mergeCell ref="B10:E10"/>
    <mergeCell ref="B12:E12"/>
    <mergeCell ref="B14:E14"/>
    <mergeCell ref="B46:E46"/>
  </mergeCells>
  <conditionalFormatting sqref="D622:D624 D587 D555 D508 D473 D404 D384:D385 D336 D238:D239 D491 D156 D457 D145:D146 D570:D572 D440:D441 D387:D391 D129:D134 D170:D184 D415:D429">
    <cfRule type="expression" priority="2" stopIfTrue="1">
      <formula>"$E$165&gt;=1,¨Aumento¨"</formula>
    </cfRule>
  </conditionalFormatting>
  <conditionalFormatting sqref="D600">
    <cfRule type="expression" priority="1" stopIfTrue="1">
      <formula>"$E$165&gt;=1,¨Aumento¨"</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Hoja1!_Toc208202813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MORILLO</dc:creator>
  <cp:lastModifiedBy>PAULA MORILLO</cp:lastModifiedBy>
  <dcterms:created xsi:type="dcterms:W3CDTF">2025-06-10T14:37:33Z</dcterms:created>
  <dcterms:modified xsi:type="dcterms:W3CDTF">2025-06-10T14:38:30Z</dcterms:modified>
</cp:coreProperties>
</file>