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8675" windowHeight="11295"/>
  </bookViews>
  <sheets>
    <sheet name="Hoja1" sheetId="1" r:id="rId1"/>
  </sheets>
  <externalReferences>
    <externalReference r:id="rId2"/>
  </externalReferences>
  <definedNames>
    <definedName name="_Toc208202813" localSheetId="0">Hoja1!$B$111</definedName>
  </definedNames>
  <calcPr calcId="145621"/>
</workbook>
</file>

<file path=xl/calcChain.xml><?xml version="1.0" encoding="utf-8"?>
<calcChain xmlns="http://schemas.openxmlformats.org/spreadsheetml/2006/main">
  <c r="C575" i="1" l="1"/>
  <c r="D652" i="1" l="1"/>
  <c r="C652" i="1"/>
  <c r="D646" i="1"/>
  <c r="D645" i="1"/>
  <c r="D653" i="1" s="1"/>
  <c r="D628" i="1" s="1"/>
  <c r="D629" i="1" s="1"/>
  <c r="C645" i="1"/>
  <c r="C653" i="1" s="1"/>
  <c r="C628" i="1" s="1"/>
  <c r="D642" i="1"/>
  <c r="C642" i="1"/>
  <c r="B637" i="1"/>
  <c r="D627" i="1"/>
  <c r="C627" i="1"/>
  <c r="C629" i="1" s="1"/>
  <c r="B626" i="1"/>
  <c r="B638" i="1" s="1"/>
  <c r="B623" i="1"/>
  <c r="D615" i="1"/>
  <c r="C615" i="1"/>
  <c r="D614" i="1"/>
  <c r="C614" i="1"/>
  <c r="B613" i="1"/>
  <c r="B610" i="1"/>
  <c r="D601" i="1"/>
  <c r="C601" i="1"/>
  <c r="D600" i="1"/>
  <c r="C600" i="1"/>
  <c r="D599" i="1"/>
  <c r="C599" i="1"/>
  <c r="D598" i="1"/>
  <c r="C598" i="1"/>
  <c r="D597" i="1"/>
  <c r="C597" i="1"/>
  <c r="D596" i="1"/>
  <c r="C596" i="1"/>
  <c r="D595" i="1"/>
  <c r="C595" i="1"/>
  <c r="D594" i="1"/>
  <c r="C594" i="1"/>
  <c r="D593" i="1"/>
  <c r="C593" i="1"/>
  <c r="D592" i="1"/>
  <c r="D613" i="1" s="1"/>
  <c r="D626" i="1" s="1"/>
  <c r="D638" i="1" s="1"/>
  <c r="C592" i="1"/>
  <c r="C613" i="1" s="1"/>
  <c r="C626" i="1" s="1"/>
  <c r="C638" i="1" s="1"/>
  <c r="B590" i="1"/>
  <c r="D575" i="1"/>
  <c r="D574" i="1"/>
  <c r="C574" i="1"/>
  <c r="B572" i="1"/>
  <c r="D564" i="1"/>
  <c r="C564" i="1"/>
  <c r="D563" i="1"/>
  <c r="C563" i="1"/>
  <c r="D562" i="1"/>
  <c r="C562" i="1"/>
  <c r="D561" i="1"/>
  <c r="C561" i="1"/>
  <c r="D560" i="1"/>
  <c r="C560" i="1"/>
  <c r="D559" i="1"/>
  <c r="C559" i="1"/>
  <c r="D558" i="1"/>
  <c r="C558" i="1"/>
  <c r="D557" i="1"/>
  <c r="D544" i="1" s="1"/>
  <c r="C557" i="1"/>
  <c r="B555" i="1"/>
  <c r="D545" i="1"/>
  <c r="D547" i="1" s="1"/>
  <c r="C545" i="1"/>
  <c r="C547" i="1" s="1"/>
  <c r="C548" i="1" s="1"/>
  <c r="C544" i="1"/>
  <c r="B542" i="1"/>
  <c r="D524" i="1"/>
  <c r="C524" i="1"/>
  <c r="D523" i="1"/>
  <c r="C523" i="1"/>
  <c r="D522" i="1"/>
  <c r="C522" i="1"/>
  <c r="D521" i="1"/>
  <c r="C521" i="1"/>
  <c r="D520" i="1"/>
  <c r="C520" i="1"/>
  <c r="D519" i="1"/>
  <c r="C519" i="1"/>
  <c r="D518" i="1"/>
  <c r="C518" i="1"/>
  <c r="D517" i="1"/>
  <c r="C517" i="1"/>
  <c r="D516" i="1"/>
  <c r="C516" i="1"/>
  <c r="J515" i="1"/>
  <c r="D515" i="1"/>
  <c r="C515" i="1"/>
  <c r="L514" i="1"/>
  <c r="L516" i="1" s="1"/>
  <c r="K514" i="1"/>
  <c r="D514" i="1"/>
  <c r="C514" i="1"/>
  <c r="B514" i="1"/>
  <c r="L513" i="1"/>
  <c r="L512" i="1"/>
  <c r="K512" i="1"/>
  <c r="B512" i="1"/>
  <c r="K511" i="1"/>
  <c r="K510"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E498" i="1"/>
  <c r="D498" i="1"/>
  <c r="C498" i="1"/>
  <c r="E497" i="1"/>
  <c r="D497" i="1"/>
  <c r="C497" i="1"/>
  <c r="E496" i="1"/>
  <c r="D496" i="1"/>
  <c r="C496" i="1"/>
  <c r="S489" i="1"/>
  <c r="V489" i="1" s="1"/>
  <c r="S488" i="1"/>
  <c r="V488" i="1" s="1"/>
  <c r="S487" i="1"/>
  <c r="W487" i="1" s="1"/>
  <c r="S486" i="1"/>
  <c r="V486" i="1" s="1"/>
  <c r="N480" i="1"/>
  <c r="N482" i="1" s="1"/>
  <c r="D480" i="1"/>
  <c r="V485" i="1" s="1"/>
  <c r="C480" i="1"/>
  <c r="V480" i="1" s="1"/>
  <c r="D479" i="1"/>
  <c r="T484" i="1" s="1"/>
  <c r="C479" i="1"/>
  <c r="S479" i="1" s="1"/>
  <c r="D478" i="1"/>
  <c r="U483" i="1" s="1"/>
  <c r="C478" i="1"/>
  <c r="S478" i="1" s="1"/>
  <c r="D477" i="1"/>
  <c r="C477" i="1"/>
  <c r="B476" i="1"/>
  <c r="B473" i="1"/>
  <c r="D464" i="1"/>
  <c r="D466" i="1" s="1"/>
  <c r="T467" i="1" s="1"/>
  <c r="C464" i="1"/>
  <c r="C466" i="1" s="1"/>
  <c r="V466" i="1" s="1"/>
  <c r="B459" i="1"/>
  <c r="AA445" i="1"/>
  <c r="X445" i="1"/>
  <c r="AA444" i="1"/>
  <c r="D443" i="1"/>
  <c r="D444" i="1" s="1"/>
  <c r="V445" i="1" s="1"/>
  <c r="C443" i="1"/>
  <c r="C442" i="1"/>
  <c r="E442" i="1" s="1"/>
  <c r="C441" i="1"/>
  <c r="E441" i="1" s="1"/>
  <c r="E440" i="1"/>
  <c r="D439" i="1"/>
  <c r="B436" i="1"/>
  <c r="AA426" i="1"/>
  <c r="Y426" i="1"/>
  <c r="X426" i="1"/>
  <c r="W426" i="1"/>
  <c r="AA425" i="1"/>
  <c r="D424" i="1"/>
  <c r="C424" i="1"/>
  <c r="D423" i="1"/>
  <c r="C423" i="1"/>
  <c r="D422" i="1"/>
  <c r="C422" i="1"/>
  <c r="D421" i="1"/>
  <c r="C421" i="1"/>
  <c r="D420" i="1"/>
  <c r="C420" i="1"/>
  <c r="D419" i="1"/>
  <c r="C419" i="1"/>
  <c r="D418" i="1"/>
  <c r="C418" i="1"/>
  <c r="B413" i="1"/>
  <c r="D400" i="1"/>
  <c r="C400" i="1"/>
  <c r="D399" i="1"/>
  <c r="C399" i="1"/>
  <c r="B395" i="1"/>
  <c r="D388" i="1"/>
  <c r="D389" i="1" s="1"/>
  <c r="C388" i="1"/>
  <c r="D377" i="1"/>
  <c r="C377" i="1"/>
  <c r="E376" i="1"/>
  <c r="D375" i="1"/>
  <c r="C375" i="1"/>
  <c r="D374" i="1"/>
  <c r="C374" i="1"/>
  <c r="B370" i="1"/>
  <c r="D362" i="1"/>
  <c r="D576" i="1" s="1"/>
  <c r="C362" i="1"/>
  <c r="D361" i="1"/>
  <c r="C361" i="1"/>
  <c r="D360" i="1"/>
  <c r="D163" i="1" s="1"/>
  <c r="D179" i="1" s="1"/>
  <c r="C360" i="1"/>
  <c r="C163" i="1" s="1"/>
  <c r="C179" i="1" s="1"/>
  <c r="B357" i="1"/>
  <c r="E311" i="1"/>
  <c r="D311" i="1"/>
  <c r="C311" i="1"/>
  <c r="D309" i="1"/>
  <c r="C309" i="1"/>
  <c r="E308" i="1"/>
  <c r="D307" i="1"/>
  <c r="C307" i="1"/>
  <c r="E306" i="1"/>
  <c r="E305" i="1"/>
  <c r="E304" i="1"/>
  <c r="E301" i="1"/>
  <c r="D300" i="1"/>
  <c r="D302" i="1" s="1"/>
  <c r="C300" i="1"/>
  <c r="C302" i="1" s="1"/>
  <c r="E299" i="1"/>
  <c r="E300" i="1" s="1"/>
  <c r="E302" i="1" s="1"/>
  <c r="E298" i="1"/>
  <c r="E296" i="1"/>
  <c r="F295" i="1"/>
  <c r="C293" i="1"/>
  <c r="B293" i="1"/>
  <c r="C292" i="1"/>
  <c r="D290" i="1"/>
  <c r="C290" i="1"/>
  <c r="D289" i="1"/>
  <c r="C289" i="1"/>
  <c r="E284" i="1"/>
  <c r="D283" i="1"/>
  <c r="C283" i="1"/>
  <c r="D282" i="1"/>
  <c r="C282" i="1"/>
  <c r="D280" i="1"/>
  <c r="E279" i="1"/>
  <c r="D278" i="1"/>
  <c r="C278" i="1"/>
  <c r="C280" i="1" s="1"/>
  <c r="E277" i="1"/>
  <c r="E276" i="1"/>
  <c r="E278" i="1" s="1"/>
  <c r="E280" i="1" s="1"/>
  <c r="E275" i="1"/>
  <c r="C271" i="1"/>
  <c r="C270" i="1"/>
  <c r="E269" i="1"/>
  <c r="D268" i="1"/>
  <c r="C268" i="1" s="1"/>
  <c r="E264" i="1"/>
  <c r="C262" i="1"/>
  <c r="B262" i="1"/>
  <c r="B271" i="1" s="1"/>
  <c r="B286" i="1" s="1"/>
  <c r="E260" i="1"/>
  <c r="D259" i="1"/>
  <c r="D258" i="1" s="1"/>
  <c r="D263" i="1" s="1"/>
  <c r="D265" i="1" s="1"/>
  <c r="B259" i="1"/>
  <c r="B268" i="1" s="1"/>
  <c r="B283" i="1" s="1"/>
  <c r="B290" i="1" s="1"/>
  <c r="C258" i="1"/>
  <c r="C263" i="1" s="1"/>
  <c r="C265" i="1" s="1"/>
  <c r="E255" i="1"/>
  <c r="C253" i="1"/>
  <c r="B253" i="1"/>
  <c r="C252" i="1"/>
  <c r="B252" i="1"/>
  <c r="B261" i="1" s="1"/>
  <c r="B270" i="1" s="1"/>
  <c r="B285" i="1" s="1"/>
  <c r="B292" i="1" s="1"/>
  <c r="E251" i="1"/>
  <c r="B251" i="1"/>
  <c r="B260" i="1" s="1"/>
  <c r="B269" i="1" s="1"/>
  <c r="B284" i="1" s="1"/>
  <c r="B291" i="1" s="1"/>
  <c r="D250" i="1"/>
  <c r="E250" i="1" s="1"/>
  <c r="B250" i="1"/>
  <c r="D249" i="1"/>
  <c r="C249" i="1"/>
  <c r="B249" i="1"/>
  <c r="B258" i="1" s="1"/>
  <c r="B267" i="1" s="1"/>
  <c r="B282" i="1" s="1"/>
  <c r="B289" i="1" s="1"/>
  <c r="E246" i="1"/>
  <c r="C244" i="1"/>
  <c r="C243" i="1"/>
  <c r="E242" i="1"/>
  <c r="D240" i="1"/>
  <c r="D245" i="1" s="1"/>
  <c r="D247" i="1" s="1"/>
  <c r="D237" i="1"/>
  <c r="C237" i="1"/>
  <c r="B236" i="1"/>
  <c r="B233" i="1"/>
  <c r="E208" i="1"/>
  <c r="E204" i="1"/>
  <c r="E202" i="1"/>
  <c r="E201" i="1"/>
  <c r="E200" i="1"/>
  <c r="E199" i="1"/>
  <c r="E198" i="1"/>
  <c r="E197" i="1"/>
  <c r="E196" i="1"/>
  <c r="E205" i="1" s="1"/>
  <c r="B192" i="1"/>
  <c r="D184" i="1"/>
  <c r="D185" i="1" s="1"/>
  <c r="C184" i="1"/>
  <c r="D182" i="1"/>
  <c r="C182" i="1"/>
  <c r="D181" i="1"/>
  <c r="B176" i="1"/>
  <c r="D165" i="1"/>
  <c r="C165" i="1"/>
  <c r="D164" i="1"/>
  <c r="C164" i="1"/>
  <c r="B160" i="1"/>
  <c r="W153" i="1"/>
  <c r="D151" i="1"/>
  <c r="D152" i="1" s="1"/>
  <c r="U153" i="1" s="1"/>
  <c r="C151" i="1"/>
  <c r="D149" i="1"/>
  <c r="D207" i="1" s="1"/>
  <c r="C149" i="1"/>
  <c r="C207" i="1" s="1"/>
  <c r="B146" i="1"/>
  <c r="D139" i="1"/>
  <c r="D140" i="1" s="1"/>
  <c r="S141" i="1" s="1"/>
  <c r="C139" i="1"/>
  <c r="T140" i="1" s="1"/>
  <c r="D138" i="1"/>
  <c r="C138" i="1"/>
  <c r="D137" i="1"/>
  <c r="C137" i="1"/>
  <c r="C463" i="1" s="1"/>
  <c r="B134" i="1"/>
  <c r="B384" i="1" s="1"/>
  <c r="X125" i="1"/>
  <c r="D123" i="1"/>
  <c r="C123" i="1"/>
  <c r="D122" i="1"/>
  <c r="C122" i="1"/>
  <c r="D121" i="1"/>
  <c r="C121" i="1"/>
  <c r="D120" i="1"/>
  <c r="C120" i="1"/>
  <c r="D119" i="1"/>
  <c r="C119" i="1"/>
  <c r="D118" i="1"/>
  <c r="C118" i="1"/>
  <c r="D117" i="1"/>
  <c r="C117" i="1"/>
  <c r="D116" i="1"/>
  <c r="C116" i="1"/>
  <c r="D115" i="1"/>
  <c r="C115" i="1"/>
  <c r="B112" i="1"/>
  <c r="B14" i="1"/>
  <c r="E515" i="1" l="1"/>
  <c r="E464" i="1"/>
  <c r="E466" i="1" s="1"/>
  <c r="E468" i="1" s="1"/>
  <c r="D468" i="1" s="1"/>
  <c r="E151" i="1"/>
  <c r="T480" i="1"/>
  <c r="D378" i="1"/>
  <c r="V379" i="1" s="1"/>
  <c r="T487" i="1"/>
  <c r="E423" i="1"/>
  <c r="U140" i="1"/>
  <c r="C150" i="1"/>
  <c r="C152" i="1" s="1"/>
  <c r="C240" i="1"/>
  <c r="E240" i="1" s="1"/>
  <c r="C241" i="1" s="1"/>
  <c r="E241" i="1" s="1"/>
  <c r="E399" i="1"/>
  <c r="T486" i="1"/>
  <c r="E516" i="1"/>
  <c r="E547" i="1"/>
  <c r="E549" i="1" s="1"/>
  <c r="D549" i="1" s="1"/>
  <c r="E560" i="1"/>
  <c r="E594" i="1"/>
  <c r="E600" i="1"/>
  <c r="E119" i="1"/>
  <c r="E121" i="1"/>
  <c r="E289" i="1"/>
  <c r="E517" i="1"/>
  <c r="C140" i="1"/>
  <c r="S140" i="1" s="1"/>
  <c r="R140" i="1" s="1"/>
  <c r="C254" i="1"/>
  <c r="C256" i="1" s="1"/>
  <c r="E559" i="1"/>
  <c r="E122" i="1"/>
  <c r="E138" i="1"/>
  <c r="E182" i="1"/>
  <c r="E421" i="1"/>
  <c r="E443" i="1"/>
  <c r="E518" i="1"/>
  <c r="E522" i="1"/>
  <c r="C425" i="1"/>
  <c r="U425" i="1" s="1"/>
  <c r="T478" i="1"/>
  <c r="T479" i="1"/>
  <c r="U486" i="1"/>
  <c r="U487" i="1"/>
  <c r="D508" i="1"/>
  <c r="E598" i="1"/>
  <c r="E615" i="1"/>
  <c r="C124" i="1"/>
  <c r="V124" i="1" s="1"/>
  <c r="E259" i="1"/>
  <c r="C287" i="1"/>
  <c r="E290" i="1"/>
  <c r="E377" i="1"/>
  <c r="D425" i="1"/>
  <c r="V426" i="1" s="1"/>
  <c r="E420" i="1"/>
  <c r="E424" i="1"/>
  <c r="C439" i="1"/>
  <c r="U445" i="1"/>
  <c r="V478" i="1"/>
  <c r="U480" i="1"/>
  <c r="E521" i="1"/>
  <c r="E563" i="1"/>
  <c r="E595" i="1"/>
  <c r="E597" i="1"/>
  <c r="E599" i="1"/>
  <c r="T425" i="1"/>
  <c r="D578" i="1"/>
  <c r="E117" i="1"/>
  <c r="V153" i="1"/>
  <c r="E361" i="1"/>
  <c r="E363" i="1" s="1"/>
  <c r="E419" i="1"/>
  <c r="E118" i="1"/>
  <c r="D180" i="1"/>
  <c r="E180" i="1" s="1"/>
  <c r="E283" i="1"/>
  <c r="D294" i="1"/>
  <c r="C363" i="1"/>
  <c r="V363" i="1" s="1"/>
  <c r="U478" i="1"/>
  <c r="E479" i="1"/>
  <c r="S480" i="1"/>
  <c r="R480" i="1" s="1"/>
  <c r="D481" i="1"/>
  <c r="T482" i="1" s="1"/>
  <c r="V484" i="1"/>
  <c r="C508" i="1"/>
  <c r="C525" i="1"/>
  <c r="C526" i="1" s="1"/>
  <c r="E524" i="1"/>
  <c r="E562" i="1"/>
  <c r="E564" i="1"/>
  <c r="E596" i="1"/>
  <c r="E601" i="1"/>
  <c r="E444" i="1"/>
  <c r="E446" i="1" s="1"/>
  <c r="D446" i="1" s="1"/>
  <c r="S483" i="1"/>
  <c r="S485" i="1"/>
  <c r="E282" i="1"/>
  <c r="E362" i="1"/>
  <c r="E400" i="1"/>
  <c r="E402" i="1" s="1"/>
  <c r="E422" i="1"/>
  <c r="E478" i="1"/>
  <c r="U479" i="1"/>
  <c r="E480" i="1"/>
  <c r="V483" i="1"/>
  <c r="T485" i="1"/>
  <c r="T489" i="1"/>
  <c r="D166" i="1"/>
  <c r="T167" i="1" s="1"/>
  <c r="D254" i="1"/>
  <c r="D256" i="1" s="1"/>
  <c r="C294" i="1"/>
  <c r="C378" i="1"/>
  <c r="T378" i="1" s="1"/>
  <c r="V479" i="1"/>
  <c r="C481" i="1"/>
  <c r="S481" i="1" s="1"/>
  <c r="U484" i="1"/>
  <c r="S490" i="1"/>
  <c r="V490" i="1" s="1"/>
  <c r="U489" i="1"/>
  <c r="E520" i="1"/>
  <c r="E558" i="1"/>
  <c r="T141" i="1"/>
  <c r="E150" i="1"/>
  <c r="E152" i="1" s="1"/>
  <c r="E154" i="1" s="1"/>
  <c r="D154" i="1" s="1"/>
  <c r="C166" i="1"/>
  <c r="E164" i="1"/>
  <c r="C185" i="1"/>
  <c r="C181" i="1"/>
  <c r="E181" i="1" s="1"/>
  <c r="E184" i="1"/>
  <c r="C209" i="1"/>
  <c r="E206" i="1"/>
  <c r="D209" i="1"/>
  <c r="D210" i="1" s="1"/>
  <c r="D124" i="1"/>
  <c r="E116" i="1"/>
  <c r="E120" i="1"/>
  <c r="U186" i="1"/>
  <c r="T186" i="1"/>
  <c r="S186" i="1"/>
  <c r="AB426" i="1"/>
  <c r="U124" i="1"/>
  <c r="C125" i="1"/>
  <c r="Y125" i="1" s="1"/>
  <c r="T124" i="1"/>
  <c r="W124" i="1"/>
  <c r="E165" i="1"/>
  <c r="C267" i="1"/>
  <c r="E268" i="1"/>
  <c r="C389" i="1"/>
  <c r="E388" i="1"/>
  <c r="E389" i="1" s="1"/>
  <c r="E391" i="1" s="1"/>
  <c r="D391" i="1" s="1"/>
  <c r="V629" i="1"/>
  <c r="U629" i="1"/>
  <c r="S629" i="1"/>
  <c r="U630" i="1"/>
  <c r="T630" i="1"/>
  <c r="V630" i="1"/>
  <c r="S630" i="1"/>
  <c r="E139" i="1"/>
  <c r="E140" i="1" s="1"/>
  <c r="C141" i="1"/>
  <c r="S153" i="1"/>
  <c r="D267" i="1"/>
  <c r="D272" i="1" s="1"/>
  <c r="D274" i="1" s="1"/>
  <c r="D363" i="1"/>
  <c r="E375" i="1"/>
  <c r="E378" i="1" s="1"/>
  <c r="C402" i="1"/>
  <c r="C429" i="1" s="1"/>
  <c r="D565" i="1"/>
  <c r="C616" i="1"/>
  <c r="C617" i="1" s="1"/>
  <c r="E614" i="1"/>
  <c r="E616" i="1" s="1"/>
  <c r="E258" i="1"/>
  <c r="E263" i="1" s="1"/>
  <c r="E265" i="1" s="1"/>
  <c r="T153" i="1"/>
  <c r="E245" i="1"/>
  <c r="E247" i="1" s="1"/>
  <c r="V425" i="1"/>
  <c r="AB425" i="1"/>
  <c r="C602" i="1"/>
  <c r="C603" i="1" s="1"/>
  <c r="E593" i="1"/>
  <c r="T629" i="1"/>
  <c r="D398" i="1"/>
  <c r="D417" i="1" s="1"/>
  <c r="D387" i="1"/>
  <c r="D463" i="1"/>
  <c r="E249" i="1"/>
  <c r="E254" i="1" s="1"/>
  <c r="E256" i="1" s="1"/>
  <c r="C387" i="1"/>
  <c r="C398" i="1"/>
  <c r="E418" i="1"/>
  <c r="E576" i="1"/>
  <c r="E628" i="1"/>
  <c r="D287" i="1"/>
  <c r="D295" i="1" s="1"/>
  <c r="E307" i="1"/>
  <c r="E309" i="1" s="1"/>
  <c r="D402" i="1"/>
  <c r="S467" i="1"/>
  <c r="V467" i="1"/>
  <c r="S466" i="1"/>
  <c r="U467" i="1"/>
  <c r="W488" i="1"/>
  <c r="E508" i="1"/>
  <c r="D525" i="1"/>
  <c r="E519" i="1"/>
  <c r="E561" i="1"/>
  <c r="D602" i="1"/>
  <c r="D616" i="1"/>
  <c r="C444" i="1"/>
  <c r="T445" i="1"/>
  <c r="S445" i="1"/>
  <c r="E575" i="1"/>
  <c r="U466" i="1"/>
  <c r="T466" i="1"/>
  <c r="C467" i="1"/>
  <c r="U488" i="1"/>
  <c r="T488" i="1"/>
  <c r="E523" i="1"/>
  <c r="E545" i="1"/>
  <c r="C565" i="1"/>
  <c r="C566" i="1" s="1"/>
  <c r="E627" i="1"/>
  <c r="E629" i="1" s="1"/>
  <c r="E631" i="1" s="1"/>
  <c r="D631" i="1" s="1"/>
  <c r="V481" i="1"/>
  <c r="T483" i="1"/>
  <c r="S484" i="1"/>
  <c r="U485" i="1"/>
  <c r="V487" i="1"/>
  <c r="R487" i="1" s="1"/>
  <c r="S167" i="1" l="1"/>
  <c r="U167" i="1"/>
  <c r="R479" i="1"/>
  <c r="R478" i="1"/>
  <c r="C245" i="1"/>
  <c r="C247" i="1" s="1"/>
  <c r="C295" i="1"/>
  <c r="C297" i="1" s="1"/>
  <c r="U379" i="1"/>
  <c r="U426" i="1"/>
  <c r="S379" i="1"/>
  <c r="T379" i="1"/>
  <c r="E380" i="1"/>
  <c r="D380" i="1" s="1"/>
  <c r="T426" i="1"/>
  <c r="R426" i="1" s="1"/>
  <c r="E294" i="1"/>
  <c r="R486" i="1"/>
  <c r="U378" i="1"/>
  <c r="E287" i="1"/>
  <c r="E565" i="1"/>
  <c r="E567" i="1" s="1"/>
  <c r="D567" i="1" s="1"/>
  <c r="T490" i="1"/>
  <c r="R488" i="1"/>
  <c r="E525" i="1"/>
  <c r="S482" i="1"/>
  <c r="S363" i="1"/>
  <c r="R484" i="1"/>
  <c r="E527" i="1"/>
  <c r="D527" i="1" s="1"/>
  <c r="T363" i="1"/>
  <c r="V167" i="1"/>
  <c r="R489" i="1"/>
  <c r="R483" i="1"/>
  <c r="U363" i="1"/>
  <c r="C426" i="1"/>
  <c r="U490" i="1"/>
  <c r="C482" i="1"/>
  <c r="U481" i="1"/>
  <c r="T481" i="1"/>
  <c r="R485" i="1"/>
  <c r="E425" i="1"/>
  <c r="E602" i="1"/>
  <c r="E604" i="1" s="1"/>
  <c r="D604" i="1" s="1"/>
  <c r="R124" i="1"/>
  <c r="E124" i="1"/>
  <c r="E481" i="1"/>
  <c r="E483" i="1" s="1"/>
  <c r="D483" i="1" s="1"/>
  <c r="E166" i="1"/>
  <c r="E168" i="1" s="1"/>
  <c r="D168" i="1" s="1"/>
  <c r="V378" i="1"/>
  <c r="S378" i="1"/>
  <c r="R425" i="1"/>
  <c r="U482" i="1"/>
  <c r="V482" i="1"/>
  <c r="C578" i="1"/>
  <c r="C579" i="1" s="1"/>
  <c r="R153" i="1"/>
  <c r="S403" i="1"/>
  <c r="T403" i="1"/>
  <c r="U403" i="1"/>
  <c r="E429" i="1"/>
  <c r="E427" i="1"/>
  <c r="D427" i="1" s="1"/>
  <c r="C272" i="1"/>
  <c r="C274" i="1" s="1"/>
  <c r="C312" i="1" s="1"/>
  <c r="E267" i="1"/>
  <c r="E272" i="1" s="1"/>
  <c r="E274" i="1" s="1"/>
  <c r="D312" i="1"/>
  <c r="D297" i="1"/>
  <c r="D310" i="1" s="1"/>
  <c r="E209" i="1"/>
  <c r="E210" i="1" s="1"/>
  <c r="E212" i="1" s="1"/>
  <c r="D212" i="1" s="1"/>
  <c r="C210" i="1"/>
  <c r="R445" i="1"/>
  <c r="R466" i="1"/>
  <c r="C417" i="1"/>
  <c r="E142" i="1"/>
  <c r="D142" i="1" s="1"/>
  <c r="U141" i="1"/>
  <c r="R141" i="1" s="1"/>
  <c r="B135" i="1" s="1"/>
  <c r="E404" i="1"/>
  <c r="D404" i="1" s="1"/>
  <c r="R186" i="1"/>
  <c r="V166" i="1"/>
  <c r="U166" i="1"/>
  <c r="T166" i="1"/>
  <c r="S166" i="1"/>
  <c r="C167" i="1"/>
  <c r="R167" i="1"/>
  <c r="B385" i="1"/>
  <c r="T364" i="1"/>
  <c r="U364" i="1"/>
  <c r="S364" i="1"/>
  <c r="E126" i="1"/>
  <c r="D126" i="1" s="1"/>
  <c r="S211" i="1"/>
  <c r="U211" i="1"/>
  <c r="V211" i="1"/>
  <c r="T211" i="1"/>
  <c r="D211" i="1"/>
  <c r="E365" i="1"/>
  <c r="E578" i="1"/>
  <c r="E580" i="1" s="1"/>
  <c r="D580" i="1" s="1"/>
  <c r="T444" i="1"/>
  <c r="W444" i="1"/>
  <c r="S444" i="1"/>
  <c r="U444" i="1"/>
  <c r="C445" i="1"/>
  <c r="V444" i="1"/>
  <c r="R467" i="1"/>
  <c r="E618" i="1"/>
  <c r="D618" i="1" s="1"/>
  <c r="U402" i="1"/>
  <c r="T402" i="1"/>
  <c r="C403" i="1"/>
  <c r="V402" i="1"/>
  <c r="R630" i="1"/>
  <c r="R629" i="1"/>
  <c r="B624" i="1" s="1"/>
  <c r="D429" i="1"/>
  <c r="W125" i="1"/>
  <c r="V125" i="1"/>
  <c r="U125" i="1"/>
  <c r="T125" i="1"/>
  <c r="C186" i="1"/>
  <c r="S185" i="1"/>
  <c r="U185" i="1"/>
  <c r="V185" i="1"/>
  <c r="T185" i="1"/>
  <c r="E185" i="1"/>
  <c r="E187" i="1" s="1"/>
  <c r="D187" i="1" s="1"/>
  <c r="U152" i="1"/>
  <c r="T152" i="1"/>
  <c r="S152" i="1"/>
  <c r="R363" i="1" l="1"/>
  <c r="E295" i="1"/>
  <c r="E297" i="1" s="1"/>
  <c r="E310" i="1" s="1"/>
  <c r="E312" i="1" s="1"/>
  <c r="E314" i="1" s="1"/>
  <c r="D314" i="1" s="1"/>
  <c r="R379" i="1"/>
  <c r="R481" i="1"/>
  <c r="R482" i="1"/>
  <c r="R378" i="1"/>
  <c r="R490" i="1"/>
  <c r="B485" i="1" s="1"/>
  <c r="B486" i="1"/>
  <c r="B474" i="1"/>
  <c r="R364" i="1"/>
  <c r="B358" i="1" s="1"/>
  <c r="R125" i="1"/>
  <c r="B113" i="1" s="1"/>
  <c r="R166" i="1"/>
  <c r="B161" i="1" s="1"/>
  <c r="B414" i="1"/>
  <c r="B460" i="1"/>
  <c r="R402" i="1"/>
  <c r="R444" i="1"/>
  <c r="B437" i="1" s="1"/>
  <c r="C310" i="1"/>
  <c r="R185" i="1"/>
  <c r="B177" i="1" s="1"/>
  <c r="R211" i="1"/>
  <c r="R403" i="1"/>
  <c r="R152" i="1"/>
  <c r="B147" i="1" s="1"/>
  <c r="V210" i="1"/>
  <c r="C211" i="1"/>
  <c r="S210" i="1"/>
  <c r="U210" i="1"/>
  <c r="T210" i="1"/>
  <c r="E431" i="1"/>
  <c r="D431" i="1" s="1"/>
  <c r="B371" i="1" l="1"/>
  <c r="B396" i="1"/>
  <c r="R210" i="1"/>
  <c r="B193" i="1" s="1"/>
</calcChain>
</file>

<file path=xl/sharedStrings.xml><?xml version="1.0" encoding="utf-8"?>
<sst xmlns="http://schemas.openxmlformats.org/spreadsheetml/2006/main" count="413" uniqueCount="344">
  <si>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</si>
  <si>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</si>
  <si>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</si>
  <si>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</si>
  <si>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</si>
  <si>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</si>
  <si>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</si>
  <si>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</si>
  <si>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</si>
  <si>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Grullon</t>
  </si>
  <si>
    <t>Directora Administrativa Financiera</t>
  </si>
  <si>
    <t>Heidy Mariel  Colon  Estévez de Jiménez</t>
  </si>
  <si>
    <t>Directora Recursos Humanos</t>
  </si>
  <si>
    <t>Julio  Henríquez Tejada</t>
  </si>
  <si>
    <t xml:space="preserve">Director Gerencia Técnica </t>
  </si>
  <si>
    <t xml:space="preserve">José Gregorio Henríquez </t>
  </si>
  <si>
    <t>Director Comercial</t>
  </si>
  <si>
    <t>Joel Andrés Bautista Gómez</t>
  </si>
  <si>
    <t>Jurídico</t>
  </si>
  <si>
    <t>Stephany Almonte</t>
  </si>
  <si>
    <t>Enc. Dpto. Administrativa</t>
  </si>
  <si>
    <t>Nilo Cipriano Tavarez Santiago</t>
  </si>
  <si>
    <t>Enc. de Tecnología</t>
  </si>
  <si>
    <t>Gullermina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</si>
  <si>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</si>
  <si>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</si>
  <si>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</si>
  <si>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</si>
  <si>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</si>
  <si>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</si>
  <si>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</si>
  <si>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</si>
  <si>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</si>
  <si>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Ely Saúl Espinal Reyes</t>
  </si>
  <si>
    <t>Enc. Planta La Dura</t>
  </si>
  <si>
    <t>Altagracia Almonte</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</si>
  <si>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</si>
  <si>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</si>
  <si>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</si>
  <si>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</si>
  <si>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</si>
  <si>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31 de diciembre de 2022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</si>
  <si>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</si>
  <si>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</si>
  <si>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</si>
  <si>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</si>
  <si>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</si>
  <si>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</si>
  <si>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</si>
  <si>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</si>
  <si>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</si>
  <si>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</si>
  <si>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2022 y 31de diciembre 2021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</si>
  <si>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</si>
  <si>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</si>
  <si>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</si>
  <si>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</si>
  <si>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</si>
  <si>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</si>
  <si>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</si>
  <si>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</si>
  <si>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</si>
  <si>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</si>
  <si>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</si>
  <si>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</si>
  <si>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</si>
  <si>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</si>
  <si>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</si>
  <si>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</si>
  <si>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</si>
  <si>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</si>
  <si>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</si>
  <si>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</si>
  <si>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</si>
  <si>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</si>
  <si>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</si>
  <si>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</si>
  <si>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</si>
  <si>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</si>
  <si>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</si>
  <si>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</si>
  <si>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</si>
  <si>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</si>
  <si>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</si>
  <si>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</si>
  <si>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</si>
  <si>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</si>
  <si>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</si>
  <si>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</si>
  <si>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</si>
  <si>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</si>
  <si>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</si>
  <si>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</si>
  <si>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</si>
  <si>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</si>
  <si>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</si>
  <si>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</si>
  <si>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</si>
  <si>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</si>
  <si>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</si>
  <si>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</si>
  <si>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</si>
  <si>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</si>
  <si>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Cambio porcentual con relación al 2022</t>
  </si>
  <si>
    <t xml:space="preserve"> Nota #8</t>
  </si>
  <si>
    <t>Inversiones a corto plazo</t>
  </si>
  <si>
    <t>Inventarios de Mercancías</t>
  </si>
  <si>
    <t>Deposito a plazo fijo</t>
  </si>
  <si>
    <t>Total Inversiones a corto plazo</t>
  </si>
  <si>
    <t>Nota #9</t>
  </si>
  <si>
    <t>Cuentas por cobrar a corto plazo</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</si>
  <si>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</si>
  <si>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</si>
  <si>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</si>
  <si>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</si>
  <si>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</si>
  <si>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</si>
  <si>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</si>
  <si>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</si>
  <si>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</si>
  <si>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</si>
  <si>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</si>
  <si>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</si>
  <si>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</si>
  <si>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</si>
  <si>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</si>
  <si>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</si>
  <si>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</si>
  <si>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</si>
  <si>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</si>
  <si>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</si>
  <si>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</si>
  <si>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</si>
  <si>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</si>
  <si>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</si>
  <si>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</si>
  <si>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</si>
  <si>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</si>
  <si>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</si>
  <si>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</si>
  <si>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</si>
  <si>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</si>
  <si>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</si>
  <si>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</si>
  <si>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</si>
  <si>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</si>
  <si>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</si>
  <si>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</si>
  <si>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</si>
  <si>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</si>
  <si>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</si>
  <si>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</si>
  <si>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</si>
  <si>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r>
      <t>L</t>
    </r>
    <r>
      <rPr>
        <sz val="11"/>
        <color indexed="8"/>
        <rFont val="Times New Roman"/>
        <family val="1"/>
      </rPr>
      <t>os balances de las cuentas de Propiedad planta y equipo están integrados por los valores históricos registrados.</t>
    </r>
  </si>
  <si>
    <t>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En la actualidad el SIAB tiene una diferencia en el valor en libro ocacionada por errores de configuracion interna según nos informaron en correo recibido el 25 de abril del 2023.</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</si>
  <si>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</si>
  <si>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</si>
  <si>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</si>
  <si>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</si>
  <si>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</si>
  <si>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</si>
  <si>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</si>
  <si>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</si>
  <si>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</si>
  <si>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</si>
  <si>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</si>
  <si>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</si>
  <si>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</si>
  <si>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 xml:space="preserve"> </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</si>
  <si>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</si>
  <si>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</si>
  <si>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</si>
  <si>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</si>
  <si>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</si>
  <si>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</si>
  <si>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</si>
  <si>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</si>
  <si>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</si>
  <si>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</si>
  <si>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</si>
  <si>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</si>
  <si>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</si>
  <si>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</si>
  <si>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</si>
  <si>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</si>
  <si>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</si>
  <si>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</si>
  <si>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</si>
  <si>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</si>
  <si>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</si>
  <si>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</si>
  <si>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</si>
  <si>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</si>
  <si>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</si>
  <si>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</si>
  <si>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</si>
  <si>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</si>
  <si>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</si>
  <si>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</si>
  <si>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</si>
  <si>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</si>
  <si>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</si>
  <si>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</si>
  <si>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</si>
  <si>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</si>
  <si>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</si>
  <si>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</si>
  <si>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</si>
  <si>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</si>
  <si>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</si>
  <si>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</si>
  <si>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</si>
  <si>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</si>
  <si>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</si>
  <si>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cuenta por pagar usos internos por cheques anulados  fuera de fecha.</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</si>
  <si>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</si>
  <si>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</si>
  <si>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</si>
  <si>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</si>
  <si>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</si>
  <si>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</si>
  <si>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</si>
  <si>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</si>
  <si>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</si>
  <si>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</si>
  <si>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</si>
  <si>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Nota # 16</t>
  </si>
  <si>
    <t xml:space="preserve">Retencione y Acumulaciones  por pagar </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</si>
  <si>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</si>
  <si>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</si>
  <si>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</si>
  <si>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</si>
  <si>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</si>
  <si>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</si>
  <si>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</si>
  <si>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</si>
  <si>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</si>
  <si>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</si>
  <si>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</si>
  <si>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</si>
  <si>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</si>
  <si>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 y Acumulaciones  por pagar por pagar</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</si>
  <si>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</si>
  <si>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</si>
  <si>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</si>
  <si>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</si>
  <si>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</si>
  <si>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</si>
  <si>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</si>
  <si>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</si>
  <si>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</si>
  <si>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</si>
  <si>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</si>
  <si>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</si>
  <si>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</si>
  <si>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</si>
  <si>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</si>
  <si>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</si>
  <si>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</si>
  <si>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</si>
  <si>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</si>
  <si>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</si>
  <si>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</si>
  <si>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</si>
  <si>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</si>
  <si>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</si>
  <si>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</si>
  <si>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</si>
  <si>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</si>
  <si>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</si>
  <si>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</si>
  <si>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</si>
  <si>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</si>
  <si>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</si>
  <si>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</si>
  <si>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</si>
  <si>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</si>
  <si>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</si>
  <si>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</si>
  <si>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</si>
  <si>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</si>
  <si>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</si>
  <si>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</si>
  <si>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</si>
  <si>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</si>
  <si>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</si>
  <si>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</si>
  <si>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</si>
  <si>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</si>
  <si>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</si>
  <si>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</si>
  <si>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</si>
  <si>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</si>
  <si>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</si>
  <si>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Ver detalle anexo</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</si>
  <si>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</si>
  <si>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</si>
  <si>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</si>
  <si>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</si>
  <si>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</si>
  <si>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</si>
  <si>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</si>
  <si>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</si>
  <si>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</si>
  <si>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</si>
  <si>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</si>
  <si>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</si>
  <si>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</si>
  <si>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</si>
  <si>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</si>
  <si>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</si>
  <si>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</si>
  <si>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</si>
  <si>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</si>
  <si>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</si>
  <si>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</si>
  <si>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</si>
  <si>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</si>
  <si>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</si>
  <si>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</si>
  <si>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</si>
  <si>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</si>
  <si>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</si>
  <si>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</si>
  <si>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</si>
  <si>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</si>
  <si>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</si>
  <si>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</si>
  <si>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</si>
  <si>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</si>
  <si>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</si>
  <si>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</si>
  <si>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</si>
  <si>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ORZANIZACION</t>
  </si>
  <si>
    <t>COMERCIAL</t>
  </si>
  <si>
    <t>ESPECIAL</t>
  </si>
  <si>
    <t>PUBLICO</t>
  </si>
  <si>
    <t>RESIDENCIAL</t>
  </si>
  <si>
    <t>SIN DATOS</t>
  </si>
  <si>
    <t>TOTAL ORZANIZACION</t>
  </si>
  <si>
    <t>HOTELES</t>
  </si>
  <si>
    <t>INDUSTRIAL</t>
  </si>
  <si>
    <t>TOTAL PERSONAL</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</si>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</sst>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7"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8"/>
      <color theme="1"/>
      <name val="Times New Roman"/>
      <family val="1"/>
    </font>
    <font>
      <sz val="10"/>
      <color theme="1"/>
      <name val="Times New Roman"/>
      <family val="1"/>
    </font>
    <font>
      <sz val="9"/>
      <color theme="1"/>
      <name val="Times New Roman"/>
      <family val="1"/>
    </font>
    <font>
      <sz val="11"/>
      <color theme="0" tint="-0.249977111117893"/>
      <name val="Times New Roman"/>
      <family val="1"/>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4">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xf numFmtId="0" fontId="7" fillId="0" borderId="0" xfId="0" applyFont="1" applyAlignment="1">
      <alignment horizontal="left" vertical="center" wrapText="1"/>
    </xf>
    <xf numFmtId="43" fontId="7" fillId="0" borderId="0" xfId="1" applyFont="1" applyAlignment="1">
      <alignment horizontal="left" vertical="center" wrapText="1"/>
    </xf>
    <xf numFmtId="43" fontId="7" fillId="0" borderId="0" xfId="1" applyFont="1"/>
    <xf numFmtId="0" fontId="7" fillId="2" borderId="0" xfId="0" applyFont="1" applyFill="1"/>
    <xf numFmtId="43" fontId="3" fillId="0" borderId="0" xfId="1"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4" fontId="3" fillId="0" borderId="1" xfId="0" applyNumberFormat="1" applyFont="1" applyBorder="1"/>
    <xf numFmtId="4" fontId="5" fillId="0" borderId="1" xfId="0" applyNumberFormat="1" applyFont="1" applyBorder="1" applyAlignment="1">
      <alignment horizontal="right"/>
    </xf>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2" fillId="0" borderId="0" xfId="0" applyFont="1" applyBorder="1" applyAlignment="1">
      <alignment horizontal="left" wrapText="1"/>
    </xf>
    <xf numFmtId="43" fontId="2" fillId="0" borderId="0" xfId="1" applyFont="1" applyBorder="1" applyAlignment="1">
      <alignment horizontal="righ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3" fontId="4" fillId="4" borderId="0" xfId="1" applyFont="1" applyFill="1" applyBorder="1" applyAlignment="1">
      <alignment horizontal="right" vertical="center"/>
    </xf>
    <xf numFmtId="4" fontId="4" fillId="4" borderId="0" xfId="0" applyNumberFormat="1" applyFont="1" applyFill="1" applyBorder="1" applyAlignment="1">
      <alignment horizontal="right" vertical="center"/>
    </xf>
    <xf numFmtId="43" fontId="4" fillId="0" borderId="1" xfId="1" applyFont="1" applyBorder="1" applyAlignment="1">
      <alignment horizontal="right" wrapText="1"/>
    </xf>
    <xf numFmtId="0" fontId="3" fillId="0" borderId="0" xfId="0" applyFont="1" applyAlignment="1">
      <alignmen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3" fontId="3" fillId="0" borderId="1" xfId="1" applyFont="1" applyBorder="1" applyAlignment="1">
      <alignment horizontal="right" vertical="center"/>
    </xf>
    <xf numFmtId="0" fontId="8" fillId="4" borderId="1" xfId="0" applyFont="1" applyFill="1" applyBorder="1" applyAlignment="1">
      <alignment horizontal="left" vertical="center" wrapText="1"/>
    </xf>
    <xf numFmtId="43" fontId="8" fillId="4" borderId="1" xfId="1" applyFont="1" applyFill="1" applyBorder="1" applyAlignment="1">
      <alignment horizontal="right" vertical="center"/>
    </xf>
    <xf numFmtId="0" fontId="8" fillId="4" borderId="0" xfId="0" applyFont="1" applyFill="1" applyBorder="1" applyAlignment="1">
      <alignment horizontal="left" vertical="center" wrapText="1"/>
    </xf>
    <xf numFmtId="4" fontId="9" fillId="4" borderId="0" xfId="0" applyNumberFormat="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10" fontId="2" fillId="0" borderId="1" xfId="0" applyNumberFormat="1" applyFont="1" applyBorder="1"/>
    <xf numFmtId="4" fontId="3" fillId="0" borderId="1" xfId="0" applyNumberFormat="1" applyFont="1" applyBorder="1" applyAlignment="1">
      <alignment horizontal="right" vertical="center"/>
    </xf>
    <xf numFmtId="4" fontId="3" fillId="0" borderId="0" xfId="0" applyNumberFormat="1" applyFont="1"/>
    <xf numFmtId="4" fontId="3" fillId="0" borderId="0" xfId="0" applyNumberFormat="1" applyFont="1" applyAlignment="1">
      <alignment vertical="center"/>
    </xf>
    <xf numFmtId="43" fontId="9" fillId="4" borderId="0" xfId="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5" borderId="1" xfId="0" applyFont="1" applyFill="1" applyBorder="1" applyAlignment="1">
      <alignment vertical="center" wrapText="1"/>
    </xf>
    <xf numFmtId="165" fontId="6" fillId="5" borderId="1" xfId="0" applyNumberFormat="1" applyFont="1" applyFill="1" applyBorder="1" applyAlignment="1">
      <alignment horizontal="right" vertical="center"/>
    </xf>
    <xf numFmtId="43" fontId="6" fillId="5" borderId="1" xfId="1" applyFont="1" applyFill="1" applyBorder="1" applyAlignment="1">
      <alignment horizontal="center" vertical="center"/>
    </xf>
    <xf numFmtId="4" fontId="3" fillId="5"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4" fontId="9" fillId="0" borderId="0" xfId="0" applyNumberFormat="1" applyFont="1" applyFill="1" applyBorder="1" applyAlignment="1">
      <alignment horizontal="right"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3" fontId="5" fillId="4" borderId="0" xfId="1" applyFont="1" applyFill="1" applyBorder="1" applyAlignment="1">
      <alignment horizontal="right" vertical="center"/>
    </xf>
    <xf numFmtId="4" fontId="5" fillId="4" borderId="0" xfId="0" applyNumberFormat="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6" borderId="1" xfId="0" applyFont="1" applyFill="1" applyBorder="1" applyAlignment="1">
      <alignment horizontal="center" vertical="center" wrapText="1"/>
    </xf>
    <xf numFmtId="43" fontId="2" fillId="6"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vertical="center" wrapText="1"/>
    </xf>
    <xf numFmtId="0" fontId="8" fillId="8" borderId="1" xfId="0" applyFont="1" applyFill="1" applyBorder="1" applyAlignment="1">
      <alignment horizontal="center" vertical="center" wrapText="1"/>
    </xf>
    <xf numFmtId="43" fontId="2" fillId="8" borderId="1" xfId="1" applyFont="1" applyFill="1" applyBorder="1" applyAlignment="1">
      <alignment horizontal="center" vertical="center" wrapText="1"/>
    </xf>
    <xf numFmtId="0" fontId="3" fillId="8"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7" borderId="1" xfId="0" applyFont="1" applyFill="1" applyBorder="1" applyAlignment="1">
      <alignment vertical="center" wrapText="1"/>
    </xf>
    <xf numFmtId="4" fontId="2" fillId="7" borderId="1" xfId="0" applyNumberFormat="1" applyFont="1" applyFill="1" applyBorder="1" applyAlignment="1">
      <alignment horizontal="right" vertical="center"/>
    </xf>
    <xf numFmtId="43" fontId="2" fillId="7" borderId="1" xfId="1" applyFont="1" applyFill="1" applyBorder="1" applyAlignment="1">
      <alignment horizontal="right" vertical="center"/>
    </xf>
    <xf numFmtId="4" fontId="3" fillId="7" borderId="1" xfId="0" applyNumberFormat="1" applyFont="1" applyFill="1" applyBorder="1" applyAlignment="1">
      <alignment horizontal="right" vertical="center"/>
    </xf>
    <xf numFmtId="43" fontId="3" fillId="7" borderId="1" xfId="1" applyFont="1" applyFill="1" applyBorder="1" applyAlignment="1">
      <alignment horizontal="right" vertical="center" wrapText="1"/>
    </xf>
    <xf numFmtId="4" fontId="3" fillId="7" borderId="1" xfId="0" applyNumberFormat="1" applyFont="1" applyFill="1" applyBorder="1"/>
    <xf numFmtId="0" fontId="3" fillId="8" borderId="1" xfId="0"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8" fillId="7"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7" borderId="1" xfId="0" applyNumberFormat="1" applyFont="1" applyFill="1" applyBorder="1" applyAlignment="1">
      <alignment horizontal="right" vertical="center"/>
    </xf>
    <xf numFmtId="43" fontId="8" fillId="7" borderId="1" xfId="1" applyFont="1" applyFill="1" applyBorder="1" applyAlignment="1">
      <alignment horizontal="right" vertical="center"/>
    </xf>
    <xf numFmtId="0" fontId="3" fillId="7"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7" borderId="1" xfId="0" applyNumberFormat="1" applyFont="1" applyFill="1" applyBorder="1" applyAlignment="1">
      <alignment horizontal="right" vertical="center" wrapText="1"/>
    </xf>
    <xf numFmtId="43" fontId="2" fillId="7" borderId="1" xfId="1" applyFont="1" applyFill="1" applyBorder="1" applyAlignment="1">
      <alignment horizontal="right" vertical="center" wrapText="1"/>
    </xf>
    <xf numFmtId="4" fontId="3" fillId="7"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 fontId="3" fillId="0" borderId="1" xfId="0" applyNumberFormat="1" applyFont="1" applyBorder="1" applyAlignment="1">
      <alignment horizontal="right"/>
    </xf>
    <xf numFmtId="4" fontId="2" fillId="4" borderId="1" xfId="0" applyNumberFormat="1" applyFont="1" applyFill="1" applyBorder="1" applyAlignment="1">
      <alignment vertical="center"/>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43" fontId="9" fillId="0" borderId="0" xfId="1" applyFont="1" applyFill="1" applyBorder="1" applyAlignment="1">
      <alignment horizontal="right" vertical="center"/>
    </xf>
    <xf numFmtId="0" fontId="2" fillId="9" borderId="1" xfId="0" applyFont="1" applyFill="1" applyBorder="1" applyAlignment="1">
      <alignment horizontal="center"/>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 fontId="8" fillId="4" borderId="1" xfId="0" applyNumberFormat="1" applyFont="1" applyFill="1" applyBorder="1" applyAlignment="1">
      <alignment vertical="center" wrapText="1"/>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3" fontId="8"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13" fillId="0" borderId="0" xfId="1" applyFont="1"/>
    <xf numFmtId="43" fontId="5" fillId="0" borderId="1" xfId="1" applyFont="1" applyBorder="1" applyAlignment="1">
      <alignment horizontal="right" vertical="center" wrapText="1"/>
    </xf>
    <xf numFmtId="0" fontId="3" fillId="10" borderId="1" xfId="0" applyFont="1" applyFill="1" applyBorder="1" applyAlignment="1">
      <alignment vertical="center" wrapText="1"/>
    </xf>
    <xf numFmtId="43" fontId="3" fillId="0" borderId="1" xfId="1" applyFont="1" applyBorder="1" applyAlignment="1">
      <alignment vertical="center"/>
    </xf>
    <xf numFmtId="4" fontId="14" fillId="2" borderId="0" xfId="0" applyNumberFormat="1" applyFont="1" applyFill="1"/>
    <xf numFmtId="4" fontId="15" fillId="2" borderId="0" xfId="0" applyNumberFormat="1" applyFont="1" applyFill="1"/>
    <xf numFmtId="0" fontId="4" fillId="9"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9" borderId="1" xfId="0" applyFont="1" applyFill="1" applyBorder="1" applyAlignment="1">
      <alignment horizontal="left" vertical="center" wrapText="1"/>
    </xf>
    <xf numFmtId="43" fontId="4" fillId="9" borderId="1" xfId="1" applyFont="1" applyFill="1" applyBorder="1" applyAlignment="1">
      <alignment horizontal="left" vertical="center" wrapText="1"/>
    </xf>
    <xf numFmtId="43" fontId="3" fillId="0" borderId="0" xfId="0" applyNumberFormat="1" applyFont="1"/>
    <xf numFmtId="0" fontId="3" fillId="5" borderId="1" xfId="0" applyFont="1" applyFill="1" applyBorder="1" applyAlignment="1">
      <alignment vertical="center" wrapText="1"/>
    </xf>
    <xf numFmtId="43" fontId="3" fillId="5"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 fontId="16" fillId="0" borderId="0" xfId="0" applyNumberFormat="1" applyFont="1"/>
    <xf numFmtId="43" fontId="2" fillId="10" borderId="1" xfId="1" applyFont="1" applyFill="1" applyBorder="1" applyAlignment="1">
      <alignment horizontal="right" wrapText="1"/>
    </xf>
    <xf numFmtId="10" fontId="2" fillId="10" borderId="1" xfId="0" applyNumberFormat="1" applyFont="1" applyFill="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9" borderId="1" xfId="0" applyNumberFormat="1" applyFont="1" applyFill="1" applyBorder="1" applyAlignment="1">
      <alignment vertical="center"/>
    </xf>
    <xf numFmtId="43" fontId="16" fillId="0" borderId="0" xfId="1" applyFont="1"/>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43" fontId="2" fillId="0" borderId="0" xfId="1" applyFont="1" applyBorder="1" applyAlignment="1">
      <alignment horizontal="left" wrapText="1"/>
    </xf>
    <xf numFmtId="0" fontId="2" fillId="10" borderId="0" xfId="0" applyFont="1" applyFill="1"/>
    <xf numFmtId="4" fontId="6" fillId="5" borderId="1" xfId="0" applyNumberFormat="1" applyFont="1" applyFill="1" applyBorder="1" applyAlignment="1">
      <alignment horizontal="right" vertical="center"/>
    </xf>
    <xf numFmtId="43" fontId="6" fillId="5" borderId="1" xfId="1" applyFont="1" applyFill="1" applyBorder="1" applyAlignment="1">
      <alignment horizontal="right" vertical="center"/>
    </xf>
    <xf numFmtId="4" fontId="3" fillId="0" borderId="1" xfId="0" applyNumberFormat="1" applyFont="1" applyBorder="1" applyAlignment="1">
      <alignment horizont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3" fontId="2" fillId="0" borderId="1" xfId="1" applyFont="1" applyFill="1" applyBorder="1" applyAlignment="1">
      <alignment horizontal="right" wrapText="1"/>
    </xf>
    <xf numFmtId="10" fontId="2" fillId="0" borderId="1"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43" fontId="3" fillId="0" borderId="1" xfId="1" applyFont="1" applyBorder="1" applyAlignment="1">
      <alignment horizontal="right"/>
    </xf>
    <xf numFmtId="0" fontId="2" fillId="9" borderId="1" xfId="0" applyFont="1" applyFill="1" applyBorder="1"/>
    <xf numFmtId="43" fontId="2" fillId="9"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Fill="1" applyAlignment="1">
      <alignment horizontal="left" vertical="center" wrapText="1"/>
    </xf>
    <xf numFmtId="0" fontId="6" fillId="0" borderId="0" xfId="0" applyFont="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0" borderId="0" xfId="0" applyFont="1" applyAlignment="1">
      <alignment horizontal="left"/>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Fill="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2" fillId="0" borderId="0" xfId="0" applyFont="1" applyBorder="1" applyAlignment="1">
      <alignment horizontal="left" wrapText="1"/>
    </xf>
    <xf numFmtId="0" fontId="2" fillId="0" borderId="5" xfId="0" applyFont="1" applyBorder="1" applyAlignment="1">
      <alignment vertical="center" wrapText="1"/>
    </xf>
    <xf numFmtId="0" fontId="10" fillId="0" borderId="0" xfId="0" applyFont="1" applyAlignment="1">
      <alignment horizontal="left" vertical="center" wrapText="1"/>
    </xf>
    <xf numFmtId="0" fontId="6" fillId="0" borderId="6" xfId="0" applyFont="1" applyBorder="1" applyAlignment="1">
      <alignment horizontal="left" vertical="center" wrapText="1"/>
    </xf>
    <xf numFmtId="0" fontId="2" fillId="4" borderId="1" xfId="0" applyFont="1" applyFill="1" applyBorder="1" applyAlignment="1">
      <alignment horizontal="center" vertical="center"/>
    </xf>
    <xf numFmtId="0" fontId="2" fillId="0" borderId="0" xfId="0" applyFont="1" applyFill="1" applyAlignment="1">
      <alignment horizontal="left" wrapText="1"/>
    </xf>
    <xf numFmtId="0" fontId="5" fillId="0" borderId="0"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704850</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70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97</xdr:row>
      <xdr:rowOff>114300</xdr:rowOff>
    </xdr:from>
    <xdr:to>
      <xdr:col>5</xdr:col>
      <xdr:colOff>0</xdr:colOff>
      <xdr:row>99</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1179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127</xdr:row>
      <xdr:rowOff>19050</xdr:rowOff>
    </xdr:from>
    <xdr:to>
      <xdr:col>5</xdr:col>
      <xdr:colOff>0</xdr:colOff>
      <xdr:row>130</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169</xdr:row>
      <xdr:rowOff>123825</xdr:rowOff>
    </xdr:from>
    <xdr:to>
      <xdr:col>5</xdr:col>
      <xdr:colOff>0</xdr:colOff>
      <xdr:row>172</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85394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226</xdr:row>
      <xdr:rowOff>95250</xdr:rowOff>
    </xdr:from>
    <xdr:to>
      <xdr:col>5</xdr:col>
      <xdr:colOff>0</xdr:colOff>
      <xdr:row>229</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9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405</xdr:row>
      <xdr:rowOff>28575</xdr:rowOff>
    </xdr:from>
    <xdr:to>
      <xdr:col>5</xdr:col>
      <xdr:colOff>0</xdr:colOff>
      <xdr:row>408</xdr:row>
      <xdr:rowOff>85725</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82859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452</xdr:row>
      <xdr:rowOff>76200</xdr:rowOff>
    </xdr:from>
    <xdr:to>
      <xdr:col>5</xdr:col>
      <xdr:colOff>0</xdr:colOff>
      <xdr:row>454</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7825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490</xdr:row>
      <xdr:rowOff>85725</xdr:rowOff>
    </xdr:from>
    <xdr:to>
      <xdr:col>5</xdr:col>
      <xdr:colOff>0</xdr:colOff>
      <xdr:row>493</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64090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535</xdr:row>
      <xdr:rowOff>57150</xdr:rowOff>
    </xdr:from>
    <xdr:to>
      <xdr:col>5</xdr:col>
      <xdr:colOff>0</xdr:colOff>
      <xdr:row>538</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3373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585</xdr:row>
      <xdr:rowOff>104775</xdr:rowOff>
    </xdr:from>
    <xdr:to>
      <xdr:col>5</xdr:col>
      <xdr:colOff>0</xdr:colOff>
      <xdr:row>587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84719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133350</xdr:rowOff>
    </xdr:from>
    <xdr:to>
      <xdr:col>5</xdr:col>
      <xdr:colOff>0</xdr:colOff>
      <xdr:row>353</xdr:row>
      <xdr:rowOff>76200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3609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632</xdr:row>
      <xdr:rowOff>57150</xdr:rowOff>
    </xdr:from>
    <xdr:to>
      <xdr:col>5</xdr:col>
      <xdr:colOff>0</xdr:colOff>
      <xdr:row>635</xdr:row>
      <xdr:rowOff>123825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83970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315</xdr:row>
      <xdr:rowOff>152400</xdr:rowOff>
    </xdr:from>
    <xdr:to>
      <xdr:col>5</xdr:col>
      <xdr:colOff>0</xdr:colOff>
      <xdr:row>337</xdr:row>
      <xdr:rowOff>57150</xdr:rowOff>
    </xdr:to>
    <xdr:pic>
      <xdr:nvPicPr>
        <xdr:cNvPr id="16" name="Imagen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1826775"/>
          <a:ext cx="6496050" cy="409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o%20de%20Flujo%20de%20Ejectivo%20Junio%202023.xls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 val="Pres"/>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sheetData sheetId="2">
        <row r="3">
          <cell r="B3" t="str">
            <v>30 de junio del 2023</v>
          </cell>
          <cell r="C3" t="str">
            <v>- 2022</v>
          </cell>
        </row>
        <row r="4">
          <cell r="B4">
            <v>2023</v>
          </cell>
          <cell r="C4">
            <v>2022</v>
          </cell>
        </row>
        <row r="21">
          <cell r="B21" t="str">
            <v>CUENTA  9604127870</v>
          </cell>
          <cell r="C21">
            <v>717865.13</v>
          </cell>
        </row>
      </sheetData>
      <sheetData sheetId="3">
        <row r="12">
          <cell r="C12">
            <v>0</v>
          </cell>
          <cell r="E12">
            <v>0</v>
          </cell>
        </row>
        <row r="13">
          <cell r="C13">
            <v>110000</v>
          </cell>
          <cell r="E13">
            <v>110000</v>
          </cell>
        </row>
        <row r="15">
          <cell r="C15">
            <v>80000</v>
          </cell>
          <cell r="E15">
            <v>80000</v>
          </cell>
        </row>
        <row r="22">
          <cell r="C22">
            <v>0</v>
          </cell>
          <cell r="E22">
            <v>0</v>
          </cell>
        </row>
        <row r="23">
          <cell r="C23">
            <v>253900.45</v>
          </cell>
          <cell r="E23">
            <v>221227.45</v>
          </cell>
        </row>
        <row r="24">
          <cell r="C24">
            <v>55744300.140000001</v>
          </cell>
          <cell r="E24">
            <v>89221896.159999996</v>
          </cell>
        </row>
        <row r="25">
          <cell r="C25">
            <v>1810906.34</v>
          </cell>
          <cell r="E25">
            <v>3773690.14</v>
          </cell>
        </row>
        <row r="26">
          <cell r="C26">
            <v>717865.13</v>
          </cell>
          <cell r="E26">
            <v>857059.36</v>
          </cell>
        </row>
        <row r="27">
          <cell r="C27">
            <v>181835467.61000001</v>
          </cell>
          <cell r="E27">
            <v>39231849.799999997</v>
          </cell>
        </row>
        <row r="28">
          <cell r="C28">
            <v>0</v>
          </cell>
          <cell r="E28">
            <v>0</v>
          </cell>
        </row>
        <row r="30">
          <cell r="C30">
            <v>453000</v>
          </cell>
          <cell r="E30">
            <v>453000</v>
          </cell>
        </row>
        <row r="34">
          <cell r="C34">
            <v>1350.12</v>
          </cell>
          <cell r="E34">
            <v>4801052.79</v>
          </cell>
        </row>
        <row r="35">
          <cell r="C35">
            <v>1350.12</v>
          </cell>
        </row>
        <row r="40">
          <cell r="C40">
            <v>0</v>
          </cell>
          <cell r="E40">
            <v>0</v>
          </cell>
        </row>
        <row r="41">
          <cell r="C41">
            <v>27856960.68</v>
          </cell>
          <cell r="E41">
            <v>12837839.99</v>
          </cell>
        </row>
        <row r="48">
          <cell r="C48">
            <v>106467.47</v>
          </cell>
          <cell r="E48">
            <v>46668.51</v>
          </cell>
        </row>
        <row r="55">
          <cell r="C55">
            <v>1623675</v>
          </cell>
          <cell r="E55">
            <v>1623675</v>
          </cell>
          <cell r="G55">
            <v>1623675</v>
          </cell>
        </row>
        <row r="58">
          <cell r="C58">
            <v>953149176.46000004</v>
          </cell>
          <cell r="E58">
            <v>953149176.46000004</v>
          </cell>
        </row>
        <row r="59">
          <cell r="C59">
            <v>3448747.32</v>
          </cell>
          <cell r="E59">
            <v>3176700</v>
          </cell>
        </row>
        <row r="62">
          <cell r="C62">
            <v>48572302.979999997</v>
          </cell>
          <cell r="E62">
            <v>43071024.979999997</v>
          </cell>
          <cell r="G62">
            <v>30754935.530000001</v>
          </cell>
        </row>
        <row r="63">
          <cell r="C63">
            <v>9835781.5199999996</v>
          </cell>
          <cell r="E63">
            <v>9225825.5199999996</v>
          </cell>
        </row>
        <row r="66">
          <cell r="C66">
            <v>396650</v>
          </cell>
          <cell r="E66">
            <v>74900</v>
          </cell>
          <cell r="G66">
            <v>74900</v>
          </cell>
        </row>
        <row r="67">
          <cell r="C67">
            <v>5382149.0700000003</v>
          </cell>
          <cell r="E67">
            <v>2605517.0699999998</v>
          </cell>
        </row>
        <row r="69">
          <cell r="C69">
            <v>243708</v>
          </cell>
        </row>
        <row r="70">
          <cell r="C70">
            <v>24047513.5</v>
          </cell>
          <cell r="E70">
            <v>23107903.5</v>
          </cell>
        </row>
        <row r="71">
          <cell r="C71">
            <v>259166.88</v>
          </cell>
        </row>
        <row r="81">
          <cell r="C81">
            <v>142163</v>
          </cell>
        </row>
        <row r="85">
          <cell r="C85">
            <v>0</v>
          </cell>
          <cell r="E85">
            <v>0</v>
          </cell>
        </row>
        <row r="86">
          <cell r="C86">
            <v>2740.6</v>
          </cell>
          <cell r="E86">
            <v>2740.6</v>
          </cell>
        </row>
        <row r="87">
          <cell r="C87">
            <v>0</v>
          </cell>
          <cell r="E87">
            <v>0</v>
          </cell>
        </row>
        <row r="88">
          <cell r="C88">
            <v>-243449.60000000001</v>
          </cell>
          <cell r="E88">
            <v>-49819.48</v>
          </cell>
        </row>
        <row r="89">
          <cell r="C89">
            <v>92405.93</v>
          </cell>
          <cell r="E89">
            <v>93682.67</v>
          </cell>
        </row>
        <row r="90">
          <cell r="C90">
            <v>24300</v>
          </cell>
          <cell r="E90">
            <v>29870</v>
          </cell>
        </row>
        <row r="91">
          <cell r="C91">
            <v>0</v>
          </cell>
          <cell r="E91">
            <v>0</v>
          </cell>
        </row>
        <row r="92">
          <cell r="C92">
            <v>256808.17</v>
          </cell>
          <cell r="E92">
            <v>163507.56</v>
          </cell>
        </row>
        <row r="95">
          <cell r="C95">
            <v>0</v>
          </cell>
        </row>
        <row r="96">
          <cell r="C96">
            <v>0</v>
          </cell>
          <cell r="E96">
            <v>0</v>
          </cell>
        </row>
        <row r="98">
          <cell r="C98">
            <v>10883421.02</v>
          </cell>
          <cell r="E98">
            <v>10981515.199999999</v>
          </cell>
        </row>
        <row r="99">
          <cell r="C99">
            <v>7106.65</v>
          </cell>
          <cell r="E99">
            <v>7266.55</v>
          </cell>
        </row>
        <row r="100">
          <cell r="C100">
            <v>1419668.51</v>
          </cell>
          <cell r="E100">
            <v>1419668.51</v>
          </cell>
        </row>
        <row r="105">
          <cell r="C105">
            <v>252299.3</v>
          </cell>
          <cell r="E105">
            <v>252299.3</v>
          </cell>
        </row>
        <row r="106">
          <cell r="C106">
            <v>0</v>
          </cell>
          <cell r="E106">
            <v>0</v>
          </cell>
        </row>
        <row r="109">
          <cell r="C109">
            <v>0</v>
          </cell>
          <cell r="E109">
            <v>0</v>
          </cell>
        </row>
        <row r="121">
          <cell r="C121">
            <v>201075103.50999999</v>
          </cell>
        </row>
        <row r="122">
          <cell r="C122">
            <v>123257687.44</v>
          </cell>
        </row>
        <row r="126">
          <cell r="C126">
            <v>93999897.140000001</v>
          </cell>
          <cell r="E126">
            <v>91628105.100000009</v>
          </cell>
        </row>
        <row r="138">
          <cell r="C138">
            <v>0</v>
          </cell>
        </row>
        <row r="142">
          <cell r="C142">
            <v>11795171.060000001</v>
          </cell>
          <cell r="E142">
            <v>14393636.789999999</v>
          </cell>
        </row>
        <row r="143">
          <cell r="C143">
            <v>0</v>
          </cell>
          <cell r="E143">
            <v>19700000</v>
          </cell>
        </row>
        <row r="144">
          <cell r="C144">
            <v>20661129</v>
          </cell>
          <cell r="E144">
            <v>20661129</v>
          </cell>
        </row>
        <row r="150">
          <cell r="C150">
            <v>74637564</v>
          </cell>
          <cell r="E150">
            <v>74604047.290000007</v>
          </cell>
        </row>
        <row r="151">
          <cell r="C151">
            <v>0</v>
          </cell>
          <cell r="E151">
            <v>257399.35</v>
          </cell>
        </row>
        <row r="152">
          <cell r="C152">
            <v>0</v>
          </cell>
          <cell r="E152">
            <v>0</v>
          </cell>
        </row>
        <row r="153">
          <cell r="C153">
            <v>0</v>
          </cell>
          <cell r="E153">
            <v>0</v>
          </cell>
        </row>
        <row r="154">
          <cell r="C154">
            <v>0</v>
          </cell>
          <cell r="E154">
            <v>0</v>
          </cell>
        </row>
        <row r="155">
          <cell r="C155">
            <v>0</v>
          </cell>
          <cell r="E155">
            <v>0</v>
          </cell>
        </row>
        <row r="156">
          <cell r="C156">
            <v>108768.92</v>
          </cell>
          <cell r="E156">
            <v>0</v>
          </cell>
        </row>
        <row r="157">
          <cell r="C157">
            <v>509435</v>
          </cell>
          <cell r="E157">
            <v>150560</v>
          </cell>
        </row>
        <row r="158">
          <cell r="C158">
            <v>3271134.28</v>
          </cell>
          <cell r="E158">
            <v>3301030</v>
          </cell>
        </row>
        <row r="159">
          <cell r="C159">
            <v>0</v>
          </cell>
        </row>
        <row r="160">
          <cell r="C160">
            <v>0</v>
          </cell>
        </row>
        <row r="161">
          <cell r="C161">
            <v>0</v>
          </cell>
          <cell r="E161">
            <v>0</v>
          </cell>
        </row>
        <row r="162">
          <cell r="C162">
            <v>0</v>
          </cell>
          <cell r="E162">
            <v>439588.24</v>
          </cell>
        </row>
        <row r="164">
          <cell r="C164">
            <v>0</v>
          </cell>
          <cell r="E164">
            <v>0</v>
          </cell>
        </row>
        <row r="165">
          <cell r="C165">
            <v>1290000</v>
          </cell>
        </row>
        <row r="166">
          <cell r="C166">
            <v>0</v>
          </cell>
          <cell r="E166">
            <v>0</v>
          </cell>
        </row>
        <row r="167">
          <cell r="C167">
            <v>0</v>
          </cell>
          <cell r="E167">
            <v>767261.91</v>
          </cell>
        </row>
        <row r="168">
          <cell r="C168">
            <v>0</v>
          </cell>
          <cell r="E168">
            <v>0</v>
          </cell>
        </row>
        <row r="170">
          <cell r="C170">
            <v>0</v>
          </cell>
          <cell r="E170">
            <v>0</v>
          </cell>
        </row>
        <row r="171">
          <cell r="C171">
            <v>0</v>
          </cell>
          <cell r="E171">
            <v>0</v>
          </cell>
        </row>
        <row r="172">
          <cell r="C172">
            <v>0</v>
          </cell>
          <cell r="E172">
            <v>0</v>
          </cell>
        </row>
        <row r="175">
          <cell r="C175">
            <v>5289226.54</v>
          </cell>
          <cell r="E175">
            <v>5281502.99</v>
          </cell>
        </row>
        <row r="176">
          <cell r="C176">
            <v>5307903.51</v>
          </cell>
          <cell r="E176">
            <v>5304873.5199999996</v>
          </cell>
        </row>
        <row r="177">
          <cell r="C177">
            <v>886712.76</v>
          </cell>
          <cell r="E177">
            <v>886289.29</v>
          </cell>
        </row>
        <row r="183">
          <cell r="C183">
            <v>189211.5</v>
          </cell>
          <cell r="E183">
            <v>65490</v>
          </cell>
        </row>
        <row r="184">
          <cell r="C184">
            <v>0</v>
          </cell>
          <cell r="E184">
            <v>0</v>
          </cell>
        </row>
        <row r="188">
          <cell r="C188">
            <v>232775</v>
          </cell>
        </row>
        <row r="189">
          <cell r="C189">
            <v>785426.84</v>
          </cell>
          <cell r="E189">
            <v>729507.75</v>
          </cell>
        </row>
        <row r="190">
          <cell r="C190">
            <v>541380.68000000005</v>
          </cell>
          <cell r="E190">
            <v>442761.39</v>
          </cell>
        </row>
        <row r="191">
          <cell r="C191">
            <v>0</v>
          </cell>
        </row>
        <row r="192">
          <cell r="C192">
            <v>185815.64</v>
          </cell>
          <cell r="E192">
            <v>293238.58</v>
          </cell>
        </row>
        <row r="193">
          <cell r="C193">
            <v>26183712.109999999</v>
          </cell>
          <cell r="E193">
            <v>23028117.48</v>
          </cell>
        </row>
        <row r="194">
          <cell r="C194">
            <v>426121.78</v>
          </cell>
          <cell r="E194">
            <v>156220</v>
          </cell>
        </row>
        <row r="195">
          <cell r="C195">
            <v>722427.5</v>
          </cell>
          <cell r="E195">
            <v>484505</v>
          </cell>
        </row>
        <row r="196">
          <cell r="C196">
            <v>4649.2</v>
          </cell>
          <cell r="E196">
            <v>8150</v>
          </cell>
        </row>
        <row r="197">
          <cell r="C197">
            <v>0</v>
          </cell>
          <cell r="E197">
            <v>0</v>
          </cell>
        </row>
        <row r="198">
          <cell r="C198">
            <v>0</v>
          </cell>
        </row>
        <row r="199">
          <cell r="C199">
            <v>0</v>
          </cell>
          <cell r="E199">
            <v>136090</v>
          </cell>
        </row>
        <row r="200">
          <cell r="C200">
            <v>0</v>
          </cell>
        </row>
        <row r="202">
          <cell r="C202">
            <v>714107.78</v>
          </cell>
          <cell r="E202">
            <v>580551.67000000004</v>
          </cell>
        </row>
        <row r="203">
          <cell r="C203">
            <v>133772.75</v>
          </cell>
          <cell r="E203">
            <v>0</v>
          </cell>
        </row>
        <row r="204">
          <cell r="C204">
            <v>0</v>
          </cell>
        </row>
        <row r="205">
          <cell r="C205">
            <v>197000</v>
          </cell>
          <cell r="E205">
            <v>48000</v>
          </cell>
        </row>
        <row r="206">
          <cell r="C206">
            <v>0</v>
          </cell>
          <cell r="E206">
            <v>849625</v>
          </cell>
        </row>
        <row r="207">
          <cell r="C207">
            <v>0</v>
          </cell>
        </row>
        <row r="208">
          <cell r="C208">
            <v>222027.02</v>
          </cell>
          <cell r="E208">
            <v>119416.44</v>
          </cell>
        </row>
        <row r="209">
          <cell r="C209">
            <v>90096.48</v>
          </cell>
        </row>
        <row r="211">
          <cell r="C211">
            <v>0</v>
          </cell>
        </row>
        <row r="212">
          <cell r="C212">
            <v>8950</v>
          </cell>
          <cell r="E212">
            <v>39548.82</v>
          </cell>
        </row>
        <row r="213">
          <cell r="C213">
            <v>-14367754.27</v>
          </cell>
          <cell r="E213">
            <v>43215.49</v>
          </cell>
        </row>
        <row r="214">
          <cell r="C214">
            <v>0</v>
          </cell>
          <cell r="E214">
            <v>4750</v>
          </cell>
        </row>
        <row r="215">
          <cell r="C215">
            <v>0</v>
          </cell>
          <cell r="E215">
            <v>600</v>
          </cell>
        </row>
        <row r="216">
          <cell r="C216">
            <v>0</v>
          </cell>
          <cell r="E216">
            <v>0</v>
          </cell>
        </row>
        <row r="217">
          <cell r="C217">
            <v>3370</v>
          </cell>
          <cell r="E217">
            <v>0</v>
          </cell>
        </row>
        <row r="218">
          <cell r="C218">
            <v>0</v>
          </cell>
          <cell r="E218">
            <v>0</v>
          </cell>
        </row>
        <row r="219">
          <cell r="C219">
            <v>0</v>
          </cell>
          <cell r="E219">
            <v>0</v>
          </cell>
        </row>
        <row r="220">
          <cell r="C220">
            <v>0</v>
          </cell>
        </row>
        <row r="221">
          <cell r="C221">
            <v>359552.46</v>
          </cell>
          <cell r="E221">
            <v>420734.4</v>
          </cell>
        </row>
        <row r="222">
          <cell r="C222">
            <v>7008.25</v>
          </cell>
          <cell r="E222">
            <v>2685</v>
          </cell>
        </row>
        <row r="223">
          <cell r="C223">
            <v>4997.93</v>
          </cell>
          <cell r="E223">
            <v>14715.9</v>
          </cell>
        </row>
        <row r="224">
          <cell r="C224">
            <v>0</v>
          </cell>
        </row>
        <row r="226">
          <cell r="C226">
            <v>0</v>
          </cell>
          <cell r="E226">
            <v>11305</v>
          </cell>
        </row>
        <row r="227">
          <cell r="C227">
            <v>0</v>
          </cell>
          <cell r="E227">
            <v>12500</v>
          </cell>
        </row>
        <row r="228">
          <cell r="C228">
            <v>357743.84</v>
          </cell>
          <cell r="E228">
            <v>433222.88</v>
          </cell>
        </row>
        <row r="229">
          <cell r="C229">
            <v>42900</v>
          </cell>
          <cell r="E229">
            <v>0</v>
          </cell>
        </row>
        <row r="230">
          <cell r="C230">
            <v>0</v>
          </cell>
        </row>
        <row r="231">
          <cell r="C231">
            <v>911694.92</v>
          </cell>
          <cell r="E231">
            <v>1676368.04</v>
          </cell>
        </row>
        <row r="232">
          <cell r="C232">
            <v>350554.48</v>
          </cell>
        </row>
        <row r="233">
          <cell r="C233">
            <v>4822952.43</v>
          </cell>
          <cell r="E233">
            <v>3646729.79</v>
          </cell>
        </row>
        <row r="234">
          <cell r="C234">
            <v>0</v>
          </cell>
          <cell r="E234">
            <v>0</v>
          </cell>
        </row>
        <row r="239">
          <cell r="C239">
            <v>199225.34</v>
          </cell>
          <cell r="E239">
            <v>82701.16</v>
          </cell>
        </row>
        <row r="241">
          <cell r="C241">
            <v>347856.36</v>
          </cell>
          <cell r="E241">
            <v>351162.8</v>
          </cell>
        </row>
        <row r="242">
          <cell r="C242">
            <v>0</v>
          </cell>
          <cell r="E242">
            <v>1300</v>
          </cell>
        </row>
        <row r="243">
          <cell r="C243">
            <v>9856.9500000000007</v>
          </cell>
          <cell r="E243">
            <v>0</v>
          </cell>
        </row>
        <row r="244">
          <cell r="C244">
            <v>715992</v>
          </cell>
          <cell r="E244">
            <v>108050</v>
          </cell>
        </row>
        <row r="245">
          <cell r="C245">
            <v>0</v>
          </cell>
          <cell r="E245">
            <v>198120</v>
          </cell>
        </row>
        <row r="246">
          <cell r="C246">
            <v>110500</v>
          </cell>
        </row>
        <row r="248">
          <cell r="C248">
            <v>3532450</v>
          </cell>
          <cell r="E248">
            <v>2712200</v>
          </cell>
        </row>
        <row r="249">
          <cell r="C249">
            <v>1323000</v>
          </cell>
          <cell r="E249">
            <v>1201000</v>
          </cell>
        </row>
        <row r="250">
          <cell r="C250">
            <v>1610</v>
          </cell>
          <cell r="E250">
            <v>300</v>
          </cell>
        </row>
        <row r="251">
          <cell r="C251">
            <v>315568</v>
          </cell>
          <cell r="E251">
            <v>4347956.2699999996</v>
          </cell>
        </row>
        <row r="252">
          <cell r="C252">
            <v>4162894.92</v>
          </cell>
        </row>
        <row r="253">
          <cell r="C253">
            <v>746313.22</v>
          </cell>
        </row>
        <row r="254">
          <cell r="C254">
            <v>5721</v>
          </cell>
          <cell r="E254">
            <v>6591</v>
          </cell>
        </row>
        <row r="255">
          <cell r="C255">
            <v>478508.47</v>
          </cell>
          <cell r="E255">
            <v>0</v>
          </cell>
        </row>
        <row r="257">
          <cell r="C257">
            <v>100397</v>
          </cell>
        </row>
        <row r="258">
          <cell r="C258">
            <v>178055.45</v>
          </cell>
          <cell r="E258">
            <v>61875</v>
          </cell>
        </row>
        <row r="259">
          <cell r="C259">
            <v>170890.52</v>
          </cell>
          <cell r="E259">
            <v>392248.49</v>
          </cell>
        </row>
        <row r="260">
          <cell r="C260">
            <v>6366.65</v>
          </cell>
          <cell r="E260">
            <v>54310.9</v>
          </cell>
        </row>
        <row r="261">
          <cell r="C261">
            <v>436646.97</v>
          </cell>
          <cell r="E261">
            <v>9175</v>
          </cell>
        </row>
        <row r="262">
          <cell r="C262">
            <v>202279</v>
          </cell>
          <cell r="E262">
            <v>2300</v>
          </cell>
        </row>
        <row r="263">
          <cell r="C263">
            <v>20354.259999999998</v>
          </cell>
          <cell r="E263">
            <v>33711.69</v>
          </cell>
        </row>
        <row r="264">
          <cell r="C264">
            <v>5607000</v>
          </cell>
        </row>
        <row r="265">
          <cell r="C265">
            <v>14268.2</v>
          </cell>
        </row>
        <row r="266">
          <cell r="C266">
            <v>26331.42</v>
          </cell>
        </row>
        <row r="267">
          <cell r="C267">
            <v>7269860.7999999998</v>
          </cell>
        </row>
        <row r="268">
          <cell r="C268">
            <v>0</v>
          </cell>
        </row>
        <row r="269">
          <cell r="C269">
            <v>0</v>
          </cell>
        </row>
        <row r="270">
          <cell r="C270">
            <v>0</v>
          </cell>
        </row>
        <row r="271">
          <cell r="C271">
            <v>894535.85</v>
          </cell>
        </row>
        <row r="272">
          <cell r="C272">
            <v>214850</v>
          </cell>
        </row>
        <row r="273">
          <cell r="C273">
            <v>0</v>
          </cell>
        </row>
        <row r="274">
          <cell r="C274">
            <v>285001.5</v>
          </cell>
        </row>
        <row r="275">
          <cell r="C275">
            <v>194909.08</v>
          </cell>
        </row>
        <row r="276">
          <cell r="C276">
            <v>255000</v>
          </cell>
        </row>
        <row r="277">
          <cell r="C277">
            <v>191012.44</v>
          </cell>
        </row>
        <row r="279">
          <cell r="C279">
            <v>0</v>
          </cell>
        </row>
        <row r="280">
          <cell r="C280">
            <v>0</v>
          </cell>
        </row>
        <row r="283">
          <cell r="C283">
            <v>2056762.66</v>
          </cell>
          <cell r="E283">
            <v>0</v>
          </cell>
        </row>
        <row r="284">
          <cell r="C284">
            <v>199000</v>
          </cell>
          <cell r="E284">
            <v>613908.4</v>
          </cell>
        </row>
      </sheetData>
      <sheetData sheetId="4"/>
      <sheetData sheetId="5">
        <row r="289">
          <cell r="E289">
            <v>29759044</v>
          </cell>
        </row>
        <row r="290">
          <cell r="E290">
            <v>41322258</v>
          </cell>
        </row>
        <row r="291">
          <cell r="E291">
            <v>118200000</v>
          </cell>
        </row>
        <row r="295">
          <cell r="E295">
            <v>222257238</v>
          </cell>
        </row>
      </sheetData>
      <sheetData sheetId="6"/>
      <sheetData sheetId="7">
        <row r="599">
          <cell r="C599">
            <v>312123.5</v>
          </cell>
          <cell r="D599">
            <v>119416.44</v>
          </cell>
        </row>
      </sheetData>
      <sheetData sheetId="8">
        <row r="14">
          <cell r="K14">
            <v>23704719.890000019</v>
          </cell>
        </row>
        <row r="28">
          <cell r="E28">
            <v>179304727.55000001</v>
          </cell>
          <cell r="F28">
            <v>22594994.66</v>
          </cell>
          <cell r="H28">
            <v>9433877.2599999998</v>
          </cell>
          <cell r="I28">
            <v>32026501.77</v>
          </cell>
        </row>
        <row r="29">
          <cell r="E29">
            <v>20527847.659999996</v>
          </cell>
          <cell r="F29">
            <v>1379314.0599999998</v>
          </cell>
          <cell r="G29">
            <v>44168.55</v>
          </cell>
          <cell r="H29">
            <v>721474.15999999992</v>
          </cell>
          <cell r="I29">
            <v>842715.69000000134</v>
          </cell>
          <cell r="K29">
            <v>23515520.119999997</v>
          </cell>
        </row>
      </sheetData>
      <sheetData sheetId="9"/>
      <sheetData sheetId="10">
        <row r="11">
          <cell r="B11">
            <v>240472439.67000002</v>
          </cell>
        </row>
        <row r="12">
          <cell r="B12">
            <v>453000</v>
          </cell>
        </row>
        <row r="15">
          <cell r="B15">
            <v>27856960.68</v>
          </cell>
        </row>
        <row r="16">
          <cell r="B16">
            <v>106467.47</v>
          </cell>
        </row>
        <row r="17">
          <cell r="B17">
            <v>193172</v>
          </cell>
          <cell r="C17">
            <v>193172</v>
          </cell>
        </row>
        <row r="33">
          <cell r="B33">
            <v>385104.4</v>
          </cell>
        </row>
        <row r="43">
          <cell r="B43">
            <v>1091303297.9400001</v>
          </cell>
        </row>
      </sheetData>
      <sheetData sheetId="11">
        <row r="11">
          <cell r="B11">
            <v>93999897.140000001</v>
          </cell>
        </row>
        <row r="12">
          <cell r="B12">
            <v>32456300.060000002</v>
          </cell>
        </row>
        <row r="13">
          <cell r="B13">
            <v>0</v>
          </cell>
        </row>
        <row r="17">
          <cell r="B17">
            <v>93357507.670000017</v>
          </cell>
        </row>
        <row r="18">
          <cell r="B18">
            <v>199000</v>
          </cell>
        </row>
        <row r="19">
          <cell r="B19">
            <v>28017255.399999999</v>
          </cell>
        </row>
        <row r="20">
          <cell r="B20">
            <v>23637374.119999997</v>
          </cell>
        </row>
        <row r="22">
          <cell r="B22">
            <v>22772750.480000004</v>
          </cell>
        </row>
        <row r="23">
          <cell r="B23">
            <v>357743.84</v>
          </cell>
        </row>
        <row r="30">
          <cell r="C30">
            <v>-11739360.929999977</v>
          </cell>
        </row>
        <row r="35">
          <cell r="B35">
            <v>-41885434.310000017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25">
          <cell r="D25">
            <v>1598764</v>
          </cell>
          <cell r="E25">
            <v>1598764</v>
          </cell>
          <cell r="F25">
            <v>1598764</v>
          </cell>
          <cell r="G25">
            <v>1598764</v>
          </cell>
          <cell r="H25">
            <v>3801351.06</v>
          </cell>
          <cell r="I25">
            <v>1598764</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3443521.5</v>
          </cell>
          <cell r="E27">
            <v>3443521.5</v>
          </cell>
          <cell r="F27">
            <v>3443521.5</v>
          </cell>
          <cell r="G27">
            <v>3443521.5</v>
          </cell>
          <cell r="H27">
            <v>3443521.5</v>
          </cell>
          <cell r="I27">
            <v>3443521.5</v>
          </cell>
          <cell r="J27">
            <v>0</v>
          </cell>
          <cell r="K27">
            <v>0</v>
          </cell>
          <cell r="L27">
            <v>0</v>
          </cell>
          <cell r="M27">
            <v>0</v>
          </cell>
          <cell r="N27">
            <v>0</v>
          </cell>
          <cell r="O27">
            <v>0</v>
          </cell>
        </row>
      </sheetData>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E772"/>
  <sheetViews>
    <sheetView tabSelected="1" topLeftCell="A376" workbookViewId="0">
      <selection activeCell="AC570" sqref="AC570"/>
    </sheetView>
  </sheetViews>
  <sheetFormatPr baseColWidth="10" defaultColWidth="9.140625" defaultRowHeight="15" x14ac:dyDescent="0.25"/>
  <cols>
    <col min="1" max="1" width="1.28515625" style="1" customWidth="1"/>
    <col min="2" max="2" width="44.5703125" style="15" customWidth="1"/>
    <col min="3" max="3" width="17.140625" style="1" customWidth="1"/>
    <col min="4" max="4" width="18.5703125" style="2" customWidth="1"/>
    <col min="5" max="5" width="17.140625" style="1" customWidth="1"/>
    <col min="6" max="6" width="1" style="1" customWidth="1"/>
    <col min="7" max="7" width="12" style="1" bestFit="1" customWidth="1"/>
    <col min="8" max="9" width="15.140625" style="1" hidden="1" customWidth="1"/>
    <col min="10" max="10" width="15.140625" style="2" hidden="1" customWidth="1"/>
    <col min="11" max="13" width="15.140625" style="1" hidden="1" customWidth="1"/>
    <col min="14" max="14" width="15.140625" style="2" hidden="1" customWidth="1"/>
    <col min="15" max="17" width="15.140625" style="1" hidden="1" customWidth="1"/>
    <col min="18" max="25" width="15.140625" style="3" hidden="1" customWidth="1"/>
    <col min="26" max="26" width="15.140625" style="2" hidden="1" customWidth="1"/>
    <col min="27" max="27" width="19.85546875" style="1" hidden="1" customWidth="1"/>
    <col min="28" max="28" width="10" style="1" bestFit="1" customWidth="1"/>
    <col min="29" max="30" width="13.85546875" style="1" bestFit="1" customWidth="1"/>
    <col min="31" max="31" width="12.140625" style="1" bestFit="1" customWidth="1"/>
    <col min="32" max="256" width="9.140625" style="1"/>
    <col min="257" max="257" width="1.28515625" style="1" customWidth="1"/>
    <col min="258" max="258" width="44.5703125" style="1" customWidth="1"/>
    <col min="259" max="259" width="17.140625" style="1" customWidth="1"/>
    <col min="260" max="260" width="18.5703125" style="1" customWidth="1"/>
    <col min="261" max="261" width="17.140625" style="1" customWidth="1"/>
    <col min="262" max="262" width="1" style="1" customWidth="1"/>
    <col min="263" max="263" width="12" style="1" bestFit="1" customWidth="1"/>
    <col min="264" max="283" width="0" style="1" hidden="1" customWidth="1"/>
    <col min="284" max="284" width="10" style="1" bestFit="1" customWidth="1"/>
    <col min="285" max="512" width="9.140625" style="1"/>
    <col min="513" max="513" width="1.28515625" style="1" customWidth="1"/>
    <col min="514" max="514" width="44.5703125" style="1" customWidth="1"/>
    <col min="515" max="515" width="17.140625" style="1" customWidth="1"/>
    <col min="516" max="516" width="18.5703125" style="1" customWidth="1"/>
    <col min="517" max="517" width="17.140625" style="1" customWidth="1"/>
    <col min="518" max="518" width="1" style="1" customWidth="1"/>
    <col min="519" max="519" width="12" style="1" bestFit="1" customWidth="1"/>
    <col min="520" max="539" width="0" style="1" hidden="1" customWidth="1"/>
    <col min="540" max="540" width="10" style="1" bestFit="1" customWidth="1"/>
    <col min="541" max="768" width="9.140625" style="1"/>
    <col min="769" max="769" width="1.28515625" style="1" customWidth="1"/>
    <col min="770" max="770" width="44.5703125" style="1" customWidth="1"/>
    <col min="771" max="771" width="17.140625" style="1" customWidth="1"/>
    <col min="772" max="772" width="18.5703125" style="1" customWidth="1"/>
    <col min="773" max="773" width="17.140625" style="1" customWidth="1"/>
    <col min="774" max="774" width="1" style="1" customWidth="1"/>
    <col min="775" max="775" width="12" style="1" bestFit="1" customWidth="1"/>
    <col min="776" max="795" width="0" style="1" hidden="1" customWidth="1"/>
    <col min="796" max="796" width="10" style="1" bestFit="1" customWidth="1"/>
    <col min="797" max="1024" width="9.140625" style="1"/>
    <col min="1025" max="1025" width="1.28515625" style="1" customWidth="1"/>
    <col min="1026" max="1026" width="44.5703125" style="1" customWidth="1"/>
    <col min="1027" max="1027" width="17.140625" style="1" customWidth="1"/>
    <col min="1028" max="1028" width="18.5703125" style="1" customWidth="1"/>
    <col min="1029" max="1029" width="17.140625" style="1" customWidth="1"/>
    <col min="1030" max="1030" width="1" style="1" customWidth="1"/>
    <col min="1031" max="1031" width="12" style="1" bestFit="1" customWidth="1"/>
    <col min="1032" max="1051" width="0" style="1" hidden="1" customWidth="1"/>
    <col min="1052" max="1052" width="10" style="1" bestFit="1" customWidth="1"/>
    <col min="1053" max="1280" width="9.140625" style="1"/>
    <col min="1281" max="1281" width="1.28515625" style="1" customWidth="1"/>
    <col min="1282" max="1282" width="44.5703125" style="1" customWidth="1"/>
    <col min="1283" max="1283" width="17.140625" style="1" customWidth="1"/>
    <col min="1284" max="1284" width="18.5703125" style="1" customWidth="1"/>
    <col min="1285" max="1285" width="17.140625" style="1" customWidth="1"/>
    <col min="1286" max="1286" width="1" style="1" customWidth="1"/>
    <col min="1287" max="1287" width="12" style="1" bestFit="1" customWidth="1"/>
    <col min="1288" max="1307" width="0" style="1" hidden="1" customWidth="1"/>
    <col min="1308" max="1308" width="10" style="1" bestFit="1" customWidth="1"/>
    <col min="1309" max="1536" width="9.140625" style="1"/>
    <col min="1537" max="1537" width="1.28515625" style="1" customWidth="1"/>
    <col min="1538" max="1538" width="44.5703125" style="1" customWidth="1"/>
    <col min="1539" max="1539" width="17.140625" style="1" customWidth="1"/>
    <col min="1540" max="1540" width="18.5703125" style="1" customWidth="1"/>
    <col min="1541" max="1541" width="17.140625" style="1" customWidth="1"/>
    <col min="1542" max="1542" width="1" style="1" customWidth="1"/>
    <col min="1543" max="1543" width="12" style="1" bestFit="1" customWidth="1"/>
    <col min="1544" max="1563" width="0" style="1" hidden="1" customWidth="1"/>
    <col min="1564" max="1564" width="10" style="1" bestFit="1" customWidth="1"/>
    <col min="1565" max="1792" width="9.140625" style="1"/>
    <col min="1793" max="1793" width="1.28515625" style="1" customWidth="1"/>
    <col min="1794" max="1794" width="44.5703125" style="1" customWidth="1"/>
    <col min="1795" max="1795" width="17.140625" style="1" customWidth="1"/>
    <col min="1796" max="1796" width="18.5703125" style="1" customWidth="1"/>
    <col min="1797" max="1797" width="17.140625" style="1" customWidth="1"/>
    <col min="1798" max="1798" width="1" style="1" customWidth="1"/>
    <col min="1799" max="1799" width="12" style="1" bestFit="1" customWidth="1"/>
    <col min="1800" max="1819" width="0" style="1" hidden="1" customWidth="1"/>
    <col min="1820" max="1820" width="10" style="1" bestFit="1" customWidth="1"/>
    <col min="1821" max="2048" width="9.140625" style="1"/>
    <col min="2049" max="2049" width="1.28515625" style="1" customWidth="1"/>
    <col min="2050" max="2050" width="44.5703125" style="1" customWidth="1"/>
    <col min="2051" max="2051" width="17.140625" style="1" customWidth="1"/>
    <col min="2052" max="2052" width="18.5703125" style="1" customWidth="1"/>
    <col min="2053" max="2053" width="17.140625" style="1" customWidth="1"/>
    <col min="2054" max="2054" width="1" style="1" customWidth="1"/>
    <col min="2055" max="2055" width="12" style="1" bestFit="1" customWidth="1"/>
    <col min="2056" max="2075" width="0" style="1" hidden="1" customWidth="1"/>
    <col min="2076" max="2076" width="10" style="1" bestFit="1" customWidth="1"/>
    <col min="2077" max="2304" width="9.140625" style="1"/>
    <col min="2305" max="2305" width="1.28515625" style="1" customWidth="1"/>
    <col min="2306" max="2306" width="44.5703125" style="1" customWidth="1"/>
    <col min="2307" max="2307" width="17.140625" style="1" customWidth="1"/>
    <col min="2308" max="2308" width="18.5703125" style="1" customWidth="1"/>
    <col min="2309" max="2309" width="17.140625" style="1" customWidth="1"/>
    <col min="2310" max="2310" width="1" style="1" customWidth="1"/>
    <col min="2311" max="2311" width="12" style="1" bestFit="1" customWidth="1"/>
    <col min="2312" max="2331" width="0" style="1" hidden="1" customWidth="1"/>
    <col min="2332" max="2332" width="10" style="1" bestFit="1" customWidth="1"/>
    <col min="2333" max="2560" width="9.140625" style="1"/>
    <col min="2561" max="2561" width="1.28515625" style="1" customWidth="1"/>
    <col min="2562" max="2562" width="44.5703125" style="1" customWidth="1"/>
    <col min="2563" max="2563" width="17.140625" style="1" customWidth="1"/>
    <col min="2564" max="2564" width="18.5703125" style="1" customWidth="1"/>
    <col min="2565" max="2565" width="17.140625" style="1" customWidth="1"/>
    <col min="2566" max="2566" width="1" style="1" customWidth="1"/>
    <col min="2567" max="2567" width="12" style="1" bestFit="1" customWidth="1"/>
    <col min="2568" max="2587" width="0" style="1" hidden="1" customWidth="1"/>
    <col min="2588" max="2588" width="10" style="1" bestFit="1" customWidth="1"/>
    <col min="2589" max="2816" width="9.140625" style="1"/>
    <col min="2817" max="2817" width="1.28515625" style="1" customWidth="1"/>
    <col min="2818" max="2818" width="44.5703125" style="1" customWidth="1"/>
    <col min="2819" max="2819" width="17.140625" style="1" customWidth="1"/>
    <col min="2820" max="2820" width="18.5703125" style="1" customWidth="1"/>
    <col min="2821" max="2821" width="17.140625" style="1" customWidth="1"/>
    <col min="2822" max="2822" width="1" style="1" customWidth="1"/>
    <col min="2823" max="2823" width="12" style="1" bestFit="1" customWidth="1"/>
    <col min="2824" max="2843" width="0" style="1" hidden="1" customWidth="1"/>
    <col min="2844" max="2844" width="10" style="1" bestFit="1" customWidth="1"/>
    <col min="2845" max="3072" width="9.140625" style="1"/>
    <col min="3073" max="3073" width="1.28515625" style="1" customWidth="1"/>
    <col min="3074" max="3074" width="44.5703125" style="1" customWidth="1"/>
    <col min="3075" max="3075" width="17.140625" style="1" customWidth="1"/>
    <col min="3076" max="3076" width="18.5703125" style="1" customWidth="1"/>
    <col min="3077" max="3077" width="17.140625" style="1" customWidth="1"/>
    <col min="3078" max="3078" width="1" style="1" customWidth="1"/>
    <col min="3079" max="3079" width="12" style="1" bestFit="1" customWidth="1"/>
    <col min="3080" max="3099" width="0" style="1" hidden="1" customWidth="1"/>
    <col min="3100" max="3100" width="10" style="1" bestFit="1" customWidth="1"/>
    <col min="3101" max="3328" width="9.140625" style="1"/>
    <col min="3329" max="3329" width="1.28515625" style="1" customWidth="1"/>
    <col min="3330" max="3330" width="44.5703125" style="1" customWidth="1"/>
    <col min="3331" max="3331" width="17.140625" style="1" customWidth="1"/>
    <col min="3332" max="3332" width="18.5703125" style="1" customWidth="1"/>
    <col min="3333" max="3333" width="17.140625" style="1" customWidth="1"/>
    <col min="3334" max="3334" width="1" style="1" customWidth="1"/>
    <col min="3335" max="3335" width="12" style="1" bestFit="1" customWidth="1"/>
    <col min="3336" max="3355" width="0" style="1" hidden="1" customWidth="1"/>
    <col min="3356" max="3356" width="10" style="1" bestFit="1" customWidth="1"/>
    <col min="3357" max="3584" width="9.140625" style="1"/>
    <col min="3585" max="3585" width="1.28515625" style="1" customWidth="1"/>
    <col min="3586" max="3586" width="44.5703125" style="1" customWidth="1"/>
    <col min="3587" max="3587" width="17.140625" style="1" customWidth="1"/>
    <col min="3588" max="3588" width="18.5703125" style="1" customWidth="1"/>
    <col min="3589" max="3589" width="17.140625" style="1" customWidth="1"/>
    <col min="3590" max="3590" width="1" style="1" customWidth="1"/>
    <col min="3591" max="3591" width="12" style="1" bestFit="1" customWidth="1"/>
    <col min="3592" max="3611" width="0" style="1" hidden="1" customWidth="1"/>
    <col min="3612" max="3612" width="10" style="1" bestFit="1" customWidth="1"/>
    <col min="3613" max="3840" width="9.140625" style="1"/>
    <col min="3841" max="3841" width="1.28515625" style="1" customWidth="1"/>
    <col min="3842" max="3842" width="44.5703125" style="1" customWidth="1"/>
    <col min="3843" max="3843" width="17.140625" style="1" customWidth="1"/>
    <col min="3844" max="3844" width="18.5703125" style="1" customWidth="1"/>
    <col min="3845" max="3845" width="17.140625" style="1" customWidth="1"/>
    <col min="3846" max="3846" width="1" style="1" customWidth="1"/>
    <col min="3847" max="3847" width="12" style="1" bestFit="1" customWidth="1"/>
    <col min="3848" max="3867" width="0" style="1" hidden="1" customWidth="1"/>
    <col min="3868" max="3868" width="10" style="1" bestFit="1" customWidth="1"/>
    <col min="3869" max="4096" width="9.140625" style="1"/>
    <col min="4097" max="4097" width="1.28515625" style="1" customWidth="1"/>
    <col min="4098" max="4098" width="44.5703125" style="1" customWidth="1"/>
    <col min="4099" max="4099" width="17.140625" style="1" customWidth="1"/>
    <col min="4100" max="4100" width="18.5703125" style="1" customWidth="1"/>
    <col min="4101" max="4101" width="17.140625" style="1" customWidth="1"/>
    <col min="4102" max="4102" width="1" style="1" customWidth="1"/>
    <col min="4103" max="4103" width="12" style="1" bestFit="1" customWidth="1"/>
    <col min="4104" max="4123" width="0" style="1" hidden="1" customWidth="1"/>
    <col min="4124" max="4124" width="10" style="1" bestFit="1" customWidth="1"/>
    <col min="4125" max="4352" width="9.140625" style="1"/>
    <col min="4353" max="4353" width="1.28515625" style="1" customWidth="1"/>
    <col min="4354" max="4354" width="44.5703125" style="1" customWidth="1"/>
    <col min="4355" max="4355" width="17.140625" style="1" customWidth="1"/>
    <col min="4356" max="4356" width="18.5703125" style="1" customWidth="1"/>
    <col min="4357" max="4357" width="17.140625" style="1" customWidth="1"/>
    <col min="4358" max="4358" width="1" style="1" customWidth="1"/>
    <col min="4359" max="4359" width="12" style="1" bestFit="1" customWidth="1"/>
    <col min="4360" max="4379" width="0" style="1" hidden="1" customWidth="1"/>
    <col min="4380" max="4380" width="10" style="1" bestFit="1" customWidth="1"/>
    <col min="4381" max="4608" width="9.140625" style="1"/>
    <col min="4609" max="4609" width="1.28515625" style="1" customWidth="1"/>
    <col min="4610" max="4610" width="44.5703125" style="1" customWidth="1"/>
    <col min="4611" max="4611" width="17.140625" style="1" customWidth="1"/>
    <col min="4612" max="4612" width="18.5703125" style="1" customWidth="1"/>
    <col min="4613" max="4613" width="17.140625" style="1" customWidth="1"/>
    <col min="4614" max="4614" width="1" style="1" customWidth="1"/>
    <col min="4615" max="4615" width="12" style="1" bestFit="1" customWidth="1"/>
    <col min="4616" max="4635" width="0" style="1" hidden="1" customWidth="1"/>
    <col min="4636" max="4636" width="10" style="1" bestFit="1" customWidth="1"/>
    <col min="4637" max="4864" width="9.140625" style="1"/>
    <col min="4865" max="4865" width="1.28515625" style="1" customWidth="1"/>
    <col min="4866" max="4866" width="44.5703125" style="1" customWidth="1"/>
    <col min="4867" max="4867" width="17.140625" style="1" customWidth="1"/>
    <col min="4868" max="4868" width="18.5703125" style="1" customWidth="1"/>
    <col min="4869" max="4869" width="17.140625" style="1" customWidth="1"/>
    <col min="4870" max="4870" width="1" style="1" customWidth="1"/>
    <col min="4871" max="4871" width="12" style="1" bestFit="1" customWidth="1"/>
    <col min="4872" max="4891" width="0" style="1" hidden="1" customWidth="1"/>
    <col min="4892" max="4892" width="10" style="1" bestFit="1" customWidth="1"/>
    <col min="4893" max="5120" width="9.140625" style="1"/>
    <col min="5121" max="5121" width="1.28515625" style="1" customWidth="1"/>
    <col min="5122" max="5122" width="44.5703125" style="1" customWidth="1"/>
    <col min="5123" max="5123" width="17.140625" style="1" customWidth="1"/>
    <col min="5124" max="5124" width="18.5703125" style="1" customWidth="1"/>
    <col min="5125" max="5125" width="17.140625" style="1" customWidth="1"/>
    <col min="5126" max="5126" width="1" style="1" customWidth="1"/>
    <col min="5127" max="5127" width="12" style="1" bestFit="1" customWidth="1"/>
    <col min="5128" max="5147" width="0" style="1" hidden="1" customWidth="1"/>
    <col min="5148" max="5148" width="10" style="1" bestFit="1" customWidth="1"/>
    <col min="5149" max="5376" width="9.140625" style="1"/>
    <col min="5377" max="5377" width="1.28515625" style="1" customWidth="1"/>
    <col min="5378" max="5378" width="44.5703125" style="1" customWidth="1"/>
    <col min="5379" max="5379" width="17.140625" style="1" customWidth="1"/>
    <col min="5380" max="5380" width="18.5703125" style="1" customWidth="1"/>
    <col min="5381" max="5381" width="17.140625" style="1" customWidth="1"/>
    <col min="5382" max="5382" width="1" style="1" customWidth="1"/>
    <col min="5383" max="5383" width="12" style="1" bestFit="1" customWidth="1"/>
    <col min="5384" max="5403" width="0" style="1" hidden="1" customWidth="1"/>
    <col min="5404" max="5404" width="10" style="1" bestFit="1" customWidth="1"/>
    <col min="5405" max="5632" width="9.140625" style="1"/>
    <col min="5633" max="5633" width="1.28515625" style="1" customWidth="1"/>
    <col min="5634" max="5634" width="44.5703125" style="1" customWidth="1"/>
    <col min="5635" max="5635" width="17.140625" style="1" customWidth="1"/>
    <col min="5636" max="5636" width="18.5703125" style="1" customWidth="1"/>
    <col min="5637" max="5637" width="17.140625" style="1" customWidth="1"/>
    <col min="5638" max="5638" width="1" style="1" customWidth="1"/>
    <col min="5639" max="5639" width="12" style="1" bestFit="1" customWidth="1"/>
    <col min="5640" max="5659" width="0" style="1" hidden="1" customWidth="1"/>
    <col min="5660" max="5660" width="10" style="1" bestFit="1" customWidth="1"/>
    <col min="5661" max="5888" width="9.140625" style="1"/>
    <col min="5889" max="5889" width="1.28515625" style="1" customWidth="1"/>
    <col min="5890" max="5890" width="44.5703125" style="1" customWidth="1"/>
    <col min="5891" max="5891" width="17.140625" style="1" customWidth="1"/>
    <col min="5892" max="5892" width="18.5703125" style="1" customWidth="1"/>
    <col min="5893" max="5893" width="17.140625" style="1" customWidth="1"/>
    <col min="5894" max="5894" width="1" style="1" customWidth="1"/>
    <col min="5895" max="5895" width="12" style="1" bestFit="1" customWidth="1"/>
    <col min="5896" max="5915" width="0" style="1" hidden="1" customWidth="1"/>
    <col min="5916" max="5916" width="10" style="1" bestFit="1" customWidth="1"/>
    <col min="5917" max="6144" width="9.140625" style="1"/>
    <col min="6145" max="6145" width="1.28515625" style="1" customWidth="1"/>
    <col min="6146" max="6146" width="44.5703125" style="1" customWidth="1"/>
    <col min="6147" max="6147" width="17.140625" style="1" customWidth="1"/>
    <col min="6148" max="6148" width="18.5703125" style="1" customWidth="1"/>
    <col min="6149" max="6149" width="17.140625" style="1" customWidth="1"/>
    <col min="6150" max="6150" width="1" style="1" customWidth="1"/>
    <col min="6151" max="6151" width="12" style="1" bestFit="1" customWidth="1"/>
    <col min="6152" max="6171" width="0" style="1" hidden="1" customWidth="1"/>
    <col min="6172" max="6172" width="10" style="1" bestFit="1" customWidth="1"/>
    <col min="6173" max="6400" width="9.140625" style="1"/>
    <col min="6401" max="6401" width="1.28515625" style="1" customWidth="1"/>
    <col min="6402" max="6402" width="44.5703125" style="1" customWidth="1"/>
    <col min="6403" max="6403" width="17.140625" style="1" customWidth="1"/>
    <col min="6404" max="6404" width="18.5703125" style="1" customWidth="1"/>
    <col min="6405" max="6405" width="17.140625" style="1" customWidth="1"/>
    <col min="6406" max="6406" width="1" style="1" customWidth="1"/>
    <col min="6407" max="6407" width="12" style="1" bestFit="1" customWidth="1"/>
    <col min="6408" max="6427" width="0" style="1" hidden="1" customWidth="1"/>
    <col min="6428" max="6428" width="10" style="1" bestFit="1" customWidth="1"/>
    <col min="6429" max="6656" width="9.140625" style="1"/>
    <col min="6657" max="6657" width="1.28515625" style="1" customWidth="1"/>
    <col min="6658" max="6658" width="44.5703125" style="1" customWidth="1"/>
    <col min="6659" max="6659" width="17.140625" style="1" customWidth="1"/>
    <col min="6660" max="6660" width="18.5703125" style="1" customWidth="1"/>
    <col min="6661" max="6661" width="17.140625" style="1" customWidth="1"/>
    <col min="6662" max="6662" width="1" style="1" customWidth="1"/>
    <col min="6663" max="6663" width="12" style="1" bestFit="1" customWidth="1"/>
    <col min="6664" max="6683" width="0" style="1" hidden="1" customWidth="1"/>
    <col min="6684" max="6684" width="10" style="1" bestFit="1" customWidth="1"/>
    <col min="6685" max="6912" width="9.140625" style="1"/>
    <col min="6913" max="6913" width="1.28515625" style="1" customWidth="1"/>
    <col min="6914" max="6914" width="44.5703125" style="1" customWidth="1"/>
    <col min="6915" max="6915" width="17.140625" style="1" customWidth="1"/>
    <col min="6916" max="6916" width="18.5703125" style="1" customWidth="1"/>
    <col min="6917" max="6917" width="17.140625" style="1" customWidth="1"/>
    <col min="6918" max="6918" width="1" style="1" customWidth="1"/>
    <col min="6919" max="6919" width="12" style="1" bestFit="1" customWidth="1"/>
    <col min="6920" max="6939" width="0" style="1" hidden="1" customWidth="1"/>
    <col min="6940" max="6940" width="10" style="1" bestFit="1" customWidth="1"/>
    <col min="6941" max="7168" width="9.140625" style="1"/>
    <col min="7169" max="7169" width="1.28515625" style="1" customWidth="1"/>
    <col min="7170" max="7170" width="44.5703125" style="1" customWidth="1"/>
    <col min="7171" max="7171" width="17.140625" style="1" customWidth="1"/>
    <col min="7172" max="7172" width="18.5703125" style="1" customWidth="1"/>
    <col min="7173" max="7173" width="17.140625" style="1" customWidth="1"/>
    <col min="7174" max="7174" width="1" style="1" customWidth="1"/>
    <col min="7175" max="7175" width="12" style="1" bestFit="1" customWidth="1"/>
    <col min="7176" max="7195" width="0" style="1" hidden="1" customWidth="1"/>
    <col min="7196" max="7196" width="10" style="1" bestFit="1" customWidth="1"/>
    <col min="7197" max="7424" width="9.140625" style="1"/>
    <col min="7425" max="7425" width="1.28515625" style="1" customWidth="1"/>
    <col min="7426" max="7426" width="44.5703125" style="1" customWidth="1"/>
    <col min="7427" max="7427" width="17.140625" style="1" customWidth="1"/>
    <col min="7428" max="7428" width="18.5703125" style="1" customWidth="1"/>
    <col min="7429" max="7429" width="17.140625" style="1" customWidth="1"/>
    <col min="7430" max="7430" width="1" style="1" customWidth="1"/>
    <col min="7431" max="7431" width="12" style="1" bestFit="1" customWidth="1"/>
    <col min="7432" max="7451" width="0" style="1" hidden="1" customWidth="1"/>
    <col min="7452" max="7452" width="10" style="1" bestFit="1" customWidth="1"/>
    <col min="7453" max="7680" width="9.140625" style="1"/>
    <col min="7681" max="7681" width="1.28515625" style="1" customWidth="1"/>
    <col min="7682" max="7682" width="44.5703125" style="1" customWidth="1"/>
    <col min="7683" max="7683" width="17.140625" style="1" customWidth="1"/>
    <col min="7684" max="7684" width="18.5703125" style="1" customWidth="1"/>
    <col min="7685" max="7685" width="17.140625" style="1" customWidth="1"/>
    <col min="7686" max="7686" width="1" style="1" customWidth="1"/>
    <col min="7687" max="7687" width="12" style="1" bestFit="1" customWidth="1"/>
    <col min="7688" max="7707" width="0" style="1" hidden="1" customWidth="1"/>
    <col min="7708" max="7708" width="10" style="1" bestFit="1" customWidth="1"/>
    <col min="7709" max="7936" width="9.140625" style="1"/>
    <col min="7937" max="7937" width="1.28515625" style="1" customWidth="1"/>
    <col min="7938" max="7938" width="44.5703125" style="1" customWidth="1"/>
    <col min="7939" max="7939" width="17.140625" style="1" customWidth="1"/>
    <col min="7940" max="7940" width="18.5703125" style="1" customWidth="1"/>
    <col min="7941" max="7941" width="17.140625" style="1" customWidth="1"/>
    <col min="7942" max="7942" width="1" style="1" customWidth="1"/>
    <col min="7943" max="7943" width="12" style="1" bestFit="1" customWidth="1"/>
    <col min="7944" max="7963" width="0" style="1" hidden="1" customWidth="1"/>
    <col min="7964" max="7964" width="10" style="1" bestFit="1" customWidth="1"/>
    <col min="7965" max="8192" width="9.140625" style="1"/>
    <col min="8193" max="8193" width="1.28515625" style="1" customWidth="1"/>
    <col min="8194" max="8194" width="44.5703125" style="1" customWidth="1"/>
    <col min="8195" max="8195" width="17.140625" style="1" customWidth="1"/>
    <col min="8196" max="8196" width="18.5703125" style="1" customWidth="1"/>
    <col min="8197" max="8197" width="17.140625" style="1" customWidth="1"/>
    <col min="8198" max="8198" width="1" style="1" customWidth="1"/>
    <col min="8199" max="8199" width="12" style="1" bestFit="1" customWidth="1"/>
    <col min="8200" max="8219" width="0" style="1" hidden="1" customWidth="1"/>
    <col min="8220" max="8220" width="10" style="1" bestFit="1" customWidth="1"/>
    <col min="8221" max="8448" width="9.140625" style="1"/>
    <col min="8449" max="8449" width="1.28515625" style="1" customWidth="1"/>
    <col min="8450" max="8450" width="44.5703125" style="1" customWidth="1"/>
    <col min="8451" max="8451" width="17.140625" style="1" customWidth="1"/>
    <col min="8452" max="8452" width="18.5703125" style="1" customWidth="1"/>
    <col min="8453" max="8453" width="17.140625" style="1" customWidth="1"/>
    <col min="8454" max="8454" width="1" style="1" customWidth="1"/>
    <col min="8455" max="8455" width="12" style="1" bestFit="1" customWidth="1"/>
    <col min="8456" max="8475" width="0" style="1" hidden="1" customWidth="1"/>
    <col min="8476" max="8476" width="10" style="1" bestFit="1" customWidth="1"/>
    <col min="8477" max="8704" width="9.140625" style="1"/>
    <col min="8705" max="8705" width="1.28515625" style="1" customWidth="1"/>
    <col min="8706" max="8706" width="44.5703125" style="1" customWidth="1"/>
    <col min="8707" max="8707" width="17.140625" style="1" customWidth="1"/>
    <col min="8708" max="8708" width="18.5703125" style="1" customWidth="1"/>
    <col min="8709" max="8709" width="17.140625" style="1" customWidth="1"/>
    <col min="8710" max="8710" width="1" style="1" customWidth="1"/>
    <col min="8711" max="8711" width="12" style="1" bestFit="1" customWidth="1"/>
    <col min="8712" max="8731" width="0" style="1" hidden="1" customWidth="1"/>
    <col min="8732" max="8732" width="10" style="1" bestFit="1" customWidth="1"/>
    <col min="8733" max="8960" width="9.140625" style="1"/>
    <col min="8961" max="8961" width="1.28515625" style="1" customWidth="1"/>
    <col min="8962" max="8962" width="44.5703125" style="1" customWidth="1"/>
    <col min="8963" max="8963" width="17.140625" style="1" customWidth="1"/>
    <col min="8964" max="8964" width="18.5703125" style="1" customWidth="1"/>
    <col min="8965" max="8965" width="17.140625" style="1" customWidth="1"/>
    <col min="8966" max="8966" width="1" style="1" customWidth="1"/>
    <col min="8967" max="8967" width="12" style="1" bestFit="1" customWidth="1"/>
    <col min="8968" max="8987" width="0" style="1" hidden="1" customWidth="1"/>
    <col min="8988" max="8988" width="10" style="1" bestFit="1" customWidth="1"/>
    <col min="8989" max="9216" width="9.140625" style="1"/>
    <col min="9217" max="9217" width="1.28515625" style="1" customWidth="1"/>
    <col min="9218" max="9218" width="44.5703125" style="1" customWidth="1"/>
    <col min="9219" max="9219" width="17.140625" style="1" customWidth="1"/>
    <col min="9220" max="9220" width="18.5703125" style="1" customWidth="1"/>
    <col min="9221" max="9221" width="17.140625" style="1" customWidth="1"/>
    <col min="9222" max="9222" width="1" style="1" customWidth="1"/>
    <col min="9223" max="9223" width="12" style="1" bestFit="1" customWidth="1"/>
    <col min="9224" max="9243" width="0" style="1" hidden="1" customWidth="1"/>
    <col min="9244" max="9244" width="10" style="1" bestFit="1" customWidth="1"/>
    <col min="9245" max="9472" width="9.140625" style="1"/>
    <col min="9473" max="9473" width="1.28515625" style="1" customWidth="1"/>
    <col min="9474" max="9474" width="44.5703125" style="1" customWidth="1"/>
    <col min="9475" max="9475" width="17.140625" style="1" customWidth="1"/>
    <col min="9476" max="9476" width="18.5703125" style="1" customWidth="1"/>
    <col min="9477" max="9477" width="17.140625" style="1" customWidth="1"/>
    <col min="9478" max="9478" width="1" style="1" customWidth="1"/>
    <col min="9479" max="9479" width="12" style="1" bestFit="1" customWidth="1"/>
    <col min="9480" max="9499" width="0" style="1" hidden="1" customWidth="1"/>
    <col min="9500" max="9500" width="10" style="1" bestFit="1" customWidth="1"/>
    <col min="9501" max="9728" width="9.140625" style="1"/>
    <col min="9729" max="9729" width="1.28515625" style="1" customWidth="1"/>
    <col min="9730" max="9730" width="44.5703125" style="1" customWidth="1"/>
    <col min="9731" max="9731" width="17.140625" style="1" customWidth="1"/>
    <col min="9732" max="9732" width="18.5703125" style="1" customWidth="1"/>
    <col min="9733" max="9733" width="17.140625" style="1" customWidth="1"/>
    <col min="9734" max="9734" width="1" style="1" customWidth="1"/>
    <col min="9735" max="9735" width="12" style="1" bestFit="1" customWidth="1"/>
    <col min="9736" max="9755" width="0" style="1" hidden="1" customWidth="1"/>
    <col min="9756" max="9756" width="10" style="1" bestFit="1" customWidth="1"/>
    <col min="9757" max="9984" width="9.140625" style="1"/>
    <col min="9985" max="9985" width="1.28515625" style="1" customWidth="1"/>
    <col min="9986" max="9986" width="44.5703125" style="1" customWidth="1"/>
    <col min="9987" max="9987" width="17.140625" style="1" customWidth="1"/>
    <col min="9988" max="9988" width="18.5703125" style="1" customWidth="1"/>
    <col min="9989" max="9989" width="17.140625" style="1" customWidth="1"/>
    <col min="9990" max="9990" width="1" style="1" customWidth="1"/>
    <col min="9991" max="9991" width="12" style="1" bestFit="1" customWidth="1"/>
    <col min="9992" max="10011" width="0" style="1" hidden="1" customWidth="1"/>
    <col min="10012" max="10012" width="10" style="1" bestFit="1" customWidth="1"/>
    <col min="10013" max="10240" width="9.140625" style="1"/>
    <col min="10241" max="10241" width="1.28515625" style="1" customWidth="1"/>
    <col min="10242" max="10242" width="44.5703125" style="1" customWidth="1"/>
    <col min="10243" max="10243" width="17.140625" style="1" customWidth="1"/>
    <col min="10244" max="10244" width="18.5703125" style="1" customWidth="1"/>
    <col min="10245" max="10245" width="17.140625" style="1" customWidth="1"/>
    <col min="10246" max="10246" width="1" style="1" customWidth="1"/>
    <col min="10247" max="10247" width="12" style="1" bestFit="1" customWidth="1"/>
    <col min="10248" max="10267" width="0" style="1" hidden="1" customWidth="1"/>
    <col min="10268" max="10268" width="10" style="1" bestFit="1" customWidth="1"/>
    <col min="10269" max="10496" width="9.140625" style="1"/>
    <col min="10497" max="10497" width="1.28515625" style="1" customWidth="1"/>
    <col min="10498" max="10498" width="44.5703125" style="1" customWidth="1"/>
    <col min="10499" max="10499" width="17.140625" style="1" customWidth="1"/>
    <col min="10500" max="10500" width="18.5703125" style="1" customWidth="1"/>
    <col min="10501" max="10501" width="17.140625" style="1" customWidth="1"/>
    <col min="10502" max="10502" width="1" style="1" customWidth="1"/>
    <col min="10503" max="10503" width="12" style="1" bestFit="1" customWidth="1"/>
    <col min="10504" max="10523" width="0" style="1" hidden="1" customWidth="1"/>
    <col min="10524" max="10524" width="10" style="1" bestFit="1" customWidth="1"/>
    <col min="10525" max="10752" width="9.140625" style="1"/>
    <col min="10753" max="10753" width="1.28515625" style="1" customWidth="1"/>
    <col min="10754" max="10754" width="44.5703125" style="1" customWidth="1"/>
    <col min="10755" max="10755" width="17.140625" style="1" customWidth="1"/>
    <col min="10756" max="10756" width="18.5703125" style="1" customWidth="1"/>
    <col min="10757" max="10757" width="17.140625" style="1" customWidth="1"/>
    <col min="10758" max="10758" width="1" style="1" customWidth="1"/>
    <col min="10759" max="10759" width="12" style="1" bestFit="1" customWidth="1"/>
    <col min="10760" max="10779" width="0" style="1" hidden="1" customWidth="1"/>
    <col min="10780" max="10780" width="10" style="1" bestFit="1" customWidth="1"/>
    <col min="10781" max="11008" width="9.140625" style="1"/>
    <col min="11009" max="11009" width="1.28515625" style="1" customWidth="1"/>
    <col min="11010" max="11010" width="44.5703125" style="1" customWidth="1"/>
    <col min="11011" max="11011" width="17.140625" style="1" customWidth="1"/>
    <col min="11012" max="11012" width="18.5703125" style="1" customWidth="1"/>
    <col min="11013" max="11013" width="17.140625" style="1" customWidth="1"/>
    <col min="11014" max="11014" width="1" style="1" customWidth="1"/>
    <col min="11015" max="11015" width="12" style="1" bestFit="1" customWidth="1"/>
    <col min="11016" max="11035" width="0" style="1" hidden="1" customWidth="1"/>
    <col min="11036" max="11036" width="10" style="1" bestFit="1" customWidth="1"/>
    <col min="11037" max="11264" width="9.140625" style="1"/>
    <col min="11265" max="11265" width="1.28515625" style="1" customWidth="1"/>
    <col min="11266" max="11266" width="44.5703125" style="1" customWidth="1"/>
    <col min="11267" max="11267" width="17.140625" style="1" customWidth="1"/>
    <col min="11268" max="11268" width="18.5703125" style="1" customWidth="1"/>
    <col min="11269" max="11269" width="17.140625" style="1" customWidth="1"/>
    <col min="11270" max="11270" width="1" style="1" customWidth="1"/>
    <col min="11271" max="11271" width="12" style="1" bestFit="1" customWidth="1"/>
    <col min="11272" max="11291" width="0" style="1" hidden="1" customWidth="1"/>
    <col min="11292" max="11292" width="10" style="1" bestFit="1" customWidth="1"/>
    <col min="11293" max="11520" width="9.140625" style="1"/>
    <col min="11521" max="11521" width="1.28515625" style="1" customWidth="1"/>
    <col min="11522" max="11522" width="44.5703125" style="1" customWidth="1"/>
    <col min="11523" max="11523" width="17.140625" style="1" customWidth="1"/>
    <col min="11524" max="11524" width="18.5703125" style="1" customWidth="1"/>
    <col min="11525" max="11525" width="17.140625" style="1" customWidth="1"/>
    <col min="11526" max="11526" width="1" style="1" customWidth="1"/>
    <col min="11527" max="11527" width="12" style="1" bestFit="1" customWidth="1"/>
    <col min="11528" max="11547" width="0" style="1" hidden="1" customWidth="1"/>
    <col min="11548" max="11548" width="10" style="1" bestFit="1" customWidth="1"/>
    <col min="11549" max="11776" width="9.140625" style="1"/>
    <col min="11777" max="11777" width="1.28515625" style="1" customWidth="1"/>
    <col min="11778" max="11778" width="44.5703125" style="1" customWidth="1"/>
    <col min="11779" max="11779" width="17.140625" style="1" customWidth="1"/>
    <col min="11780" max="11780" width="18.5703125" style="1" customWidth="1"/>
    <col min="11781" max="11781" width="17.140625" style="1" customWidth="1"/>
    <col min="11782" max="11782" width="1" style="1" customWidth="1"/>
    <col min="11783" max="11783" width="12" style="1" bestFit="1" customWidth="1"/>
    <col min="11784" max="11803" width="0" style="1" hidden="1" customWidth="1"/>
    <col min="11804" max="11804" width="10" style="1" bestFit="1" customWidth="1"/>
    <col min="11805" max="12032" width="9.140625" style="1"/>
    <col min="12033" max="12033" width="1.28515625" style="1" customWidth="1"/>
    <col min="12034" max="12034" width="44.5703125" style="1" customWidth="1"/>
    <col min="12035" max="12035" width="17.140625" style="1" customWidth="1"/>
    <col min="12036" max="12036" width="18.5703125" style="1" customWidth="1"/>
    <col min="12037" max="12037" width="17.140625" style="1" customWidth="1"/>
    <col min="12038" max="12038" width="1" style="1" customWidth="1"/>
    <col min="12039" max="12039" width="12" style="1" bestFit="1" customWidth="1"/>
    <col min="12040" max="12059" width="0" style="1" hidden="1" customWidth="1"/>
    <col min="12060" max="12060" width="10" style="1" bestFit="1" customWidth="1"/>
    <col min="12061" max="12288" width="9.140625" style="1"/>
    <col min="12289" max="12289" width="1.28515625" style="1" customWidth="1"/>
    <col min="12290" max="12290" width="44.5703125" style="1" customWidth="1"/>
    <col min="12291" max="12291" width="17.140625" style="1" customWidth="1"/>
    <col min="12292" max="12292" width="18.5703125" style="1" customWidth="1"/>
    <col min="12293" max="12293" width="17.140625" style="1" customWidth="1"/>
    <col min="12294" max="12294" width="1" style="1" customWidth="1"/>
    <col min="12295" max="12295" width="12" style="1" bestFit="1" customWidth="1"/>
    <col min="12296" max="12315" width="0" style="1" hidden="1" customWidth="1"/>
    <col min="12316" max="12316" width="10" style="1" bestFit="1" customWidth="1"/>
    <col min="12317" max="12544" width="9.140625" style="1"/>
    <col min="12545" max="12545" width="1.28515625" style="1" customWidth="1"/>
    <col min="12546" max="12546" width="44.5703125" style="1" customWidth="1"/>
    <col min="12547" max="12547" width="17.140625" style="1" customWidth="1"/>
    <col min="12548" max="12548" width="18.5703125" style="1" customWidth="1"/>
    <col min="12549" max="12549" width="17.140625" style="1" customWidth="1"/>
    <col min="12550" max="12550" width="1" style="1" customWidth="1"/>
    <col min="12551" max="12551" width="12" style="1" bestFit="1" customWidth="1"/>
    <col min="12552" max="12571" width="0" style="1" hidden="1" customWidth="1"/>
    <col min="12572" max="12572" width="10" style="1" bestFit="1" customWidth="1"/>
    <col min="12573" max="12800" width="9.140625" style="1"/>
    <col min="12801" max="12801" width="1.28515625" style="1" customWidth="1"/>
    <col min="12802" max="12802" width="44.5703125" style="1" customWidth="1"/>
    <col min="12803" max="12803" width="17.140625" style="1" customWidth="1"/>
    <col min="12804" max="12804" width="18.5703125" style="1" customWidth="1"/>
    <col min="12805" max="12805" width="17.140625" style="1" customWidth="1"/>
    <col min="12806" max="12806" width="1" style="1" customWidth="1"/>
    <col min="12807" max="12807" width="12" style="1" bestFit="1" customWidth="1"/>
    <col min="12808" max="12827" width="0" style="1" hidden="1" customWidth="1"/>
    <col min="12828" max="12828" width="10" style="1" bestFit="1" customWidth="1"/>
    <col min="12829" max="13056" width="9.140625" style="1"/>
    <col min="13057" max="13057" width="1.28515625" style="1" customWidth="1"/>
    <col min="13058" max="13058" width="44.5703125" style="1" customWidth="1"/>
    <col min="13059" max="13059" width="17.140625" style="1" customWidth="1"/>
    <col min="13060" max="13060" width="18.5703125" style="1" customWidth="1"/>
    <col min="13061" max="13061" width="17.140625" style="1" customWidth="1"/>
    <col min="13062" max="13062" width="1" style="1" customWidth="1"/>
    <col min="13063" max="13063" width="12" style="1" bestFit="1" customWidth="1"/>
    <col min="13064" max="13083" width="0" style="1" hidden="1" customWidth="1"/>
    <col min="13084" max="13084" width="10" style="1" bestFit="1" customWidth="1"/>
    <col min="13085" max="13312" width="9.140625" style="1"/>
    <col min="13313" max="13313" width="1.28515625" style="1" customWidth="1"/>
    <col min="13314" max="13314" width="44.5703125" style="1" customWidth="1"/>
    <col min="13315" max="13315" width="17.140625" style="1" customWidth="1"/>
    <col min="13316" max="13316" width="18.5703125" style="1" customWidth="1"/>
    <col min="13317" max="13317" width="17.140625" style="1" customWidth="1"/>
    <col min="13318" max="13318" width="1" style="1" customWidth="1"/>
    <col min="13319" max="13319" width="12" style="1" bestFit="1" customWidth="1"/>
    <col min="13320" max="13339" width="0" style="1" hidden="1" customWidth="1"/>
    <col min="13340" max="13340" width="10" style="1" bestFit="1" customWidth="1"/>
    <col min="13341" max="13568" width="9.140625" style="1"/>
    <col min="13569" max="13569" width="1.28515625" style="1" customWidth="1"/>
    <col min="13570" max="13570" width="44.5703125" style="1" customWidth="1"/>
    <col min="13571" max="13571" width="17.140625" style="1" customWidth="1"/>
    <col min="13572" max="13572" width="18.5703125" style="1" customWidth="1"/>
    <col min="13573" max="13573" width="17.140625" style="1" customWidth="1"/>
    <col min="13574" max="13574" width="1" style="1" customWidth="1"/>
    <col min="13575" max="13575" width="12" style="1" bestFit="1" customWidth="1"/>
    <col min="13576" max="13595" width="0" style="1" hidden="1" customWidth="1"/>
    <col min="13596" max="13596" width="10" style="1" bestFit="1" customWidth="1"/>
    <col min="13597" max="13824" width="9.140625" style="1"/>
    <col min="13825" max="13825" width="1.28515625" style="1" customWidth="1"/>
    <col min="13826" max="13826" width="44.5703125" style="1" customWidth="1"/>
    <col min="13827" max="13827" width="17.140625" style="1" customWidth="1"/>
    <col min="13828" max="13828" width="18.5703125" style="1" customWidth="1"/>
    <col min="13829" max="13829" width="17.140625" style="1" customWidth="1"/>
    <col min="13830" max="13830" width="1" style="1" customWidth="1"/>
    <col min="13831" max="13831" width="12" style="1" bestFit="1" customWidth="1"/>
    <col min="13832" max="13851" width="0" style="1" hidden="1" customWidth="1"/>
    <col min="13852" max="13852" width="10" style="1" bestFit="1" customWidth="1"/>
    <col min="13853" max="14080" width="9.140625" style="1"/>
    <col min="14081" max="14081" width="1.28515625" style="1" customWidth="1"/>
    <col min="14082" max="14082" width="44.5703125" style="1" customWidth="1"/>
    <col min="14083" max="14083" width="17.140625" style="1" customWidth="1"/>
    <col min="14084" max="14084" width="18.5703125" style="1" customWidth="1"/>
    <col min="14085" max="14085" width="17.140625" style="1" customWidth="1"/>
    <col min="14086" max="14086" width="1" style="1" customWidth="1"/>
    <col min="14087" max="14087" width="12" style="1" bestFit="1" customWidth="1"/>
    <col min="14088" max="14107" width="0" style="1" hidden="1" customWidth="1"/>
    <col min="14108" max="14108" width="10" style="1" bestFit="1" customWidth="1"/>
    <col min="14109" max="14336" width="9.140625" style="1"/>
    <col min="14337" max="14337" width="1.28515625" style="1" customWidth="1"/>
    <col min="14338" max="14338" width="44.5703125" style="1" customWidth="1"/>
    <col min="14339" max="14339" width="17.140625" style="1" customWidth="1"/>
    <col min="14340" max="14340" width="18.5703125" style="1" customWidth="1"/>
    <col min="14341" max="14341" width="17.140625" style="1" customWidth="1"/>
    <col min="14342" max="14342" width="1" style="1" customWidth="1"/>
    <col min="14343" max="14343" width="12" style="1" bestFit="1" customWidth="1"/>
    <col min="14344" max="14363" width="0" style="1" hidden="1" customWidth="1"/>
    <col min="14364" max="14364" width="10" style="1" bestFit="1" customWidth="1"/>
    <col min="14365" max="14592" width="9.140625" style="1"/>
    <col min="14593" max="14593" width="1.28515625" style="1" customWidth="1"/>
    <col min="14594" max="14594" width="44.5703125" style="1" customWidth="1"/>
    <col min="14595" max="14595" width="17.140625" style="1" customWidth="1"/>
    <col min="14596" max="14596" width="18.5703125" style="1" customWidth="1"/>
    <col min="14597" max="14597" width="17.140625" style="1" customWidth="1"/>
    <col min="14598" max="14598" width="1" style="1" customWidth="1"/>
    <col min="14599" max="14599" width="12" style="1" bestFit="1" customWidth="1"/>
    <col min="14600" max="14619" width="0" style="1" hidden="1" customWidth="1"/>
    <col min="14620" max="14620" width="10" style="1" bestFit="1" customWidth="1"/>
    <col min="14621" max="14848" width="9.140625" style="1"/>
    <col min="14849" max="14849" width="1.28515625" style="1" customWidth="1"/>
    <col min="14850" max="14850" width="44.5703125" style="1" customWidth="1"/>
    <col min="14851" max="14851" width="17.140625" style="1" customWidth="1"/>
    <col min="14852" max="14852" width="18.5703125" style="1" customWidth="1"/>
    <col min="14853" max="14853" width="17.140625" style="1" customWidth="1"/>
    <col min="14854" max="14854" width="1" style="1" customWidth="1"/>
    <col min="14855" max="14855" width="12" style="1" bestFit="1" customWidth="1"/>
    <col min="14856" max="14875" width="0" style="1" hidden="1" customWidth="1"/>
    <col min="14876" max="14876" width="10" style="1" bestFit="1" customWidth="1"/>
    <col min="14877" max="15104" width="9.140625" style="1"/>
    <col min="15105" max="15105" width="1.28515625" style="1" customWidth="1"/>
    <col min="15106" max="15106" width="44.5703125" style="1" customWidth="1"/>
    <col min="15107" max="15107" width="17.140625" style="1" customWidth="1"/>
    <col min="15108" max="15108" width="18.5703125" style="1" customWidth="1"/>
    <col min="15109" max="15109" width="17.140625" style="1" customWidth="1"/>
    <col min="15110" max="15110" width="1" style="1" customWidth="1"/>
    <col min="15111" max="15111" width="12" style="1" bestFit="1" customWidth="1"/>
    <col min="15112" max="15131" width="0" style="1" hidden="1" customWidth="1"/>
    <col min="15132" max="15132" width="10" style="1" bestFit="1" customWidth="1"/>
    <col min="15133" max="15360" width="9.140625" style="1"/>
    <col min="15361" max="15361" width="1.28515625" style="1" customWidth="1"/>
    <col min="15362" max="15362" width="44.5703125" style="1" customWidth="1"/>
    <col min="15363" max="15363" width="17.140625" style="1" customWidth="1"/>
    <col min="15364" max="15364" width="18.5703125" style="1" customWidth="1"/>
    <col min="15365" max="15365" width="17.140625" style="1" customWidth="1"/>
    <col min="15366" max="15366" width="1" style="1" customWidth="1"/>
    <col min="15367" max="15367" width="12" style="1" bestFit="1" customWidth="1"/>
    <col min="15368" max="15387" width="0" style="1" hidden="1" customWidth="1"/>
    <col min="15388" max="15388" width="10" style="1" bestFit="1" customWidth="1"/>
    <col min="15389" max="15616" width="9.140625" style="1"/>
    <col min="15617" max="15617" width="1.28515625" style="1" customWidth="1"/>
    <col min="15618" max="15618" width="44.5703125" style="1" customWidth="1"/>
    <col min="15619" max="15619" width="17.140625" style="1" customWidth="1"/>
    <col min="15620" max="15620" width="18.5703125" style="1" customWidth="1"/>
    <col min="15621" max="15621" width="17.140625" style="1" customWidth="1"/>
    <col min="15622" max="15622" width="1" style="1" customWidth="1"/>
    <col min="15623" max="15623" width="12" style="1" bestFit="1" customWidth="1"/>
    <col min="15624" max="15643" width="0" style="1" hidden="1" customWidth="1"/>
    <col min="15644" max="15644" width="10" style="1" bestFit="1" customWidth="1"/>
    <col min="15645" max="15872" width="9.140625" style="1"/>
    <col min="15873" max="15873" width="1.28515625" style="1" customWidth="1"/>
    <col min="15874" max="15874" width="44.5703125" style="1" customWidth="1"/>
    <col min="15875" max="15875" width="17.140625" style="1" customWidth="1"/>
    <col min="15876" max="15876" width="18.5703125" style="1" customWidth="1"/>
    <col min="15877" max="15877" width="17.140625" style="1" customWidth="1"/>
    <col min="15878" max="15878" width="1" style="1" customWidth="1"/>
    <col min="15879" max="15879" width="12" style="1" bestFit="1" customWidth="1"/>
    <col min="15880" max="15899" width="0" style="1" hidden="1" customWidth="1"/>
    <col min="15900" max="15900" width="10" style="1" bestFit="1" customWidth="1"/>
    <col min="15901" max="16128" width="9.140625" style="1"/>
    <col min="16129" max="16129" width="1.28515625" style="1" customWidth="1"/>
    <col min="16130" max="16130" width="44.5703125" style="1" customWidth="1"/>
    <col min="16131" max="16131" width="17.140625" style="1" customWidth="1"/>
    <col min="16132" max="16132" width="18.5703125" style="1" customWidth="1"/>
    <col min="16133" max="16133" width="17.140625" style="1" customWidth="1"/>
    <col min="16134" max="16134" width="1" style="1" customWidth="1"/>
    <col min="16135" max="16135" width="12" style="1" bestFit="1" customWidth="1"/>
    <col min="16136" max="16155" width="0" style="1" hidden="1" customWidth="1"/>
    <col min="16156" max="16156" width="10" style="1" bestFit="1" customWidth="1"/>
    <col min="16157" max="16384" width="9.140625" style="1"/>
  </cols>
  <sheetData>
    <row r="4" spans="1:10" x14ac:dyDescent="0.25">
      <c r="A4" s="257"/>
      <c r="B4" s="257"/>
      <c r="C4" s="257"/>
      <c r="D4" s="257"/>
      <c r="E4" s="257"/>
    </row>
    <row r="5" spans="1:10" x14ac:dyDescent="0.25">
      <c r="A5" s="4"/>
      <c r="B5" s="4"/>
      <c r="C5" s="4"/>
      <c r="D5" s="5"/>
      <c r="E5" s="4"/>
    </row>
    <row r="6" spans="1:10" ht="31.5" customHeight="1" x14ac:dyDescent="0.25">
      <c r="B6" s="258" t="s">
        <v>0</v>
      </c>
      <c r="C6" s="258"/>
      <c r="D6" s="258"/>
      <c r="E6" s="258"/>
    </row>
    <row r="7" spans="1:10" x14ac:dyDescent="0.25">
      <c r="B7" s="6" t="s">
        <v>1</v>
      </c>
    </row>
    <row r="8" spans="1:10" x14ac:dyDescent="0.25">
      <c r="B8" s="7" t="s">
        <v>2</v>
      </c>
      <c r="C8" s="8"/>
    </row>
    <row r="9" spans="1:10" x14ac:dyDescent="0.25">
      <c r="B9" s="9"/>
    </row>
    <row r="10" spans="1:10" x14ac:dyDescent="0.25">
      <c r="B10" s="259" t="s">
        <v>3</v>
      </c>
      <c r="C10" s="259"/>
      <c r="D10" s="259"/>
      <c r="E10" s="259"/>
    </row>
    <row r="11" spans="1:10" x14ac:dyDescent="0.25">
      <c r="B11" s="10"/>
    </row>
    <row r="12" spans="1:10" ht="144.75" customHeight="1" x14ac:dyDescent="0.25">
      <c r="B12" s="260" t="s">
        <v>4</v>
      </c>
      <c r="C12" s="260"/>
      <c r="D12" s="260"/>
      <c r="E12" s="260"/>
      <c r="G12" s="8"/>
      <c r="H12" s="8"/>
      <c r="I12" s="8"/>
      <c r="J12" s="11"/>
    </row>
    <row r="13" spans="1:10" ht="18" customHeight="1" x14ac:dyDescent="0.25">
      <c r="B13" s="12"/>
      <c r="C13" s="12"/>
      <c r="D13" s="12"/>
      <c r="E13" s="12"/>
      <c r="G13" s="8"/>
      <c r="H13" s="8"/>
      <c r="I13" s="8"/>
      <c r="J13" s="11"/>
    </row>
    <row r="14" spans="1:10" ht="27.75" customHeight="1" x14ac:dyDescent="0.25">
      <c r="B14" s="259" t="str">
        <f>("Principales funcionarios al "&amp;[1]BALANZA!B3&amp;".")</f>
        <v>Principales funcionarios al 30 de junio del 2023.</v>
      </c>
      <c r="C14" s="259"/>
      <c r="D14" s="259"/>
      <c r="E14" s="259"/>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5" t="s">
        <v>11</v>
      </c>
      <c r="C18" s="1" t="s">
        <v>12</v>
      </c>
      <c r="F18" s="2"/>
      <c r="H18" s="2"/>
      <c r="J18" s="1"/>
    </row>
    <row r="19" spans="2:10" ht="17.25" customHeight="1" x14ac:dyDescent="0.25">
      <c r="B19" s="15" t="s">
        <v>13</v>
      </c>
      <c r="C19" s="1" t="s">
        <v>14</v>
      </c>
      <c r="F19" s="2"/>
      <c r="H19" s="2"/>
      <c r="J19" s="1"/>
    </row>
    <row r="20" spans="2:10" ht="17.25" customHeight="1" x14ac:dyDescent="0.25">
      <c r="B20" s="15" t="s">
        <v>15</v>
      </c>
      <c r="C20" s="1" t="s">
        <v>16</v>
      </c>
      <c r="F20" s="2"/>
      <c r="H20" s="2"/>
      <c r="J20" s="1"/>
    </row>
    <row r="21" spans="2:10" ht="17.25" customHeight="1" x14ac:dyDescent="0.25">
      <c r="B21" s="15" t="s">
        <v>17</v>
      </c>
      <c r="C21" s="1" t="s">
        <v>18</v>
      </c>
      <c r="F21" s="2"/>
      <c r="H21" s="2"/>
      <c r="J21" s="1"/>
    </row>
    <row r="22" spans="2:10" ht="17.25" customHeight="1" x14ac:dyDescent="0.25">
      <c r="B22" s="15" t="s">
        <v>19</v>
      </c>
      <c r="C22" s="1" t="s">
        <v>20</v>
      </c>
      <c r="F22" s="2"/>
      <c r="H22" s="2"/>
      <c r="J22" s="1"/>
    </row>
    <row r="23" spans="2:10" ht="17.25" customHeight="1" x14ac:dyDescent="0.25">
      <c r="B23" s="15" t="s">
        <v>21</v>
      </c>
      <c r="C23" s="1" t="s">
        <v>22</v>
      </c>
      <c r="F23" s="2"/>
      <c r="H23" s="2"/>
      <c r="J23" s="1"/>
    </row>
    <row r="24" spans="2:10" ht="17.25" customHeight="1" x14ac:dyDescent="0.25">
      <c r="B24" s="15" t="s">
        <v>23</v>
      </c>
      <c r="C24" s="1" t="s">
        <v>24</v>
      </c>
      <c r="F24" s="2"/>
      <c r="H24" s="2"/>
      <c r="J24" s="1"/>
    </row>
    <row r="25" spans="2:10" ht="17.25" customHeight="1" x14ac:dyDescent="0.25">
      <c r="B25" s="15" t="s">
        <v>25</v>
      </c>
      <c r="C25" s="1" t="s">
        <v>26</v>
      </c>
      <c r="F25" s="2"/>
      <c r="H25" s="2"/>
      <c r="J25" s="1"/>
    </row>
    <row r="26" spans="2:10" ht="17.25" customHeight="1" x14ac:dyDescent="0.25">
      <c r="B26" s="14" t="s">
        <v>27</v>
      </c>
      <c r="C26" s="1" t="s">
        <v>28</v>
      </c>
      <c r="D26" s="1"/>
      <c r="F26" s="2"/>
      <c r="H26" s="2"/>
      <c r="J26" s="1"/>
    </row>
    <row r="27" spans="2:10" x14ac:dyDescent="0.25">
      <c r="B27" s="15" t="s">
        <v>29</v>
      </c>
      <c r="C27" s="1" t="s">
        <v>30</v>
      </c>
      <c r="D27" s="1"/>
      <c r="F27" s="2"/>
      <c r="H27" s="2"/>
      <c r="J27" s="1"/>
    </row>
    <row r="28" spans="2:10" x14ac:dyDescent="0.25">
      <c r="B28" s="15" t="s">
        <v>31</v>
      </c>
      <c r="C28" s="1" t="s">
        <v>32</v>
      </c>
      <c r="D28" s="1"/>
      <c r="F28" s="2"/>
      <c r="H28" s="2"/>
      <c r="J28" s="1"/>
    </row>
    <row r="29" spans="2:10" x14ac:dyDescent="0.25">
      <c r="B29" s="14" t="s">
        <v>33</v>
      </c>
      <c r="C29" s="1" t="s">
        <v>34</v>
      </c>
      <c r="D29" s="1"/>
      <c r="F29" s="2"/>
      <c r="H29" s="2"/>
      <c r="J29" s="1"/>
    </row>
    <row r="30" spans="2:10" x14ac:dyDescent="0.25">
      <c r="B30" s="14" t="s">
        <v>35</v>
      </c>
      <c r="C30" s="1" t="s">
        <v>36</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37</v>
      </c>
    </row>
    <row r="45" spans="2:5" ht="30" customHeight="1" x14ac:dyDescent="0.25">
      <c r="B45" s="258" t="s">
        <v>38</v>
      </c>
      <c r="C45" s="258"/>
      <c r="D45" s="258"/>
      <c r="E45" s="258"/>
    </row>
    <row r="46" spans="2:5" ht="60" customHeight="1" x14ac:dyDescent="0.25">
      <c r="B46" s="261" t="s">
        <v>39</v>
      </c>
      <c r="C46" s="261"/>
      <c r="D46" s="261"/>
      <c r="E46" s="261"/>
    </row>
    <row r="47" spans="2:5" ht="56.25" customHeight="1" x14ac:dyDescent="0.25">
      <c r="B47" s="261" t="s">
        <v>40</v>
      </c>
      <c r="C47" s="261"/>
      <c r="D47" s="261"/>
      <c r="E47" s="261"/>
    </row>
    <row r="48" spans="2:5" ht="69.75" customHeight="1" x14ac:dyDescent="0.25">
      <c r="B48" s="260" t="s">
        <v>41</v>
      </c>
      <c r="C48" s="260"/>
      <c r="D48" s="260"/>
      <c r="E48" s="260"/>
    </row>
    <row r="49" spans="2:5" ht="13.5" customHeight="1" x14ac:dyDescent="0.25">
      <c r="B49" s="16"/>
      <c r="C49" s="16"/>
      <c r="D49" s="16"/>
      <c r="E49" s="16"/>
    </row>
    <row r="50" spans="2:5" ht="13.5" customHeight="1" x14ac:dyDescent="0.25">
      <c r="B50" s="16"/>
      <c r="C50" s="16"/>
      <c r="D50" s="16"/>
      <c r="E50" s="16"/>
    </row>
    <row r="51" spans="2:5" ht="22.5" customHeight="1" x14ac:dyDescent="0.25">
      <c r="B51" s="258" t="s">
        <v>42</v>
      </c>
      <c r="C51" s="258"/>
      <c r="D51" s="258"/>
      <c r="E51" s="258"/>
    </row>
    <row r="52" spans="2:5" ht="21" customHeight="1" x14ac:dyDescent="0.25">
      <c r="B52" s="258" t="s">
        <v>43</v>
      </c>
      <c r="C52" s="258"/>
      <c r="D52" s="258"/>
      <c r="E52" s="258"/>
    </row>
    <row r="53" spans="2:5" ht="9.75" customHeight="1" x14ac:dyDescent="0.25">
      <c r="B53" s="10"/>
    </row>
    <row r="54" spans="2:5" ht="48" customHeight="1" x14ac:dyDescent="0.25">
      <c r="B54" s="263" t="s">
        <v>44</v>
      </c>
      <c r="C54" s="263"/>
      <c r="D54" s="263"/>
      <c r="E54" s="263"/>
    </row>
    <row r="55" spans="2:5" ht="14.25" customHeight="1" x14ac:dyDescent="0.25">
      <c r="B55" s="17"/>
      <c r="C55" s="17"/>
      <c r="D55" s="17"/>
      <c r="E55" s="17"/>
    </row>
    <row r="56" spans="2:5" ht="14.25" customHeight="1" x14ac:dyDescent="0.25">
      <c r="B56" s="17"/>
      <c r="C56" s="17"/>
      <c r="D56" s="17"/>
      <c r="E56" s="17"/>
    </row>
    <row r="57" spans="2:5" ht="25.5" customHeight="1" x14ac:dyDescent="0.25">
      <c r="B57" s="13" t="s">
        <v>45</v>
      </c>
      <c r="C57" s="17"/>
      <c r="D57" s="18"/>
      <c r="E57" s="17"/>
    </row>
    <row r="58" spans="2:5" x14ac:dyDescent="0.25">
      <c r="B58" s="13" t="s">
        <v>46</v>
      </c>
    </row>
    <row r="59" spans="2:5" ht="55.5" customHeight="1" x14ac:dyDescent="0.25">
      <c r="B59" s="261" t="s">
        <v>47</v>
      </c>
      <c r="C59" s="261"/>
      <c r="D59" s="261"/>
      <c r="E59" s="261"/>
    </row>
    <row r="60" spans="2:5" ht="27" customHeight="1" x14ac:dyDescent="0.25">
      <c r="B60" s="261" t="s">
        <v>48</v>
      </c>
      <c r="C60" s="261"/>
      <c r="D60" s="261"/>
      <c r="E60" s="261"/>
    </row>
    <row r="61" spans="2:5" x14ac:dyDescent="0.25">
      <c r="B61" s="258" t="s">
        <v>49</v>
      </c>
      <c r="C61" s="258"/>
      <c r="D61" s="258"/>
      <c r="E61" s="258"/>
    </row>
    <row r="62" spans="2:5" ht="73.5" customHeight="1" x14ac:dyDescent="0.25">
      <c r="B62" s="262" t="s">
        <v>50</v>
      </c>
      <c r="C62" s="262"/>
      <c r="D62" s="262"/>
      <c r="E62" s="262"/>
    </row>
    <row r="63" spans="2:5" x14ac:dyDescent="0.25">
      <c r="B63" s="258" t="s">
        <v>51</v>
      </c>
      <c r="C63" s="258"/>
      <c r="D63" s="258"/>
      <c r="E63" s="258"/>
    </row>
    <row r="64" spans="2:5" ht="68.25" customHeight="1" x14ac:dyDescent="0.25">
      <c r="B64" s="260" t="s">
        <v>52</v>
      </c>
      <c r="C64" s="260"/>
      <c r="D64" s="260"/>
      <c r="E64" s="260"/>
    </row>
    <row r="65" spans="2:5" ht="68.25" customHeight="1" x14ac:dyDescent="0.25">
      <c r="B65" s="16"/>
      <c r="C65" s="16"/>
      <c r="D65" s="16"/>
      <c r="E65" s="16"/>
    </row>
    <row r="66" spans="2:5" ht="25.5" customHeight="1" x14ac:dyDescent="0.25">
      <c r="B66" s="258" t="s">
        <v>53</v>
      </c>
      <c r="C66" s="258"/>
      <c r="D66" s="258"/>
      <c r="E66" s="258"/>
    </row>
    <row r="67" spans="2:5" ht="46.5" customHeight="1" x14ac:dyDescent="0.25">
      <c r="B67" s="261" t="s">
        <v>54</v>
      </c>
      <c r="C67" s="261"/>
      <c r="D67" s="261"/>
      <c r="E67" s="261"/>
    </row>
    <row r="68" spans="2:5" ht="43.5" hidden="1" customHeight="1" x14ac:dyDescent="0.25">
      <c r="B68" s="264" t="s">
        <v>55</v>
      </c>
      <c r="C68" s="264"/>
      <c r="D68" s="264"/>
      <c r="E68" s="264"/>
    </row>
    <row r="69" spans="2:5" ht="58.5" hidden="1" customHeight="1" x14ac:dyDescent="0.25">
      <c r="B69" s="264" t="s">
        <v>56</v>
      </c>
      <c r="C69" s="264"/>
      <c r="D69" s="264"/>
      <c r="E69" s="264"/>
    </row>
    <row r="70" spans="2:5" ht="30" hidden="1" customHeight="1" x14ac:dyDescent="0.25">
      <c r="B70" s="264" t="s">
        <v>57</v>
      </c>
      <c r="C70" s="264"/>
      <c r="D70" s="264"/>
      <c r="E70" s="264"/>
    </row>
    <row r="71" spans="2:5" hidden="1" x14ac:dyDescent="0.25">
      <c r="B71" s="264" t="s">
        <v>58</v>
      </c>
      <c r="C71" s="264"/>
      <c r="D71" s="264"/>
      <c r="E71" s="264"/>
    </row>
    <row r="72" spans="2:5" ht="63.75" hidden="1" customHeight="1" x14ac:dyDescent="0.25">
      <c r="B72" s="264" t="s">
        <v>59</v>
      </c>
      <c r="C72" s="264"/>
      <c r="D72" s="264"/>
      <c r="E72" s="264"/>
    </row>
    <row r="73" spans="2:5" ht="42" hidden="1" customHeight="1" x14ac:dyDescent="0.25">
      <c r="B73" s="264" t="s">
        <v>60</v>
      </c>
      <c r="C73" s="264"/>
      <c r="D73" s="264"/>
      <c r="E73" s="264"/>
    </row>
    <row r="74" spans="2:5" ht="78.75" hidden="1" customHeight="1" x14ac:dyDescent="0.25">
      <c r="B74" s="264" t="s">
        <v>61</v>
      </c>
      <c r="C74" s="264"/>
      <c r="D74" s="264"/>
      <c r="E74" s="264"/>
    </row>
    <row r="75" spans="2:5" ht="66" hidden="1" customHeight="1" x14ac:dyDescent="0.25">
      <c r="B75" s="264" t="s">
        <v>62</v>
      </c>
      <c r="C75" s="264"/>
      <c r="D75" s="264"/>
      <c r="E75" s="264"/>
    </row>
    <row r="76" spans="2:5" ht="13.5" customHeight="1" x14ac:dyDescent="0.25">
      <c r="B76" s="19"/>
      <c r="C76" s="19"/>
      <c r="D76" s="20"/>
      <c r="E76" s="19"/>
    </row>
    <row r="77" spans="2:5" ht="26.25" customHeight="1" x14ac:dyDescent="0.25">
      <c r="B77" s="258" t="s">
        <v>63</v>
      </c>
      <c r="C77" s="258"/>
      <c r="D77" s="258"/>
      <c r="E77" s="258"/>
    </row>
    <row r="78" spans="2:5" ht="34.5" customHeight="1" x14ac:dyDescent="0.25">
      <c r="B78" s="265" t="s">
        <v>64</v>
      </c>
      <c r="C78" s="265"/>
      <c r="D78" s="265"/>
      <c r="E78" s="265"/>
    </row>
    <row r="79" spans="2:5" ht="15.75" customHeight="1" x14ac:dyDescent="0.25">
      <c r="B79" s="19"/>
      <c r="C79" s="19"/>
      <c r="D79" s="19"/>
      <c r="E79" s="19"/>
    </row>
    <row r="80" spans="2:5" ht="15.75" customHeight="1" x14ac:dyDescent="0.25">
      <c r="B80" s="21" t="s">
        <v>65</v>
      </c>
      <c r="C80" s="19"/>
      <c r="D80" s="20"/>
      <c r="E80" s="19"/>
    </row>
    <row r="81" spans="2:5" ht="20.25" customHeight="1" x14ac:dyDescent="0.25">
      <c r="B81" s="258" t="s">
        <v>66</v>
      </c>
      <c r="C81" s="258"/>
      <c r="D81" s="258"/>
      <c r="E81" s="258"/>
    </row>
    <row r="82" spans="2:5" x14ac:dyDescent="0.25">
      <c r="B82" s="258" t="s">
        <v>67</v>
      </c>
      <c r="C82" s="258"/>
      <c r="D82" s="258"/>
      <c r="E82" s="258"/>
    </row>
    <row r="83" spans="2:5" ht="49.5" customHeight="1" x14ac:dyDescent="0.25">
      <c r="B83" s="265" t="s">
        <v>68</v>
      </c>
      <c r="C83" s="265"/>
      <c r="D83" s="265"/>
      <c r="E83" s="265"/>
    </row>
    <row r="84" spans="2:5" x14ac:dyDescent="0.25">
      <c r="B84" s="258" t="s">
        <v>69</v>
      </c>
      <c r="C84" s="258"/>
      <c r="D84" s="258"/>
      <c r="E84" s="258"/>
    </row>
    <row r="85" spans="2:5" ht="45" customHeight="1" x14ac:dyDescent="0.25">
      <c r="B85" s="261" t="s">
        <v>70</v>
      </c>
      <c r="C85" s="261"/>
      <c r="D85" s="261"/>
      <c r="E85" s="261"/>
    </row>
    <row r="86" spans="2:5" x14ac:dyDescent="0.25">
      <c r="B86" s="258" t="s">
        <v>71</v>
      </c>
      <c r="C86" s="258"/>
      <c r="D86" s="258"/>
      <c r="E86" s="258"/>
    </row>
    <row r="87" spans="2:5" ht="39.75" customHeight="1" x14ac:dyDescent="0.25">
      <c r="B87" s="261" t="s">
        <v>72</v>
      </c>
      <c r="C87" s="261"/>
      <c r="D87" s="261"/>
      <c r="E87" s="261"/>
    </row>
    <row r="88" spans="2:5" x14ac:dyDescent="0.25">
      <c r="B88" s="258" t="s">
        <v>73</v>
      </c>
      <c r="C88" s="258"/>
      <c r="D88" s="258"/>
      <c r="E88" s="258"/>
    </row>
    <row r="89" spans="2:5" ht="40.5" customHeight="1" x14ac:dyDescent="0.25">
      <c r="B89" s="261" t="s">
        <v>74</v>
      </c>
      <c r="C89" s="261"/>
      <c r="D89" s="261"/>
      <c r="E89" s="261"/>
    </row>
    <row r="90" spans="2:5" x14ac:dyDescent="0.25">
      <c r="B90" s="258" t="s">
        <v>75</v>
      </c>
      <c r="C90" s="258"/>
      <c r="D90" s="258"/>
      <c r="E90" s="258"/>
    </row>
    <row r="91" spans="2:5" ht="39" customHeight="1" x14ac:dyDescent="0.25">
      <c r="B91" s="261" t="s">
        <v>76</v>
      </c>
      <c r="C91" s="261"/>
      <c r="D91" s="261"/>
      <c r="E91" s="261"/>
    </row>
    <row r="92" spans="2:5" x14ac:dyDescent="0.25">
      <c r="B92" s="258" t="s">
        <v>77</v>
      </c>
      <c r="C92" s="258"/>
      <c r="D92" s="258"/>
      <c r="E92" s="258"/>
    </row>
    <row r="93" spans="2:5" ht="25.5" customHeight="1" x14ac:dyDescent="0.25">
      <c r="B93" s="258" t="s">
        <v>78</v>
      </c>
      <c r="C93" s="258"/>
      <c r="D93" s="258"/>
      <c r="E93" s="258"/>
    </row>
    <row r="94" spans="2:5" ht="45" customHeight="1" x14ac:dyDescent="0.25">
      <c r="B94" s="261" t="s">
        <v>79</v>
      </c>
      <c r="C94" s="261"/>
      <c r="D94" s="261"/>
      <c r="E94" s="261"/>
    </row>
    <row r="95" spans="2:5" ht="35.25" customHeight="1" x14ac:dyDescent="0.25">
      <c r="B95" s="261" t="s">
        <v>80</v>
      </c>
      <c r="C95" s="261"/>
      <c r="D95" s="261"/>
      <c r="E95" s="261"/>
    </row>
    <row r="96" spans="2:5" ht="39.75" customHeight="1" x14ac:dyDescent="0.25">
      <c r="B96" s="260" t="s">
        <v>81</v>
      </c>
      <c r="C96" s="260"/>
      <c r="D96" s="260"/>
      <c r="E96" s="260"/>
    </row>
    <row r="97" spans="2:26" ht="51.75" customHeight="1" x14ac:dyDescent="0.25">
      <c r="B97" s="261" t="s">
        <v>82</v>
      </c>
      <c r="C97" s="261"/>
      <c r="D97" s="261"/>
      <c r="E97" s="261"/>
    </row>
    <row r="98" spans="2:26" ht="24.75" customHeight="1" x14ac:dyDescent="0.25">
      <c r="B98" s="12"/>
      <c r="C98" s="12"/>
      <c r="D98" s="12"/>
      <c r="E98" s="12"/>
    </row>
    <row r="99" spans="2:26" ht="33" customHeight="1" x14ac:dyDescent="0.25">
      <c r="B99" s="12"/>
      <c r="C99" s="12"/>
      <c r="D99" s="12"/>
      <c r="E99" s="12"/>
    </row>
    <row r="100" spans="2:26" ht="36.75" customHeight="1" x14ac:dyDescent="0.25">
      <c r="B100" s="261" t="s">
        <v>83</v>
      </c>
      <c r="C100" s="261"/>
      <c r="D100" s="261"/>
      <c r="E100" s="261"/>
    </row>
    <row r="101" spans="2:26" ht="87.75" customHeight="1" x14ac:dyDescent="0.25">
      <c r="B101" s="261" t="s">
        <v>84</v>
      </c>
      <c r="C101" s="261"/>
      <c r="D101" s="261"/>
      <c r="E101" s="261"/>
    </row>
    <row r="102" spans="2:26" s="22" customFormat="1" ht="11.25" customHeight="1" x14ac:dyDescent="0.25">
      <c r="B102" s="23"/>
      <c r="C102" s="23"/>
      <c r="D102" s="24"/>
      <c r="E102" s="23"/>
      <c r="J102" s="25"/>
      <c r="N102" s="25"/>
      <c r="R102" s="26"/>
      <c r="S102" s="26"/>
      <c r="T102" s="26"/>
      <c r="U102" s="26"/>
      <c r="V102" s="26"/>
      <c r="W102" s="26"/>
      <c r="X102" s="26"/>
      <c r="Y102" s="26"/>
      <c r="Z102" s="25"/>
    </row>
    <row r="103" spans="2:26" ht="11.25" customHeight="1" x14ac:dyDescent="0.25">
      <c r="B103" s="12"/>
      <c r="C103" s="12"/>
      <c r="D103" s="27"/>
      <c r="E103" s="12"/>
    </row>
    <row r="104" spans="2:26" ht="18.75" customHeight="1" x14ac:dyDescent="0.25">
      <c r="B104" s="259" t="s">
        <v>85</v>
      </c>
      <c r="C104" s="259"/>
      <c r="D104" s="259"/>
      <c r="E104" s="259"/>
    </row>
    <row r="105" spans="2:26" ht="66.75" customHeight="1" x14ac:dyDescent="0.25">
      <c r="B105" s="261" t="s">
        <v>86</v>
      </c>
      <c r="C105" s="261"/>
      <c r="D105" s="261"/>
      <c r="E105" s="261"/>
    </row>
    <row r="106" spans="2:26" ht="55.5" customHeight="1" x14ac:dyDescent="0.25">
      <c r="B106" s="261" t="s">
        <v>87</v>
      </c>
      <c r="C106" s="261"/>
      <c r="D106" s="261"/>
      <c r="E106" s="261"/>
    </row>
    <row r="107" spans="2:26" ht="18.75" customHeight="1" x14ac:dyDescent="0.25">
      <c r="B107" s="259" t="s">
        <v>88</v>
      </c>
      <c r="C107" s="259"/>
      <c r="D107" s="259"/>
      <c r="E107" s="259"/>
    </row>
    <row r="108" spans="2:26" ht="42" customHeight="1" x14ac:dyDescent="0.25">
      <c r="B108" s="261" t="s">
        <v>89</v>
      </c>
      <c r="C108" s="261"/>
      <c r="D108" s="261"/>
      <c r="E108" s="261"/>
    </row>
    <row r="109" spans="2:26" x14ac:dyDescent="0.25">
      <c r="B109" s="12"/>
      <c r="C109" s="12"/>
      <c r="D109" s="27"/>
      <c r="E109" s="12"/>
    </row>
    <row r="110" spans="2:26" x14ac:dyDescent="0.25">
      <c r="B110" s="258" t="s">
        <v>90</v>
      </c>
      <c r="C110" s="258"/>
      <c r="D110" s="258"/>
      <c r="E110" s="258"/>
    </row>
    <row r="111" spans="2:26" ht="27" customHeight="1" x14ac:dyDescent="0.25">
      <c r="B111" s="258" t="s">
        <v>91</v>
      </c>
      <c r="C111" s="258"/>
      <c r="D111" s="258"/>
      <c r="E111" s="258"/>
    </row>
    <row r="112" spans="2:26" ht="37.5" customHeight="1" x14ac:dyDescent="0.25">
      <c r="B112" s="260" t="str">
        <f>("Un detalle del "&amp;_Toc208202813&amp;" al "&amp;[1]BALANZA!$B$3&amp;" "&amp;[1]BALANZA!$C$3&amp;" es como se detalla a continuación:")</f>
        <v>Un detalle del Efectivo y equivalentes de efectivo. al 30 de junio del 2023 - 2022 es como se detalla a continuación:</v>
      </c>
      <c r="C112" s="266"/>
      <c r="D112" s="266"/>
      <c r="E112" s="266"/>
    </row>
    <row r="113" spans="2:26" ht="41.25" customHeight="1" x14ac:dyDescent="0.25">
      <c r="B113" s="261" t="str">
        <f>("El efectivo disponible en caja y cuentas bancarias presenta los siguientes ascenso  para el "&amp;C115&amp;" RD$"&amp;R124&amp;"  y para el "&amp;D115&amp;" fue de RD$ "&amp;R125&amp;" , el cual se detalla a continuación:")</f>
        <v>El efectivo disponible en caja y cuentas bancarias presenta los siguientes ascenso  para el 2023 RD$240,472,439.67  y para el 2022 fue de RD$ 133,415,722.91 , el cual se detalla a continuación:</v>
      </c>
      <c r="C113" s="261"/>
      <c r="D113" s="261"/>
      <c r="E113" s="261"/>
    </row>
    <row r="114" spans="2:26" x14ac:dyDescent="0.25">
      <c r="B114" s="10"/>
    </row>
    <row r="115" spans="2:26" x14ac:dyDescent="0.25">
      <c r="B115" s="28" t="s">
        <v>92</v>
      </c>
      <c r="C115" s="29">
        <f>+[1]BALANZA!B4</f>
        <v>2023</v>
      </c>
      <c r="D115" s="30">
        <f>+[1]BALANZA!C4</f>
        <v>2022</v>
      </c>
      <c r="E115" s="31" t="s">
        <v>93</v>
      </c>
    </row>
    <row r="116" spans="2:26" ht="18" hidden="1" customHeight="1" x14ac:dyDescent="0.25">
      <c r="B116" s="32" t="s">
        <v>94</v>
      </c>
      <c r="C116" s="33">
        <f>+'[1]BALANZA G'!C12</f>
        <v>0</v>
      </c>
      <c r="D116" s="34">
        <f>+'[1]BALANZA G'!E12</f>
        <v>0</v>
      </c>
      <c r="E116" s="35">
        <f t="shared" ref="E116:E122" si="0">+C116-D116</f>
        <v>0</v>
      </c>
    </row>
    <row r="117" spans="2:26" ht="18" customHeight="1" x14ac:dyDescent="0.25">
      <c r="B117" s="32" t="s">
        <v>95</v>
      </c>
      <c r="C117" s="33">
        <f>+'[1]BALANZA G'!C13</f>
        <v>110000</v>
      </c>
      <c r="D117" s="34">
        <f>+'[1]BALANZA G'!E13</f>
        <v>110000</v>
      </c>
      <c r="E117" s="35">
        <f t="shared" si="0"/>
        <v>0</v>
      </c>
    </row>
    <row r="118" spans="2:26" ht="18" customHeight="1" x14ac:dyDescent="0.25">
      <c r="B118" s="32" t="s">
        <v>96</v>
      </c>
      <c r="C118" s="33">
        <f>+'[1]BALANZA G'!C23</f>
        <v>253900.45</v>
      </c>
      <c r="D118" s="33">
        <f>IF(+'[1]BALANZA G'!E23&gt;0,+'[1]BALANZA G'!E23,0)</f>
        <v>221227.45</v>
      </c>
      <c r="E118" s="35">
        <f t="shared" si="0"/>
        <v>32673</v>
      </c>
    </row>
    <row r="119" spans="2:26" ht="18" customHeight="1" x14ac:dyDescent="0.25">
      <c r="B119" s="36" t="s">
        <v>97</v>
      </c>
      <c r="C119" s="33">
        <f>+'[1]BALANZA G'!C25</f>
        <v>1810906.34</v>
      </c>
      <c r="D119" s="33">
        <f>IF(+'[1]BALANZA G'!E25&gt;0,+'[1]BALANZA G'!E25,0)</f>
        <v>3773690.14</v>
      </c>
      <c r="E119" s="37">
        <f t="shared" si="0"/>
        <v>-1962783.8</v>
      </c>
    </row>
    <row r="120" spans="2:26" ht="30" customHeight="1" x14ac:dyDescent="0.25">
      <c r="B120" s="32" t="s">
        <v>98</v>
      </c>
      <c r="C120" s="33">
        <f>+'[1]BALANZA G'!C24</f>
        <v>55744300.140000001</v>
      </c>
      <c r="D120" s="33">
        <f>IF(+'[1]BALANZA G'!E24&gt;0,+'[1]BALANZA G'!E24,0)</f>
        <v>89221896.159999996</v>
      </c>
      <c r="E120" s="35">
        <f t="shared" si="0"/>
        <v>-33477596.019999996</v>
      </c>
    </row>
    <row r="121" spans="2:26" ht="17.25" customHeight="1" x14ac:dyDescent="0.25">
      <c r="B121" s="32" t="s">
        <v>99</v>
      </c>
      <c r="C121" s="33">
        <f>+'[1]BALANZA G'!C26</f>
        <v>717865.13</v>
      </c>
      <c r="D121" s="33">
        <f>+'[1]BALANZA G'!E26</f>
        <v>857059.36</v>
      </c>
      <c r="E121" s="35">
        <f t="shared" si="0"/>
        <v>-139194.22999999998</v>
      </c>
    </row>
    <row r="122" spans="2:26" ht="17.25" customHeight="1" x14ac:dyDescent="0.25">
      <c r="B122" s="38" t="s">
        <v>100</v>
      </c>
      <c r="C122" s="39">
        <f>+'[1]BALANZA G'!C27+'[1]BALANZA G'!C22</f>
        <v>181835467.61000001</v>
      </c>
      <c r="D122" s="33">
        <f>+'[1]BALANZA G'!E27+'[1]BALANZA G'!E22</f>
        <v>39231849.799999997</v>
      </c>
      <c r="E122" s="35">
        <f t="shared" si="0"/>
        <v>142603617.81</v>
      </c>
    </row>
    <row r="123" spans="2:26" ht="17.25" hidden="1" customHeight="1" x14ac:dyDescent="0.25">
      <c r="B123" s="38" t="s">
        <v>101</v>
      </c>
      <c r="C123" s="40">
        <f>+'[1]BALANZA G'!C28</f>
        <v>0</v>
      </c>
      <c r="D123" s="33">
        <f>+'[1]BALANZA G'!E28</f>
        <v>0</v>
      </c>
      <c r="E123" s="41"/>
    </row>
    <row r="124" spans="2:26" s="42" customFormat="1" ht="18.75" customHeight="1" x14ac:dyDescent="0.25">
      <c r="B124" s="43" t="s">
        <v>102</v>
      </c>
      <c r="C124" s="44">
        <f>SUM(C116:C123)</f>
        <v>240472439.67000002</v>
      </c>
      <c r="D124" s="44">
        <f>SUM(D116:D123)</f>
        <v>133415722.91</v>
      </c>
      <c r="E124" s="45">
        <f>SUM(E116:E120)</f>
        <v>-35407706.819999993</v>
      </c>
      <c r="J124" s="46"/>
      <c r="N124" s="46"/>
      <c r="R124" s="3" t="str">
        <f>+CONCATENATE(T124,",",U124,",",V124,W124)</f>
        <v>240,472,439.67</v>
      </c>
      <c r="S124" s="3"/>
      <c r="T124" s="3" t="str">
        <f>MID(C124,1,3)</f>
        <v>240</v>
      </c>
      <c r="U124" s="3" t="str">
        <f>MID(C124,4,3)</f>
        <v>472</v>
      </c>
      <c r="V124" s="3" t="str">
        <f>MID(C124,7,3)</f>
        <v>439</v>
      </c>
      <c r="W124" s="3" t="str">
        <f>MID(C124,10,3)</f>
        <v>.67</v>
      </c>
      <c r="X124" s="3"/>
      <c r="Y124" s="47"/>
      <c r="Z124" s="46"/>
    </row>
    <row r="125" spans="2:26" s="42" customFormat="1" x14ac:dyDescent="0.25">
      <c r="B125" s="48"/>
      <c r="C125" s="49">
        <f>+C124-'[1]ES F '!B11</f>
        <v>0</v>
      </c>
      <c r="D125" s="50"/>
      <c r="E125" s="51"/>
      <c r="J125" s="46"/>
      <c r="N125" s="46"/>
      <c r="R125" s="3" t="str">
        <f>+CONCATENATE(T125,",",U125,",",V125,W125)</f>
        <v>133,415,722.91</v>
      </c>
      <c r="S125" s="3"/>
      <c r="T125" s="3" t="str">
        <f>MID(D124,1,3)</f>
        <v>133</v>
      </c>
      <c r="U125" s="3" t="str">
        <f>MID(D124,4,3)</f>
        <v>415</v>
      </c>
      <c r="V125" s="3" t="str">
        <f>MID(D124,7,3)</f>
        <v>722</v>
      </c>
      <c r="W125" s="3" t="str">
        <f>MID(D124,10,3)</f>
        <v>.91</v>
      </c>
      <c r="X125" s="3" t="str">
        <f>MID(E125,7,3)</f>
        <v/>
      </c>
      <c r="Y125" s="3" t="str">
        <f>MID(C125,10,3)</f>
        <v/>
      </c>
      <c r="Z125" s="46"/>
    </row>
    <row r="126" spans="2:26" s="42" customFormat="1" x14ac:dyDescent="0.25">
      <c r="B126" s="267" t="s">
        <v>103</v>
      </c>
      <c r="C126" s="268"/>
      <c r="D126" s="52" t="str">
        <f>IF(E126&gt;=0,"Aumento","Disminución")</f>
        <v>Disminución</v>
      </c>
      <c r="E126" s="53">
        <f>+E124/D124</f>
        <v>-0.26539380852349342</v>
      </c>
      <c r="J126" s="46"/>
      <c r="N126" s="46"/>
      <c r="R126" s="47"/>
      <c r="S126" s="47"/>
      <c r="T126" s="47"/>
      <c r="U126" s="47"/>
      <c r="V126" s="47"/>
      <c r="W126" s="47"/>
      <c r="X126" s="47"/>
      <c r="Y126" s="47"/>
      <c r="Z126" s="46"/>
    </row>
    <row r="127" spans="2:26" s="42" customFormat="1" x14ac:dyDescent="0.25">
      <c r="B127" s="54"/>
      <c r="C127" s="54"/>
      <c r="D127" s="55"/>
      <c r="E127" s="56"/>
      <c r="J127" s="46"/>
      <c r="N127" s="46"/>
      <c r="R127" s="47"/>
      <c r="S127" s="47"/>
      <c r="T127" s="47"/>
      <c r="U127" s="47"/>
      <c r="V127" s="47"/>
      <c r="W127" s="47"/>
      <c r="X127" s="47"/>
      <c r="Y127" s="47"/>
      <c r="Z127" s="46"/>
    </row>
    <row r="128" spans="2:26" s="42" customFormat="1" x14ac:dyDescent="0.25">
      <c r="B128" s="54"/>
      <c r="C128" s="54"/>
      <c r="D128" s="55"/>
      <c r="E128" s="56"/>
      <c r="J128" s="46"/>
      <c r="N128" s="46"/>
      <c r="R128" s="47"/>
      <c r="S128" s="47"/>
      <c r="T128" s="47"/>
      <c r="U128" s="47"/>
      <c r="V128" s="47"/>
      <c r="W128" s="47"/>
      <c r="X128" s="47"/>
      <c r="Y128" s="47"/>
      <c r="Z128" s="46"/>
    </row>
    <row r="129" spans="2:26" s="42" customFormat="1" x14ac:dyDescent="0.25">
      <c r="B129" s="54"/>
      <c r="C129" s="54"/>
      <c r="D129" s="55"/>
      <c r="E129" s="56"/>
      <c r="J129" s="46"/>
      <c r="N129" s="46"/>
      <c r="R129" s="47"/>
      <c r="S129" s="47"/>
      <c r="T129" s="47"/>
      <c r="U129" s="47"/>
      <c r="V129" s="47"/>
      <c r="W129" s="47"/>
      <c r="X129" s="47"/>
      <c r="Y129" s="47"/>
      <c r="Z129" s="46"/>
    </row>
    <row r="130" spans="2:26" s="42" customFormat="1" x14ac:dyDescent="0.25">
      <c r="B130" s="54"/>
      <c r="C130" s="54"/>
      <c r="D130" s="55"/>
      <c r="E130" s="56"/>
      <c r="J130" s="46"/>
      <c r="N130" s="46"/>
      <c r="R130" s="47"/>
      <c r="S130" s="47"/>
      <c r="T130" s="47"/>
      <c r="U130" s="47"/>
      <c r="V130" s="47"/>
      <c r="W130" s="47"/>
      <c r="X130" s="47"/>
      <c r="Y130" s="47"/>
      <c r="Z130" s="46"/>
    </row>
    <row r="131" spans="2:26" s="42" customFormat="1" x14ac:dyDescent="0.25">
      <c r="B131" s="54"/>
      <c r="C131" s="54"/>
      <c r="D131" s="55"/>
      <c r="E131" s="56"/>
      <c r="J131" s="46"/>
      <c r="N131" s="46"/>
      <c r="R131" s="47"/>
      <c r="S131" s="47"/>
      <c r="T131" s="47"/>
      <c r="U131" s="47"/>
      <c r="V131" s="47"/>
      <c r="W131" s="47"/>
      <c r="X131" s="47"/>
      <c r="Y131" s="47"/>
      <c r="Z131" s="46"/>
    </row>
    <row r="132" spans="2:26" x14ac:dyDescent="0.25">
      <c r="B132" s="9" t="s">
        <v>104</v>
      </c>
    </row>
    <row r="133" spans="2:26" x14ac:dyDescent="0.25">
      <c r="B133" s="269" t="s">
        <v>105</v>
      </c>
      <c r="C133" s="269"/>
      <c r="D133" s="269"/>
      <c r="E133" s="269"/>
    </row>
    <row r="134" spans="2:26" ht="23.25" customHeight="1" x14ac:dyDescent="0.25">
      <c r="B134" s="260" t="str">
        <f>("Un detalle del "&amp;B133&amp;" al "&amp;[1]BALANZA!$B$3&amp;" "&amp;[1]BALANZA!$C$3&amp;" es como se detalla a continuación:")</f>
        <v>Un detalle del Inversiones a corto plazo al 30 de junio del 2023 - 2022 es como se detalla a continuación:</v>
      </c>
      <c r="C134" s="266"/>
      <c r="D134" s="266"/>
      <c r="E134" s="266"/>
    </row>
    <row r="135" spans="2:26" ht="45" customHeight="1" x14ac:dyDescent="0.25">
      <c r="B135" s="261" t="str">
        <f>("Las inversiones a corto plazo enta integrado por un certificado financiero en el banco de reservas a un año renobable a la tasa de 0.12% anual, para el "&amp;C137&amp;" el total era de RD$ "&amp;R140&amp;" y para el "&amp;D137&amp;" el total fue de RD$ "&amp;R141&amp;" , Según el siguiente detalle:")</f>
        <v>Las inversiones a corto plazo enta integrado por un certificado financiero en el banco de reservas a un año renobable a la tasa de 0.12% anual, para el 2023 el total era de RD$ 453,000.00 y para el 2022 el total fue de RD$ 453,000.00 , Según el siguiente detalle:</v>
      </c>
      <c r="C135" s="261"/>
      <c r="D135" s="261"/>
      <c r="E135" s="261"/>
    </row>
    <row r="136" spans="2:26" x14ac:dyDescent="0.25">
      <c r="B136" s="57"/>
    </row>
    <row r="137" spans="2:26" x14ac:dyDescent="0.25">
      <c r="B137" s="31" t="s">
        <v>92</v>
      </c>
      <c r="C137" s="31">
        <f>+[1]BALANZA!B4</f>
        <v>2023</v>
      </c>
      <c r="D137" s="31">
        <f>+[1]BALANZA!C4</f>
        <v>2022</v>
      </c>
      <c r="E137" s="31" t="s">
        <v>93</v>
      </c>
    </row>
    <row r="138" spans="2:26" hidden="1" x14ac:dyDescent="0.25">
      <c r="B138" s="58" t="s">
        <v>106</v>
      </c>
      <c r="C138" s="59">
        <f>+'[1]BALANZA G'!C15</f>
        <v>80000</v>
      </c>
      <c r="D138" s="60">
        <f>+'[1]BALANZA G'!E15</f>
        <v>80000</v>
      </c>
      <c r="E138" s="61">
        <f>+C138-D138</f>
        <v>0</v>
      </c>
    </row>
    <row r="139" spans="2:26" x14ac:dyDescent="0.25">
      <c r="B139" s="58" t="s">
        <v>107</v>
      </c>
      <c r="C139" s="62">
        <f>+'[1]BALANZA G'!C30</f>
        <v>453000</v>
      </c>
      <c r="D139" s="63">
        <f>+'[1]BALANZA G'!E30</f>
        <v>453000</v>
      </c>
      <c r="E139" s="64">
        <f>+C139-D139</f>
        <v>0</v>
      </c>
    </row>
    <row r="140" spans="2:26" x14ac:dyDescent="0.25">
      <c r="B140" s="65" t="s">
        <v>108</v>
      </c>
      <c r="C140" s="45">
        <f>SUM(C139:C139)</f>
        <v>453000</v>
      </c>
      <c r="D140" s="66">
        <f>SUM(D139:D139)</f>
        <v>453000</v>
      </c>
      <c r="E140" s="45">
        <f>SUM(E138:E139)</f>
        <v>0</v>
      </c>
      <c r="R140" s="3" t="str">
        <f>+CONCATENATE(S140,",",T140,U140,".00")</f>
        <v>453,000.00</v>
      </c>
      <c r="S140" s="3" t="str">
        <f>MID(C140,1,3)</f>
        <v>453</v>
      </c>
      <c r="T140" s="3" t="str">
        <f>MID(C139,4,3)</f>
        <v>000</v>
      </c>
      <c r="U140" s="3" t="str">
        <f>MID(D139,7,3)</f>
        <v/>
      </c>
    </row>
    <row r="141" spans="2:26" x14ac:dyDescent="0.25">
      <c r="B141" s="67"/>
      <c r="C141" s="68">
        <f>+C140-'[1]ES F '!B12</f>
        <v>0</v>
      </c>
      <c r="D141" s="68"/>
      <c r="E141" s="69"/>
      <c r="R141" s="3" t="str">
        <f>+CONCATENATE(S141,",",T141,U141,".00")</f>
        <v>453,000.00</v>
      </c>
      <c r="S141" s="3" t="str">
        <f>MID(D140,1,3)</f>
        <v>453</v>
      </c>
      <c r="T141" s="3" t="str">
        <f>MID(D140,4,3)</f>
        <v>000</v>
      </c>
      <c r="U141" s="3" t="str">
        <f>MID(E140,7,3)</f>
        <v/>
      </c>
    </row>
    <row r="142" spans="2:26" s="42" customFormat="1" x14ac:dyDescent="0.25">
      <c r="B142" s="267" t="s">
        <v>103</v>
      </c>
      <c r="C142" s="268"/>
      <c r="D142" s="70" t="str">
        <f>IF(E142&gt;=0,"Aumento","Disminución")</f>
        <v>Aumento</v>
      </c>
      <c r="E142" s="53">
        <f>+E140/D140</f>
        <v>0</v>
      </c>
      <c r="J142" s="46"/>
      <c r="N142" s="46"/>
      <c r="R142" s="47"/>
      <c r="S142" s="47"/>
      <c r="T142" s="47"/>
      <c r="U142" s="47"/>
      <c r="V142" s="47"/>
      <c r="W142" s="47"/>
      <c r="X142" s="47"/>
      <c r="Y142" s="47"/>
      <c r="Z142" s="46"/>
    </row>
    <row r="143" spans="2:26" s="42" customFormat="1" x14ac:dyDescent="0.25">
      <c r="B143" s="54"/>
      <c r="C143" s="54"/>
      <c r="D143" s="55"/>
      <c r="E143" s="56"/>
      <c r="J143" s="46"/>
      <c r="N143" s="46"/>
      <c r="R143" s="47"/>
      <c r="S143" s="47"/>
      <c r="T143" s="47"/>
      <c r="U143" s="47"/>
      <c r="V143" s="47"/>
      <c r="W143" s="47"/>
      <c r="X143" s="47"/>
      <c r="Y143" s="47"/>
      <c r="Z143" s="46"/>
    </row>
    <row r="144" spans="2:26" x14ac:dyDescent="0.25">
      <c r="B144" s="57" t="s">
        <v>109</v>
      </c>
    </row>
    <row r="145" spans="2:26" ht="18.75" customHeight="1" x14ac:dyDescent="0.25">
      <c r="B145" s="269" t="s">
        <v>110</v>
      </c>
      <c r="C145" s="269"/>
      <c r="D145" s="269"/>
      <c r="E145" s="269"/>
    </row>
    <row r="146" spans="2:26" ht="36" customHeight="1" x14ac:dyDescent="0.25">
      <c r="B146" s="260" t="str">
        <f>("Un detalle de las "&amp;B145&amp;" al "&amp;[1]BALANZA!$B$3&amp;""&amp;[1]BALANZA!$C$3&amp;" es como se detalla a continuación:")</f>
        <v>Un detalle de las Cuentas por cobrar a corto plazo al 30 de junio del 2023- 2022 es como se detalla a continuación:</v>
      </c>
      <c r="C146" s="266"/>
      <c r="D146" s="266"/>
      <c r="E146" s="266"/>
    </row>
    <row r="147" spans="2:26" ht="51" customHeight="1" x14ac:dyDescent="0.25">
      <c r="B147" s="261" t="str">
        <f>("Las Cuentas por cobrar  están representados por las partidas  Cuentas por cobrar Empleados, Para el "&amp;C149&amp;" el monto total de estas partidas fue por RD$ "&amp;R152&amp;" y para el "&amp;D149&amp;" el monto era RD$ "&amp;R153&amp;"  ,   de Según el siguiente detalle:")</f>
        <v>Las Cuentas por cobrar  están representados por las partidas  Cuentas por cobrar Empleados, Para el 2023 el monto total de estas partidas fue por RD$ 1,350.12 y para el 2022 el monto era RD$ 4,801,052.79  ,   de Según el siguiente detalle:</v>
      </c>
      <c r="C147" s="261"/>
      <c r="D147" s="261"/>
      <c r="E147" s="261"/>
    </row>
    <row r="148" spans="2:26" x14ac:dyDescent="0.25">
      <c r="B148" s="71"/>
    </row>
    <row r="149" spans="2:26" x14ac:dyDescent="0.25">
      <c r="B149" s="28" t="s">
        <v>92</v>
      </c>
      <c r="C149" s="28">
        <f>+C360</f>
        <v>2023</v>
      </c>
      <c r="D149" s="28">
        <f>+D360</f>
        <v>2022</v>
      </c>
      <c r="E149" s="28" t="s">
        <v>93</v>
      </c>
    </row>
    <row r="150" spans="2:26" ht="17.25" customHeight="1" x14ac:dyDescent="0.25">
      <c r="B150" s="36" t="s">
        <v>111</v>
      </c>
      <c r="C150" s="72">
        <f>+'[1]BALANZA G'!C34-C151</f>
        <v>0</v>
      </c>
      <c r="D150" s="73">
        <v>4800000</v>
      </c>
      <c r="E150" s="39">
        <f>+C150-D150</f>
        <v>-4800000</v>
      </c>
    </row>
    <row r="151" spans="2:26" x14ac:dyDescent="0.25">
      <c r="B151" s="36" t="s">
        <v>112</v>
      </c>
      <c r="C151" s="74">
        <f>+'[1]BALANZA G'!C35</f>
        <v>1350.12</v>
      </c>
      <c r="D151" s="34">
        <f>+'[1]BALANZA G'!E34-D150</f>
        <v>1052.7900000000373</v>
      </c>
      <c r="E151" s="39">
        <f>+C151-D151</f>
        <v>297.32999999996264</v>
      </c>
    </row>
    <row r="152" spans="2:26" x14ac:dyDescent="0.25">
      <c r="B152" s="75" t="s">
        <v>113</v>
      </c>
      <c r="C152" s="76">
        <f>SUM(C150:C151)</f>
        <v>1350.12</v>
      </c>
      <c r="D152" s="76">
        <f>SUM(D150:D151)</f>
        <v>4801052.79</v>
      </c>
      <c r="E152" s="76">
        <f>SUM(E150:E151)</f>
        <v>-4799702.67</v>
      </c>
      <c r="R152" s="3" t="str">
        <f>+CONCATENATE(S152,",",T152,U152)</f>
        <v>1,350.12</v>
      </c>
      <c r="S152" s="3" t="str">
        <f>MID(C152,1,1)</f>
        <v>1</v>
      </c>
      <c r="T152" s="3" t="str">
        <f>MID(C152,2,3)</f>
        <v>350</v>
      </c>
      <c r="U152" s="3" t="str">
        <f>MID(C152,5,3)</f>
        <v>.12</v>
      </c>
    </row>
    <row r="153" spans="2:26" x14ac:dyDescent="0.25">
      <c r="B153" s="77"/>
      <c r="C153" s="78"/>
      <c r="D153" s="79"/>
      <c r="E153" s="80"/>
      <c r="R153" s="3" t="str">
        <f>+CONCATENATE(S153,",",T153,",",U153,V153)</f>
        <v>4,801,052.79</v>
      </c>
      <c r="S153" s="3" t="str">
        <f>MID(D152,1,1)</f>
        <v>4</v>
      </c>
      <c r="T153" s="3" t="str">
        <f>MID(D152,2,3)</f>
        <v>801</v>
      </c>
      <c r="U153" s="3" t="str">
        <f>MID(D152,5,3)</f>
        <v>052</v>
      </c>
      <c r="V153" s="3" t="str">
        <f>MID(D152,8,3)</f>
        <v>.79</v>
      </c>
      <c r="W153" s="3" t="str">
        <f>MID(G152,2,3)</f>
        <v/>
      </c>
    </row>
    <row r="154" spans="2:26" s="42" customFormat="1" x14ac:dyDescent="0.25">
      <c r="B154" s="267" t="s">
        <v>103</v>
      </c>
      <c r="C154" s="268"/>
      <c r="D154" s="52" t="str">
        <f>IF(E154&gt;=0,"Aumento","Disminución")</f>
        <v>Disminución</v>
      </c>
      <c r="E154" s="81">
        <f>IFERROR(+E152/D152,0)</f>
        <v>-0.99971878667886926</v>
      </c>
      <c r="J154" s="46"/>
      <c r="N154" s="46"/>
      <c r="R154" s="47"/>
      <c r="S154" s="47"/>
      <c r="T154" s="47"/>
      <c r="U154" s="47"/>
      <c r="V154" s="47"/>
      <c r="W154" s="47"/>
      <c r="X154" s="47"/>
      <c r="Y154" s="47"/>
      <c r="Z154" s="46"/>
    </row>
    <row r="155" spans="2:26" ht="9" customHeight="1" x14ac:dyDescent="0.25">
      <c r="B155" s="71"/>
    </row>
    <row r="156" spans="2:26" ht="61.5" customHeight="1" x14ac:dyDescent="0.25">
      <c r="B156" s="272" t="s">
        <v>114</v>
      </c>
      <c r="C156" s="272"/>
      <c r="D156" s="272"/>
      <c r="E156" s="272"/>
    </row>
    <row r="157" spans="2:26" x14ac:dyDescent="0.25">
      <c r="B157" s="71"/>
    </row>
    <row r="158" spans="2:26" x14ac:dyDescent="0.25">
      <c r="B158" s="269" t="s">
        <v>115</v>
      </c>
      <c r="C158" s="269"/>
      <c r="D158" s="269"/>
      <c r="E158" s="269"/>
    </row>
    <row r="159" spans="2:26" x14ac:dyDescent="0.25">
      <c r="B159" s="269" t="s">
        <v>116</v>
      </c>
      <c r="C159" s="269"/>
      <c r="D159" s="269"/>
      <c r="E159" s="269"/>
    </row>
    <row r="160" spans="2:26" ht="18.75" customHeight="1" x14ac:dyDescent="0.25">
      <c r="B160" s="260" t="str">
        <f>("Un detalle del "&amp;B159&amp;" al "&amp;[1]BALANZA!$B$3&amp;" "&amp;[1]BALANZA!$C$3&amp;" es como se detalla a continuación:")</f>
        <v>Un detalle del Inventario al 30 de junio del 2023 - 2022 es como se detalla a continuación:</v>
      </c>
      <c r="C160" s="266"/>
      <c r="D160" s="266"/>
      <c r="E160" s="266"/>
    </row>
    <row r="161" spans="2:26" ht="36" customHeight="1" x14ac:dyDescent="0.25">
      <c r="B161" s="261" t="str">
        <f>("Los  inventarios están representados por las partidas de materiales en existencia, Para el "&amp;[1]BALANZA!B4&amp;" RD$ "&amp;R166&amp;" y para el "&amp;[1]BALANZA!C4&amp;" RD$ "&amp;R167&amp;", Según el siguiente detalle:")</f>
        <v>Los  inventarios están representados por las partidas de materiales en existencia, Para el 2023 RD$ 27,856,960.68 y para el 2022 RD$ 12,837,839.99, Según el siguiente detalle:</v>
      </c>
      <c r="C161" s="261"/>
      <c r="D161" s="261"/>
      <c r="E161" s="261"/>
    </row>
    <row r="162" spans="2:26" ht="7.5" customHeight="1" x14ac:dyDescent="0.25">
      <c r="B162" s="71"/>
    </row>
    <row r="163" spans="2:26" x14ac:dyDescent="0.25">
      <c r="B163" s="28" t="s">
        <v>92</v>
      </c>
      <c r="C163" s="28">
        <f>+C360</f>
        <v>2023</v>
      </c>
      <c r="D163" s="28">
        <f>+D360</f>
        <v>2022</v>
      </c>
      <c r="E163" s="28" t="s">
        <v>93</v>
      </c>
    </row>
    <row r="164" spans="2:26" hidden="1" x14ac:dyDescent="0.25">
      <c r="B164" s="36" t="s">
        <v>106</v>
      </c>
      <c r="C164" s="82">
        <f>+'[1]BALANZA G'!C40</f>
        <v>0</v>
      </c>
      <c r="D164" s="34">
        <f>+'[1]BALANZA G'!E40</f>
        <v>0</v>
      </c>
      <c r="E164" s="83">
        <f>+C164-D164</f>
        <v>0</v>
      </c>
    </row>
    <row r="165" spans="2:26" ht="30" x14ac:dyDescent="0.25">
      <c r="B165" s="36" t="s">
        <v>117</v>
      </c>
      <c r="C165" s="82">
        <f>+'[1]BALANZA G'!C41</f>
        <v>27856960.68</v>
      </c>
      <c r="D165" s="74">
        <f>+'[1]BALANZA G'!E41</f>
        <v>12837839.99</v>
      </c>
      <c r="E165" s="84">
        <f>+C165-D165</f>
        <v>15019120.689999999</v>
      </c>
    </row>
    <row r="166" spans="2:26" x14ac:dyDescent="0.25">
      <c r="B166" s="75" t="s">
        <v>118</v>
      </c>
      <c r="C166" s="44">
        <f>SUM(C164:C165)</f>
        <v>27856960.68</v>
      </c>
      <c r="D166" s="76">
        <f>SUM(D164:D165)</f>
        <v>12837839.99</v>
      </c>
      <c r="E166" s="44">
        <f>SUM(E164:E165)</f>
        <v>15019120.689999999</v>
      </c>
      <c r="R166" s="3" t="str">
        <f>+CONCATENATE(S166,",",T166,",",U166,V166,AB166)</f>
        <v>27,856,960.68</v>
      </c>
      <c r="S166" s="3" t="str">
        <f>MID(C166,1,2)</f>
        <v>27</v>
      </c>
      <c r="T166" s="3" t="str">
        <f>MID(C166,3,3)</f>
        <v>856</v>
      </c>
      <c r="U166" s="3" t="str">
        <f>MID(C166,6,3)</f>
        <v>960</v>
      </c>
      <c r="V166" s="3" t="str">
        <f>MID(C166,9,3)</f>
        <v>.68</v>
      </c>
    </row>
    <row r="167" spans="2:26" x14ac:dyDescent="0.25">
      <c r="B167" s="77"/>
      <c r="C167" s="85">
        <f>+C166-'[1]ES F '!B15</f>
        <v>0</v>
      </c>
      <c r="D167" s="79"/>
      <c r="E167" s="80"/>
      <c r="R167" s="3" t="str">
        <f>+CONCATENATE(S167,",",T167,",",U167,V167)</f>
        <v>12,837,839.99</v>
      </c>
      <c r="S167" s="3" t="str">
        <f>MID(D166,1,2)</f>
        <v>12</v>
      </c>
      <c r="T167" s="3" t="str">
        <f>MID(D166,3,3)</f>
        <v>837</v>
      </c>
      <c r="U167" s="3" t="str">
        <f>MID(D166,6,3)</f>
        <v>839</v>
      </c>
      <c r="V167" s="3" t="str">
        <f>MID(D166,9,3)</f>
        <v>.99</v>
      </c>
    </row>
    <row r="168" spans="2:26" s="42" customFormat="1" x14ac:dyDescent="0.25">
      <c r="B168" s="267" t="s">
        <v>103</v>
      </c>
      <c r="C168" s="268"/>
      <c r="D168" s="52" t="str">
        <f>IF(E168&gt;=0,"Aumento","Disminución")</f>
        <v>Aumento</v>
      </c>
      <c r="E168" s="81">
        <f>IFERROR((+E166/D166),0)</f>
        <v>1.1699102576211498</v>
      </c>
      <c r="J168" s="46"/>
      <c r="N168" s="46"/>
      <c r="R168" s="47"/>
      <c r="S168" s="47"/>
      <c r="T168" s="47"/>
      <c r="U168" s="47"/>
      <c r="V168" s="47"/>
      <c r="W168" s="47"/>
      <c r="X168" s="47"/>
      <c r="Y168" s="47"/>
      <c r="Z168" s="46"/>
    </row>
    <row r="169" spans="2:26" x14ac:dyDescent="0.25">
      <c r="B169" s="71"/>
    </row>
    <row r="170" spans="2:26" ht="16.5" customHeight="1" x14ac:dyDescent="0.25">
      <c r="B170" s="261"/>
      <c r="C170" s="261"/>
      <c r="D170" s="261"/>
      <c r="E170" s="261"/>
    </row>
    <row r="171" spans="2:26" ht="16.5" customHeight="1" x14ac:dyDescent="0.25">
      <c r="B171" s="12"/>
      <c r="C171" s="12"/>
      <c r="D171" s="12"/>
      <c r="E171" s="12"/>
    </row>
    <row r="172" spans="2:26" ht="16.5" customHeight="1" x14ac:dyDescent="0.25">
      <c r="B172" s="12"/>
      <c r="C172" s="12"/>
      <c r="D172" s="12"/>
      <c r="E172" s="12"/>
    </row>
    <row r="173" spans="2:26" ht="16.5" customHeight="1" x14ac:dyDescent="0.25">
      <c r="B173" s="12"/>
      <c r="C173" s="12"/>
      <c r="D173" s="12"/>
      <c r="E173" s="12"/>
    </row>
    <row r="174" spans="2:26" ht="16.5" customHeight="1" x14ac:dyDescent="0.25">
      <c r="B174" s="57" t="s">
        <v>119</v>
      </c>
      <c r="C174" s="12"/>
      <c r="D174" s="27"/>
      <c r="E174" s="12"/>
    </row>
    <row r="175" spans="2:26" ht="16.5" customHeight="1" x14ac:dyDescent="0.25">
      <c r="B175" s="57" t="s">
        <v>120</v>
      </c>
      <c r="C175" s="12"/>
      <c r="D175" s="27"/>
      <c r="E175" s="12"/>
    </row>
    <row r="176" spans="2:26" ht="27.75" customHeight="1" x14ac:dyDescent="0.25">
      <c r="B176" s="260" t="str">
        <f>("Un detalle del "&amp;B175&amp;" al "&amp;[1]BALANZA!$B$3&amp;" "&amp;[1]BALANZA!$C$3&amp;" es como se detalla a continuación:")</f>
        <v>Un detalle del Pagos anticipados al 30 de junio del 2023 - 2022 es como se detalla a continuación:</v>
      </c>
      <c r="C176" s="266"/>
      <c r="D176" s="266"/>
      <c r="E176" s="266"/>
    </row>
    <row r="177" spans="2:28" ht="41.25" customHeight="1" x14ac:dyDescent="0.25">
      <c r="B177" s="261" t="str">
        <f>("Los  pagos anticipados están representados por las partidas de seguros pagados por adelantado, Para el "&amp;[1]BALANZA!B4&amp;" el monto ascendio  a RD$ "&amp;R185&amp;" y para el "&amp;[1]BALANZA!C4&amp;" el monto era RD$ "&amp;R186&amp;", Según el siguiente detalle:")</f>
        <v>Los  pagos anticipados están representados por las partidas de seguros pagados por adelantado, Para el 2023 el monto ascendio  a RD$ 106,467.47 y para el 2022 el monto era RD$ 46,668.51, Según el siguiente detalle:</v>
      </c>
      <c r="C177" s="261"/>
      <c r="D177" s="261"/>
      <c r="E177" s="261"/>
    </row>
    <row r="178" spans="2:28" x14ac:dyDescent="0.25">
      <c r="B178" s="71"/>
    </row>
    <row r="179" spans="2:28" x14ac:dyDescent="0.25">
      <c r="B179" s="28" t="s">
        <v>92</v>
      </c>
      <c r="C179" s="31">
        <f>+C163</f>
        <v>2023</v>
      </c>
      <c r="D179" s="31">
        <f>+D163</f>
        <v>2022</v>
      </c>
      <c r="E179" s="28" t="s">
        <v>93</v>
      </c>
    </row>
    <row r="180" spans="2:28" ht="15" customHeight="1" x14ac:dyDescent="0.25">
      <c r="B180" s="36" t="s">
        <v>121</v>
      </c>
      <c r="C180" s="82">
        <v>317600.45</v>
      </c>
      <c r="D180" s="34">
        <f>+D184-D182-D181</f>
        <v>-71812.56</v>
      </c>
      <c r="E180" s="40">
        <f>+C180-D180</f>
        <v>389413.01</v>
      </c>
    </row>
    <row r="181" spans="2:28" ht="15" customHeight="1" x14ac:dyDescent="0.25">
      <c r="B181" s="36" t="s">
        <v>122</v>
      </c>
      <c r="C181" s="82">
        <f>+C184-C180-C182</f>
        <v>100990.51999999999</v>
      </c>
      <c r="D181" s="34">
        <f>205890.43+32007.08</f>
        <v>237897.51</v>
      </c>
      <c r="E181" s="40">
        <f>+C181-D181</f>
        <v>-136906.99000000002</v>
      </c>
      <c r="AB181" s="83"/>
    </row>
    <row r="182" spans="2:28" ht="15" customHeight="1" x14ac:dyDescent="0.25">
      <c r="B182" s="36" t="s">
        <v>123</v>
      </c>
      <c r="C182" s="86">
        <f>-'[1]Notas NF'!C599</f>
        <v>-312123.5</v>
      </c>
      <c r="D182" s="86">
        <f>-'[1]Notas NF'!D599</f>
        <v>-119416.44</v>
      </c>
      <c r="E182" s="40">
        <f>+C182-D182</f>
        <v>-192707.06</v>
      </c>
      <c r="U182" s="87"/>
      <c r="AB182" s="83"/>
    </row>
    <row r="183" spans="2:28" ht="15" customHeight="1" x14ac:dyDescent="0.25">
      <c r="B183" s="36"/>
      <c r="C183" s="82"/>
      <c r="D183" s="82"/>
      <c r="E183" s="40"/>
      <c r="AB183" s="83"/>
    </row>
    <row r="184" spans="2:28" x14ac:dyDescent="0.25">
      <c r="B184" s="36" t="s">
        <v>124</v>
      </c>
      <c r="C184" s="82">
        <f>+'[1]BALANZA G'!C48</f>
        <v>106467.47</v>
      </c>
      <c r="D184" s="74">
        <f>+'[1]BALANZA G'!E48</f>
        <v>46668.51</v>
      </c>
      <c r="E184" s="40">
        <f>+C184-D184</f>
        <v>59798.96</v>
      </c>
      <c r="AB184" s="83"/>
    </row>
    <row r="185" spans="2:28" x14ac:dyDescent="0.25">
      <c r="B185" s="75" t="s">
        <v>125</v>
      </c>
      <c r="C185" s="44">
        <f>SUM(C184:C184)</f>
        <v>106467.47</v>
      </c>
      <c r="D185" s="44">
        <f>SUM(D184:D184)</f>
        <v>46668.51</v>
      </c>
      <c r="E185" s="88">
        <f>+C185-D185</f>
        <v>59798.96</v>
      </c>
      <c r="R185" s="3" t="str">
        <f>+CONCATENATE(S185,",",T185,U185)</f>
        <v>106,467.47</v>
      </c>
      <c r="S185" s="3" t="str">
        <f>MID(C185,1,3)</f>
        <v>106</v>
      </c>
      <c r="T185" s="3" t="str">
        <f>MID(C185,4,3)</f>
        <v>467</v>
      </c>
      <c r="U185" s="3" t="str">
        <f>MID(C185,7,3)</f>
        <v>.47</v>
      </c>
      <c r="V185" s="3" t="str">
        <f>MID(C185,9,3)</f>
        <v>7</v>
      </c>
    </row>
    <row r="186" spans="2:28" x14ac:dyDescent="0.25">
      <c r="B186" s="77"/>
      <c r="C186" s="85">
        <f>+C185-'[1]ES F '!B16</f>
        <v>0</v>
      </c>
      <c r="D186" s="79"/>
      <c r="E186" s="80"/>
      <c r="R186" s="3" t="str">
        <f>+CONCATENATE(S186,",",T186,U186)</f>
        <v>46,668.51</v>
      </c>
      <c r="S186" s="3" t="str">
        <f>MID(D185,1,2)</f>
        <v>46</v>
      </c>
      <c r="T186" s="3" t="str">
        <f>MID(D185,3,3)</f>
        <v>668</v>
      </c>
      <c r="U186" s="3" t="str">
        <f>MID(D185,6,3)</f>
        <v>.51</v>
      </c>
    </row>
    <row r="187" spans="2:28" s="42" customFormat="1" x14ac:dyDescent="0.25">
      <c r="B187" s="270" t="s">
        <v>103</v>
      </c>
      <c r="C187" s="271"/>
      <c r="D187" s="52" t="str">
        <f>IF(E187&gt;=0,"Aumento","Disminución")</f>
        <v>Aumento</v>
      </c>
      <c r="E187" s="81">
        <f>IFERROR((+E185/D185),0)</f>
        <v>1.281355672165235</v>
      </c>
      <c r="J187" s="46"/>
      <c r="N187" s="46"/>
      <c r="R187" s="47"/>
      <c r="S187" s="47"/>
      <c r="T187" s="47"/>
      <c r="U187" s="47"/>
      <c r="V187" s="47"/>
      <c r="W187" s="47"/>
      <c r="X187" s="47"/>
      <c r="Y187" s="47"/>
      <c r="Z187" s="46"/>
    </row>
    <row r="188" spans="2:28" ht="16.5" customHeight="1" x14ac:dyDescent="0.25">
      <c r="B188" s="57"/>
      <c r="C188" s="12"/>
      <c r="D188" s="27"/>
      <c r="E188" s="12"/>
    </row>
    <row r="189" spans="2:28" ht="16.5" customHeight="1" x14ac:dyDescent="0.25">
      <c r="B189" s="57"/>
      <c r="C189" s="89"/>
      <c r="D189" s="27"/>
      <c r="E189" s="12"/>
    </row>
    <row r="190" spans="2:28" ht="14.25" customHeight="1" x14ac:dyDescent="0.25">
      <c r="B190" s="57" t="s">
        <v>126</v>
      </c>
      <c r="C190" s="12"/>
      <c r="D190" s="27"/>
      <c r="E190" s="12"/>
    </row>
    <row r="191" spans="2:28" x14ac:dyDescent="0.25">
      <c r="B191" s="57" t="s">
        <v>127</v>
      </c>
    </row>
    <row r="192" spans="2:28" ht="28.5" customHeight="1" x14ac:dyDescent="0.25">
      <c r="B192" s="260" t="str">
        <f>("Un detalle de "&amp;B191&amp;" al "&amp;[1]BALANZA!$B$3&amp;" "&amp;[1]BALANZA!$C$3&amp;" es como se detalla a continuación:")</f>
        <v>Un detalle de Otros activos corrientes al 30 de junio del 2023 - 2022 es como se detalla a continuación:</v>
      </c>
      <c r="C192" s="266"/>
      <c r="D192" s="266"/>
      <c r="E192" s="266"/>
    </row>
    <row r="193" spans="2:26" ht="49.5" customHeight="1" x14ac:dyDescent="0.25">
      <c r="B193" s="261" t="str">
        <f>("Los depósitos o fianzas por los alquileres de locales de CORAAMOCA, vigentes, están registrado en el Estado de Balance General, dentro  de la partida de otros activos, en  periodos "&amp;[1]BALANZA!B4&amp;" el valor estaba en RD$ "&amp;R210&amp;".  Según detalles:")</f>
        <v>Los depósitos o fianzas por los alquileres de locales de CORAAMOCA, vigentes, están registrado en el Estado de Balance General, dentro  de la partida de otros activos, en  periodos 2023 el valor estaba en RD$ 193,172.00.  Según detalles:</v>
      </c>
      <c r="C193" s="261"/>
      <c r="D193" s="261"/>
      <c r="E193" s="261"/>
    </row>
    <row r="194" spans="2:26" ht="14.25" customHeight="1" x14ac:dyDescent="0.25">
      <c r="B194" s="90"/>
    </row>
    <row r="195" spans="2:26" s="91" customFormat="1" ht="19.5" hidden="1" customHeight="1" x14ac:dyDescent="0.25">
      <c r="B195" s="28" t="s">
        <v>128</v>
      </c>
      <c r="C195" s="28" t="s">
        <v>129</v>
      </c>
      <c r="D195" s="92" t="s">
        <v>130</v>
      </c>
      <c r="E195" s="29" t="s">
        <v>131</v>
      </c>
      <c r="J195" s="93"/>
      <c r="N195" s="93"/>
      <c r="R195" s="94"/>
      <c r="S195" s="94"/>
      <c r="T195" s="94"/>
      <c r="U195" s="94"/>
      <c r="V195" s="94"/>
      <c r="W195" s="94"/>
      <c r="X195" s="94"/>
      <c r="Y195" s="94"/>
      <c r="Z195" s="93"/>
    </row>
    <row r="196" spans="2:26" hidden="1" x14ac:dyDescent="0.25">
      <c r="B196" s="95" t="s">
        <v>132</v>
      </c>
      <c r="C196" s="96" t="s">
        <v>133</v>
      </c>
      <c r="D196" s="97">
        <v>12000</v>
      </c>
      <c r="E196" s="98">
        <f>+D196</f>
        <v>12000</v>
      </c>
    </row>
    <row r="197" spans="2:26" hidden="1" x14ac:dyDescent="0.25">
      <c r="B197" s="95" t="s">
        <v>134</v>
      </c>
      <c r="C197" s="96" t="s">
        <v>135</v>
      </c>
      <c r="D197" s="97">
        <v>21000</v>
      </c>
      <c r="E197" s="98">
        <f t="shared" ref="E197:E204" si="1">+D197</f>
        <v>21000</v>
      </c>
    </row>
    <row r="198" spans="2:26" hidden="1" x14ac:dyDescent="0.25">
      <c r="B198" s="95" t="s">
        <v>136</v>
      </c>
      <c r="C198" s="96" t="s">
        <v>137</v>
      </c>
      <c r="D198" s="97">
        <v>28500</v>
      </c>
      <c r="E198" s="98">
        <f t="shared" si="1"/>
        <v>28500</v>
      </c>
    </row>
    <row r="199" spans="2:26" hidden="1" x14ac:dyDescent="0.25">
      <c r="B199" s="95" t="s">
        <v>138</v>
      </c>
      <c r="C199" s="96" t="s">
        <v>139</v>
      </c>
      <c r="D199" s="97">
        <v>33336</v>
      </c>
      <c r="E199" s="98">
        <f t="shared" si="1"/>
        <v>33336</v>
      </c>
    </row>
    <row r="200" spans="2:26" hidden="1" x14ac:dyDescent="0.25">
      <c r="B200" s="99" t="s">
        <v>140</v>
      </c>
      <c r="C200" s="100" t="s">
        <v>141</v>
      </c>
      <c r="D200" s="101">
        <v>20000</v>
      </c>
      <c r="E200" s="98">
        <f t="shared" si="1"/>
        <v>20000</v>
      </c>
    </row>
    <row r="201" spans="2:26" hidden="1" x14ac:dyDescent="0.25">
      <c r="B201" s="99" t="s">
        <v>142</v>
      </c>
      <c r="C201" s="100" t="s">
        <v>143</v>
      </c>
      <c r="D201" s="101">
        <v>18000</v>
      </c>
      <c r="E201" s="98">
        <f t="shared" si="1"/>
        <v>18000</v>
      </c>
    </row>
    <row r="202" spans="2:26" hidden="1" x14ac:dyDescent="0.25">
      <c r="B202" s="99" t="s">
        <v>144</v>
      </c>
      <c r="C202" s="100" t="s">
        <v>145</v>
      </c>
      <c r="D202" s="101">
        <v>33336</v>
      </c>
      <c r="E202" s="98">
        <f t="shared" si="1"/>
        <v>33336</v>
      </c>
    </row>
    <row r="203" spans="2:26" hidden="1" x14ac:dyDescent="0.25">
      <c r="B203" s="99" t="s">
        <v>146</v>
      </c>
      <c r="C203" s="100" t="s">
        <v>147</v>
      </c>
      <c r="D203" s="101">
        <v>27000</v>
      </c>
      <c r="E203" s="98">
        <v>27000</v>
      </c>
    </row>
    <row r="204" spans="2:26" hidden="1" x14ac:dyDescent="0.25">
      <c r="B204" s="99"/>
      <c r="C204" s="100"/>
      <c r="D204" s="101"/>
      <c r="E204" s="98">
        <f t="shared" si="1"/>
        <v>0</v>
      </c>
    </row>
    <row r="205" spans="2:26" hidden="1" x14ac:dyDescent="0.25">
      <c r="B205" s="102" t="s">
        <v>148</v>
      </c>
      <c r="C205" s="102"/>
      <c r="D205" s="103"/>
      <c r="E205" s="104">
        <f>SUM(E196:E204)</f>
        <v>193172</v>
      </c>
    </row>
    <row r="206" spans="2:26" hidden="1" x14ac:dyDescent="0.25">
      <c r="B206" s="105"/>
      <c r="C206" s="105"/>
      <c r="D206" s="106"/>
      <c r="E206" s="107">
        <f>+E205-'[1]ES F '!B17</f>
        <v>0</v>
      </c>
    </row>
    <row r="207" spans="2:26" ht="26.25" customHeight="1" x14ac:dyDescent="0.25">
      <c r="B207" s="28" t="s">
        <v>92</v>
      </c>
      <c r="C207" s="28">
        <f>+C149</f>
        <v>2023</v>
      </c>
      <c r="D207" s="28">
        <f>+D149</f>
        <v>2022</v>
      </c>
      <c r="E207" s="28" t="s">
        <v>93</v>
      </c>
    </row>
    <row r="208" spans="2:26" ht="15.75" hidden="1" customHeight="1" x14ac:dyDescent="0.25">
      <c r="B208" s="36" t="s">
        <v>106</v>
      </c>
      <c r="C208" s="82">
        <v>0</v>
      </c>
      <c r="D208" s="34">
        <v>0</v>
      </c>
      <c r="E208" s="83">
        <f>+C208-D208</f>
        <v>0</v>
      </c>
    </row>
    <row r="209" spans="2:26" x14ac:dyDescent="0.25">
      <c r="B209" s="36" t="s">
        <v>149</v>
      </c>
      <c r="C209" s="82">
        <f>+E205</f>
        <v>193172</v>
      </c>
      <c r="D209" s="74">
        <f>+E205+10500-18000+13500-6000</f>
        <v>193172</v>
      </c>
      <c r="E209" s="83">
        <f>+C209-D209</f>
        <v>0</v>
      </c>
    </row>
    <row r="210" spans="2:26" s="108" customFormat="1" x14ac:dyDescent="0.25">
      <c r="B210" s="65" t="s">
        <v>150</v>
      </c>
      <c r="C210" s="45">
        <f>SUM(C208:C209)</f>
        <v>193172</v>
      </c>
      <c r="D210" s="66">
        <f>SUM(D208:D209)</f>
        <v>193172</v>
      </c>
      <c r="E210" s="45">
        <f>SUM(E208:E209)</f>
        <v>0</v>
      </c>
      <c r="J210" s="109"/>
      <c r="N210" s="109"/>
      <c r="R210" s="3" t="str">
        <f>+CONCATENATE(S210,",",T210,".00")</f>
        <v>193,172.00</v>
      </c>
      <c r="S210" s="3" t="str">
        <f>MID(C210,1,3)</f>
        <v>193</v>
      </c>
      <c r="T210" s="3" t="str">
        <f>MID(C210,4,3)</f>
        <v>172</v>
      </c>
      <c r="U210" s="3" t="str">
        <f>MID(C210,7,3)</f>
        <v/>
      </c>
      <c r="V210" s="3" t="str">
        <f>MID(C210,9,3)</f>
        <v/>
      </c>
      <c r="W210" s="110"/>
      <c r="X210" s="110"/>
      <c r="Y210" s="110"/>
      <c r="Z210" s="109"/>
    </row>
    <row r="211" spans="2:26" s="108" customFormat="1" x14ac:dyDescent="0.25">
      <c r="B211" s="111"/>
      <c r="C211" s="112">
        <f>+C210-'[1]ES F '!B17</f>
        <v>0</v>
      </c>
      <c r="D211" s="112">
        <f>+D210-'[1]ES F '!C17</f>
        <v>0</v>
      </c>
      <c r="E211" s="113"/>
      <c r="J211" s="109"/>
      <c r="N211" s="109"/>
      <c r="R211" s="3" t="str">
        <f>+CONCATENATE(S211,",",T211,".00")</f>
        <v>193,172.00</v>
      </c>
      <c r="S211" s="3" t="str">
        <f>MID(D210,1,3)</f>
        <v>193</v>
      </c>
      <c r="T211" s="3" t="str">
        <f>MID(D210,4,3)</f>
        <v>172</v>
      </c>
      <c r="U211" s="3" t="str">
        <f>MID(D210,7,3)</f>
        <v/>
      </c>
      <c r="V211" s="3" t="str">
        <f>MID(D210,8,3)</f>
        <v/>
      </c>
      <c r="W211" s="110"/>
      <c r="X211" s="110"/>
      <c r="Y211" s="110"/>
      <c r="Z211" s="109"/>
    </row>
    <row r="212" spans="2:26" s="114" customFormat="1" x14ac:dyDescent="0.25">
      <c r="B212" s="275" t="s">
        <v>103</v>
      </c>
      <c r="C212" s="276"/>
      <c r="D212" s="115" t="str">
        <f>IF(E212&gt;=0,"Aumento","Disminución")</f>
        <v>Aumento</v>
      </c>
      <c r="E212" s="116">
        <f>IFERROR((+E210/D210),0)</f>
        <v>0</v>
      </c>
      <c r="J212" s="117"/>
      <c r="N212" s="117"/>
      <c r="R212" s="118"/>
      <c r="S212" s="118"/>
      <c r="T212" s="118"/>
      <c r="U212" s="118"/>
      <c r="V212" s="118"/>
      <c r="W212" s="118"/>
      <c r="X212" s="118"/>
      <c r="Y212" s="118"/>
      <c r="Z212" s="117"/>
    </row>
    <row r="213" spans="2:26" s="114" customFormat="1" x14ac:dyDescent="0.25">
      <c r="B213" s="119"/>
      <c r="C213" s="119"/>
      <c r="D213" s="120"/>
      <c r="E213" s="121"/>
      <c r="J213" s="117"/>
      <c r="N213" s="117"/>
      <c r="R213" s="118"/>
      <c r="S213" s="118"/>
      <c r="T213" s="118"/>
      <c r="U213" s="118"/>
      <c r="V213" s="118"/>
      <c r="W213" s="118"/>
      <c r="X213" s="118"/>
      <c r="Y213" s="118"/>
      <c r="Z213" s="117"/>
    </row>
    <row r="214" spans="2:26" x14ac:dyDescent="0.25">
      <c r="B214" s="9"/>
    </row>
    <row r="215" spans="2:26" x14ac:dyDescent="0.25">
      <c r="B215" s="9"/>
    </row>
    <row r="216" spans="2:26" x14ac:dyDescent="0.25">
      <c r="B216" s="9"/>
    </row>
    <row r="217" spans="2:26" x14ac:dyDescent="0.25">
      <c r="B217" s="9"/>
    </row>
    <row r="218" spans="2:26" x14ac:dyDescent="0.25">
      <c r="B218" s="9"/>
    </row>
    <row r="219" spans="2:26" x14ac:dyDescent="0.25">
      <c r="B219" s="9"/>
    </row>
    <row r="220" spans="2:26" x14ac:dyDescent="0.25">
      <c r="B220" s="9"/>
    </row>
    <row r="221" spans="2:26" x14ac:dyDescent="0.25">
      <c r="B221" s="9"/>
    </row>
    <row r="222" spans="2:26" x14ac:dyDescent="0.25">
      <c r="B222" s="9"/>
    </row>
    <row r="223" spans="2:26" x14ac:dyDescent="0.25">
      <c r="B223" s="9"/>
    </row>
    <row r="224" spans="2:26" x14ac:dyDescent="0.25">
      <c r="B224" s="9"/>
    </row>
    <row r="225" spans="2:5" x14ac:dyDescent="0.25">
      <c r="B225" s="9"/>
    </row>
    <row r="226" spans="2:5" x14ac:dyDescent="0.25">
      <c r="B226" s="9"/>
    </row>
    <row r="227" spans="2:5" x14ac:dyDescent="0.25">
      <c r="B227" s="9"/>
    </row>
    <row r="228" spans="2:5" x14ac:dyDescent="0.25">
      <c r="B228" s="9"/>
    </row>
    <row r="229" spans="2:5" x14ac:dyDescent="0.25">
      <c r="B229" s="9"/>
    </row>
    <row r="230" spans="2:5" x14ac:dyDescent="0.25">
      <c r="B230" s="9"/>
    </row>
    <row r="231" spans="2:5" x14ac:dyDescent="0.25">
      <c r="B231" s="9" t="s">
        <v>151</v>
      </c>
    </row>
    <row r="232" spans="2:5" ht="19.5" customHeight="1" x14ac:dyDescent="0.25">
      <c r="B232" s="259" t="s">
        <v>152</v>
      </c>
      <c r="C232" s="259"/>
      <c r="D232" s="259"/>
      <c r="E232" s="259"/>
    </row>
    <row r="233" spans="2:5" ht="19.5" customHeight="1" x14ac:dyDescent="0.25">
      <c r="B233" s="260" t="str">
        <f>("Un detalle de "&amp;B232&amp;" al "&amp;[1]BALANZA!$B$3&amp;" "&amp;[1]BALANZA!$C$3&amp;" es como se detalla a continuación:")</f>
        <v>Un detalle de Propiedad planta y equipo al 30 de junio del 2023 - 2022 es como se detalla a continuación:</v>
      </c>
      <c r="C233" s="266"/>
      <c r="D233" s="266"/>
      <c r="E233" s="266"/>
    </row>
    <row r="234" spans="2:5" ht="19.5" customHeight="1" x14ac:dyDescent="0.25">
      <c r="B234" s="261" t="s">
        <v>153</v>
      </c>
      <c r="C234" s="261"/>
      <c r="D234" s="261"/>
      <c r="E234" s="261"/>
    </row>
    <row r="235" spans="2:5" ht="81.75" customHeight="1" x14ac:dyDescent="0.25">
      <c r="B235" s="265" t="s">
        <v>154</v>
      </c>
      <c r="C235" s="265"/>
      <c r="D235" s="265"/>
      <c r="E235" s="265"/>
    </row>
    <row r="236" spans="2:5" ht="27" customHeight="1" x14ac:dyDescent="0.25">
      <c r="B236" s="10" t="str">
        <f>+B232</f>
        <v>Propiedad planta y equipo</v>
      </c>
      <c r="C236" s="8" t="s">
        <v>155</v>
      </c>
      <c r="D236" s="11"/>
    </row>
    <row r="237" spans="2:5" hidden="1" x14ac:dyDescent="0.25">
      <c r="B237" s="122" t="s">
        <v>156</v>
      </c>
      <c r="C237" s="122">
        <f>+[1]BALANZA!B4</f>
        <v>2023</v>
      </c>
      <c r="D237" s="123">
        <f>+[1]BALANZA!C4</f>
        <v>2022</v>
      </c>
      <c r="E237" s="124" t="s">
        <v>93</v>
      </c>
    </row>
    <row r="238" spans="2:5" hidden="1" x14ac:dyDescent="0.25">
      <c r="B238" s="125" t="s">
        <v>157</v>
      </c>
      <c r="C238" s="126"/>
      <c r="D238" s="127"/>
      <c r="E238" s="128"/>
    </row>
    <row r="239" spans="2:5" ht="20.25" hidden="1" customHeight="1" x14ac:dyDescent="0.25">
      <c r="B239" s="99" t="s">
        <v>158</v>
      </c>
      <c r="C239" s="126"/>
      <c r="D239" s="127"/>
      <c r="E239" s="128"/>
    </row>
    <row r="240" spans="2:5" ht="20.25" hidden="1" customHeight="1" x14ac:dyDescent="0.25">
      <c r="B240" s="57" t="s">
        <v>159</v>
      </c>
      <c r="C240" s="82">
        <f>+D240+D241</f>
        <v>26284603.5</v>
      </c>
      <c r="D240" s="129">
        <f>+'[1]BALANZA G'!E70+'[1]BALANZA G'!E59-D241</f>
        <v>23107903.5</v>
      </c>
      <c r="E240" s="40">
        <f>+C240-D240</f>
        <v>3176700</v>
      </c>
    </row>
    <row r="241" spans="2:7" ht="20.25" hidden="1" customHeight="1" x14ac:dyDescent="0.25">
      <c r="B241" s="99" t="s">
        <v>160</v>
      </c>
      <c r="C241" s="82">
        <f>+'[1]BALANZA G'!C70-'[1]BALANZA G'!E70+'[1]BALANZA G'!C59+'[1]BALANZA G'!C71-E240</f>
        <v>1470824.2000000002</v>
      </c>
      <c r="D241" s="130">
        <v>3176700</v>
      </c>
      <c r="E241" s="40">
        <f>+C241-D241</f>
        <v>-1705875.7999999998</v>
      </c>
    </row>
    <row r="242" spans="2:7" ht="20.25" hidden="1" customHeight="1" x14ac:dyDescent="0.25">
      <c r="B242" s="99" t="s">
        <v>161</v>
      </c>
      <c r="C242" s="82"/>
      <c r="D242" s="129"/>
      <c r="E242" s="40">
        <f>+C242-D242</f>
        <v>0</v>
      </c>
    </row>
    <row r="243" spans="2:7" ht="20.25" hidden="1" customHeight="1" x14ac:dyDescent="0.25">
      <c r="B243" s="99" t="s">
        <v>162</v>
      </c>
      <c r="C243" s="82">
        <f>-[1]nota13!F28</f>
        <v>-22594994.66</v>
      </c>
      <c r="D243" s="129"/>
      <c r="E243" s="40"/>
    </row>
    <row r="244" spans="2:7" ht="20.25" hidden="1" customHeight="1" x14ac:dyDescent="0.25">
      <c r="B244" s="99" t="s">
        <v>163</v>
      </c>
      <c r="C244" s="82">
        <f>-[1]nota13!F29</f>
        <v>-1379314.0599999998</v>
      </c>
      <c r="D244" s="129"/>
      <c r="E244" s="40"/>
    </row>
    <row r="245" spans="2:7" hidden="1" x14ac:dyDescent="0.25">
      <c r="B245" s="131" t="s">
        <v>164</v>
      </c>
      <c r="C245" s="132">
        <f>SUM(C240:C244)</f>
        <v>3781118.9799999995</v>
      </c>
      <c r="D245" s="133">
        <f>SUM(D238:D242)</f>
        <v>26284603.5</v>
      </c>
      <c r="E245" s="132">
        <f>SUM(E238:E242)</f>
        <v>1470824.2000000002</v>
      </c>
    </row>
    <row r="246" spans="2:7" ht="28.5" hidden="1" x14ac:dyDescent="0.25">
      <c r="B246" s="131" t="s">
        <v>165</v>
      </c>
      <c r="C246" s="134">
        <v>0</v>
      </c>
      <c r="D246" s="135">
        <v>0</v>
      </c>
      <c r="E246" s="136">
        <f>+C246-D246</f>
        <v>0</v>
      </c>
    </row>
    <row r="247" spans="2:7" ht="28.5" hidden="1" x14ac:dyDescent="0.25">
      <c r="B247" s="131" t="s">
        <v>166</v>
      </c>
      <c r="C247" s="132">
        <f>+C245-C246</f>
        <v>3781118.9799999995</v>
      </c>
      <c r="D247" s="133">
        <f>+D245-D246</f>
        <v>26284603.5</v>
      </c>
      <c r="E247" s="132">
        <f>+E245-E246</f>
        <v>1470824.2000000002</v>
      </c>
    </row>
    <row r="248" spans="2:7" ht="23.25" hidden="1" customHeight="1" x14ac:dyDescent="0.25">
      <c r="B248" s="125" t="s">
        <v>167</v>
      </c>
      <c r="C248" s="137"/>
      <c r="D248" s="138"/>
      <c r="E248" s="139"/>
    </row>
    <row r="249" spans="2:7" hidden="1" x14ac:dyDescent="0.25">
      <c r="B249" s="99" t="str">
        <f>+B240</f>
        <v xml:space="preserve">Costos de adquisición  </v>
      </c>
      <c r="C249" s="82">
        <f>+'[1]BALANZA G'!C62</f>
        <v>48572302.979999997</v>
      </c>
      <c r="D249" s="129">
        <f>+'[1]BALANZA G'!E62</f>
        <v>43071024.979999997</v>
      </c>
      <c r="E249" s="40">
        <f>+C249-D249</f>
        <v>5501278</v>
      </c>
      <c r="G249" s="1" t="s">
        <v>168</v>
      </c>
    </row>
    <row r="250" spans="2:7" hidden="1" x14ac:dyDescent="0.25">
      <c r="B250" s="99" t="str">
        <f>+B241</f>
        <v>Adiciones</v>
      </c>
      <c r="C250" s="82"/>
      <c r="D250" s="129">
        <f>+'[1]BALANZA G'!G62</f>
        <v>30754935.530000001</v>
      </c>
      <c r="E250" s="40">
        <f>+C250-D250</f>
        <v>-30754935.530000001</v>
      </c>
    </row>
    <row r="251" spans="2:7" hidden="1" x14ac:dyDescent="0.25">
      <c r="B251" s="99" t="str">
        <f>+B242</f>
        <v>Retiros</v>
      </c>
      <c r="C251" s="82"/>
      <c r="D251" s="129"/>
      <c r="E251" s="40">
        <f>+C251-D251</f>
        <v>0</v>
      </c>
    </row>
    <row r="252" spans="2:7" hidden="1" x14ac:dyDescent="0.25">
      <c r="B252" s="99" t="str">
        <f>+B243</f>
        <v>Depreciación Acumulada</v>
      </c>
      <c r="C252" s="82">
        <f>-[1]nota13!I28</f>
        <v>-32026501.77</v>
      </c>
      <c r="D252" s="129"/>
      <c r="E252" s="40"/>
    </row>
    <row r="253" spans="2:7" hidden="1" x14ac:dyDescent="0.25">
      <c r="B253" s="99" t="str">
        <f>+B244</f>
        <v>Depreciación del periodo</v>
      </c>
      <c r="C253" s="82">
        <f>-[1]nota13!I29</f>
        <v>-842715.69000000134</v>
      </c>
      <c r="D253" s="129"/>
      <c r="E253" s="40"/>
    </row>
    <row r="254" spans="2:7" ht="28.5" hidden="1" x14ac:dyDescent="0.25">
      <c r="B254" s="140" t="s">
        <v>169</v>
      </c>
      <c r="C254" s="132">
        <f>SUM(C249:C253)</f>
        <v>15703085.519999996</v>
      </c>
      <c r="D254" s="133">
        <f>SUM(D249:D251)</f>
        <v>73825960.50999999</v>
      </c>
      <c r="E254" s="132">
        <f>SUM(E249:E251)</f>
        <v>-25253657.530000001</v>
      </c>
    </row>
    <row r="255" spans="2:7" ht="28.5" hidden="1" x14ac:dyDescent="0.25">
      <c r="B255" s="131" t="s">
        <v>170</v>
      </c>
      <c r="C255" s="134">
        <v>0</v>
      </c>
      <c r="D255" s="135">
        <v>0</v>
      </c>
      <c r="E255" s="136">
        <f>+C255-D255</f>
        <v>0</v>
      </c>
    </row>
    <row r="256" spans="2:7" ht="42.75" hidden="1" x14ac:dyDescent="0.25">
      <c r="B256" s="131" t="s">
        <v>171</v>
      </c>
      <c r="C256" s="132">
        <f>+C254-C255</f>
        <v>15703085.519999996</v>
      </c>
      <c r="D256" s="133">
        <f>+D254-D255</f>
        <v>73825960.50999999</v>
      </c>
      <c r="E256" s="132">
        <f>+E254-E255</f>
        <v>-25253657.530000001</v>
      </c>
    </row>
    <row r="257" spans="2:5" ht="26.25" hidden="1" customHeight="1" x14ac:dyDescent="0.25">
      <c r="B257" s="141" t="s">
        <v>172</v>
      </c>
      <c r="C257" s="137"/>
      <c r="D257" s="138"/>
      <c r="E257" s="139"/>
    </row>
    <row r="258" spans="2:5" hidden="1" x14ac:dyDescent="0.25">
      <c r="B258" s="99" t="str">
        <f>+B249</f>
        <v xml:space="preserve">Costos de adquisición  </v>
      </c>
      <c r="C258" s="82">
        <f>+'[1]BALANZA G'!C66</f>
        <v>396650</v>
      </c>
      <c r="D258" s="129">
        <f>+'[1]BALANZA G'!E66-D259</f>
        <v>0</v>
      </c>
      <c r="E258" s="40">
        <f>+C258-D258</f>
        <v>396650</v>
      </c>
    </row>
    <row r="259" spans="2:5" hidden="1" x14ac:dyDescent="0.25">
      <c r="B259" s="99" t="str">
        <f>+B250</f>
        <v>Adiciones</v>
      </c>
      <c r="C259" s="82"/>
      <c r="D259" s="129">
        <f>+'[1]BALANZA G'!G66</f>
        <v>74900</v>
      </c>
      <c r="E259" s="40">
        <f>+C259-D259</f>
        <v>-74900</v>
      </c>
    </row>
    <row r="260" spans="2:5" hidden="1" x14ac:dyDescent="0.25">
      <c r="B260" s="99" t="str">
        <f>+B251</f>
        <v>Retiros</v>
      </c>
      <c r="C260" s="82"/>
      <c r="D260" s="129"/>
      <c r="E260" s="40">
        <f>+C260-D260</f>
        <v>0</v>
      </c>
    </row>
    <row r="261" spans="2:5" hidden="1" x14ac:dyDescent="0.25">
      <c r="B261" s="99" t="str">
        <f>+B252</f>
        <v>Depreciación Acumulada</v>
      </c>
      <c r="C261" s="82"/>
      <c r="D261" s="129"/>
      <c r="E261" s="40"/>
    </row>
    <row r="262" spans="2:5" hidden="1" x14ac:dyDescent="0.25">
      <c r="B262" s="99" t="str">
        <f>+B253</f>
        <v>Depreciación del periodo</v>
      </c>
      <c r="C262" s="82">
        <f>-[1]nota13!G29</f>
        <v>-44168.55</v>
      </c>
      <c r="D262" s="129"/>
      <c r="E262" s="40"/>
    </row>
    <row r="263" spans="2:5" ht="28.5" hidden="1" x14ac:dyDescent="0.25">
      <c r="B263" s="131" t="s">
        <v>173</v>
      </c>
      <c r="C263" s="132">
        <f>SUM(C258:C262)</f>
        <v>352481.45</v>
      </c>
      <c r="D263" s="133">
        <f>SUM(D258:D262)</f>
        <v>74900</v>
      </c>
      <c r="E263" s="132">
        <f>SUM(E258)</f>
        <v>396650</v>
      </c>
    </row>
    <row r="264" spans="2:5" ht="27" hidden="1" customHeight="1" x14ac:dyDescent="0.25">
      <c r="B264" s="131" t="s">
        <v>174</v>
      </c>
      <c r="C264" s="134">
        <v>0</v>
      </c>
      <c r="D264" s="135">
        <v>0</v>
      </c>
      <c r="E264" s="136">
        <f>+C264-D264</f>
        <v>0</v>
      </c>
    </row>
    <row r="265" spans="2:5" ht="28.5" hidden="1" x14ac:dyDescent="0.25">
      <c r="B265" s="131" t="s">
        <v>175</v>
      </c>
      <c r="C265" s="132">
        <f>+C263-C264</f>
        <v>352481.45</v>
      </c>
      <c r="D265" s="133">
        <f>+D263-D264</f>
        <v>74900</v>
      </c>
      <c r="E265" s="132">
        <f>+E263-E264</f>
        <v>396650</v>
      </c>
    </row>
    <row r="266" spans="2:5" hidden="1" x14ac:dyDescent="0.25">
      <c r="B266" s="125" t="s">
        <v>176</v>
      </c>
      <c r="C266" s="137"/>
      <c r="D266" s="138"/>
      <c r="E266" s="139"/>
    </row>
    <row r="267" spans="2:5" hidden="1" x14ac:dyDescent="0.25">
      <c r="B267" s="99" t="str">
        <f>+B258</f>
        <v xml:space="preserve">Costos de adquisición  </v>
      </c>
      <c r="C267" s="82">
        <f>+'[1]BALANZA G'!C63+'[1]BALANZA G'!C67-C268</f>
        <v>11831342.59</v>
      </c>
      <c r="D267" s="129">
        <f>+'[1]BALANZA G'!E63+'[1]BALANZA G'!E67-D268</f>
        <v>9225825.5199999996</v>
      </c>
      <c r="E267" s="40">
        <f>+C267-D267</f>
        <v>2605517.0700000003</v>
      </c>
    </row>
    <row r="268" spans="2:5" hidden="1" x14ac:dyDescent="0.25">
      <c r="B268" s="99" t="str">
        <f>+B259</f>
        <v>Adiciones</v>
      </c>
      <c r="C268" s="82">
        <f>+'[1]BALANZA G'!C67-D268+'[1]BALANZA G'!C63-'[1]BALANZA G'!E63</f>
        <v>3386588</v>
      </c>
      <c r="D268" s="74">
        <f>+'[1]BALANZA G'!E67</f>
        <v>2605517.0699999998</v>
      </c>
      <c r="E268" s="40">
        <f>+C268-D268</f>
        <v>781070.93000000017</v>
      </c>
    </row>
    <row r="269" spans="2:5" hidden="1" x14ac:dyDescent="0.25">
      <c r="B269" s="99" t="str">
        <f>+B260</f>
        <v>Retiros</v>
      </c>
      <c r="C269" s="82"/>
      <c r="D269" s="129"/>
      <c r="E269" s="40">
        <f>+C269-D269</f>
        <v>0</v>
      </c>
    </row>
    <row r="270" spans="2:5" hidden="1" x14ac:dyDescent="0.25">
      <c r="B270" s="99" t="str">
        <f>+B261</f>
        <v>Depreciación Acumulada</v>
      </c>
      <c r="C270" s="82">
        <f>-[1]nota13!H28</f>
        <v>-9433877.2599999998</v>
      </c>
      <c r="D270" s="129"/>
      <c r="E270" s="40"/>
    </row>
    <row r="271" spans="2:5" hidden="1" x14ac:dyDescent="0.25">
      <c r="B271" s="99" t="str">
        <f>+B262</f>
        <v>Depreciación del periodo</v>
      </c>
      <c r="C271" s="82">
        <f>-[1]nota13!H29</f>
        <v>-721474.15999999992</v>
      </c>
      <c r="D271" s="129"/>
      <c r="E271" s="40"/>
    </row>
    <row r="272" spans="2:5" ht="28.5" hidden="1" x14ac:dyDescent="0.25">
      <c r="B272" s="131" t="s">
        <v>177</v>
      </c>
      <c r="C272" s="132">
        <f>SUM(C267:C271)</f>
        <v>5062579.17</v>
      </c>
      <c r="D272" s="133">
        <f>SUM(D267:D269)</f>
        <v>11831342.59</v>
      </c>
      <c r="E272" s="132">
        <f>SUM(E267:E269)</f>
        <v>3386588.0000000005</v>
      </c>
    </row>
    <row r="273" spans="2:5" ht="28.5" hidden="1" x14ac:dyDescent="0.25">
      <c r="B273" s="131" t="s">
        <v>178</v>
      </c>
      <c r="C273" s="134"/>
      <c r="D273" s="135"/>
      <c r="E273" s="136"/>
    </row>
    <row r="274" spans="2:5" ht="28.5" hidden="1" x14ac:dyDescent="0.25">
      <c r="B274" s="131" t="s">
        <v>179</v>
      </c>
      <c r="C274" s="132">
        <f>+C272-C273</f>
        <v>5062579.17</v>
      </c>
      <c r="D274" s="133">
        <f>+D272-D273</f>
        <v>11831342.59</v>
      </c>
      <c r="E274" s="132">
        <f>+E272-E273</f>
        <v>3386588.0000000005</v>
      </c>
    </row>
    <row r="275" spans="2:5" hidden="1" x14ac:dyDescent="0.25">
      <c r="B275" s="125" t="s">
        <v>180</v>
      </c>
      <c r="C275" s="142"/>
      <c r="D275" s="129"/>
      <c r="E275" s="40">
        <f>+C275-D275</f>
        <v>0</v>
      </c>
    </row>
    <row r="276" spans="2:5" hidden="1" x14ac:dyDescent="0.25">
      <c r="B276" s="99" t="s">
        <v>181</v>
      </c>
      <c r="C276" s="82"/>
      <c r="D276" s="129"/>
      <c r="E276" s="40">
        <f>+C276-D276</f>
        <v>0</v>
      </c>
    </row>
    <row r="277" spans="2:5" hidden="1" x14ac:dyDescent="0.25">
      <c r="B277" s="143" t="s">
        <v>182</v>
      </c>
      <c r="C277" s="82"/>
      <c r="D277" s="129"/>
      <c r="E277" s="40">
        <f>+C277-D277</f>
        <v>0</v>
      </c>
    </row>
    <row r="278" spans="2:5" hidden="1" x14ac:dyDescent="0.25">
      <c r="B278" s="131" t="s">
        <v>183</v>
      </c>
      <c r="C278" s="144">
        <f>SUM(C276:C277)</f>
        <v>0</v>
      </c>
      <c r="D278" s="145">
        <f>SUM(D276:D277)</f>
        <v>0</v>
      </c>
      <c r="E278" s="144">
        <f>SUM(E276:E277)</f>
        <v>0</v>
      </c>
    </row>
    <row r="279" spans="2:5" ht="28.5" hidden="1" x14ac:dyDescent="0.25">
      <c r="B279" s="131" t="s">
        <v>184</v>
      </c>
      <c r="C279" s="146">
        <v>0</v>
      </c>
      <c r="D279" s="135">
        <v>0</v>
      </c>
      <c r="E279" s="136">
        <f>+C279-D279</f>
        <v>0</v>
      </c>
    </row>
    <row r="280" spans="2:5" ht="28.5" hidden="1" x14ac:dyDescent="0.25">
      <c r="B280" s="131" t="s">
        <v>185</v>
      </c>
      <c r="C280" s="144">
        <f>+C278-C279</f>
        <v>0</v>
      </c>
      <c r="D280" s="145">
        <f>+D278-D279</f>
        <v>0</v>
      </c>
      <c r="E280" s="144">
        <f>+E278-E279</f>
        <v>0</v>
      </c>
    </row>
    <row r="281" spans="2:5" hidden="1" x14ac:dyDescent="0.25">
      <c r="B281" s="141" t="s">
        <v>186</v>
      </c>
      <c r="C281" s="137"/>
      <c r="D281" s="138"/>
      <c r="E281" s="139"/>
    </row>
    <row r="282" spans="2:5" hidden="1" x14ac:dyDescent="0.25">
      <c r="B282" s="36" t="str">
        <f>+B267</f>
        <v xml:space="preserve">Costos de adquisición  </v>
      </c>
      <c r="C282" s="82">
        <f>+'[1]BALANZA G'!E55</f>
        <v>1623675</v>
      </c>
      <c r="D282" s="129">
        <f>+'[1]BALANZA G'!E55</f>
        <v>1623675</v>
      </c>
      <c r="E282" s="40">
        <f>+C282-D282</f>
        <v>0</v>
      </c>
    </row>
    <row r="283" spans="2:5" hidden="1" x14ac:dyDescent="0.25">
      <c r="B283" s="36" t="str">
        <f>+B268</f>
        <v>Adiciones</v>
      </c>
      <c r="C283" s="82">
        <f>+'[1]BALANZA G'!C55-'[1]BALANZA G'!E55</f>
        <v>0</v>
      </c>
      <c r="D283" s="129">
        <f>+'[1]BALANZA G'!G55</f>
        <v>1623675</v>
      </c>
      <c r="E283" s="40">
        <f>+C283-D283</f>
        <v>-1623675</v>
      </c>
    </row>
    <row r="284" spans="2:5" hidden="1" x14ac:dyDescent="0.25">
      <c r="B284" s="36" t="str">
        <f>+B269</f>
        <v>Retiros</v>
      </c>
      <c r="C284" s="82"/>
      <c r="D284" s="129"/>
      <c r="E284" s="40">
        <f>+C284-D284</f>
        <v>0</v>
      </c>
    </row>
    <row r="285" spans="2:5" hidden="1" x14ac:dyDescent="0.25">
      <c r="B285" s="36" t="str">
        <f>+B270</f>
        <v>Depreciación Acumulada</v>
      </c>
      <c r="C285" s="82"/>
      <c r="D285" s="129"/>
      <c r="E285" s="40"/>
    </row>
    <row r="286" spans="2:5" hidden="1" x14ac:dyDescent="0.25">
      <c r="B286" s="36" t="str">
        <f>+B271</f>
        <v>Depreciación del periodo</v>
      </c>
      <c r="C286" s="82"/>
      <c r="D286" s="129"/>
      <c r="E286" s="40"/>
    </row>
    <row r="287" spans="2:5" hidden="1" x14ac:dyDescent="0.25">
      <c r="B287" s="131" t="s">
        <v>187</v>
      </c>
      <c r="C287" s="132">
        <f>SUM(C276:C283)</f>
        <v>1623675</v>
      </c>
      <c r="D287" s="133">
        <f>SUM(D276:D283)</f>
        <v>3247350</v>
      </c>
      <c r="E287" s="132">
        <f>SUM(E276:E283)</f>
        <v>-1623675</v>
      </c>
    </row>
    <row r="288" spans="2:5" hidden="1" x14ac:dyDescent="0.25">
      <c r="B288" s="141" t="s">
        <v>188</v>
      </c>
      <c r="C288" s="137"/>
      <c r="D288" s="138"/>
      <c r="E288" s="139"/>
    </row>
    <row r="289" spans="2:6" hidden="1" x14ac:dyDescent="0.25">
      <c r="B289" s="36" t="str">
        <f>+B282</f>
        <v xml:space="preserve">Costos de adquisición  </v>
      </c>
      <c r="C289" s="82">
        <f>+'[1]BALANZA G'!E58</f>
        <v>953149176.46000004</v>
      </c>
      <c r="D289" s="129">
        <f>+'[1]BALANZA G'!E58</f>
        <v>953149176.46000004</v>
      </c>
      <c r="E289" s="40">
        <f>+C289-D289</f>
        <v>0</v>
      </c>
    </row>
    <row r="290" spans="2:6" hidden="1" x14ac:dyDescent="0.25">
      <c r="B290" s="36" t="str">
        <f>+B283</f>
        <v>Adiciones</v>
      </c>
      <c r="C290" s="82">
        <f>+'[1]BALANZA G'!C58-'[1]BALANZA G'!E58</f>
        <v>0</v>
      </c>
      <c r="D290" s="129">
        <f>+'[1]BALANZA G'!K57</f>
        <v>0</v>
      </c>
      <c r="E290" s="40">
        <f>+C290-D290</f>
        <v>0</v>
      </c>
    </row>
    <row r="291" spans="2:6" hidden="1" x14ac:dyDescent="0.25">
      <c r="B291" s="36" t="str">
        <f>+B284</f>
        <v>Retiros</v>
      </c>
      <c r="C291" s="82"/>
      <c r="D291" s="129"/>
      <c r="E291" s="40"/>
    </row>
    <row r="292" spans="2:6" hidden="1" x14ac:dyDescent="0.25">
      <c r="B292" s="36" t="str">
        <f>+B285</f>
        <v>Depreciación Acumulada</v>
      </c>
      <c r="C292" s="82">
        <f>-[1]nota13!E28</f>
        <v>-179304727.55000001</v>
      </c>
      <c r="D292" s="129"/>
      <c r="E292" s="40"/>
    </row>
    <row r="293" spans="2:6" hidden="1" x14ac:dyDescent="0.25">
      <c r="B293" s="36" t="str">
        <f>+B286</f>
        <v>Depreciación del periodo</v>
      </c>
      <c r="C293" s="82">
        <f>-[1]nota13!E29</f>
        <v>-20527847.659999996</v>
      </c>
      <c r="D293" s="129"/>
      <c r="E293" s="40"/>
    </row>
    <row r="294" spans="2:6" hidden="1" x14ac:dyDescent="0.25">
      <c r="B294" s="131" t="s">
        <v>189</v>
      </c>
      <c r="C294" s="132">
        <f>SUM(C289:C293)</f>
        <v>753316601.25000012</v>
      </c>
      <c r="D294" s="133">
        <f>+D289+D290-D291</f>
        <v>953149176.46000004</v>
      </c>
      <c r="E294" s="132">
        <f>+E289+E290-E291</f>
        <v>0</v>
      </c>
    </row>
    <row r="295" spans="2:6" hidden="1" x14ac:dyDescent="0.25">
      <c r="B295" s="131" t="s">
        <v>187</v>
      </c>
      <c r="C295" s="132">
        <f>+C294+C287</f>
        <v>754940276.25000012</v>
      </c>
      <c r="D295" s="133">
        <f>+D294+D287</f>
        <v>956396526.46000004</v>
      </c>
      <c r="E295" s="132">
        <f>+E294+E287</f>
        <v>-1623675</v>
      </c>
      <c r="F295" s="147">
        <f>+F294+F287</f>
        <v>0</v>
      </c>
    </row>
    <row r="296" spans="2:6" hidden="1" x14ac:dyDescent="0.25">
      <c r="B296" s="131" t="s">
        <v>190</v>
      </c>
      <c r="C296" s="134"/>
      <c r="D296" s="135"/>
      <c r="E296" s="136">
        <f>+C296-D296</f>
        <v>0</v>
      </c>
    </row>
    <row r="297" spans="2:6" ht="27" hidden="1" customHeight="1" x14ac:dyDescent="0.25">
      <c r="B297" s="131" t="s">
        <v>191</v>
      </c>
      <c r="C297" s="132">
        <f>+C295-C296</f>
        <v>754940276.25000012</v>
      </c>
      <c r="D297" s="133">
        <f>+D295-D296</f>
        <v>956396526.46000004</v>
      </c>
      <c r="E297" s="132">
        <f>+E295-E296</f>
        <v>-1623675</v>
      </c>
    </row>
    <row r="298" spans="2:6" hidden="1" x14ac:dyDescent="0.25">
      <c r="B298" s="148" t="s">
        <v>192</v>
      </c>
      <c r="C298" s="142"/>
      <c r="D298" s="129"/>
      <c r="E298" s="40">
        <f>+C298-D298</f>
        <v>0</v>
      </c>
    </row>
    <row r="299" spans="2:6" hidden="1" x14ac:dyDescent="0.25">
      <c r="B299" s="99" t="s">
        <v>193</v>
      </c>
      <c r="C299" s="82"/>
      <c r="D299" s="129"/>
      <c r="E299" s="40">
        <f>+C299-D299</f>
        <v>0</v>
      </c>
    </row>
    <row r="300" spans="2:6" hidden="1" x14ac:dyDescent="0.25">
      <c r="B300" s="131" t="s">
        <v>194</v>
      </c>
      <c r="C300" s="132">
        <f>SUM(C299)</f>
        <v>0</v>
      </c>
      <c r="D300" s="133">
        <f>SUM(D299)</f>
        <v>0</v>
      </c>
      <c r="E300" s="132">
        <f>SUM(E299)</f>
        <v>0</v>
      </c>
    </row>
    <row r="301" spans="2:6" hidden="1" x14ac:dyDescent="0.25">
      <c r="B301" s="131" t="s">
        <v>195</v>
      </c>
      <c r="C301" s="134"/>
      <c r="D301" s="135"/>
      <c r="E301" s="136">
        <f>+C301-D301</f>
        <v>0</v>
      </c>
    </row>
    <row r="302" spans="2:6" ht="28.5" hidden="1" x14ac:dyDescent="0.25">
      <c r="B302" s="131" t="s">
        <v>196</v>
      </c>
      <c r="C302" s="132">
        <f>+C300-C301</f>
        <v>0</v>
      </c>
      <c r="D302" s="133">
        <f>+D300-D301</f>
        <v>0</v>
      </c>
      <c r="E302" s="132">
        <f>+E300-E301</f>
        <v>0</v>
      </c>
    </row>
    <row r="303" spans="2:6" hidden="1" x14ac:dyDescent="0.25">
      <c r="B303" s="148" t="s">
        <v>197</v>
      </c>
      <c r="C303" s="142"/>
      <c r="D303" s="129"/>
      <c r="E303" s="40"/>
    </row>
    <row r="304" spans="2:6" hidden="1" x14ac:dyDescent="0.25">
      <c r="B304" s="143" t="s">
        <v>198</v>
      </c>
      <c r="C304" s="82"/>
      <c r="D304" s="129"/>
      <c r="E304" s="40">
        <f>+C304-D304</f>
        <v>0</v>
      </c>
    </row>
    <row r="305" spans="2:26" ht="12" hidden="1" customHeight="1" x14ac:dyDescent="0.25">
      <c r="B305" s="143" t="s">
        <v>199</v>
      </c>
      <c r="C305" s="82"/>
      <c r="D305" s="129"/>
      <c r="E305" s="40">
        <f>+C305-D305</f>
        <v>0</v>
      </c>
    </row>
    <row r="306" spans="2:26" ht="13.5" hidden="1" customHeight="1" x14ac:dyDescent="0.25">
      <c r="B306" s="143" t="s">
        <v>200</v>
      </c>
      <c r="C306" s="82"/>
      <c r="D306" s="129"/>
      <c r="E306" s="40">
        <f>+C306-D306</f>
        <v>0</v>
      </c>
    </row>
    <row r="307" spans="2:26" ht="24.75" hidden="1" customHeight="1" x14ac:dyDescent="0.25">
      <c r="B307" s="131" t="s">
        <v>201</v>
      </c>
      <c r="C307" s="132">
        <f>SUM(C304:C306)</f>
        <v>0</v>
      </c>
      <c r="D307" s="133">
        <f>SUM(D304:D306)</f>
        <v>0</v>
      </c>
      <c r="E307" s="132">
        <f>SUM(E304:E306)</f>
        <v>0</v>
      </c>
    </row>
    <row r="308" spans="2:26" ht="21" hidden="1" customHeight="1" x14ac:dyDescent="0.25">
      <c r="B308" s="131" t="s">
        <v>202</v>
      </c>
      <c r="C308" s="134"/>
      <c r="D308" s="135"/>
      <c r="E308" s="136">
        <f>+C308-D308</f>
        <v>0</v>
      </c>
    </row>
    <row r="309" spans="2:26" ht="33" hidden="1" customHeight="1" x14ac:dyDescent="0.25">
      <c r="B309" s="131" t="s">
        <v>203</v>
      </c>
      <c r="C309" s="132">
        <f>+C307-C308</f>
        <v>0</v>
      </c>
      <c r="D309" s="133">
        <f>+D307-D308</f>
        <v>0</v>
      </c>
      <c r="E309" s="132">
        <f>+E307-E308</f>
        <v>0</v>
      </c>
    </row>
    <row r="310" spans="2:26" hidden="1" x14ac:dyDescent="0.25">
      <c r="B310" s="131" t="s">
        <v>204</v>
      </c>
      <c r="C310" s="149">
        <f>+C309+C302+C297+C280+C274+C265+C256+C247</f>
        <v>779839541.37000012</v>
      </c>
      <c r="D310" s="150">
        <f>+D309+D302+D297+D280+D274+D265+D256+D247</f>
        <v>1068413333.0600001</v>
      </c>
      <c r="E310" s="149">
        <f>+E309+E302+E297+E280+E274+E265+E256+E247</f>
        <v>-21623270.330000002</v>
      </c>
    </row>
    <row r="311" spans="2:26" hidden="1" x14ac:dyDescent="0.25">
      <c r="B311" s="131" t="s">
        <v>205</v>
      </c>
      <c r="C311" s="151">
        <f>+C308+C301+C296+C279+C273+C264+C255+C246</f>
        <v>0</v>
      </c>
      <c r="D311" s="135">
        <f>+D308+D301+D296+D279+D273+D264+D255+D246</f>
        <v>0</v>
      </c>
      <c r="E311" s="136">
        <f>+C311-D311</f>
        <v>0</v>
      </c>
    </row>
    <row r="312" spans="2:26" hidden="1" x14ac:dyDescent="0.25">
      <c r="B312" s="131" t="s">
        <v>206</v>
      </c>
      <c r="C312" s="149">
        <f>+C295+C274+C265+C256+C247</f>
        <v>779839541.37000012</v>
      </c>
      <c r="D312" s="150">
        <f>+D295+D274+D265+D256+D247</f>
        <v>1068413333.0600001</v>
      </c>
      <c r="E312" s="149">
        <f>+E310-E311</f>
        <v>-21623270.330000002</v>
      </c>
    </row>
    <row r="313" spans="2:26" s="8" customFormat="1" ht="9.75" hidden="1" customHeight="1" x14ac:dyDescent="0.25">
      <c r="B313" s="152"/>
      <c r="C313" s="153"/>
      <c r="D313" s="154"/>
      <c r="E313" s="155"/>
      <c r="J313" s="11"/>
      <c r="N313" s="11"/>
      <c r="R313" s="3"/>
      <c r="S313" s="3"/>
      <c r="T313" s="3"/>
      <c r="U313" s="3"/>
      <c r="V313" s="3"/>
      <c r="W313" s="3"/>
      <c r="X313" s="3"/>
      <c r="Y313" s="3"/>
      <c r="Z313" s="11"/>
    </row>
    <row r="314" spans="2:26" s="42" customFormat="1" ht="18" customHeight="1" x14ac:dyDescent="0.25">
      <c r="B314" s="267" t="s">
        <v>103</v>
      </c>
      <c r="C314" s="268"/>
      <c r="D314" s="115" t="str">
        <f>IF(E314&gt;=0,"Aumento","Disminución")</f>
        <v>Disminución</v>
      </c>
      <c r="E314" s="116">
        <f>+E312/D312</f>
        <v>-2.023867510907006E-2</v>
      </c>
      <c r="J314" s="46"/>
      <c r="N314" s="46"/>
      <c r="R314" s="47"/>
      <c r="S314" s="47"/>
      <c r="T314" s="47"/>
      <c r="U314" s="47"/>
      <c r="V314" s="47"/>
      <c r="W314" s="47"/>
      <c r="X314" s="47"/>
      <c r="Y314" s="47"/>
      <c r="Z314" s="46"/>
    </row>
    <row r="315" spans="2:26" x14ac:dyDescent="0.25">
      <c r="B315" s="90"/>
    </row>
    <row r="316" spans="2:26" x14ac:dyDescent="0.25">
      <c r="B316" s="90"/>
    </row>
    <row r="317" spans="2:26" x14ac:dyDescent="0.25">
      <c r="B317" s="90"/>
    </row>
    <row r="318" spans="2:26" x14ac:dyDescent="0.25">
      <c r="B318" s="90"/>
    </row>
    <row r="319" spans="2:26" x14ac:dyDescent="0.25">
      <c r="B319" s="90"/>
    </row>
    <row r="320" spans="2:26" x14ac:dyDescent="0.25">
      <c r="B320" s="90"/>
    </row>
    <row r="321" spans="2:2" x14ac:dyDescent="0.25">
      <c r="B321" s="90"/>
    </row>
    <row r="322" spans="2:2" x14ac:dyDescent="0.25">
      <c r="B322" s="90"/>
    </row>
    <row r="323" spans="2:2" x14ac:dyDescent="0.25">
      <c r="B323" s="90"/>
    </row>
    <row r="324" spans="2:2" x14ac:dyDescent="0.25">
      <c r="B324" s="90"/>
    </row>
    <row r="325" spans="2:2" x14ac:dyDescent="0.25">
      <c r="B325" s="90"/>
    </row>
    <row r="326" spans="2:2" x14ac:dyDescent="0.25">
      <c r="B326" s="90"/>
    </row>
    <row r="327" spans="2:2" x14ac:dyDescent="0.25">
      <c r="B327" s="90"/>
    </row>
    <row r="328" spans="2:2" x14ac:dyDescent="0.25">
      <c r="B328" s="90"/>
    </row>
    <row r="329" spans="2:2" x14ac:dyDescent="0.25">
      <c r="B329" s="90"/>
    </row>
    <row r="330" spans="2:2" x14ac:dyDescent="0.25">
      <c r="B330" s="90"/>
    </row>
    <row r="331" spans="2:2" x14ac:dyDescent="0.25">
      <c r="B331" s="90"/>
    </row>
    <row r="332" spans="2:2" x14ac:dyDescent="0.25">
      <c r="B332" s="90"/>
    </row>
    <row r="333" spans="2:2" x14ac:dyDescent="0.25">
      <c r="B333" s="90"/>
    </row>
    <row r="334" spans="2:2" x14ac:dyDescent="0.25">
      <c r="B334" s="90"/>
    </row>
    <row r="335" spans="2:2" x14ac:dyDescent="0.25">
      <c r="B335" s="90"/>
    </row>
    <row r="336" spans="2:2" x14ac:dyDescent="0.25">
      <c r="B336" s="90"/>
    </row>
    <row r="337" spans="2:2" x14ac:dyDescent="0.25">
      <c r="B337" s="90"/>
    </row>
    <row r="338" spans="2:2" x14ac:dyDescent="0.25">
      <c r="B338" s="90"/>
    </row>
    <row r="339" spans="2:2" x14ac:dyDescent="0.25">
      <c r="B339" s="90"/>
    </row>
    <row r="340" spans="2:2" x14ac:dyDescent="0.25">
      <c r="B340" s="90"/>
    </row>
    <row r="341" spans="2:2" x14ac:dyDescent="0.25">
      <c r="B341" s="90"/>
    </row>
    <row r="342" spans="2:2" x14ac:dyDescent="0.25">
      <c r="B342" s="90"/>
    </row>
    <row r="343" spans="2:2" x14ac:dyDescent="0.25">
      <c r="B343" s="90"/>
    </row>
    <row r="344" spans="2:2" x14ac:dyDescent="0.25">
      <c r="B344" s="90"/>
    </row>
    <row r="345" spans="2:2" x14ac:dyDescent="0.25">
      <c r="B345" s="90"/>
    </row>
    <row r="346" spans="2:2" x14ac:dyDescent="0.25">
      <c r="B346" s="90"/>
    </row>
    <row r="347" spans="2:2" x14ac:dyDescent="0.25">
      <c r="B347" s="90"/>
    </row>
    <row r="348" spans="2:2" x14ac:dyDescent="0.25">
      <c r="B348" s="90"/>
    </row>
    <row r="349" spans="2:2" x14ac:dyDescent="0.25">
      <c r="B349" s="90"/>
    </row>
    <row r="350" spans="2:2" ht="6" customHeight="1" x14ac:dyDescent="0.25">
      <c r="B350" s="90"/>
    </row>
    <row r="351" spans="2:2" x14ac:dyDescent="0.25">
      <c r="B351" s="90"/>
    </row>
    <row r="352" spans="2:2" x14ac:dyDescent="0.25">
      <c r="B352" s="90"/>
    </row>
    <row r="353" spans="2:26" x14ac:dyDescent="0.25">
      <c r="B353" s="90"/>
    </row>
    <row r="354" spans="2:26" x14ac:dyDescent="0.25">
      <c r="B354" s="90"/>
    </row>
    <row r="355" spans="2:26" x14ac:dyDescent="0.25">
      <c r="B355" s="57" t="s">
        <v>207</v>
      </c>
    </row>
    <row r="356" spans="2:26" x14ac:dyDescent="0.25">
      <c r="B356" s="57" t="s">
        <v>208</v>
      </c>
    </row>
    <row r="357" spans="2:26" ht="15" customHeight="1" x14ac:dyDescent="0.25">
      <c r="B357" s="260" t="str">
        <f>("Un detalle de las  "&amp;B356&amp;" al "&amp;[1]BALANZA!$B$3&amp;" "&amp;[1]BALANZA!$C$3&amp;" es como se detalla a continuación:")</f>
        <v>Un detalle de las  Activos Intangible  al 30 de junio del 2023 - 2022 es como se detalla a continuación:</v>
      </c>
      <c r="C357" s="266"/>
      <c r="D357" s="266"/>
      <c r="E357" s="266"/>
    </row>
    <row r="358" spans="2:26" ht="33.75" customHeight="1" x14ac:dyDescent="0.25">
      <c r="B358" s="261" t="str">
        <f>("Las "&amp;B356&amp;" está integrado siguientes cuentas, para el "&amp;C360&amp;" el total era de RD$"&amp;R363&amp;".00 y para el "&amp;D360&amp;" el total fue de RD$"&amp;R364&amp;".00 , Según el siguiente detalle:")</f>
        <v>Las Activos Intangible  está integrado siguientes cuentas, para el 2023 el total era de RD$101,545.00 y para el 2022 el total fue de RD$0,.00 , Según el siguiente detalle:</v>
      </c>
      <c r="C358" s="261"/>
      <c r="D358" s="261"/>
      <c r="E358" s="261"/>
      <c r="I358" s="156"/>
      <c r="J358" s="157"/>
    </row>
    <row r="359" spans="2:26" s="42" customFormat="1" ht="12.75" customHeight="1" x14ac:dyDescent="0.25">
      <c r="B359" s="158"/>
      <c r="C359" s="158"/>
      <c r="D359" s="159"/>
      <c r="E359" s="160"/>
      <c r="J359" s="46"/>
      <c r="N359" s="46"/>
      <c r="R359" s="47"/>
      <c r="S359" s="47"/>
      <c r="T359" s="47"/>
      <c r="U359" s="47"/>
      <c r="V359" s="47"/>
      <c r="W359" s="47"/>
      <c r="X359" s="47"/>
      <c r="Y359" s="47"/>
      <c r="Z359" s="46"/>
    </row>
    <row r="360" spans="2:26" x14ac:dyDescent="0.25">
      <c r="B360" s="161" t="s">
        <v>92</v>
      </c>
      <c r="C360" s="162">
        <f>+[1]BALANZA!B4</f>
        <v>2023</v>
      </c>
      <c r="D360" s="162">
        <f>+[1]BALANZA!C4</f>
        <v>2022</v>
      </c>
      <c r="E360" s="161" t="s">
        <v>93</v>
      </c>
    </row>
    <row r="361" spans="2:26" x14ac:dyDescent="0.25">
      <c r="B361" s="163" t="s">
        <v>209</v>
      </c>
      <c r="C361" s="82">
        <f>+'[1]BALANZA G'!C69</f>
        <v>243708</v>
      </c>
      <c r="D361" s="74">
        <f>+'[1]BALANZA G'!E69</f>
        <v>0</v>
      </c>
      <c r="E361" s="164">
        <f>+C361-D361</f>
        <v>243708</v>
      </c>
    </row>
    <row r="362" spans="2:26" x14ac:dyDescent="0.25">
      <c r="B362" s="163" t="s">
        <v>210</v>
      </c>
      <c r="C362" s="82">
        <f>+'[1]BALANZA G'!C81</f>
        <v>142163</v>
      </c>
      <c r="D362" s="74">
        <f>+'[1]BALANZA G'!E81</f>
        <v>0</v>
      </c>
      <c r="E362" s="164">
        <f>+C362-D362</f>
        <v>142163</v>
      </c>
    </row>
    <row r="363" spans="2:26" x14ac:dyDescent="0.25">
      <c r="B363" s="102" t="s">
        <v>211</v>
      </c>
      <c r="C363" s="165">
        <f>SUM(C361:C361)-C362</f>
        <v>101545</v>
      </c>
      <c r="D363" s="165">
        <f>SUM(D361:D361)-D362</f>
        <v>0</v>
      </c>
      <c r="E363" s="165">
        <f>SUM(E361:E361)</f>
        <v>243708</v>
      </c>
      <c r="R363" s="3" t="str">
        <f>+CONCATENATE(S363,",",T363,U363)</f>
        <v>101,545</v>
      </c>
      <c r="S363" s="3" t="str">
        <f>MID(C363,1,3)</f>
        <v>101</v>
      </c>
      <c r="T363" s="3" t="str">
        <f>MID(C363,4,3)</f>
        <v>545</v>
      </c>
      <c r="U363" s="3" t="str">
        <f>MID(C363,7,3)</f>
        <v/>
      </c>
      <c r="V363" s="3" t="str">
        <f>MID(C363,9,3)</f>
        <v/>
      </c>
    </row>
    <row r="364" spans="2:26" ht="10.5" customHeight="1" x14ac:dyDescent="0.25">
      <c r="B364" s="166"/>
      <c r="C364" s="167"/>
      <c r="D364" s="168"/>
      <c r="E364" s="169"/>
      <c r="R364" s="3" t="str">
        <f>+CONCATENATE(S364,",",T364,U364)</f>
        <v>0,</v>
      </c>
      <c r="S364" s="3" t="str">
        <f>MID(D363,1,3)</f>
        <v>0</v>
      </c>
      <c r="T364" s="3" t="str">
        <f>MID(D363,4,3)</f>
        <v/>
      </c>
      <c r="U364" s="3" t="str">
        <f>MID(D363,7,3)</f>
        <v/>
      </c>
    </row>
    <row r="365" spans="2:26" s="42" customFormat="1" x14ac:dyDescent="0.25">
      <c r="B365" s="273" t="s">
        <v>103</v>
      </c>
      <c r="C365" s="274"/>
      <c r="D365" s="170">
        <v>0</v>
      </c>
      <c r="E365" s="81">
        <f>IFERROR(+E363/D363,0)</f>
        <v>0</v>
      </c>
      <c r="J365" s="46"/>
      <c r="N365" s="46"/>
      <c r="R365" s="47"/>
      <c r="S365" s="47"/>
      <c r="T365" s="47"/>
      <c r="U365" s="47"/>
      <c r="V365" s="47"/>
      <c r="W365" s="47"/>
      <c r="X365" s="47"/>
      <c r="Y365" s="47"/>
      <c r="Z365" s="46"/>
    </row>
    <row r="366" spans="2:26" s="42" customFormat="1" x14ac:dyDescent="0.25">
      <c r="B366" s="158"/>
      <c r="C366" s="158"/>
      <c r="D366" s="171"/>
      <c r="E366" s="160"/>
      <c r="J366" s="46"/>
      <c r="N366" s="46"/>
      <c r="R366" s="47"/>
      <c r="S366" s="47"/>
      <c r="T366" s="47"/>
      <c r="U366" s="47"/>
      <c r="V366" s="47"/>
      <c r="W366" s="47"/>
      <c r="X366" s="47"/>
      <c r="Y366" s="47"/>
      <c r="Z366" s="46"/>
    </row>
    <row r="367" spans="2:26" s="42" customFormat="1" ht="8.25" customHeight="1" x14ac:dyDescent="0.25">
      <c r="B367" s="172"/>
      <c r="C367" s="172"/>
      <c r="D367" s="173"/>
      <c r="E367" s="174"/>
      <c r="J367" s="46"/>
      <c r="N367" s="46"/>
      <c r="R367" s="47"/>
      <c r="S367" s="47"/>
      <c r="T367" s="47"/>
      <c r="U367" s="47"/>
      <c r="V367" s="47"/>
      <c r="W367" s="47"/>
      <c r="X367" s="47"/>
      <c r="Y367" s="47"/>
      <c r="Z367" s="46"/>
    </row>
    <row r="368" spans="2:26" x14ac:dyDescent="0.25">
      <c r="B368" s="175" t="s">
        <v>212</v>
      </c>
      <c r="C368" s="22"/>
      <c r="D368" s="25"/>
      <c r="E368" s="22"/>
    </row>
    <row r="369" spans="2:26" ht="21.75" customHeight="1" x14ac:dyDescent="0.25">
      <c r="B369" s="258" t="s">
        <v>213</v>
      </c>
      <c r="C369" s="258"/>
      <c r="D369" s="258"/>
      <c r="E369" s="258"/>
    </row>
    <row r="370" spans="2:26" ht="27.75" customHeight="1" x14ac:dyDescent="0.25">
      <c r="B370" s="260" t="str">
        <f>("Un detalle de las  "&amp;B369&amp;" al "&amp;[1]BALANZA!$B$3&amp;" "&amp;[1]BALANZA!$C$3&amp;" es como se detalla a continuación:")</f>
        <v>Un detalle de las  Cuentas por pagar a corto plazo al 30 de junio del 2023 - 2022 es como se detalla a continuación:</v>
      </c>
      <c r="C370" s="266"/>
      <c r="D370" s="266"/>
      <c r="E370" s="266"/>
    </row>
    <row r="371" spans="2:26" ht="59.25" customHeight="1" x14ac:dyDescent="0.25">
      <c r="B371" s="261" t="str">
        <f>("Las Cuentas por Pagar está integrado por las deudas y compromisos de pago que tiene la institución con los suplidores de servicios, retenciones impositivas y documentos por pagar, con una disminucion en el "&amp;C374&amp;"  el total era de RD$ "&amp;R378&amp;" y para el "&amp;D374&amp;" el total fue de RD$ "&amp;R379&amp;" , Según el siguiente detalle:")</f>
        <v>Las Cuentas por Pagar está integrado por las deudas y compromisos de pago que tiene la institución con los suplidores de servicios, retenciones impositivas y documentos por pagar, con una disminucion en el 2023  el total era de RD$ 12,310,196.18 y para el 2022 el total fue de RD$ 12,408,450.26 , Según el siguiente detalle:</v>
      </c>
      <c r="C371" s="261"/>
      <c r="D371" s="261"/>
      <c r="E371" s="261"/>
    </row>
    <row r="372" spans="2:26" ht="45" customHeight="1" x14ac:dyDescent="0.25">
      <c r="B372" s="260" t="s">
        <v>214</v>
      </c>
      <c r="C372" s="260"/>
      <c r="D372" s="260"/>
      <c r="E372" s="260"/>
    </row>
    <row r="373" spans="2:26" x14ac:dyDescent="0.25">
      <c r="B373" s="10" t="s">
        <v>215</v>
      </c>
    </row>
    <row r="374" spans="2:26" x14ac:dyDescent="0.25">
      <c r="B374" s="176" t="s">
        <v>216</v>
      </c>
      <c r="C374" s="162">
        <f>+[1]BALANZA!B4</f>
        <v>2023</v>
      </c>
      <c r="D374" s="162">
        <f>+[1]BALANZA!C4</f>
        <v>2022</v>
      </c>
      <c r="E374" s="177" t="s">
        <v>217</v>
      </c>
    </row>
    <row r="375" spans="2:26" x14ac:dyDescent="0.25">
      <c r="B375" s="143" t="s">
        <v>218</v>
      </c>
      <c r="C375" s="82">
        <f>+'[1]BALANZA G'!C98-C376</f>
        <v>10083421.02</v>
      </c>
      <c r="D375" s="74">
        <f>+'[1]BALANZA G'!E98-D376</f>
        <v>10181515.199999999</v>
      </c>
      <c r="E375" s="40">
        <f>+C375-D375</f>
        <v>-98094.179999999702</v>
      </c>
    </row>
    <row r="376" spans="2:26" x14ac:dyDescent="0.25">
      <c r="B376" s="143" t="s">
        <v>219</v>
      </c>
      <c r="C376" s="82">
        <v>800000</v>
      </c>
      <c r="D376" s="74">
        <v>800000</v>
      </c>
      <c r="E376" s="40">
        <f>+C376-D376</f>
        <v>0</v>
      </c>
    </row>
    <row r="377" spans="2:26" x14ac:dyDescent="0.25">
      <c r="B377" s="143" t="s">
        <v>220</v>
      </c>
      <c r="C377" s="82">
        <f>+'[1]BALANZA G'!C99+'[1]BALANZA G'!C100</f>
        <v>1426775.16</v>
      </c>
      <c r="D377" s="74">
        <f>+'[1]BALANZA G'!E99+'[1]BALANZA G'!E100</f>
        <v>1426935.06</v>
      </c>
      <c r="E377" s="40">
        <f>+C377-D377</f>
        <v>-159.9000000001397</v>
      </c>
    </row>
    <row r="378" spans="2:26" x14ac:dyDescent="0.25">
      <c r="B378" s="176" t="s">
        <v>221</v>
      </c>
      <c r="C378" s="104">
        <f>SUM(C375:C377)</f>
        <v>12310196.18</v>
      </c>
      <c r="D378" s="178">
        <f>SUM(D375:D377)</f>
        <v>12408450.26</v>
      </c>
      <c r="E378" s="104">
        <f>SUM(E375:E377)</f>
        <v>-98254.079999999842</v>
      </c>
      <c r="R378" s="3" t="str">
        <f>+CONCATENATE(S378,",",T378,",",U378,V378,AB378)</f>
        <v>12,310,196.18</v>
      </c>
      <c r="S378" s="3" t="str">
        <f>MID(C378,1,2)</f>
        <v>12</v>
      </c>
      <c r="T378" s="3" t="str">
        <f>MID(C378,3,3)</f>
        <v>310</v>
      </c>
      <c r="U378" s="3" t="str">
        <f>MID(C378,6,3)</f>
        <v>196</v>
      </c>
      <c r="V378" s="3" t="str">
        <f>MID(C378,9,3)</f>
        <v>.18</v>
      </c>
    </row>
    <row r="379" spans="2:26" x14ac:dyDescent="0.25">
      <c r="B379" s="179"/>
      <c r="C379" s="180"/>
      <c r="D379" s="181"/>
      <c r="R379" s="3" t="str">
        <f>+CONCATENATE(S379,",",T379,",",U379,V379,AB379)</f>
        <v>12,408,450.26</v>
      </c>
      <c r="S379" s="3" t="str">
        <f>MID(D378,1,2)</f>
        <v>12</v>
      </c>
      <c r="T379" s="3" t="str">
        <f>MID(D378,3,3)</f>
        <v>408</v>
      </c>
      <c r="U379" s="3" t="str">
        <f>MID(D378,6,3)</f>
        <v>450</v>
      </c>
      <c r="V379" s="3" t="str">
        <f>MID(D378,9,3)</f>
        <v>.26</v>
      </c>
    </row>
    <row r="380" spans="2:26" s="42" customFormat="1" x14ac:dyDescent="0.25">
      <c r="B380" s="267" t="s">
        <v>103</v>
      </c>
      <c r="C380" s="268"/>
      <c r="D380" s="52" t="str">
        <f>IF(E380&gt;=0,"Aumento","Disminución")</f>
        <v>Disminución</v>
      </c>
      <c r="E380" s="81">
        <f>+E378/D378</f>
        <v>-7.9183200110599337E-3</v>
      </c>
      <c r="J380" s="46"/>
      <c r="N380" s="46"/>
      <c r="R380" s="47"/>
      <c r="S380" s="47"/>
      <c r="T380" s="47"/>
      <c r="U380" s="47"/>
      <c r="V380" s="47"/>
      <c r="W380" s="47"/>
      <c r="X380" s="47"/>
      <c r="Y380" s="47"/>
      <c r="Z380" s="46"/>
    </row>
    <row r="381" spans="2:26" ht="22.5" customHeight="1" x14ac:dyDescent="0.25">
      <c r="B381" s="258" t="s">
        <v>222</v>
      </c>
      <c r="C381" s="258"/>
      <c r="D381" s="258"/>
      <c r="E381" s="258"/>
    </row>
    <row r="382" spans="2:26" ht="12.75" customHeight="1" x14ac:dyDescent="0.25">
      <c r="B382" s="182"/>
      <c r="C382" s="182"/>
      <c r="D382" s="183"/>
      <c r="E382" s="182"/>
    </row>
    <row r="383" spans="2:26" hidden="1" x14ac:dyDescent="0.25">
      <c r="B383" s="57" t="s">
        <v>223</v>
      </c>
    </row>
    <row r="384" spans="2:26" ht="24" hidden="1" customHeight="1" x14ac:dyDescent="0.25">
      <c r="B384" s="261" t="str">
        <f>+B134</f>
        <v>Un detalle del Inversiones a corto plazo al 30 de junio del 2023 - 2022 es como se detalla a continuación:</v>
      </c>
      <c r="C384" s="261"/>
      <c r="D384" s="261"/>
      <c r="E384" s="261"/>
    </row>
    <row r="385" spans="2:26" ht="78" hidden="1" customHeight="1" x14ac:dyDescent="0.25">
      <c r="B385" s="261" t="str">
        <f>("Los Prestamos por Pagar está integrado por las deudas y compromisos de pago que tiene la institución con los bancos, para el "&amp;C387&amp;" el total era de RD$"&amp;C389&amp;" y para el "&amp;D387&amp;" el total fue de RD$"&amp;D389&amp;" , Según el siguiente detalle:")</f>
        <v>Los Prestamos por Pagar está integrado por las deudas y compromisos de pago que tiene la institución con los bancos, para el 2023 el total era de RD$0 y para el 2022 el total fue de RD$0 , Según el siguiente detalle:</v>
      </c>
      <c r="C385" s="261"/>
      <c r="D385" s="261"/>
      <c r="E385" s="261"/>
    </row>
    <row r="386" spans="2:26" hidden="1" x14ac:dyDescent="0.25">
      <c r="B386" s="10" t="s">
        <v>215</v>
      </c>
    </row>
    <row r="387" spans="2:26" hidden="1" x14ac:dyDescent="0.25">
      <c r="B387" s="176" t="s">
        <v>216</v>
      </c>
      <c r="C387" s="162">
        <f>+C137</f>
        <v>2023</v>
      </c>
      <c r="D387" s="184">
        <f>+D137</f>
        <v>2022</v>
      </c>
      <c r="E387" s="177" t="s">
        <v>217</v>
      </c>
    </row>
    <row r="388" spans="2:26" hidden="1" x14ac:dyDescent="0.25">
      <c r="B388" s="143" t="s">
        <v>224</v>
      </c>
      <c r="C388" s="82">
        <f>+'[1]BALANZA G'!C109</f>
        <v>0</v>
      </c>
      <c r="D388" s="74">
        <f>+'[1]BALANZA G'!E109</f>
        <v>0</v>
      </c>
      <c r="E388" s="40">
        <f>+C388-D388</f>
        <v>0</v>
      </c>
    </row>
    <row r="389" spans="2:26" hidden="1" x14ac:dyDescent="0.25">
      <c r="B389" s="176" t="s">
        <v>225</v>
      </c>
      <c r="C389" s="104">
        <f>SUM(C388:C388)</f>
        <v>0</v>
      </c>
      <c r="D389" s="178">
        <f>SUM(D388:D388)</f>
        <v>0</v>
      </c>
      <c r="E389" s="104">
        <f>SUM(E388:E388)</f>
        <v>0</v>
      </c>
    </row>
    <row r="390" spans="2:26" hidden="1" x14ac:dyDescent="0.25">
      <c r="B390" s="179"/>
      <c r="C390" s="107"/>
      <c r="D390" s="181"/>
    </row>
    <row r="391" spans="2:26" s="42" customFormat="1" hidden="1" x14ac:dyDescent="0.25">
      <c r="B391" s="270" t="s">
        <v>103</v>
      </c>
      <c r="C391" s="271"/>
      <c r="D391" s="52" t="e">
        <f>IF(E391&gt;=0,"Aumento","Disminución")</f>
        <v>#DIV/0!</v>
      </c>
      <c r="E391" s="81" t="e">
        <f>+E389/D389</f>
        <v>#DIV/0!</v>
      </c>
      <c r="J391" s="46"/>
      <c r="N391" s="46"/>
      <c r="R391" s="47"/>
      <c r="S391" s="47"/>
      <c r="T391" s="47"/>
      <c r="U391" s="47"/>
      <c r="V391" s="47"/>
      <c r="W391" s="47"/>
      <c r="X391" s="47"/>
      <c r="Y391" s="47"/>
      <c r="Z391" s="46"/>
    </row>
    <row r="392" spans="2:26" s="42" customFormat="1" ht="17.25" customHeight="1" x14ac:dyDescent="0.25">
      <c r="B392" s="54" t="s">
        <v>226</v>
      </c>
      <c r="C392" s="54"/>
      <c r="D392" s="55"/>
      <c r="E392" s="56"/>
      <c r="J392" s="46"/>
      <c r="N392" s="46"/>
      <c r="R392" s="47"/>
      <c r="S392" s="47"/>
      <c r="T392" s="47"/>
      <c r="U392" s="47"/>
      <c r="V392" s="47"/>
      <c r="W392" s="47"/>
      <c r="X392" s="47"/>
      <c r="Y392" s="47"/>
      <c r="Z392" s="46"/>
    </row>
    <row r="393" spans="2:26" s="42" customFormat="1" ht="17.25" customHeight="1" x14ac:dyDescent="0.25">
      <c r="B393" s="277" t="s">
        <v>227</v>
      </c>
      <c r="C393" s="277"/>
      <c r="D393" s="277"/>
      <c r="E393" s="277"/>
      <c r="J393" s="46"/>
      <c r="N393" s="46"/>
      <c r="R393" s="47"/>
      <c r="S393" s="47"/>
      <c r="T393" s="47"/>
      <c r="U393" s="47"/>
      <c r="V393" s="47"/>
      <c r="W393" s="47"/>
      <c r="X393" s="47"/>
      <c r="Y393" s="47"/>
      <c r="Z393" s="46"/>
    </row>
    <row r="394" spans="2:26" x14ac:dyDescent="0.25">
      <c r="B394" s="57" t="s">
        <v>228</v>
      </c>
    </row>
    <row r="395" spans="2:26" ht="22.5" customHeight="1" x14ac:dyDescent="0.25">
      <c r="B395" s="260" t="str">
        <f>("Un detalle de las  "&amp;B394&amp;" al "&amp;[1]BALANZA!$B$3&amp;" "&amp;[1]BALANZA!$C$3&amp;" es como se detalla a continuación:")</f>
        <v>Un detalle de las  Acumulaciones por pagar al 30 de junio del 2023 - 2022 es como se detalla a continuación:</v>
      </c>
      <c r="C395" s="266"/>
      <c r="D395" s="266"/>
      <c r="E395" s="266"/>
    </row>
    <row r="396" spans="2:26" ht="36" customHeight="1" x14ac:dyDescent="0.25">
      <c r="B396" s="261" t="str">
        <f>("Las acumulaciones por pagar  disminuye para el "&amp;C398&amp;" el total era RD$ "&amp;R402&amp;" y para el "&amp;D398&amp;" el total fue de RD$ "&amp;R403&amp;" , Según el siguiente detalle:")</f>
        <v>Las acumulaciones por pagar  disminuye para el 2023 el total era RD$ 252,299.30 y para el 2022 el total fue de RD$ 252,299.30 , Según el siguiente detalle:</v>
      </c>
      <c r="C396" s="261"/>
      <c r="D396" s="261"/>
      <c r="E396" s="261"/>
    </row>
    <row r="397" spans="2:26" ht="9" customHeight="1" x14ac:dyDescent="0.25">
      <c r="B397" s="278"/>
      <c r="C397" s="278"/>
      <c r="D397" s="278"/>
      <c r="E397" s="278"/>
    </row>
    <row r="398" spans="2:26" x14ac:dyDescent="0.25">
      <c r="B398" s="176" t="s">
        <v>216</v>
      </c>
      <c r="C398" s="162">
        <f>+C137</f>
        <v>2023</v>
      </c>
      <c r="D398" s="162">
        <f>+D137</f>
        <v>2022</v>
      </c>
      <c r="E398" s="177" t="s">
        <v>217</v>
      </c>
    </row>
    <row r="399" spans="2:26" ht="13.5" customHeight="1" x14ac:dyDescent="0.25">
      <c r="B399" s="143" t="s">
        <v>229</v>
      </c>
      <c r="C399" s="82">
        <f>+'[1]BALANZA G'!C105+'[1]BALANZA G'!C106</f>
        <v>252299.3</v>
      </c>
      <c r="D399" s="74">
        <f>+'[1]BALANZA G'!E105+'[1]BALANZA G'!E106</f>
        <v>252299.3</v>
      </c>
      <c r="E399" s="39">
        <f>+C399-D399</f>
        <v>0</v>
      </c>
    </row>
    <row r="400" spans="2:26" ht="14.25" hidden="1" customHeight="1" x14ac:dyDescent="0.25">
      <c r="B400" s="143" t="s">
        <v>230</v>
      </c>
      <c r="C400" s="82">
        <f>+'[1]BALANZA G'!C95+'[1]BALANZA G'!C96</f>
        <v>0</v>
      </c>
      <c r="D400" s="74">
        <f>+'[1]BALANZA G'!E95+'[1]BALANZA G'!E96</f>
        <v>0</v>
      </c>
      <c r="E400" s="39">
        <f>+C400-D400</f>
        <v>0</v>
      </c>
    </row>
    <row r="401" spans="2:26" hidden="1" x14ac:dyDescent="0.25">
      <c r="B401" s="143"/>
      <c r="C401" s="82"/>
      <c r="D401" s="74"/>
      <c r="E401" s="39"/>
    </row>
    <row r="402" spans="2:26" x14ac:dyDescent="0.25">
      <c r="B402" s="176" t="s">
        <v>231</v>
      </c>
      <c r="C402" s="104">
        <f>SUM(C399:C401)</f>
        <v>252299.3</v>
      </c>
      <c r="D402" s="178">
        <f>SUM(D399:D401)</f>
        <v>252299.3</v>
      </c>
      <c r="E402" s="178">
        <f>SUM(E399:E401)</f>
        <v>0</v>
      </c>
      <c r="R402" s="3" t="str">
        <f>+CONCATENATE(T402,",",U402,"",V402,"0")</f>
        <v>252,299.30</v>
      </c>
      <c r="T402" s="3" t="str">
        <f>MID(C402,1,3)</f>
        <v>252</v>
      </c>
      <c r="U402" s="3" t="str">
        <f>MID(C402,4,3)</f>
        <v>299</v>
      </c>
      <c r="V402" s="3" t="str">
        <f>MID(C402,7,3)</f>
        <v>.3</v>
      </c>
    </row>
    <row r="403" spans="2:26" x14ac:dyDescent="0.25">
      <c r="B403" s="179"/>
      <c r="C403" s="185">
        <f>+C402-'[1]ES F '!B33+C425</f>
        <v>0</v>
      </c>
      <c r="D403" s="181"/>
      <c r="R403" s="3" t="str">
        <f>+CONCATENATE(S403,",",T403,U403,V403,AB403,"0")</f>
        <v>252,299.30</v>
      </c>
      <c r="S403" s="3" t="str">
        <f>MID(D402,1,3)</f>
        <v>252</v>
      </c>
      <c r="T403" s="3" t="str">
        <f>MID(D402,4,3)</f>
        <v>299</v>
      </c>
      <c r="U403" s="3" t="str">
        <f>MID(D402,7,3)</f>
        <v>.3</v>
      </c>
    </row>
    <row r="404" spans="2:26" s="42" customFormat="1" x14ac:dyDescent="0.25">
      <c r="B404" s="270" t="s">
        <v>103</v>
      </c>
      <c r="C404" s="271"/>
      <c r="D404" s="52" t="str">
        <f>IF(E404&gt;=0,"Aumento","Disminución")</f>
        <v>Aumento</v>
      </c>
      <c r="E404" s="81">
        <f>+E402/D402</f>
        <v>0</v>
      </c>
      <c r="J404" s="46"/>
      <c r="N404" s="46"/>
      <c r="R404" s="47"/>
      <c r="S404" s="47"/>
      <c r="T404" s="47"/>
      <c r="U404" s="47"/>
      <c r="V404" s="47"/>
      <c r="W404" s="47"/>
      <c r="X404" s="47"/>
      <c r="Y404" s="47"/>
      <c r="Z404" s="46"/>
    </row>
    <row r="405" spans="2:26" s="42" customFormat="1" x14ac:dyDescent="0.25">
      <c r="B405" s="54"/>
      <c r="C405" s="54"/>
      <c r="D405" s="55"/>
      <c r="E405" s="56"/>
      <c r="J405" s="46"/>
      <c r="N405" s="46"/>
      <c r="R405" s="47"/>
      <c r="S405" s="47"/>
      <c r="T405" s="47"/>
      <c r="U405" s="47"/>
      <c r="V405" s="47"/>
      <c r="W405" s="47"/>
      <c r="X405" s="47"/>
      <c r="Y405" s="47"/>
      <c r="Z405" s="46"/>
    </row>
    <row r="406" spans="2:26" s="42" customFormat="1" ht="14.25" customHeight="1" x14ac:dyDescent="0.25">
      <c r="B406" s="54"/>
      <c r="C406" s="54"/>
      <c r="D406" s="55"/>
      <c r="E406" s="56"/>
      <c r="J406" s="46"/>
      <c r="N406" s="46"/>
      <c r="R406" s="47"/>
      <c r="S406" s="47"/>
      <c r="T406" s="47"/>
      <c r="U406" s="47"/>
      <c r="V406" s="47"/>
      <c r="W406" s="47"/>
      <c r="X406" s="47"/>
      <c r="Y406" s="47"/>
      <c r="Z406" s="46"/>
    </row>
    <row r="407" spans="2:26" s="42" customFormat="1" ht="14.25" customHeight="1" x14ac:dyDescent="0.25">
      <c r="B407" s="54"/>
      <c r="C407" s="54"/>
      <c r="D407" s="55"/>
      <c r="E407" s="56"/>
      <c r="J407" s="46"/>
      <c r="N407" s="46"/>
      <c r="R407" s="47"/>
      <c r="S407" s="47"/>
      <c r="T407" s="47"/>
      <c r="U407" s="47"/>
      <c r="V407" s="47"/>
      <c r="W407" s="47"/>
      <c r="X407" s="47"/>
      <c r="Y407" s="47"/>
      <c r="Z407" s="46"/>
    </row>
    <row r="408" spans="2:26" s="42" customFormat="1" ht="14.25" customHeight="1" x14ac:dyDescent="0.25">
      <c r="B408" s="54"/>
      <c r="C408" s="54"/>
      <c r="D408" s="55"/>
      <c r="E408" s="56"/>
      <c r="J408" s="46"/>
      <c r="N408" s="46"/>
      <c r="R408" s="47"/>
      <c r="S408" s="47"/>
      <c r="T408" s="47"/>
      <c r="U408" s="47"/>
      <c r="V408" s="47"/>
      <c r="W408" s="47"/>
      <c r="X408" s="47"/>
      <c r="Y408" s="47"/>
      <c r="Z408" s="46"/>
    </row>
    <row r="409" spans="2:26" s="42" customFormat="1" ht="14.25" customHeight="1" x14ac:dyDescent="0.25">
      <c r="B409" s="54"/>
      <c r="C409" s="54"/>
      <c r="D409" s="55"/>
      <c r="E409" s="56"/>
      <c r="J409" s="46"/>
      <c r="N409" s="46"/>
      <c r="R409" s="47"/>
      <c r="S409" s="47"/>
      <c r="T409" s="47"/>
      <c r="U409" s="47"/>
      <c r="V409" s="47"/>
      <c r="W409" s="47"/>
      <c r="X409" s="47"/>
      <c r="Y409" s="47"/>
      <c r="Z409" s="46"/>
    </row>
    <row r="410" spans="2:26" ht="14.25" customHeight="1" x14ac:dyDescent="0.25">
      <c r="B410" s="258"/>
      <c r="C410" s="258"/>
      <c r="D410" s="258"/>
      <c r="E410" s="258"/>
    </row>
    <row r="411" spans="2:26" ht="14.25" customHeight="1" x14ac:dyDescent="0.25">
      <c r="B411" s="57"/>
      <c r="C411" s="182"/>
      <c r="D411" s="182"/>
      <c r="E411" s="182"/>
    </row>
    <row r="412" spans="2:26" ht="14.25" customHeight="1" x14ac:dyDescent="0.25">
      <c r="B412" s="57" t="s">
        <v>232</v>
      </c>
      <c r="C412" s="182"/>
      <c r="D412" s="182"/>
      <c r="E412" s="182"/>
    </row>
    <row r="413" spans="2:26" ht="36" customHeight="1" x14ac:dyDescent="0.25">
      <c r="B413" s="260" t="str">
        <f>("Un detalle de las "&amp;B412&amp;" al "&amp;[1]BALANZA!$B$3&amp;" "&amp;[1]BALANZA!$C$3&amp;" es como se detalla a continuación:")</f>
        <v>Un detalle de las Retenciones por pagar al 30 de junio del 2023 - 2022 es como se detalla a continuación:</v>
      </c>
      <c r="C413" s="266"/>
      <c r="D413" s="266"/>
      <c r="E413" s="266"/>
    </row>
    <row r="414" spans="2:26" ht="47.25" customHeight="1" x14ac:dyDescent="0.25">
      <c r="B414" s="261" t="str">
        <f>("Las  retenciones impositivas  por pagar disminiye para el "&amp;C417&amp;" el total era RD$ "&amp;R425&amp;" y para el "&amp;D417&amp;" el total fue de RD$ "&amp;R426&amp;" , Según el siguiente detalle:")</f>
        <v>Las  retenciones impositivas  por pagar disminiye para el 2023 el total era RD$ 132,805.10 y para el 2022 el total fue de RD$ 239,981.35 , Según el siguiente detalle:</v>
      </c>
      <c r="C414" s="261"/>
      <c r="D414" s="261"/>
      <c r="E414" s="261"/>
    </row>
    <row r="415" spans="2:26" ht="14.25" customHeight="1" x14ac:dyDescent="0.25">
      <c r="B415" s="57"/>
      <c r="C415" s="182"/>
      <c r="D415" s="182"/>
      <c r="E415" s="182"/>
    </row>
    <row r="416" spans="2:26" ht="14.25" customHeight="1" x14ac:dyDescent="0.25">
      <c r="B416" s="57"/>
      <c r="C416" s="182"/>
      <c r="D416" s="182"/>
      <c r="E416" s="182"/>
    </row>
    <row r="417" spans="2:28" ht="17.25" customHeight="1" x14ac:dyDescent="0.25">
      <c r="B417" s="176" t="s">
        <v>216</v>
      </c>
      <c r="C417" s="162">
        <f>+C398</f>
        <v>2023</v>
      </c>
      <c r="D417" s="162">
        <f>+D398</f>
        <v>2022</v>
      </c>
      <c r="E417" s="186" t="s">
        <v>217</v>
      </c>
    </row>
    <row r="418" spans="2:28" ht="17.25" hidden="1" customHeight="1" x14ac:dyDescent="0.25">
      <c r="B418" s="99" t="s">
        <v>233</v>
      </c>
      <c r="C418" s="82">
        <f>+'[1]BALANZA G'!C85</f>
        <v>0</v>
      </c>
      <c r="D418" s="74">
        <f>+'[1]BALANZA G'!E85</f>
        <v>0</v>
      </c>
      <c r="E418" s="40">
        <f>+C418-D418</f>
        <v>0</v>
      </c>
    </row>
    <row r="419" spans="2:28" ht="17.25" hidden="1" customHeight="1" x14ac:dyDescent="0.25">
      <c r="B419" s="99" t="s">
        <v>234</v>
      </c>
      <c r="C419" s="82">
        <f>+'[1]BALANZA G'!C87</f>
        <v>0</v>
      </c>
      <c r="D419" s="74">
        <f>+'[1]BALANZA G'!E87</f>
        <v>0</v>
      </c>
      <c r="E419" s="40">
        <f t="shared" ref="E419:E424" si="2">+C419-D419</f>
        <v>0</v>
      </c>
    </row>
    <row r="420" spans="2:28" ht="17.25" customHeight="1" x14ac:dyDescent="0.25">
      <c r="B420" s="99" t="s">
        <v>235</v>
      </c>
      <c r="C420" s="74">
        <f>+'[1]BALANZA G'!C88</f>
        <v>-243449.60000000001</v>
      </c>
      <c r="D420" s="74">
        <f>+'[1]BALANZA G'!E88</f>
        <v>-49819.48</v>
      </c>
      <c r="E420" s="39">
        <f t="shared" si="2"/>
        <v>-193630.12</v>
      </c>
    </row>
    <row r="421" spans="2:28" ht="17.25" customHeight="1" x14ac:dyDescent="0.25">
      <c r="B421" s="99" t="s">
        <v>236</v>
      </c>
      <c r="C421" s="74">
        <f>+'[1]BALANZA G'!C89</f>
        <v>92405.93</v>
      </c>
      <c r="D421" s="74">
        <f>+'[1]BALANZA G'!E89</f>
        <v>93682.67</v>
      </c>
      <c r="E421" s="39">
        <f t="shared" si="2"/>
        <v>-1276.7400000000052</v>
      </c>
    </row>
    <row r="422" spans="2:28" ht="17.25" customHeight="1" x14ac:dyDescent="0.25">
      <c r="B422" s="99" t="s">
        <v>237</v>
      </c>
      <c r="C422" s="74">
        <f>+'[1]BALANZA G'!C90</f>
        <v>24300</v>
      </c>
      <c r="D422" s="74">
        <f>+'[1]BALANZA G'!E90</f>
        <v>29870</v>
      </c>
      <c r="E422" s="39">
        <f t="shared" si="2"/>
        <v>-5570</v>
      </c>
    </row>
    <row r="423" spans="2:28" ht="15" customHeight="1" x14ac:dyDescent="0.25">
      <c r="B423" s="99" t="s">
        <v>238</v>
      </c>
      <c r="C423" s="74">
        <f>+'[1]BALANZA G'!C91+'[1]BALANZA G'!C86</f>
        <v>2740.6</v>
      </c>
      <c r="D423" s="74">
        <f>+'[1]BALANZA G'!E91+'[1]BALANZA G'!E86</f>
        <v>2740.6</v>
      </c>
      <c r="E423" s="39">
        <f t="shared" si="2"/>
        <v>0</v>
      </c>
    </row>
    <row r="424" spans="2:28" ht="17.25" customHeight="1" x14ac:dyDescent="0.25">
      <c r="B424" s="99" t="s">
        <v>239</v>
      </c>
      <c r="C424" s="74">
        <f>+'[1]BALANZA G'!C92</f>
        <v>256808.17</v>
      </c>
      <c r="D424" s="74">
        <f>+'[1]BALANZA G'!E92</f>
        <v>163507.56</v>
      </c>
      <c r="E424" s="39">
        <f t="shared" si="2"/>
        <v>93300.610000000015</v>
      </c>
    </row>
    <row r="425" spans="2:28" ht="17.25" customHeight="1" x14ac:dyDescent="0.25">
      <c r="B425" s="176" t="s">
        <v>240</v>
      </c>
      <c r="C425" s="104">
        <f>SUM(C418:C424)</f>
        <v>132805.1</v>
      </c>
      <c r="D425" s="178">
        <f>SUM(D418:D424)</f>
        <v>239981.35</v>
      </c>
      <c r="E425" s="104">
        <f>SUM(E418:E424)</f>
        <v>-107176.24999999997</v>
      </c>
      <c r="R425" s="3" t="str">
        <f>+CONCATENATE(T425,",",U425,"",V425,AB425,"0")</f>
        <v>132,805.10</v>
      </c>
      <c r="T425" s="3" t="str">
        <f>MID(C425,1,3)</f>
        <v>132</v>
      </c>
      <c r="U425" s="3" t="str">
        <f>MID(C425,4,3)</f>
        <v>805</v>
      </c>
      <c r="V425" s="3" t="str">
        <f>MID(C425,7,3)</f>
        <v>.1</v>
      </c>
      <c r="Z425" s="1"/>
      <c r="AA425" s="1" t="str">
        <f>MID(H425,7,3)</f>
        <v/>
      </c>
      <c r="AB425" s="1" t="str">
        <f>MID(C425,10,3)</f>
        <v/>
      </c>
    </row>
    <row r="426" spans="2:28" ht="14.25" customHeight="1" x14ac:dyDescent="0.25">
      <c r="B426" s="179"/>
      <c r="C426" s="185">
        <f>+C425-'[1]ES F '!B33+C402</f>
        <v>0</v>
      </c>
      <c r="D426" s="181"/>
      <c r="R426" s="3" t="str">
        <f>+CONCATENATE(S426,,T426,",",U426,V426,AB426)</f>
        <v>239,981.35</v>
      </c>
      <c r="T426" s="3" t="str">
        <f>MID(D425,1,3)</f>
        <v>239</v>
      </c>
      <c r="U426" s="3" t="str">
        <f>MID(D425,4,3)</f>
        <v>981</v>
      </c>
      <c r="V426" s="3" t="str">
        <f>MID(D425,7,3)</f>
        <v>.35</v>
      </c>
      <c r="W426" s="3" t="str">
        <f>MID(H425,1,3)</f>
        <v/>
      </c>
      <c r="X426" s="3" t="str">
        <f>MID(I425,1,3)</f>
        <v/>
      </c>
      <c r="Y426" s="3" t="str">
        <f>MID(J425,1,3)</f>
        <v/>
      </c>
      <c r="Z426" s="1"/>
      <c r="AA426" s="1" t="str">
        <f>MID(L425,1,3)</f>
        <v/>
      </c>
      <c r="AB426" s="1" t="str">
        <f>MID(D425,11,3)</f>
        <v/>
      </c>
    </row>
    <row r="427" spans="2:28" ht="14.25" customHeight="1" x14ac:dyDescent="0.25">
      <c r="B427" s="270" t="s">
        <v>103</v>
      </c>
      <c r="C427" s="271"/>
      <c r="D427" s="52" t="str">
        <f>IF(E427&gt;=0,"Aumento","Disminución")</f>
        <v>Disminución</v>
      </c>
      <c r="E427" s="81">
        <f>+E425/D425</f>
        <v>-0.44660241306251491</v>
      </c>
    </row>
    <row r="428" spans="2:28" ht="14.25" customHeight="1" x14ac:dyDescent="0.25">
      <c r="B428" s="54"/>
      <c r="C428" s="54"/>
      <c r="D428" s="55"/>
      <c r="E428" s="56"/>
    </row>
    <row r="429" spans="2:28" ht="14.25" customHeight="1" x14ac:dyDescent="0.25">
      <c r="B429" s="176" t="s">
        <v>241</v>
      </c>
      <c r="C429" s="104">
        <f>+C425+C402</f>
        <v>385104.4</v>
      </c>
      <c r="D429" s="104">
        <f>+D425+D402</f>
        <v>492280.65</v>
      </c>
      <c r="E429" s="104">
        <f>+E425+E402</f>
        <v>-107176.24999999997</v>
      </c>
    </row>
    <row r="430" spans="2:28" ht="14.25" customHeight="1" x14ac:dyDescent="0.25">
      <c r="B430" s="182"/>
      <c r="C430" s="182"/>
      <c r="D430" s="182"/>
      <c r="E430" s="182"/>
    </row>
    <row r="431" spans="2:28" ht="14.25" customHeight="1" x14ac:dyDescent="0.25">
      <c r="B431" s="270" t="s">
        <v>103</v>
      </c>
      <c r="C431" s="271"/>
      <c r="D431" s="52" t="str">
        <f>IF(E431&gt;=0,"Aumento","Disminución")</f>
        <v>Disminución</v>
      </c>
      <c r="E431" s="81">
        <f>+E429/D429</f>
        <v>-0.21771371675892595</v>
      </c>
    </row>
    <row r="432" spans="2:28" ht="14.25" customHeight="1" x14ac:dyDescent="0.25">
      <c r="B432" s="54"/>
      <c r="C432" s="54"/>
      <c r="D432" s="55"/>
      <c r="E432" s="56"/>
    </row>
    <row r="433" spans="2:27" ht="14.25" customHeight="1" x14ac:dyDescent="0.25">
      <c r="B433" s="182"/>
      <c r="C433" s="182"/>
      <c r="D433" s="182"/>
      <c r="E433" s="182"/>
    </row>
    <row r="434" spans="2:27" ht="14.25" customHeight="1" x14ac:dyDescent="0.25">
      <c r="B434" s="57" t="s">
        <v>242</v>
      </c>
      <c r="C434" s="182"/>
      <c r="D434" s="182"/>
      <c r="E434" s="182"/>
    </row>
    <row r="435" spans="2:27" ht="19.5" customHeight="1" x14ac:dyDescent="0.25">
      <c r="B435" s="57" t="s">
        <v>243</v>
      </c>
      <c r="C435" s="182"/>
      <c r="D435" s="27"/>
      <c r="E435" s="182"/>
    </row>
    <row r="436" spans="2:27" ht="39.75" customHeight="1" x14ac:dyDescent="0.25">
      <c r="B436" s="260" t="str">
        <f>("Un detalle del "&amp;B435&amp;" al "&amp;[1]BALANZA!$B$3&amp;" "&amp;[1]BALANZA!$C$3&amp;" es como se detalla a continuación:")</f>
        <v>Un detalle del Activos Netos/Patrimonio al 30 de junio del 2023 - 2022 es como se detalla a continuación:</v>
      </c>
      <c r="C436" s="266"/>
      <c r="D436" s="266"/>
      <c r="E436" s="266"/>
    </row>
    <row r="437" spans="2:27" ht="47.25" customHeight="1" x14ac:dyDescent="0.25">
      <c r="B437" s="279" t="str">
        <f>("El patrimonio institucional  para el "&amp;C439&amp;" tenia monto por RD$ "&amp;R444&amp;" y para el "&amp;D439&amp;" el monto fue de RD$ "&amp;R445&amp;" y está conformado con las siguientes partidas: ")</f>
        <v xml:space="preserve">El patrimonio institucional  para el 2023 tenia monto por RD$ 1,091,303,297.94 y para el 2022 el monto fue de RD$ 998,128,797.18 y está conformado con las siguientes partidas: </v>
      </c>
      <c r="C437" s="261"/>
      <c r="D437" s="261"/>
      <c r="E437" s="261"/>
    </row>
    <row r="438" spans="2:27" x14ac:dyDescent="0.25">
      <c r="B438" s="10"/>
    </row>
    <row r="439" spans="2:27" x14ac:dyDescent="0.25">
      <c r="B439" s="176" t="s">
        <v>216</v>
      </c>
      <c r="C439" s="28">
        <f>+C592</f>
        <v>2023</v>
      </c>
      <c r="D439" s="28">
        <f>+D592</f>
        <v>2022</v>
      </c>
      <c r="E439" s="186" t="s">
        <v>217</v>
      </c>
    </row>
    <row r="440" spans="2:27" x14ac:dyDescent="0.25">
      <c r="B440" s="187" t="s">
        <v>244</v>
      </c>
      <c r="C440" s="188">
        <v>808793054.60000002</v>
      </c>
      <c r="D440" s="188">
        <v>808793054.60000002</v>
      </c>
      <c r="E440" s="39">
        <f>+C440-D440</f>
        <v>0</v>
      </c>
      <c r="U440" s="189"/>
    </row>
    <row r="441" spans="2:27" x14ac:dyDescent="0.25">
      <c r="B441" s="187" t="s">
        <v>245</v>
      </c>
      <c r="C441" s="190">
        <f>+'[1]BALANZA G'!C121+'[1]BALANZA G'!C122+62886.7</f>
        <v>324395677.64999998</v>
      </c>
      <c r="D441" s="190">
        <v>200582835.47000006</v>
      </c>
      <c r="E441" s="39">
        <f>+C441-D441</f>
        <v>123812842.17999992</v>
      </c>
      <c r="I441" s="83"/>
      <c r="U441" s="189"/>
    </row>
    <row r="442" spans="2:27" x14ac:dyDescent="0.25">
      <c r="B442" s="32" t="s">
        <v>246</v>
      </c>
      <c r="C442" s="190">
        <f>+[1]BALANZA!B6</f>
        <v>0</v>
      </c>
      <c r="D442" s="190">
        <v>492268.04</v>
      </c>
      <c r="E442" s="39">
        <f>+C442-D442</f>
        <v>-492268.04</v>
      </c>
      <c r="I442" s="83"/>
      <c r="U442" s="189"/>
      <c r="Z442" s="1"/>
    </row>
    <row r="443" spans="2:27" x14ac:dyDescent="0.25">
      <c r="B443" s="32" t="s">
        <v>247</v>
      </c>
      <c r="C443" s="190">
        <f>+[1]ERF!B35</f>
        <v>-41885434.310000017</v>
      </c>
      <c r="D443" s="190">
        <f>+[1]ERF!C30</f>
        <v>-11739360.929999977</v>
      </c>
      <c r="E443" s="39">
        <f>+C443-D443</f>
        <v>-30146073.38000004</v>
      </c>
      <c r="I443" s="83"/>
      <c r="U443" s="189"/>
      <c r="Z443" s="46"/>
    </row>
    <row r="444" spans="2:27" x14ac:dyDescent="0.25">
      <c r="B444" s="75" t="s">
        <v>248</v>
      </c>
      <c r="C444" s="191">
        <f>SUM(C440:C443)</f>
        <v>1091303297.9400001</v>
      </c>
      <c r="D444" s="192">
        <f>SUM(D440:D443)</f>
        <v>998128797.18000007</v>
      </c>
      <c r="E444" s="191">
        <f>SUM(E440:E443)</f>
        <v>93174500.759999871</v>
      </c>
      <c r="I444" s="83"/>
      <c r="R444" s="3" t="str">
        <f>+CONCATENATE(S444,",",T444,",",U444,",",V444,W444)</f>
        <v>1,091,303,297.94</v>
      </c>
      <c r="S444" s="3" t="str">
        <f>MID(C444,1,1)</f>
        <v>1</v>
      </c>
      <c r="T444" s="3" t="str">
        <f>MID(C444,2,3)</f>
        <v>091</v>
      </c>
      <c r="U444" s="3" t="str">
        <f>MID(C444,5,3)</f>
        <v>303</v>
      </c>
      <c r="V444" s="3" t="str">
        <f>MID(C444,8,3)</f>
        <v>297</v>
      </c>
      <c r="W444" s="3" t="str">
        <f>MID(C444,11,3)</f>
        <v>.94</v>
      </c>
      <c r="Z444" s="1"/>
      <c r="AA444" s="1" t="str">
        <f>MID(H444,7,3)</f>
        <v/>
      </c>
    </row>
    <row r="445" spans="2:27" x14ac:dyDescent="0.25">
      <c r="B445" s="193"/>
      <c r="C445" s="194">
        <f>+C444-'[1]ES F '!B43</f>
        <v>0</v>
      </c>
      <c r="D445" s="195"/>
      <c r="E445" s="196"/>
      <c r="R445" s="3" t="str">
        <f>+CONCATENATE(S445,",",T445,",",U445,V445,W445)</f>
        <v>998,128,797.18</v>
      </c>
      <c r="S445" s="3" t="str">
        <f>MID(D444,1,3)</f>
        <v>998</v>
      </c>
      <c r="T445" s="3" t="str">
        <f>MID(D444,4,3)</f>
        <v>128</v>
      </c>
      <c r="U445" s="3" t="str">
        <f>MID(D444,7,3)</f>
        <v>797</v>
      </c>
      <c r="V445" s="3" t="str">
        <f>MID(D444,10,3)</f>
        <v>.18</v>
      </c>
      <c r="X445" s="3" t="str">
        <f>MID(I444,1,3)</f>
        <v/>
      </c>
      <c r="AA445" s="1" t="str">
        <f>MID(L444,1,3)</f>
        <v/>
      </c>
    </row>
    <row r="446" spans="2:27" s="42" customFormat="1" x14ac:dyDescent="0.25">
      <c r="B446" s="267" t="s">
        <v>103</v>
      </c>
      <c r="C446" s="268"/>
      <c r="D446" s="52" t="str">
        <f>IF(E446&gt;=0,"Aumento","Disminución")</f>
        <v>Aumento</v>
      </c>
      <c r="E446" s="81">
        <f>+E444/D444</f>
        <v>9.334917600137832E-2</v>
      </c>
      <c r="J446" s="46"/>
      <c r="N446" s="46"/>
      <c r="R446" s="47"/>
      <c r="S446" s="47"/>
      <c r="T446" s="47"/>
      <c r="U446" s="47"/>
      <c r="V446" s="47"/>
      <c r="W446" s="47"/>
      <c r="X446" s="47"/>
      <c r="Y446" s="47"/>
    </row>
    <row r="447" spans="2:27" ht="31.5" customHeight="1" x14ac:dyDescent="0.25">
      <c r="B447" s="280" t="s">
        <v>249</v>
      </c>
      <c r="C447" s="280"/>
      <c r="D447" s="280"/>
      <c r="E447" s="280"/>
    </row>
    <row r="448" spans="2:27" ht="19.5" customHeight="1" x14ac:dyDescent="0.25">
      <c r="B448" s="197"/>
      <c r="C448" s="197"/>
      <c r="D448" s="197"/>
      <c r="E448" s="197"/>
    </row>
    <row r="449" spans="2:8" ht="19.5" customHeight="1" x14ac:dyDescent="0.25">
      <c r="B449" s="197"/>
      <c r="C449" s="197"/>
      <c r="D449" s="197"/>
      <c r="E449" s="197"/>
    </row>
    <row r="450" spans="2:8" ht="19.5" customHeight="1" x14ac:dyDescent="0.25">
      <c r="B450" s="197"/>
      <c r="C450" s="197"/>
      <c r="D450" s="197"/>
      <c r="E450" s="197"/>
    </row>
    <row r="451" spans="2:8" ht="19.5" customHeight="1" x14ac:dyDescent="0.25">
      <c r="B451" s="197"/>
      <c r="C451" s="197"/>
      <c r="D451" s="197"/>
      <c r="E451" s="197"/>
    </row>
    <row r="452" spans="2:8" ht="13.5" customHeight="1" x14ac:dyDescent="0.25">
      <c r="B452" s="197"/>
      <c r="C452" s="197"/>
      <c r="D452" s="197"/>
      <c r="E452" s="197"/>
    </row>
    <row r="453" spans="2:8" ht="31.5" customHeight="1" x14ac:dyDescent="0.25">
      <c r="B453" s="197"/>
      <c r="C453" s="197"/>
      <c r="D453" s="197"/>
      <c r="E453" s="197"/>
    </row>
    <row r="454" spans="2:8" ht="12" customHeight="1" x14ac:dyDescent="0.25">
      <c r="B454" s="197"/>
      <c r="C454" s="197"/>
      <c r="D454" s="197"/>
      <c r="E454" s="197"/>
    </row>
    <row r="455" spans="2:8" ht="12" customHeight="1" x14ac:dyDescent="0.25">
      <c r="B455" s="197"/>
      <c r="C455" s="197"/>
      <c r="D455" s="197"/>
      <c r="E455" s="197"/>
    </row>
    <row r="456" spans="2:8" ht="12" customHeight="1" x14ac:dyDescent="0.25">
      <c r="B456" s="71"/>
    </row>
    <row r="457" spans="2:8" ht="13.5" customHeight="1" x14ac:dyDescent="0.25">
      <c r="B457" s="57" t="s">
        <v>250</v>
      </c>
    </row>
    <row r="458" spans="2:8" x14ac:dyDescent="0.25">
      <c r="B458" s="57" t="s">
        <v>251</v>
      </c>
    </row>
    <row r="459" spans="2:8" ht="39.75" customHeight="1" x14ac:dyDescent="0.25">
      <c r="B459" s="260" t="str">
        <f>("Un detalle del "&amp;B458&amp;" al "&amp;[1]BALANZA!$B$3&amp;" "&amp;[1]BALANZA!$C$3&amp;" es como se detalla a continuación:")</f>
        <v>Un detalle del Ingresos por transacciones con contraprestaciones al 30 de junio del 2023 - 2022 es como se detalla a continuación:</v>
      </c>
      <c r="C459" s="266"/>
      <c r="D459" s="266"/>
      <c r="E459" s="266"/>
    </row>
    <row r="460" spans="2:8" ht="42.75" customHeight="1" x14ac:dyDescent="0.25">
      <c r="B460" s="279" t="str">
        <f>("Los ingresos recibidos por cobros de  servicios de aguas potable y saneamiento (APS) para en el  "&amp;C463&amp;" es RD$ "&amp;R466&amp;" y del "&amp;D463&amp;" es RD$ "&amp;R467&amp;" :")</f>
        <v>Los ingresos recibidos por cobros de  servicios de aguas potable y saneamiento (APS) para en el  2023 es RD$ 93,999,897.140 y del 2022 es RD$ 91,628,105.10 :</v>
      </c>
      <c r="C460" s="279"/>
      <c r="D460" s="279"/>
      <c r="E460" s="279"/>
    </row>
    <row r="461" spans="2:8" x14ac:dyDescent="0.25">
      <c r="B461" s="198"/>
    </row>
    <row r="462" spans="2:8" x14ac:dyDescent="0.25">
      <c r="B462" s="176"/>
      <c r="C462" s="281" t="s">
        <v>252</v>
      </c>
      <c r="D462" s="281"/>
      <c r="E462" s="199"/>
    </row>
    <row r="463" spans="2:8" x14ac:dyDescent="0.25">
      <c r="B463" s="176" t="s">
        <v>216</v>
      </c>
      <c r="C463" s="200">
        <f>+C137</f>
        <v>2023</v>
      </c>
      <c r="D463" s="200">
        <f>+D137</f>
        <v>2022</v>
      </c>
      <c r="E463" s="177" t="s">
        <v>217</v>
      </c>
    </row>
    <row r="464" spans="2:8" x14ac:dyDescent="0.25">
      <c r="B464" s="143" t="s">
        <v>253</v>
      </c>
      <c r="C464" s="201">
        <f>+'[1]BALANZA G'!C126</f>
        <v>93999897.140000001</v>
      </c>
      <c r="D464" s="129">
        <f>+'[1]BALANZA G'!E126</f>
        <v>91628105.100000009</v>
      </c>
      <c r="E464" s="40">
        <f>+C464-D464</f>
        <v>2371792.0399999917</v>
      </c>
      <c r="H464" s="83"/>
    </row>
    <row r="465" spans="2:26" x14ac:dyDescent="0.25">
      <c r="B465" s="143"/>
      <c r="C465" s="201"/>
      <c r="D465" s="129"/>
      <c r="E465" s="40"/>
      <c r="H465" s="83"/>
    </row>
    <row r="466" spans="2:26" ht="28.5" x14ac:dyDescent="0.25">
      <c r="B466" s="202" t="s">
        <v>254</v>
      </c>
      <c r="C466" s="203">
        <f>SUM(C464:C464)</f>
        <v>93999897.140000001</v>
      </c>
      <c r="D466" s="204">
        <f>SUM(D464:D464)</f>
        <v>91628105.100000009</v>
      </c>
      <c r="E466" s="203">
        <f>SUM(E464:E464)</f>
        <v>2371792.0399999917</v>
      </c>
      <c r="H466" s="83"/>
      <c r="R466" s="3" t="str">
        <f>+CONCATENATE(S466,",",T466,",",U466,V466,"0")</f>
        <v>93,999,897.140</v>
      </c>
      <c r="S466" s="3" t="str">
        <f>MID(C466,1,2)</f>
        <v>93</v>
      </c>
      <c r="T466" s="3" t="str">
        <f>MID(C466,3,3)</f>
        <v>999</v>
      </c>
      <c r="U466" s="3" t="str">
        <f>MID(C466,6,3)</f>
        <v>897</v>
      </c>
      <c r="V466" s="3" t="str">
        <f>MID(C466,9,3)</f>
        <v>.14</v>
      </c>
    </row>
    <row r="467" spans="2:26" x14ac:dyDescent="0.25">
      <c r="B467" s="205"/>
      <c r="C467" s="206">
        <f>+C466-[1]ERF!B11-[1]ERF!B13</f>
        <v>0</v>
      </c>
      <c r="D467" s="207"/>
      <c r="E467" s="208"/>
      <c r="H467" s="83"/>
      <c r="R467" s="3" t="str">
        <f>+CONCATENATE(S467,",",T467,",",U467,V467,AB467,"0")</f>
        <v>91,628,105.10</v>
      </c>
      <c r="S467" s="3" t="str">
        <f>MID(D466,1,2)</f>
        <v>91</v>
      </c>
      <c r="T467" s="3" t="str">
        <f>MID(D466,3,3)</f>
        <v>628</v>
      </c>
      <c r="U467" s="3" t="str">
        <f>MID(D466,6,3)</f>
        <v>105</v>
      </c>
      <c r="V467" s="3" t="str">
        <f>MID(D466,9,3)</f>
        <v>.1</v>
      </c>
    </row>
    <row r="468" spans="2:26" s="42" customFormat="1" x14ac:dyDescent="0.25">
      <c r="B468" s="267" t="s">
        <v>103</v>
      </c>
      <c r="C468" s="268"/>
      <c r="D468" s="52" t="str">
        <f>IF(E468&gt;=0,"Aumento","Disminución")</f>
        <v>Aumento</v>
      </c>
      <c r="E468" s="81">
        <f>+E466/D466</f>
        <v>2.5884984060420033E-2</v>
      </c>
      <c r="J468" s="46"/>
      <c r="N468" s="46"/>
      <c r="R468" s="47"/>
      <c r="S468" s="47"/>
      <c r="T468" s="47"/>
      <c r="U468" s="47"/>
      <c r="V468" s="47"/>
      <c r="W468" s="47"/>
      <c r="X468" s="47"/>
      <c r="Y468" s="47"/>
      <c r="Z468" s="46"/>
    </row>
    <row r="469" spans="2:26" x14ac:dyDescent="0.25">
      <c r="B469" s="71"/>
    </row>
    <row r="471" spans="2:26" x14ac:dyDescent="0.25">
      <c r="B471" s="57" t="s">
        <v>255</v>
      </c>
    </row>
    <row r="472" spans="2:26" x14ac:dyDescent="0.25">
      <c r="B472" s="57" t="s">
        <v>256</v>
      </c>
    </row>
    <row r="473" spans="2:26" ht="32.25" customHeight="1" x14ac:dyDescent="0.25">
      <c r="B473" s="260" t="str">
        <f>("Un detalle de las "&amp;B472&amp;" al "&amp;[1]BALANZA!$B$3&amp;" "&amp;[1]BALANZA!$C$3&amp;" es como se detalla a continuación:")</f>
        <v>Un detalle de las Transferencias y donaciones  al 30 de junio del 2023 - 2022 es como se detalla a continuación:</v>
      </c>
      <c r="C473" s="266"/>
      <c r="D473" s="266"/>
      <c r="E473" s="266"/>
    </row>
    <row r="474" spans="2:26" ht="61.5" customHeight="1" x14ac:dyDescent="0.25">
      <c r="B474" s="279" t="str">
        <f>("Los recursos recibidos por transferencias fueron por los montos según el siguiente detalle:  para el "&amp;C477&amp;" transferencia para Gasto  Corrientes RD$ "&amp;R478&amp;", para Gasto de  Capital RD$ "&amp;R479&amp;" y para Energia no cortable RD$ "&amp;R480&amp;" y para el "&amp;D477&amp;" Transferencia para Gasto  Corrientes RD$ "&amp;R483&amp;", para Gasto  de Capital RD$ "&amp;R484&amp;" y para Energia no cortable RD$ "&amp;R485&amp;" ")</f>
        <v xml:space="preserve">Los recursos recibidos por transferencias fueron por los montos según el siguiente detalle:  para el 2023 transferencia para Gasto  Corrientes RD$ 1,179,51706.00, para Gasto de  Capital RD$ 0.00 y para Energia no cortable RD$ 20,661,129.00 y para el 2022 Transferencia para Gasto  Corrientes RD$ 14,393,636.79, para Gasto  de Capital RD$ 19,700,000,00 y para Energia no cortable RD$ 20,661,129,00 </v>
      </c>
      <c r="C474" s="279"/>
      <c r="D474" s="279"/>
      <c r="E474" s="279"/>
    </row>
    <row r="475" spans="2:26" x14ac:dyDescent="0.25">
      <c r="B475" s="10"/>
    </row>
    <row r="476" spans="2:26" x14ac:dyDescent="0.25">
      <c r="B476" s="161" t="str">
        <f>+B463</f>
        <v>Cuenta</v>
      </c>
      <c r="C476" s="281" t="s">
        <v>252</v>
      </c>
      <c r="D476" s="281"/>
      <c r="E476" s="199"/>
    </row>
    <row r="477" spans="2:26" x14ac:dyDescent="0.25">
      <c r="B477" s="161" t="s">
        <v>257</v>
      </c>
      <c r="C477" s="200">
        <f>+[1]BALANZA!B4</f>
        <v>2023</v>
      </c>
      <c r="D477" s="200">
        <f>+[1]BALANZA!C4</f>
        <v>2022</v>
      </c>
      <c r="E477" s="177" t="s">
        <v>217</v>
      </c>
    </row>
    <row r="478" spans="2:26" ht="15.75" customHeight="1" x14ac:dyDescent="0.25">
      <c r="B478" s="143" t="s">
        <v>258</v>
      </c>
      <c r="C478" s="129">
        <f>+'[1]BALANZA G'!C138+'[1]BALANZA G'!C142</f>
        <v>11795171.060000001</v>
      </c>
      <c r="D478" s="129">
        <f>+'[1]BALANZA G'!E142</f>
        <v>14393636.789999999</v>
      </c>
      <c r="E478" s="39">
        <f>+C478-D478</f>
        <v>-2598465.7299999986</v>
      </c>
      <c r="G478" s="209"/>
      <c r="R478" s="3" t="str">
        <f>+CONCATENATE(S478,",",T478,",",U478,V478,".00")</f>
        <v>1,179,51706.00</v>
      </c>
      <c r="S478" s="3" t="str">
        <f>MID(C478,1,1)</f>
        <v>1</v>
      </c>
      <c r="T478" s="3" t="str">
        <f>MID(C478,2,3)</f>
        <v>179</v>
      </c>
      <c r="U478" s="3" t="str">
        <f>MID(C478,5,3)</f>
        <v>517</v>
      </c>
      <c r="V478" s="3" t="str">
        <f>MID(C478,10,3)</f>
        <v>06</v>
      </c>
    </row>
    <row r="479" spans="2:26" ht="15.75" customHeight="1" x14ac:dyDescent="0.25">
      <c r="B479" s="143" t="s">
        <v>259</v>
      </c>
      <c r="C479" s="210">
        <f>+'[1]BALANZA G'!C143</f>
        <v>0</v>
      </c>
      <c r="D479" s="210">
        <f>+'[1]BALANZA G'!E143</f>
        <v>19700000</v>
      </c>
      <c r="E479" s="39">
        <f>+C479-D479</f>
        <v>-19700000</v>
      </c>
      <c r="G479" s="209"/>
      <c r="R479" s="3" t="str">
        <f>+CONCATENATE(S479,,T479,U479,V479,".00")</f>
        <v>0.00</v>
      </c>
      <c r="S479" s="3" t="str">
        <f>MID(C479,1,2)</f>
        <v>0</v>
      </c>
      <c r="T479" s="3" t="str">
        <f>MID(C479,3,3)</f>
        <v/>
      </c>
      <c r="U479" s="3" t="str">
        <f>MID(C479,6,3)</f>
        <v/>
      </c>
      <c r="V479" s="3" t="str">
        <f>MID(C479,9,3)</f>
        <v/>
      </c>
    </row>
    <row r="480" spans="2:26" ht="28.5" customHeight="1" x14ac:dyDescent="0.25">
      <c r="B480" s="211" t="s">
        <v>260</v>
      </c>
      <c r="C480" s="210">
        <f>+'[1]BALANZA G'!C144</f>
        <v>20661129</v>
      </c>
      <c r="D480" s="210">
        <f>+'[1]BALANZA G'!E144</f>
        <v>20661129</v>
      </c>
      <c r="E480" s="212">
        <f>+C480-D480</f>
        <v>0</v>
      </c>
      <c r="G480" s="209"/>
      <c r="N480" s="2">
        <f>3106590.67*5</f>
        <v>15532953.35</v>
      </c>
      <c r="R480" s="3" t="str">
        <f>+CONCATENATE(S480,",",T480,",",U480,V480,".00")</f>
        <v>20,661,129.00</v>
      </c>
      <c r="S480" s="3" t="str">
        <f>MID(C480,1,2)</f>
        <v>20</v>
      </c>
      <c r="T480" s="3" t="str">
        <f>MID(C480,3,3)</f>
        <v>661</v>
      </c>
      <c r="U480" s="3" t="str">
        <f>MID(C480,6,3)</f>
        <v>129</v>
      </c>
      <c r="V480" s="3" t="str">
        <f>MID(C480,9,3)</f>
        <v/>
      </c>
    </row>
    <row r="481" spans="2:26" x14ac:dyDescent="0.25">
      <c r="B481" s="161" t="s">
        <v>261</v>
      </c>
      <c r="C481" s="203">
        <f>SUM(C478:C480)</f>
        <v>32456300.060000002</v>
      </c>
      <c r="D481" s="204">
        <f>SUM(D478:D480)</f>
        <v>54754765.789999999</v>
      </c>
      <c r="E481" s="203">
        <f>SUM(E478:E480)</f>
        <v>-22298465.729999997</v>
      </c>
      <c r="H481" s="83"/>
      <c r="N481" s="2">
        <v>2556519</v>
      </c>
      <c r="R481" s="3" t="str">
        <f>+CONCATENATE(S481,",",T481,",",U481,V481,AB481)</f>
        <v>32,456,300.06</v>
      </c>
      <c r="S481" s="3" t="str">
        <f>MID(C481,1,2)</f>
        <v>32</v>
      </c>
      <c r="T481" s="3" t="str">
        <f>MID(C481,3,3)</f>
        <v>456</v>
      </c>
      <c r="U481" s="3" t="str">
        <f>MID(C481,6,3)</f>
        <v>300</v>
      </c>
      <c r="V481" s="3" t="str">
        <f>MID(C481,9,3)</f>
        <v>.06</v>
      </c>
    </row>
    <row r="482" spans="2:26" x14ac:dyDescent="0.25">
      <c r="B482" s="205"/>
      <c r="C482" s="206">
        <f>+C481-[1]ERF!B12</f>
        <v>0</v>
      </c>
      <c r="D482" s="207"/>
      <c r="E482" s="208"/>
      <c r="H482" s="83"/>
      <c r="N482" s="2">
        <f>+N480+N481</f>
        <v>18089472.350000001</v>
      </c>
      <c r="R482" s="3" t="str">
        <f>+CONCATENATE(S482,",",T482,",",U482,V482,AB482)</f>
        <v>547,547,65.79</v>
      </c>
      <c r="S482" s="3" t="str">
        <f>MID(D481,1,3)</f>
        <v>547</v>
      </c>
      <c r="T482" s="3" t="str">
        <f>MID(D481,4,3)</f>
        <v>547</v>
      </c>
      <c r="U482" s="3" t="str">
        <f>MID(D481,7,3)</f>
        <v>65.</v>
      </c>
      <c r="V482" s="3" t="str">
        <f>MID(D481,10,3)</f>
        <v>79</v>
      </c>
    </row>
    <row r="483" spans="2:26" s="42" customFormat="1" x14ac:dyDescent="0.25">
      <c r="B483" s="270" t="s">
        <v>103</v>
      </c>
      <c r="C483" s="271"/>
      <c r="D483" s="52" t="str">
        <f>IF(E483&gt;=0,"Aumento","Disminución")</f>
        <v>Disminución</v>
      </c>
      <c r="E483" s="81">
        <f>+E481/D481</f>
        <v>-0.40724246388927887</v>
      </c>
      <c r="J483" s="46"/>
      <c r="N483" s="46"/>
      <c r="R483" s="3" t="str">
        <f>+CONCATENATE(S483,",",T483,",",U483,V483,AB483)</f>
        <v>14,393,636.79</v>
      </c>
      <c r="S483" s="3" t="str">
        <f>MID(D478,1,2)</f>
        <v>14</v>
      </c>
      <c r="T483" s="3" t="str">
        <f>MID(D478,3,3)</f>
        <v>393</v>
      </c>
      <c r="U483" s="3" t="str">
        <f>MID(D478,6,3)</f>
        <v>636</v>
      </c>
      <c r="V483" s="3" t="str">
        <f>MID(D478,9,3)</f>
        <v>.79</v>
      </c>
      <c r="W483" s="47"/>
      <c r="X483" s="47"/>
      <c r="Y483" s="47"/>
      <c r="Z483" s="46"/>
    </row>
    <row r="484" spans="2:26" x14ac:dyDescent="0.25">
      <c r="B484" s="10"/>
      <c r="H484" s="83"/>
      <c r="R484" s="3" t="str">
        <f>+CONCATENATE(S484,",",T484,",",U484,V484,",00")</f>
        <v>19,700,000,00</v>
      </c>
      <c r="S484" s="3" t="str">
        <f>MID(D479,1,2)</f>
        <v>19</v>
      </c>
      <c r="T484" s="3" t="str">
        <f>MID(D479,3,3)</f>
        <v>700</v>
      </c>
      <c r="U484" s="3" t="str">
        <f>MID(D479,6,3)</f>
        <v>000</v>
      </c>
      <c r="V484" s="3" t="str">
        <f>MID(D479,9,3)</f>
        <v/>
      </c>
    </row>
    <row r="485" spans="2:26" ht="28.5" customHeight="1" x14ac:dyDescent="0.25">
      <c r="B485" s="262" t="str">
        <f>("Nota: CORAAMOCA tiene un presupuesto aprobado para el "&amp;C477&amp;" por un valor de RD$ "&amp;R490&amp;" ")</f>
        <v xml:space="preserve">Nota: CORAAMOCA tiene un presupuesto aprobado para el 2023 por un valor de RD$ 411,538,540.00 </v>
      </c>
      <c r="C485" s="262"/>
      <c r="D485" s="262"/>
      <c r="E485" s="262"/>
      <c r="R485" s="3" t="str">
        <f>+CONCATENATE(S485,",",T485,",",U485,V485,",00")</f>
        <v>20,661,129,00</v>
      </c>
      <c r="S485" s="3" t="str">
        <f>MID(D480,1,2)</f>
        <v>20</v>
      </c>
      <c r="T485" s="3" t="str">
        <f>MID(D480,3,3)</f>
        <v>661</v>
      </c>
      <c r="U485" s="3" t="str">
        <f>MID(D480,6,3)</f>
        <v>129</v>
      </c>
      <c r="V485" s="3" t="str">
        <f>MID(D480,9,3)</f>
        <v/>
      </c>
    </row>
    <row r="486" spans="2:26" ht="53.25" customHeight="1" x14ac:dyDescent="0.25">
      <c r="B486" s="262" t="str">
        <f>("El cual  recibirá mediante asignación de fondos del Gobierno Central,  para gastos corriente RD$ "&amp;R486&amp;" , para Gasto de capital RD$ "&amp;R488&amp;" y para  Energia Electrica de  RD$ "&amp;R487&amp;" y la Institución ingresará por ventas de servicios agua y saneamiento  un monto de RD$ "&amp;R489&amp;".")</f>
        <v>El cual  recibirá mediante asignación de fondos del Gobierno Central,  para gastos corriente RD$ 29,759,044.00 , para Gasto de capital RD$ 118,200,000.00 y para  Energia Electrica de  RD$ 41,322,258.00 y la Institución ingresará por ventas de servicios agua y saneamiento  un monto de RD$ 222,257,238.00.</v>
      </c>
      <c r="C486" s="262"/>
      <c r="D486" s="262"/>
      <c r="E486" s="262"/>
      <c r="R486" s="3" t="str">
        <f>+CONCATENATE(T486,",",U486,",",V486,W486,".00")</f>
        <v>29,759,044.00</v>
      </c>
      <c r="S486" s="213">
        <f>+'[1]Pres A'!E289</f>
        <v>29759044</v>
      </c>
      <c r="T486" s="3" t="str">
        <f>MID(S486,1,2)</f>
        <v>29</v>
      </c>
      <c r="U486" s="3" t="str">
        <f>MID(S486,3,3)</f>
        <v>759</v>
      </c>
      <c r="V486" s="3" t="str">
        <f>MID(S486,6,3)</f>
        <v>044</v>
      </c>
    </row>
    <row r="487" spans="2:26" ht="15.75" customHeight="1" x14ac:dyDescent="0.25">
      <c r="B487" s="16"/>
      <c r="C487" s="16"/>
      <c r="D487" s="16"/>
      <c r="E487" s="16"/>
      <c r="R487" s="3" t="str">
        <f>+CONCATENATE(T487,",",U487,",",V487,W487,".00")</f>
        <v>41,322,258.00</v>
      </c>
      <c r="S487" s="213">
        <f>+'[1]Pres A'!E290</f>
        <v>41322258</v>
      </c>
      <c r="T487" s="3" t="str">
        <f>MID(S487,1,2)</f>
        <v>41</v>
      </c>
      <c r="U487" s="3" t="str">
        <f>MID(S487,3,3)</f>
        <v>322</v>
      </c>
      <c r="V487" s="3" t="str">
        <f>MID(S487,6,3)</f>
        <v>258</v>
      </c>
      <c r="W487" s="3" t="str">
        <f>MID(S487,9,3)</f>
        <v/>
      </c>
    </row>
    <row r="488" spans="2:26" ht="15.75" customHeight="1" x14ac:dyDescent="0.25">
      <c r="B488" s="16"/>
      <c r="C488" s="16"/>
      <c r="D488" s="16"/>
      <c r="E488" s="16"/>
      <c r="R488" s="3" t="str">
        <f>+CONCATENATE(T488,",",U488,",",V488,W488,".00")</f>
        <v>118,200,000.00</v>
      </c>
      <c r="S488" s="213">
        <f>+'[1]Pres A'!E291</f>
        <v>118200000</v>
      </c>
      <c r="T488" s="3" t="str">
        <f>MID(S488,1,3)</f>
        <v>118</v>
      </c>
      <c r="U488" s="3" t="str">
        <f>MID(S488,4,3)</f>
        <v>200</v>
      </c>
      <c r="V488" s="3" t="str">
        <f>MID(S488,7,3)</f>
        <v>000</v>
      </c>
      <c r="W488" s="3" t="str">
        <f>MID(S488,10,3)</f>
        <v/>
      </c>
    </row>
    <row r="489" spans="2:26" ht="15.75" customHeight="1" x14ac:dyDescent="0.25">
      <c r="B489" s="16"/>
      <c r="C489" s="16"/>
      <c r="D489" s="16"/>
      <c r="E489" s="16"/>
      <c r="R489" s="3" t="str">
        <f>+CONCATENATE(T489,",",U489,",",V489,W489,".00")</f>
        <v>222,257,238.00</v>
      </c>
      <c r="S489" s="213">
        <f>+'[1]Pres A'!E295</f>
        <v>222257238</v>
      </c>
      <c r="T489" s="3" t="str">
        <f>MID(S489,1,3)</f>
        <v>222</v>
      </c>
      <c r="U489" s="3" t="str">
        <f>MID(S489,4,3)</f>
        <v>257</v>
      </c>
      <c r="V489" s="3" t="str">
        <f>MID(S489,7,3)</f>
        <v>238</v>
      </c>
    </row>
    <row r="490" spans="2:26" ht="15.75" customHeight="1" x14ac:dyDescent="0.25">
      <c r="B490" s="16"/>
      <c r="C490" s="16"/>
      <c r="D490" s="16"/>
      <c r="E490" s="16"/>
      <c r="R490" s="3" t="str">
        <f>+CONCATENATE(T490,",",U490,",",V490,W490,".00")</f>
        <v>411,538,540.00</v>
      </c>
      <c r="S490" s="214">
        <f>SUM(S486:S489)</f>
        <v>411538540</v>
      </c>
      <c r="T490" s="3" t="str">
        <f>MID(S490,1,3)</f>
        <v>411</v>
      </c>
      <c r="U490" s="3" t="str">
        <f>MID(S490,4,3)</f>
        <v>538</v>
      </c>
      <c r="V490" s="3" t="str">
        <f>MID(S490,7,3)</f>
        <v>540</v>
      </c>
    </row>
    <row r="491" spans="2:26" ht="15.75" customHeight="1" x14ac:dyDescent="0.25">
      <c r="B491" s="16"/>
      <c r="C491" s="16"/>
      <c r="D491" s="16"/>
      <c r="E491" s="16"/>
    </row>
    <row r="492" spans="2:26" ht="15.75" customHeight="1" x14ac:dyDescent="0.25">
      <c r="B492" s="16"/>
      <c r="C492" s="16"/>
      <c r="D492" s="16"/>
      <c r="E492" s="16"/>
    </row>
    <row r="493" spans="2:26" ht="15.75" customHeight="1" x14ac:dyDescent="0.25">
      <c r="B493" s="16"/>
      <c r="C493" s="16"/>
      <c r="D493" s="16"/>
      <c r="E493" s="16"/>
    </row>
    <row r="494" spans="2:26" ht="15.75" customHeight="1" x14ac:dyDescent="0.25">
      <c r="B494" s="16"/>
      <c r="C494" s="16"/>
      <c r="D494" s="16"/>
      <c r="E494" s="16"/>
    </row>
    <row r="495" spans="2:26" ht="32.25" customHeight="1" x14ac:dyDescent="0.25">
      <c r="B495" s="161" t="s">
        <v>257</v>
      </c>
      <c r="C495" s="215" t="s">
        <v>262</v>
      </c>
      <c r="D495" s="215" t="s">
        <v>244</v>
      </c>
      <c r="E495" s="215" t="s">
        <v>263</v>
      </c>
    </row>
    <row r="496" spans="2:26" ht="15.75" customHeight="1" x14ac:dyDescent="0.25">
      <c r="B496" s="58" t="s">
        <v>264</v>
      </c>
      <c r="C496" s="216">
        <f>+'[1]19'!$D$25</f>
        <v>1598764</v>
      </c>
      <c r="D496" s="216">
        <f>+'[1]19'!$D$26</f>
        <v>0</v>
      </c>
      <c r="E496" s="216">
        <f>+'[1]19'!$D$27</f>
        <v>3443521.5</v>
      </c>
    </row>
    <row r="497" spans="2:12" ht="15.75" customHeight="1" x14ac:dyDescent="0.25">
      <c r="B497" s="58" t="s">
        <v>265</v>
      </c>
      <c r="C497" s="216">
        <f>+'[1]19'!$E$25</f>
        <v>1598764</v>
      </c>
      <c r="D497" s="216">
        <f>+'[1]19'!$E$26</f>
        <v>0</v>
      </c>
      <c r="E497" s="216">
        <f>+'[1]19'!$E$27</f>
        <v>3443521.5</v>
      </c>
    </row>
    <row r="498" spans="2:12" ht="15.75" customHeight="1" x14ac:dyDescent="0.25">
      <c r="B498" s="58" t="s">
        <v>266</v>
      </c>
      <c r="C498" s="216">
        <f>+'[1]19'!$F$25</f>
        <v>1598764</v>
      </c>
      <c r="D498" s="216">
        <f>+'[1]19'!$F$26</f>
        <v>0</v>
      </c>
      <c r="E498" s="216">
        <f>+'[1]19'!$F$27</f>
        <v>3443521.5</v>
      </c>
    </row>
    <row r="499" spans="2:12" ht="15.75" customHeight="1" x14ac:dyDescent="0.25">
      <c r="B499" s="58" t="s">
        <v>267</v>
      </c>
      <c r="C499" s="216">
        <f>+'[1]19'!$G$25</f>
        <v>1598764</v>
      </c>
      <c r="D499" s="216">
        <f>+'[1]19'!$G$26</f>
        <v>0</v>
      </c>
      <c r="E499" s="216">
        <f>+'[1]19'!$G$27</f>
        <v>3443521.5</v>
      </c>
    </row>
    <row r="500" spans="2:12" ht="15.75" customHeight="1" x14ac:dyDescent="0.25">
      <c r="B500" s="58" t="s">
        <v>268</v>
      </c>
      <c r="C500" s="216">
        <f>+'[1]19'!$H$25</f>
        <v>3801351.06</v>
      </c>
      <c r="D500" s="216">
        <f>+'[1]19'!$H$26</f>
        <v>0</v>
      </c>
      <c r="E500" s="216">
        <f>+'[1]19'!$H$27</f>
        <v>3443521.5</v>
      </c>
    </row>
    <row r="501" spans="2:12" ht="15.75" customHeight="1" x14ac:dyDescent="0.25">
      <c r="B501" s="58" t="s">
        <v>269</v>
      </c>
      <c r="C501" s="216">
        <f>+'[1]19'!$I$25</f>
        <v>1598764</v>
      </c>
      <c r="D501" s="216">
        <f>+'[1]19'!$I$26</f>
        <v>0</v>
      </c>
      <c r="E501" s="216">
        <f>+'[1]19'!$I$27</f>
        <v>3443521.5</v>
      </c>
    </row>
    <row r="502" spans="2:12" ht="15.75" customHeight="1" x14ac:dyDescent="0.25">
      <c r="B502" s="58" t="s">
        <v>270</v>
      </c>
      <c r="C502" s="216">
        <f>+'[1]19'!$J$25</f>
        <v>0</v>
      </c>
      <c r="D502" s="216">
        <f>+'[1]19'!$J$26</f>
        <v>0</v>
      </c>
      <c r="E502" s="216">
        <f>+'[1]19'!$J$27</f>
        <v>0</v>
      </c>
    </row>
    <row r="503" spans="2:12" ht="15.75" customHeight="1" x14ac:dyDescent="0.25">
      <c r="B503" s="58" t="s">
        <v>271</v>
      </c>
      <c r="C503" s="216">
        <f>+'[1]19'!$K$25</f>
        <v>0</v>
      </c>
      <c r="D503" s="216">
        <f>+'[1]19'!$K$26</f>
        <v>0</v>
      </c>
      <c r="E503" s="216">
        <f>+'[1]19'!$K$27</f>
        <v>0</v>
      </c>
    </row>
    <row r="504" spans="2:12" ht="15.75" customHeight="1" x14ac:dyDescent="0.25">
      <c r="B504" s="58" t="s">
        <v>272</v>
      </c>
      <c r="C504" s="216">
        <f>+'[1]19'!$L$25</f>
        <v>0</v>
      </c>
      <c r="D504" s="216">
        <f>+'[1]19'!$L$26</f>
        <v>0</v>
      </c>
      <c r="E504" s="216">
        <f>+'[1]19'!$L$27</f>
        <v>0</v>
      </c>
    </row>
    <row r="505" spans="2:12" ht="15.75" customHeight="1" x14ac:dyDescent="0.25">
      <c r="B505" s="58" t="s">
        <v>273</v>
      </c>
      <c r="C505" s="216">
        <f>+'[1]19'!$M$25</f>
        <v>0</v>
      </c>
      <c r="D505" s="216">
        <f>+'[1]19'!$M$26</f>
        <v>0</v>
      </c>
      <c r="E505" s="216">
        <f>+'[1]19'!$M$27</f>
        <v>0</v>
      </c>
    </row>
    <row r="506" spans="2:12" ht="15.75" customHeight="1" x14ac:dyDescent="0.25">
      <c r="B506" s="58" t="s">
        <v>274</v>
      </c>
      <c r="C506" s="216">
        <f>+'[1]19'!$N$25</f>
        <v>0</v>
      </c>
      <c r="D506" s="216">
        <f>+'[1]19'!$N$26</f>
        <v>0</v>
      </c>
      <c r="E506" s="216">
        <f>+'[1]19'!$N$27</f>
        <v>0</v>
      </c>
    </row>
    <row r="507" spans="2:12" ht="15.75" customHeight="1" x14ac:dyDescent="0.25">
      <c r="B507" s="58" t="s">
        <v>275</v>
      </c>
      <c r="C507" s="216">
        <f>+'[1]19'!$O$25</f>
        <v>0</v>
      </c>
      <c r="D507" s="216">
        <f>+'[1]19'!$O$26</f>
        <v>0</v>
      </c>
      <c r="E507" s="216">
        <f>+'[1]19'!$O$27</f>
        <v>0</v>
      </c>
    </row>
    <row r="508" spans="2:12" ht="15.75" customHeight="1" x14ac:dyDescent="0.25">
      <c r="B508" s="217" t="s">
        <v>211</v>
      </c>
      <c r="C508" s="218">
        <f>SUM(C496:C507)</f>
        <v>11795171.060000001</v>
      </c>
      <c r="D508" s="218">
        <f>SUM(D496:D507)</f>
        <v>0</v>
      </c>
      <c r="E508" s="218">
        <f>SUM(E496:E507)</f>
        <v>20661129</v>
      </c>
    </row>
    <row r="509" spans="2:12" ht="15.75" customHeight="1" x14ac:dyDescent="0.25">
      <c r="B509" s="16"/>
      <c r="C509" s="16"/>
      <c r="D509" s="16"/>
      <c r="E509" s="16"/>
    </row>
    <row r="510" spans="2:12" ht="23.25" customHeight="1" x14ac:dyDescent="0.25">
      <c r="B510" s="57" t="s">
        <v>276</v>
      </c>
      <c r="J510" s="2">
        <v>192000000</v>
      </c>
      <c r="K510" s="219">
        <f>J510/12</f>
        <v>16000000</v>
      </c>
    </row>
    <row r="511" spans="2:12" x14ac:dyDescent="0.25">
      <c r="B511" s="57" t="s">
        <v>277</v>
      </c>
      <c r="J511" s="2">
        <v>21106726</v>
      </c>
      <c r="K511" s="219">
        <f>J511/12</f>
        <v>1758893.8333333333</v>
      </c>
    </row>
    <row r="512" spans="2:12" ht="36.75" customHeight="1" x14ac:dyDescent="0.25">
      <c r="B512" s="260" t="str">
        <f>("Un detalle de los "&amp;B511&amp;" al "&amp;[1]BALANZA!$B$3&amp;" "&amp;[1]BALANZA!$C$3&amp;" es como se detalla a continuación:")</f>
        <v>Un detalle de los Sueldos, Salarios y beneficios a empleados al 30 de junio del 2023 - 2022 es como se detalla a continuación:</v>
      </c>
      <c r="C512" s="266"/>
      <c r="D512" s="266"/>
      <c r="E512" s="266"/>
      <c r="J512" s="2">
        <v>70000000</v>
      </c>
      <c r="K512" s="219">
        <f>J512/12</f>
        <v>5833333.333333333</v>
      </c>
      <c r="L512" s="2">
        <f>4666666*3</f>
        <v>13999998</v>
      </c>
    </row>
    <row r="513" spans="2:26" ht="16.5" customHeight="1" x14ac:dyDescent="0.25">
      <c r="B513" s="279"/>
      <c r="C513" s="261"/>
      <c r="D513" s="261"/>
      <c r="E513" s="261"/>
      <c r="J513" s="2">
        <v>37279088</v>
      </c>
      <c r="K513" s="219"/>
      <c r="L513" s="2">
        <f>1598764*5</f>
        <v>7993820</v>
      </c>
    </row>
    <row r="514" spans="2:26" x14ac:dyDescent="0.25">
      <c r="B514" s="161" t="str">
        <f>+B463</f>
        <v>Cuenta</v>
      </c>
      <c r="C514" s="162">
        <f>+[1]BALANZA!B4</f>
        <v>2023</v>
      </c>
      <c r="D514" s="162">
        <f>+[1]BALANZA!C4</f>
        <v>2022</v>
      </c>
      <c r="E514" s="177" t="s">
        <v>217</v>
      </c>
      <c r="K514" s="219">
        <f>J511+J512+J513</f>
        <v>128385814</v>
      </c>
      <c r="L514" s="2">
        <f>10296372.36+13618335.6</f>
        <v>23914707.960000001</v>
      </c>
    </row>
    <row r="515" spans="2:26" x14ac:dyDescent="0.25">
      <c r="B515" s="220" t="s">
        <v>278</v>
      </c>
      <c r="C515" s="98">
        <f>+'[1]BALANZA G'!C150</f>
        <v>74637564</v>
      </c>
      <c r="D515" s="221">
        <f>+'[1]BALANZA G'!E150</f>
        <v>74604047.290000007</v>
      </c>
      <c r="E515" s="40">
        <f t="shared" ref="E515:E520" si="3">+C515-D515</f>
        <v>33516.709999993443</v>
      </c>
      <c r="J515" s="2">
        <f>+J513+J510+J512+J511</f>
        <v>320385814</v>
      </c>
      <c r="U515" s="189"/>
    </row>
    <row r="516" spans="2:26" x14ac:dyDescent="0.25">
      <c r="B516" s="220" t="s">
        <v>279</v>
      </c>
      <c r="C516" s="98">
        <f>+'[1]BALANZA G'!C152+'[1]BALANZA G'!C153+'[1]BALANZA G'!C154+'[1]BALANZA G'!C155+'[1]BALANZA G'!C151</f>
        <v>0</v>
      </c>
      <c r="D516" s="221">
        <f>+'[1]BALANZA G'!E152+'[1]BALANZA G'!E153+'[1]BALANZA G'!E154+'[1]BALANZA G'!E155+'[1]BALANZA G'!E151</f>
        <v>257399.35</v>
      </c>
      <c r="E516" s="40">
        <f t="shared" si="3"/>
        <v>-257399.35</v>
      </c>
      <c r="L516" s="219">
        <f>L514+L513+L512</f>
        <v>45908525.960000001</v>
      </c>
      <c r="U516" s="189"/>
    </row>
    <row r="517" spans="2:26" ht="45" x14ac:dyDescent="0.25">
      <c r="B517" s="220" t="s">
        <v>280</v>
      </c>
      <c r="C517" s="98">
        <f>+'[1]BALANZA G'!C158+'[1]BALANZA G'!C159+'[1]BALANZA G'!C156+'[1]BALANZA G'!C160+'[1]BALANZA G'!C162+'[1]BALANZA G'!C157</f>
        <v>3889338.1999999997</v>
      </c>
      <c r="D517" s="221">
        <f>+'[1]BALANZA G'!E156+'[1]BALANZA G'!E158+'[1]BALANZA G'!E159+'[1]BALANZA G'!E160+'[1]BALANZA G'!E162+'[1]BALANZA G'!E157</f>
        <v>3891178.24</v>
      </c>
      <c r="E517" s="40">
        <f t="shared" si="3"/>
        <v>-1840.0400000005029</v>
      </c>
      <c r="U517" s="189"/>
    </row>
    <row r="518" spans="2:26" hidden="1" x14ac:dyDescent="0.25">
      <c r="B518" s="220" t="s">
        <v>281</v>
      </c>
      <c r="C518" s="98">
        <f>+'[1]BALANZA G'!C164</f>
        <v>0</v>
      </c>
      <c r="D518" s="221">
        <f>+'[1]BALANZA G'!E164</f>
        <v>0</v>
      </c>
      <c r="E518" s="40">
        <f t="shared" si="3"/>
        <v>0</v>
      </c>
      <c r="U518" s="189"/>
    </row>
    <row r="519" spans="2:26" x14ac:dyDescent="0.25">
      <c r="B519" s="220" t="s">
        <v>282</v>
      </c>
      <c r="C519" s="98">
        <f>+'[1]BALANZA G'!C165+'[1]BALANZA G'!C166+'[1]BALANZA G'!C167+'[1]BALANZA G'!C169</f>
        <v>1290000</v>
      </c>
      <c r="D519" s="221">
        <f>+'[1]BALANZA G'!E165+'[1]BALANZA G'!E166+'[1]BALANZA G'!E167+'[1]BALANZA G'!E169</f>
        <v>767261.91</v>
      </c>
      <c r="E519" s="40">
        <f t="shared" si="3"/>
        <v>522738.08999999997</v>
      </c>
      <c r="U519" s="189"/>
    </row>
    <row r="520" spans="2:26" x14ac:dyDescent="0.25">
      <c r="B520" s="220" t="s">
        <v>283</v>
      </c>
      <c r="C520" s="98">
        <f>+'[1]BALANZA G'!C170+'[1]BALANZA G'!C172+'[1]BALANZA G'!C169+'[1]BALANZA G'!C171+'[1]BALANZA G'!C168+'[1]BALANZA G'!C161</f>
        <v>0</v>
      </c>
      <c r="D520" s="221">
        <f>+'[1]BALANZA G'!E169+'[1]BALANZA G'!E170+'[1]BALANZA G'!E171+'[1]BALANZA G'!E172+'[1]BALANZA G'!E168+'[1]BALANZA G'!E161</f>
        <v>0</v>
      </c>
      <c r="E520" s="40">
        <f t="shared" si="3"/>
        <v>0</v>
      </c>
      <c r="U520" s="189"/>
    </row>
    <row r="521" spans="2:26" x14ac:dyDescent="0.25">
      <c r="B521" s="220" t="s">
        <v>284</v>
      </c>
      <c r="C521" s="98">
        <f>+'[1]BALANZA G'!C283</f>
        <v>2056762.66</v>
      </c>
      <c r="D521" s="221">
        <f>+'[1]BALANZA G'!E283</f>
        <v>0</v>
      </c>
      <c r="E521" s="40">
        <f>+C521-D521</f>
        <v>2056762.66</v>
      </c>
      <c r="U521" s="189"/>
    </row>
    <row r="522" spans="2:26" x14ac:dyDescent="0.25">
      <c r="B522" s="220" t="s">
        <v>285</v>
      </c>
      <c r="C522" s="98">
        <f>+'[1]BALANZA G'!C175</f>
        <v>5289226.54</v>
      </c>
      <c r="D522" s="221">
        <f>+'[1]BALANZA G'!E175</f>
        <v>5281502.99</v>
      </c>
      <c r="E522" s="40">
        <f>+C522-D522</f>
        <v>7723.5499999998137</v>
      </c>
      <c r="U522" s="189"/>
    </row>
    <row r="523" spans="2:26" x14ac:dyDescent="0.25">
      <c r="B523" s="220" t="s">
        <v>286</v>
      </c>
      <c r="C523" s="98">
        <f>+'[1]BALANZA G'!C176</f>
        <v>5307903.51</v>
      </c>
      <c r="D523" s="221">
        <f>+'[1]BALANZA G'!E176</f>
        <v>5304873.5199999996</v>
      </c>
      <c r="E523" s="40">
        <f>+C523-D523</f>
        <v>3029.9900000002235</v>
      </c>
      <c r="U523" s="189"/>
    </row>
    <row r="524" spans="2:26" x14ac:dyDescent="0.25">
      <c r="B524" s="220" t="s">
        <v>287</v>
      </c>
      <c r="C524" s="98">
        <f>+'[1]BALANZA G'!C177</f>
        <v>886712.76</v>
      </c>
      <c r="D524" s="221">
        <f>+'[1]BALANZA G'!E177</f>
        <v>886289.29</v>
      </c>
      <c r="E524" s="40">
        <f>+C524-D524</f>
        <v>423.46999999997206</v>
      </c>
      <c r="U524" s="189"/>
    </row>
    <row r="525" spans="2:26" ht="28.5" x14ac:dyDescent="0.25">
      <c r="B525" s="222" t="s">
        <v>288</v>
      </c>
      <c r="C525" s="104">
        <f>SUM(C515:C524)</f>
        <v>93357507.670000017</v>
      </c>
      <c r="D525" s="178">
        <f>SUM(D515:D524)</f>
        <v>90992552.589999989</v>
      </c>
      <c r="E525" s="223">
        <f>SUM(E515:E524)</f>
        <v>2364955.0799999926</v>
      </c>
    </row>
    <row r="526" spans="2:26" x14ac:dyDescent="0.25">
      <c r="B526" s="9"/>
      <c r="C526" s="224">
        <f>+C525-[1]ERF!B17</f>
        <v>0</v>
      </c>
      <c r="J526" s="46"/>
    </row>
    <row r="527" spans="2:26" s="42" customFormat="1" x14ac:dyDescent="0.25">
      <c r="B527" s="270" t="s">
        <v>103</v>
      </c>
      <c r="C527" s="271"/>
      <c r="D527" s="225" t="str">
        <f>IF(E527&gt;=0,"Aumento","Disminución")</f>
        <v>Aumento</v>
      </c>
      <c r="E527" s="226">
        <f>+C525/D525</f>
        <v>1.0259906444284093</v>
      </c>
      <c r="J527" s="2"/>
      <c r="N527" s="46"/>
      <c r="R527" s="47"/>
      <c r="S527" s="47"/>
      <c r="T527" s="47"/>
      <c r="U527" s="47"/>
      <c r="V527" s="47"/>
      <c r="W527" s="47"/>
      <c r="X527" s="47"/>
      <c r="Y527" s="47"/>
      <c r="Z527" s="46"/>
    </row>
    <row r="528" spans="2:26" x14ac:dyDescent="0.25">
      <c r="B528" s="9"/>
    </row>
    <row r="529" spans="2:5" x14ac:dyDescent="0.25">
      <c r="B529" s="9"/>
    </row>
    <row r="530" spans="2:5" x14ac:dyDescent="0.25">
      <c r="B530" s="9"/>
    </row>
    <row r="531" spans="2:5" x14ac:dyDescent="0.25">
      <c r="B531" s="9"/>
    </row>
    <row r="532" spans="2:5" x14ac:dyDescent="0.25">
      <c r="B532" s="9"/>
    </row>
    <row r="533" spans="2:5" x14ac:dyDescent="0.25">
      <c r="B533" s="9"/>
    </row>
    <row r="534" spans="2:5" x14ac:dyDescent="0.25">
      <c r="B534" s="9"/>
    </row>
    <row r="535" spans="2:5" x14ac:dyDescent="0.25">
      <c r="B535" s="9"/>
    </row>
    <row r="536" spans="2:5" x14ac:dyDescent="0.25">
      <c r="B536" s="9"/>
    </row>
    <row r="537" spans="2:5" x14ac:dyDescent="0.25">
      <c r="B537" s="9"/>
    </row>
    <row r="538" spans="2:5" x14ac:dyDescent="0.25">
      <c r="B538" s="9"/>
    </row>
    <row r="539" spans="2:5" ht="9.75" customHeight="1" x14ac:dyDescent="0.25">
      <c r="B539" s="9"/>
    </row>
    <row r="540" spans="2:5" x14ac:dyDescent="0.25">
      <c r="B540" s="57" t="s">
        <v>289</v>
      </c>
    </row>
    <row r="541" spans="2:5" x14ac:dyDescent="0.25">
      <c r="B541" s="57" t="s">
        <v>290</v>
      </c>
    </row>
    <row r="542" spans="2:5" ht="38.25" customHeight="1" x14ac:dyDescent="0.25">
      <c r="B542" s="260" t="str">
        <f>("Un detalle de  "&amp;B541&amp;" al "&amp;[1]BALANZA!$B$3&amp;" "&amp;[1]BALANZA!$C$3&amp;" es como se detalla a continuación:")</f>
        <v>Un detalle de  Subvenciones y otros pagos por transferencias al 30 de junio del 2023 - 2022 es como se detalla a continuación:</v>
      </c>
      <c r="C542" s="266"/>
      <c r="D542" s="266"/>
      <c r="E542" s="266"/>
    </row>
    <row r="543" spans="2:5" ht="9" customHeight="1" x14ac:dyDescent="0.25">
      <c r="B543" s="10"/>
    </row>
    <row r="544" spans="2:5" x14ac:dyDescent="0.25">
      <c r="B544" s="161" t="s">
        <v>291</v>
      </c>
      <c r="C544" s="162">
        <f>+C557</f>
        <v>2023</v>
      </c>
      <c r="D544" s="162">
        <f>+D557</f>
        <v>2022</v>
      </c>
      <c r="E544" s="186" t="s">
        <v>217</v>
      </c>
    </row>
    <row r="545" spans="2:27" ht="16.5" customHeight="1" x14ac:dyDescent="0.25">
      <c r="B545" s="227" t="s">
        <v>292</v>
      </c>
      <c r="C545" s="98">
        <f>+'[1]BALANZA G'!C284</f>
        <v>199000</v>
      </c>
      <c r="D545" s="221">
        <f>+'[1]BALANZA G'!E284+'[1]BALANZA G'!E285</f>
        <v>613908.4</v>
      </c>
      <c r="E545" s="40">
        <f>+C545-D545</f>
        <v>-414908.4</v>
      </c>
    </row>
    <row r="546" spans="2:27" ht="23.25" hidden="1" customHeight="1" x14ac:dyDescent="0.25">
      <c r="B546" s="228"/>
      <c r="C546" s="229"/>
      <c r="D546" s="230"/>
      <c r="E546" s="231"/>
      <c r="I546" s="156"/>
      <c r="J546" s="157"/>
      <c r="K546" s="156"/>
    </row>
    <row r="547" spans="2:27" ht="28.5" x14ac:dyDescent="0.25">
      <c r="B547" s="222" t="s">
        <v>293</v>
      </c>
      <c r="C547" s="104">
        <f>SUM(C545+C546)</f>
        <v>199000</v>
      </c>
      <c r="D547" s="178">
        <f>SUM(D545)</f>
        <v>613908.4</v>
      </c>
      <c r="E547" s="232">
        <f>+C547-D547</f>
        <v>-414908.4</v>
      </c>
    </row>
    <row r="548" spans="2:27" x14ac:dyDescent="0.25">
      <c r="B548" s="90"/>
      <c r="C548" s="233">
        <f>+C547-[1]ERF!B18</f>
        <v>0</v>
      </c>
      <c r="J548" s="46"/>
    </row>
    <row r="549" spans="2:27" s="42" customFormat="1" x14ac:dyDescent="0.25">
      <c r="B549" s="270" t="s">
        <v>103</v>
      </c>
      <c r="C549" s="271"/>
      <c r="D549" s="52" t="str">
        <f>IF(E549&gt;=0,"Aumento","Disminución")</f>
        <v>Disminución</v>
      </c>
      <c r="E549" s="81">
        <f>+E547/D547</f>
        <v>-0.67584740655120534</v>
      </c>
      <c r="J549" s="46"/>
      <c r="N549" s="46"/>
      <c r="R549" s="47"/>
      <c r="S549" s="47"/>
      <c r="T549" s="47"/>
      <c r="U549" s="47"/>
      <c r="V549" s="47"/>
      <c r="W549" s="47"/>
      <c r="X549" s="47"/>
      <c r="Y549" s="47"/>
      <c r="Z549" s="46"/>
    </row>
    <row r="550" spans="2:27" s="42" customFormat="1" x14ac:dyDescent="0.25">
      <c r="B550" s="54"/>
      <c r="C550" s="54"/>
      <c r="D550" s="55"/>
      <c r="E550" s="56"/>
      <c r="J550" s="46"/>
      <c r="N550" s="46"/>
      <c r="R550" s="47"/>
      <c r="S550" s="47"/>
      <c r="T550" s="47"/>
      <c r="U550" s="47"/>
      <c r="V550" s="47"/>
      <c r="W550" s="47"/>
      <c r="X550" s="47"/>
      <c r="Y550" s="47"/>
      <c r="Z550" s="46"/>
    </row>
    <row r="551" spans="2:27" s="42" customFormat="1" ht="17.25" customHeight="1" x14ac:dyDescent="0.25">
      <c r="B551" s="54" t="s">
        <v>294</v>
      </c>
      <c r="C551" s="54"/>
      <c r="D551" s="55"/>
      <c r="E551" s="56"/>
      <c r="J551" s="46"/>
      <c r="N551" s="46"/>
      <c r="R551" s="47"/>
      <c r="S551" s="47"/>
      <c r="T551" s="47"/>
      <c r="U551" s="47"/>
      <c r="V551" s="47"/>
      <c r="W551" s="47"/>
      <c r="X551" s="47"/>
      <c r="Y551" s="47"/>
      <c r="Z551" s="46"/>
    </row>
    <row r="552" spans="2:27" s="42" customFormat="1" ht="36.75" customHeight="1" x14ac:dyDescent="0.25">
      <c r="B552" s="54"/>
      <c r="C552" s="54"/>
      <c r="D552" s="55"/>
      <c r="E552" s="56"/>
      <c r="J552" s="2"/>
      <c r="N552" s="46"/>
      <c r="R552" s="47"/>
      <c r="S552" s="47"/>
      <c r="T552" s="47"/>
      <c r="U552" s="47"/>
      <c r="V552" s="47"/>
      <c r="W552" s="47"/>
      <c r="X552" s="47"/>
      <c r="Y552" s="47"/>
      <c r="Z552" s="46"/>
    </row>
    <row r="553" spans="2:27" x14ac:dyDescent="0.25">
      <c r="B553" s="57" t="s">
        <v>295</v>
      </c>
    </row>
    <row r="554" spans="2:27" x14ac:dyDescent="0.25">
      <c r="B554" s="57" t="s">
        <v>296</v>
      </c>
    </row>
    <row r="555" spans="2:27" ht="36.75" customHeight="1" x14ac:dyDescent="0.25">
      <c r="B555" s="260" t="str">
        <f>("Un detalle del "&amp;B554&amp;" al "&amp;[1]BALANZA!$B$3&amp;" "&amp;[1]BALANZA!$C$3&amp;" es como se detalla a continuación:")</f>
        <v>Un detalle del Suministro y materiales para consumo al 30 de junio del 2023 - 2022 es como se detalla a continuación:</v>
      </c>
      <c r="C555" s="266"/>
      <c r="D555" s="266"/>
      <c r="E555" s="266"/>
    </row>
    <row r="556" spans="2:27" ht="8.25" customHeight="1" x14ac:dyDescent="0.25">
      <c r="B556" s="10"/>
    </row>
    <row r="557" spans="2:27" x14ac:dyDescent="0.25">
      <c r="B557" s="161" t="s">
        <v>291</v>
      </c>
      <c r="C557" s="162">
        <f>+[1]BALANZA!B4</f>
        <v>2023</v>
      </c>
      <c r="D557" s="162">
        <f>+[1]BALANZA!C4</f>
        <v>2022</v>
      </c>
      <c r="E557" s="186" t="s">
        <v>217</v>
      </c>
    </row>
    <row r="558" spans="2:27" x14ac:dyDescent="0.25">
      <c r="B558" s="143" t="s">
        <v>297</v>
      </c>
      <c r="C558" s="234">
        <f>+'[1]BALANZA G'!C239+'[1]BALANZA G'!C241+'[1]BALANZA G'!C240+'[1]BALANZA G'!C274</f>
        <v>832083.2</v>
      </c>
      <c r="D558" s="33">
        <f>+'[1]BALANZA G'!E239+'[1]BALANZA G'!E241</f>
        <v>433863.95999999996</v>
      </c>
      <c r="E558" s="40">
        <f t="shared" ref="E558:E564" si="4">+C558-D558</f>
        <v>398219.24</v>
      </c>
      <c r="T558" s="87"/>
      <c r="AA558" s="219"/>
    </row>
    <row r="559" spans="2:27" x14ac:dyDescent="0.25">
      <c r="B559" s="143" t="s">
        <v>298</v>
      </c>
      <c r="C559" s="234">
        <f>+'[1]BALANZA G'!C242+'[1]BALANZA G'!C243</f>
        <v>9856.9500000000007</v>
      </c>
      <c r="D559" s="33">
        <f>+'[1]BALANZA G'!E242+'[1]BALANZA G'!E243</f>
        <v>1300</v>
      </c>
      <c r="E559" s="40">
        <f t="shared" si="4"/>
        <v>8556.9500000000007</v>
      </c>
      <c r="T559" s="87"/>
      <c r="AA559" s="219"/>
    </row>
    <row r="560" spans="2:27" x14ac:dyDescent="0.25">
      <c r="B560" s="143" t="s">
        <v>299</v>
      </c>
      <c r="C560" s="234">
        <f>+'[1]BALANZA G'!C244+'[1]BALANZA G'!C245+'[1]BALANZA G'!C246</f>
        <v>826492</v>
      </c>
      <c r="D560" s="33">
        <f>+'[1]BALANZA G'!E244+'[1]BALANZA G'!E245+'[1]BALANZA G'!E246</f>
        <v>306170</v>
      </c>
      <c r="E560" s="40">
        <f t="shared" si="4"/>
        <v>520322</v>
      </c>
      <c r="T560" s="87"/>
      <c r="AA560" s="219"/>
    </row>
    <row r="561" spans="2:31" x14ac:dyDescent="0.25">
      <c r="B561" s="143" t="s">
        <v>300</v>
      </c>
      <c r="C561" s="234">
        <f>+'[1]BALANZA G'!C248+'[1]BALANZA G'!C250+'[1]BALANZA G'!C254+'[1]BALANZA G'!C249</f>
        <v>4862781</v>
      </c>
      <c r="D561" s="33">
        <f>+'[1]BALANZA G'!E248+'[1]BALANZA G'!E250+'[1]BALANZA G'!E254+'[1]BALANZA G'!E249</f>
        <v>3920091</v>
      </c>
      <c r="E561" s="40">
        <f t="shared" si="4"/>
        <v>942690</v>
      </c>
      <c r="T561" s="87"/>
      <c r="AA561" s="219"/>
    </row>
    <row r="562" spans="2:31" x14ac:dyDescent="0.25">
      <c r="B562" s="143" t="s">
        <v>301</v>
      </c>
      <c r="C562" s="234">
        <f>+'[1]BALANZA G'!C251+'[1]BALANZA G'!C255+'[1]BALANZA G'!C253+'[1]BALANZA G'!C252+'[1]BALANZA G'!C257</f>
        <v>5803681.6099999994</v>
      </c>
      <c r="D562" s="33">
        <f>+'[1]BALANZA G'!E251+'[1]BALANZA G'!E255+'[1]BALANZA G'!E253+'[1]BALANZA G'!E252</f>
        <v>4347956.2699999996</v>
      </c>
      <c r="E562" s="40">
        <f t="shared" si="4"/>
        <v>1455725.3399999999</v>
      </c>
      <c r="T562" s="87"/>
      <c r="AA562" s="219"/>
    </row>
    <row r="563" spans="2:31" x14ac:dyDescent="0.25">
      <c r="B563" s="143" t="s">
        <v>302</v>
      </c>
      <c r="C563" s="234">
        <f>+'[1]BALANZA G'!C258+'[1]BALANZA G'!C259+'[1]BALANZA G'!C260+'[1]BALANZA G'!C261+'[1]BALANZA G'!C262+'[1]BALANZA G'!C263+'[1]BALANZA G'!C279+'[1]BALANZA G'!C269+'[1]BALANZA G'!C270+'[1]BALANZA G'!C267+'[1]BALANZA G'!C268+'[1]BALANZA G'!C264+'[1]BALANZA G'!C265+'[1]BALANZA G'!C266+'[1]BALANZA G'!C271+'[1]BALANZA G'!C272+'[1]BALANZA G'!C273+'[1]BALANZA G'!C275+'[1]BALANZA G'!C277+'[1]BALANZA G'!C276</f>
        <v>15682360.639999997</v>
      </c>
      <c r="D563" s="33">
        <f>+'[1]BALANZA G'!E258+'[1]BALANZA G'!E259+'[1]BALANZA G'!E260+'[1]BALANZA G'!E261+'[1]BALANZA G'!E262+'[1]BALANZA G'!E263+'[1]BALANZA G'!E279+'[1]BALANZA G'!E269+'[1]BALANZA G'!E270+'[1]BALANZA G'!E267+'[1]BALANZA G'!E268+'[1]BALANZA G'!E264+'[1]BALANZA G'!E265+'[1]BALANZA G'!E266+'[1]BALANZA G'!E257+'[1]BALANZA G'!E276</f>
        <v>553621.08000000007</v>
      </c>
      <c r="E563" s="40">
        <f t="shared" si="4"/>
        <v>15128739.559999997</v>
      </c>
      <c r="T563" s="87"/>
      <c r="AA563" s="219"/>
    </row>
    <row r="564" spans="2:31" hidden="1" x14ac:dyDescent="0.25">
      <c r="B564" s="143" t="s">
        <v>303</v>
      </c>
      <c r="C564" s="234">
        <f>+'[1]BALANZA G'!C280</f>
        <v>0</v>
      </c>
      <c r="D564" s="33">
        <f>+'[1]BALANZA G'!E280</f>
        <v>0</v>
      </c>
      <c r="E564" s="40">
        <f t="shared" si="4"/>
        <v>0</v>
      </c>
    </row>
    <row r="565" spans="2:31" x14ac:dyDescent="0.25">
      <c r="B565" s="222" t="s">
        <v>304</v>
      </c>
      <c r="C565" s="44">
        <f>SUM(C558:C564)</f>
        <v>28017255.399999999</v>
      </c>
      <c r="D565" s="76">
        <f>SUM(D558:D564)</f>
        <v>9563002.3100000005</v>
      </c>
      <c r="E565" s="44">
        <f>SUM(E558:E564)</f>
        <v>18454253.089999996</v>
      </c>
    </row>
    <row r="566" spans="2:31" x14ac:dyDescent="0.25">
      <c r="B566" s="235"/>
      <c r="C566" s="185">
        <f>+C565-[1]ERF!B19</f>
        <v>0</v>
      </c>
      <c r="D566" s="236"/>
      <c r="E566" s="237"/>
      <c r="J566" s="46"/>
    </row>
    <row r="567" spans="2:31" s="42" customFormat="1" x14ac:dyDescent="0.25">
      <c r="B567" s="270" t="s">
        <v>103</v>
      </c>
      <c r="C567" s="271"/>
      <c r="D567" s="52" t="str">
        <f>IF(E567&gt;=0,"Aumento","Disminución")</f>
        <v>Aumento</v>
      </c>
      <c r="E567" s="81">
        <f>+E565/D565</f>
        <v>1.9297551638884833</v>
      </c>
      <c r="J567" s="2"/>
      <c r="N567" s="46"/>
      <c r="R567" s="47"/>
      <c r="S567" s="47"/>
      <c r="T567" s="47"/>
      <c r="U567" s="47"/>
      <c r="V567" s="47"/>
      <c r="W567" s="47"/>
      <c r="X567" s="47"/>
      <c r="Y567" s="47"/>
      <c r="Z567" s="46"/>
    </row>
    <row r="568" spans="2:31" x14ac:dyDescent="0.25">
      <c r="B568" s="54"/>
      <c r="C568" s="54"/>
      <c r="D568" s="238"/>
      <c r="E568" s="56"/>
    </row>
    <row r="569" spans="2:31" ht="44.25" customHeight="1" x14ac:dyDescent="0.25">
      <c r="B569" s="54"/>
      <c r="C569" s="54"/>
      <c r="D569" s="238"/>
      <c r="E569" s="56"/>
    </row>
    <row r="570" spans="2:31" x14ac:dyDescent="0.25">
      <c r="B570" s="57" t="s">
        <v>305</v>
      </c>
    </row>
    <row r="571" spans="2:31" x14ac:dyDescent="0.25">
      <c r="B571" s="57" t="s">
        <v>306</v>
      </c>
    </row>
    <row r="572" spans="2:31" x14ac:dyDescent="0.25">
      <c r="B572" s="260" t="str">
        <f>("Un detalle del "&amp;B571&amp;" al "&amp;[1]BALANZA!$B$3&amp;" "&amp;[1]BALANZA!$C$3&amp;" es como se detalla a continuación:")</f>
        <v>Un detalle del Gasto de Depreciación y Amortización al 30 de junio del 2023 - 2022 es como se detalla a continuación:</v>
      </c>
      <c r="C572" s="266"/>
      <c r="D572" s="266"/>
      <c r="E572" s="266"/>
    </row>
    <row r="573" spans="2:31" x14ac:dyDescent="0.25">
      <c r="B573" s="10"/>
    </row>
    <row r="574" spans="2:31" x14ac:dyDescent="0.25">
      <c r="B574" s="161" t="s">
        <v>291</v>
      </c>
      <c r="C574" s="162" t="str">
        <f>+[1]BALANZA!B21</f>
        <v>CUENTA  9604127870</v>
      </c>
      <c r="D574" s="162">
        <f>+[1]BALANZA!C21</f>
        <v>717865.13</v>
      </c>
      <c r="E574" s="186" t="s">
        <v>217</v>
      </c>
    </row>
    <row r="575" spans="2:31" x14ac:dyDescent="0.25">
      <c r="B575" s="143" t="s">
        <v>307</v>
      </c>
      <c r="C575" s="234">
        <f>+[1]nota13!K29</f>
        <v>23515520.119999997</v>
      </c>
      <c r="D575" s="33">
        <f>+[1]nota13!K14</f>
        <v>23704719.890000019</v>
      </c>
      <c r="E575" s="40">
        <f>+C575-D575</f>
        <v>-189199.7700000219</v>
      </c>
      <c r="AC575" s="2"/>
      <c r="AD575" s="2"/>
      <c r="AE575" s="2"/>
    </row>
    <row r="576" spans="2:31" x14ac:dyDescent="0.25">
      <c r="B576" s="143" t="s">
        <v>308</v>
      </c>
      <c r="C576" s="234">
        <v>121854</v>
      </c>
      <c r="D576" s="234">
        <f>+D362</f>
        <v>0</v>
      </c>
      <c r="E576" s="40">
        <f>+C576-D576</f>
        <v>121854</v>
      </c>
      <c r="AC576" s="2"/>
      <c r="AD576" s="2"/>
      <c r="AE576" s="2"/>
    </row>
    <row r="577" spans="2:31" x14ac:dyDescent="0.25">
      <c r="B577" s="143"/>
      <c r="C577" s="234"/>
      <c r="D577" s="33"/>
      <c r="E577" s="40"/>
      <c r="AC577" s="2"/>
      <c r="AD577" s="2"/>
      <c r="AE577" s="2"/>
    </row>
    <row r="578" spans="2:31" x14ac:dyDescent="0.25">
      <c r="B578" s="222" t="s">
        <v>304</v>
      </c>
      <c r="C578" s="44">
        <f>SUM(C575:C577)</f>
        <v>23637374.119999997</v>
      </c>
      <c r="D578" s="76">
        <f>SUM(D575:D577)</f>
        <v>23704719.890000019</v>
      </c>
      <c r="E578" s="44">
        <f>SUM(E575:E577)</f>
        <v>-67345.770000021905</v>
      </c>
      <c r="AC578" s="2"/>
      <c r="AD578" s="2"/>
      <c r="AE578" s="2"/>
    </row>
    <row r="579" spans="2:31" x14ac:dyDescent="0.25">
      <c r="B579" s="235"/>
      <c r="C579" s="180">
        <f>+C578-[1]ERF!B20</f>
        <v>0</v>
      </c>
      <c r="D579" s="236"/>
      <c r="E579" s="237"/>
    </row>
    <row r="580" spans="2:31" x14ac:dyDescent="0.25">
      <c r="B580" s="270" t="s">
        <v>103</v>
      </c>
      <c r="C580" s="271"/>
      <c r="D580" s="52" t="str">
        <f>IF(E580&gt;=0,"Aumento","Disminución")</f>
        <v>Disminución</v>
      </c>
      <c r="E580" s="81">
        <f>+E578/D578</f>
        <v>-2.8410278759898838E-3</v>
      </c>
    </row>
    <row r="581" spans="2:31" x14ac:dyDescent="0.25">
      <c r="B581" s="54"/>
      <c r="C581" s="54"/>
      <c r="D581" s="238"/>
      <c r="E581" s="56"/>
    </row>
    <row r="582" spans="2:31" ht="9.75" customHeight="1" x14ac:dyDescent="0.25">
      <c r="B582" s="54"/>
      <c r="C582" s="54"/>
      <c r="D582" s="238"/>
      <c r="E582" s="56"/>
    </row>
    <row r="583" spans="2:31" ht="9.75" customHeight="1" x14ac:dyDescent="0.25">
      <c r="B583" s="54"/>
      <c r="C583" s="54"/>
      <c r="D583" s="238"/>
      <c r="E583" s="56"/>
    </row>
    <row r="584" spans="2:31" ht="9.75" customHeight="1" x14ac:dyDescent="0.25">
      <c r="B584" s="54"/>
      <c r="C584" s="54"/>
      <c r="D584" s="238"/>
      <c r="E584" s="56"/>
    </row>
    <row r="585" spans="2:31" ht="9.75" customHeight="1" x14ac:dyDescent="0.25">
      <c r="B585" s="54"/>
      <c r="C585" s="54"/>
      <c r="D585" s="238"/>
      <c r="E585" s="56"/>
    </row>
    <row r="586" spans="2:31" ht="9.75" customHeight="1" x14ac:dyDescent="0.25">
      <c r="B586" s="54"/>
      <c r="C586" s="54"/>
      <c r="D586" s="238"/>
      <c r="E586" s="56"/>
    </row>
    <row r="587" spans="2:31" ht="60" customHeight="1" x14ac:dyDescent="0.25">
      <c r="B587" s="54"/>
      <c r="C587" s="54"/>
      <c r="D587" s="238"/>
      <c r="E587" s="56"/>
    </row>
    <row r="588" spans="2:31" ht="16.5" customHeight="1" x14ac:dyDescent="0.25">
      <c r="B588" s="239" t="s">
        <v>309</v>
      </c>
    </row>
    <row r="589" spans="2:31" x14ac:dyDescent="0.25">
      <c r="B589" s="239" t="s">
        <v>310</v>
      </c>
    </row>
    <row r="590" spans="2:31" ht="18.75" customHeight="1" x14ac:dyDescent="0.25">
      <c r="B590" s="260" t="str">
        <f>("Un detalle de "&amp;B589&amp;" al "&amp;[1]BALANZA!$B$3&amp;" "&amp;[1]BALANZA!$C$3&amp;" es como se detalla a continuación:")</f>
        <v>Un detalle de Otros gastos  al 30 de junio del 2023 - 2022 es como se detalla a continuación:</v>
      </c>
      <c r="C590" s="266"/>
      <c r="D590" s="266"/>
      <c r="E590" s="266"/>
    </row>
    <row r="591" spans="2:31" ht="8.25" customHeight="1" x14ac:dyDescent="0.25">
      <c r="B591" s="10"/>
      <c r="G591" s="8"/>
    </row>
    <row r="592" spans="2:31" ht="18.75" customHeight="1" x14ac:dyDescent="0.25">
      <c r="B592" s="28" t="s">
        <v>311</v>
      </c>
      <c r="C592" s="29">
        <f>+[1]BALANZA!B4</f>
        <v>2023</v>
      </c>
      <c r="D592" s="29">
        <f>+[1]BALANZA!C4</f>
        <v>2022</v>
      </c>
      <c r="E592" s="186" t="s">
        <v>217</v>
      </c>
    </row>
    <row r="593" spans="2:26" x14ac:dyDescent="0.25">
      <c r="B593" s="99" t="s">
        <v>312</v>
      </c>
      <c r="C593" s="240">
        <f>+'[1]BALANZA G'!C189+'[1]BALANZA G'!C190+'[1]BALANZA G'!C191+'[1]BALANZA G'!C192</f>
        <v>1512623.1600000001</v>
      </c>
      <c r="D593" s="241">
        <f>+'[1]BALANZA G'!E189+'[1]BALANZA G'!E190+'[1]BALANZA G'!E191+'[1]BALANZA G'!E192</f>
        <v>1465507.7200000002</v>
      </c>
      <c r="E593" s="40">
        <f>+C593-D593</f>
        <v>47115.439999999944</v>
      </c>
      <c r="I593" s="83"/>
      <c r="U593" s="189"/>
    </row>
    <row r="594" spans="2:26" x14ac:dyDescent="0.25">
      <c r="B594" s="99" t="s">
        <v>313</v>
      </c>
      <c r="C594" s="240">
        <f>+'[1]BALANZA G'!C193</f>
        <v>26183712.109999999</v>
      </c>
      <c r="D594" s="241">
        <f>+'[1]BALANZA G'!E193</f>
        <v>23028117.48</v>
      </c>
      <c r="E594" s="40">
        <f>+C594-D594</f>
        <v>3155594.629999999</v>
      </c>
      <c r="I594" s="83"/>
      <c r="U594" s="189"/>
    </row>
    <row r="595" spans="2:26" x14ac:dyDescent="0.25">
      <c r="B595" s="143" t="s">
        <v>314</v>
      </c>
      <c r="C595" s="240">
        <f>+'[1]BALANZA G'!C196+'[1]BALANZA G'!C194</f>
        <v>430770.98000000004</v>
      </c>
      <c r="D595" s="241">
        <f>+'[1]BALANZA G'!E196+'[1]BALANZA G'!E194</f>
        <v>164370</v>
      </c>
      <c r="E595" s="40">
        <f t="shared" ref="E595:E601" si="5">+C595-D595</f>
        <v>266400.98000000004</v>
      </c>
      <c r="I595" s="83"/>
      <c r="U595" s="189"/>
    </row>
    <row r="596" spans="2:26" x14ac:dyDescent="0.25">
      <c r="B596" s="143" t="s">
        <v>315</v>
      </c>
      <c r="C596" s="240">
        <f>+'[1]BALANZA G'!C198+'[1]BALANZA G'!C197+'[1]BALANZA G'!C195</f>
        <v>722427.5</v>
      </c>
      <c r="D596" s="241">
        <f>+'[1]BALANZA G'!E195+'[1]BALANZA G'!E197+'[1]BALANZA G'!E198</f>
        <v>484505</v>
      </c>
      <c r="E596" s="40">
        <f t="shared" si="5"/>
        <v>237922.5</v>
      </c>
      <c r="I596" s="83"/>
      <c r="U596" s="189"/>
    </row>
    <row r="597" spans="2:26" x14ac:dyDescent="0.25">
      <c r="B597" s="143" t="s">
        <v>316</v>
      </c>
      <c r="C597" s="240">
        <f>+'[1]BALANZA G'!C200+'[1]BALANZA G'!C199</f>
        <v>0</v>
      </c>
      <c r="D597" s="241">
        <f>+'[1]BALANZA G'!E200+'[1]BALANZA G'!E199</f>
        <v>136090</v>
      </c>
      <c r="E597" s="40">
        <f t="shared" si="5"/>
        <v>-136090</v>
      </c>
      <c r="I597" s="83"/>
      <c r="U597" s="189"/>
    </row>
    <row r="598" spans="2:26" x14ac:dyDescent="0.25">
      <c r="B598" s="99" t="s">
        <v>317</v>
      </c>
      <c r="C598" s="240">
        <f>+'[1]BALANZA G'!C202+'[1]BALANZA G'!C203+'[1]BALANZA G'!C205+'[1]BALANZA G'!C206+'[1]BALANZA G'!C207+'[1]BALANZA G'!C204</f>
        <v>1044880.53</v>
      </c>
      <c r="D598" s="241">
        <f>+'[1]BALANZA G'!E202+'[1]BALANZA G'!E203+'[1]BALANZA G'!E205+'[1]BALANZA G'!E206+'[1]BALANZA G'!E207+'[1]BALANZA G'!E204</f>
        <v>1478176.67</v>
      </c>
      <c r="E598" s="40">
        <f t="shared" si="5"/>
        <v>-433296.1399999999</v>
      </c>
      <c r="I598" s="83"/>
      <c r="U598" s="189"/>
    </row>
    <row r="599" spans="2:26" x14ac:dyDescent="0.25">
      <c r="B599" s="99" t="s">
        <v>318</v>
      </c>
      <c r="C599" s="240">
        <f>+'[1]BALANZA G'!C208+'[1]BALANZA G'!C209</f>
        <v>312123.5</v>
      </c>
      <c r="D599" s="241">
        <f>+'[1]BALANZA G'!E209+'[1]BALANZA G'!E208</f>
        <v>119416.44</v>
      </c>
      <c r="E599" s="40">
        <f t="shared" si="5"/>
        <v>192707.06</v>
      </c>
      <c r="I599" s="83"/>
      <c r="U599" s="189"/>
    </row>
    <row r="600" spans="2:26" ht="30" x14ac:dyDescent="0.25">
      <c r="B600" s="143" t="s">
        <v>319</v>
      </c>
      <c r="C600" s="240">
        <f>+'[1]BALANZA G'!C211+'[1]BALANZA G'!C212+'[1]BALANZA G'!C213+'[1]BALANZA G'!C214+'[1]BALANZA G'!C215+'[1]BALANZA G'!C217+'[1]BALANZA G'!C218+'[1]BALANZA G'!C219+'[1]BALANZA G'!C220+'[1]BALANZA G'!C221+'[1]BALANZA G'!C222+'[1]BALANZA G'!C223+'[1]BALANZA G'!C224+'[1]BALANZA G'!C216</f>
        <v>-13983875.629999999</v>
      </c>
      <c r="D600" s="241">
        <f>+'[1]BALANZA G'!E211+'[1]BALANZA G'!E212+'[1]BALANZA G'!E213+'[1]BALANZA G'!E214+'[1]BALANZA G'!E215+'[1]BALANZA G'!E217+'[1]BALANZA G'!E218+'[1]BALANZA G'!E219+'[1]BALANZA G'!E220+'[1]BALANZA G'!E221+'[1]BALANZA G'!E222+'[1]BALANZA G'!E223+'[1]BALANZA G'!E224+'[1]BALANZA G'!E216</f>
        <v>526249.61</v>
      </c>
      <c r="E600" s="40">
        <f t="shared" si="5"/>
        <v>-14510125.239999998</v>
      </c>
      <c r="I600" s="83"/>
      <c r="U600" s="189"/>
    </row>
    <row r="601" spans="2:26" ht="21.75" customHeight="1" x14ac:dyDescent="0.25">
      <c r="B601" s="143" t="s">
        <v>320</v>
      </c>
      <c r="C601" s="240">
        <f>+'[1]BALANZA G'!C226+'[1]BALANZA G'!C227+'[1]BALANZA G'!C229+'[1]BALANZA G'!C230+'[1]BALANZA G'!C231+'[1]BALANZA G'!C233+'[1]BALANZA G'!C183+'[1]BALANZA G'!C184+'[1]BALANZA G'!C188+'[1]BALANZA G'!C232</f>
        <v>6550088.3300000001</v>
      </c>
      <c r="D601" s="241">
        <f>+'[1]BALANZA G'!E183+'[1]BALANZA G'!E184+'[1]BALANZA G'!E226+'[1]BALANZA G'!E229+'[1]BALANZA G'!E230+'[1]BALANZA G'!E231+'[1]BALANZA G'!E233+'[1]BALANZA G'!E227+'[1]BALANZA G'!E188+'[1]BALANZA G'!E232</f>
        <v>5412392.8300000001</v>
      </c>
      <c r="E601" s="242">
        <f t="shared" si="5"/>
        <v>1137695.5</v>
      </c>
      <c r="I601" s="83"/>
      <c r="U601" s="189"/>
    </row>
    <row r="602" spans="2:26" ht="18.75" customHeight="1" x14ac:dyDescent="0.25">
      <c r="B602" s="75" t="s">
        <v>321</v>
      </c>
      <c r="C602" s="44">
        <f>SUM(C593:C601)</f>
        <v>22772750.480000004</v>
      </c>
      <c r="D602" s="92">
        <f>SUM(D593:D601)</f>
        <v>32814825.75</v>
      </c>
      <c r="E602" s="243">
        <f>SUM(E593:E601)</f>
        <v>-10042075.27</v>
      </c>
    </row>
    <row r="603" spans="2:26" ht="12.75" customHeight="1" x14ac:dyDescent="0.25">
      <c r="B603" s="10" t="s">
        <v>168</v>
      </c>
      <c r="C603" s="224">
        <f>+C602-[1]ERF!B22</f>
        <v>0</v>
      </c>
      <c r="J603" s="46"/>
    </row>
    <row r="604" spans="2:26" s="42" customFormat="1" x14ac:dyDescent="0.25">
      <c r="B604" s="270" t="s">
        <v>103</v>
      </c>
      <c r="C604" s="271"/>
      <c r="D604" s="52" t="str">
        <f>IF(E604&gt;=0,"Aumento","Disminución")</f>
        <v>Disminución</v>
      </c>
      <c r="E604" s="81">
        <f>+E602/D602</f>
        <v>-0.30602250782940693</v>
      </c>
      <c r="J604" s="2"/>
      <c r="N604" s="46"/>
      <c r="R604" s="47"/>
      <c r="S604" s="47"/>
      <c r="T604" s="47"/>
      <c r="U604" s="47"/>
      <c r="V604" s="47"/>
      <c r="W604" s="47"/>
      <c r="X604" s="47"/>
      <c r="Y604" s="47"/>
      <c r="Z604" s="46"/>
    </row>
    <row r="605" spans="2:26" s="42" customFormat="1" x14ac:dyDescent="0.25">
      <c r="B605" s="54"/>
      <c r="C605" s="54"/>
      <c r="D605" s="55"/>
      <c r="E605" s="56"/>
      <c r="J605" s="2"/>
      <c r="N605" s="46"/>
      <c r="R605" s="47"/>
      <c r="S605" s="47"/>
      <c r="T605" s="47"/>
      <c r="U605" s="47"/>
      <c r="V605" s="47"/>
      <c r="W605" s="47"/>
      <c r="X605" s="47"/>
      <c r="Y605" s="47"/>
      <c r="Z605" s="46"/>
    </row>
    <row r="606" spans="2:26" s="42" customFormat="1" x14ac:dyDescent="0.25">
      <c r="B606" s="54"/>
      <c r="C606" s="54"/>
      <c r="D606" s="55"/>
      <c r="E606" s="56"/>
      <c r="J606" s="2"/>
      <c r="N606" s="46"/>
      <c r="R606" s="47"/>
      <c r="S606" s="47"/>
      <c r="T606" s="47"/>
      <c r="U606" s="47"/>
      <c r="V606" s="47"/>
      <c r="W606" s="47"/>
      <c r="X606" s="47"/>
      <c r="Y606" s="47"/>
      <c r="Z606" s="46"/>
    </row>
    <row r="607" spans="2:26" ht="10.5" customHeight="1" x14ac:dyDescent="0.25">
      <c r="B607" s="54"/>
      <c r="C607" s="54"/>
      <c r="D607" s="238"/>
      <c r="E607" s="56"/>
    </row>
    <row r="608" spans="2:26" x14ac:dyDescent="0.25">
      <c r="B608" s="57" t="s">
        <v>322</v>
      </c>
    </row>
    <row r="609" spans="2:26" ht="21" customHeight="1" x14ac:dyDescent="0.25">
      <c r="B609" s="57" t="s">
        <v>323</v>
      </c>
    </row>
    <row r="610" spans="2:26" ht="30" customHeight="1" x14ac:dyDescent="0.25">
      <c r="B610" s="260" t="str">
        <f>("Un detalle del "&amp;B609&amp;" al "&amp;[1]BALANZA!$B$3&amp;" "&amp;[1]BALANZA!$C$3&amp;" es como se detalla a continuación:")</f>
        <v>Un detalle del Gastos Financieros  al 30 de junio del 2023 - 2022 es como se detalla a continuación:</v>
      </c>
      <c r="C610" s="266"/>
      <c r="D610" s="266"/>
      <c r="E610" s="266"/>
    </row>
    <row r="611" spans="2:26" ht="6.75" customHeight="1" x14ac:dyDescent="0.25">
      <c r="B611" s="1"/>
    </row>
    <row r="612" spans="2:26" ht="13.5" customHeight="1" x14ac:dyDescent="0.25">
      <c r="B612" s="1"/>
    </row>
    <row r="613" spans="2:26" x14ac:dyDescent="0.25">
      <c r="B613" s="31" t="str">
        <f>+B592</f>
        <v>PARTIDA</v>
      </c>
      <c r="C613" s="244">
        <f>+C592</f>
        <v>2023</v>
      </c>
      <c r="D613" s="244">
        <f>+D592</f>
        <v>2022</v>
      </c>
      <c r="E613" s="186" t="s">
        <v>217</v>
      </c>
    </row>
    <row r="614" spans="2:26" x14ac:dyDescent="0.25">
      <c r="B614" s="143" t="s">
        <v>324</v>
      </c>
      <c r="C614" s="234">
        <f>+'[1]BALANZA G'!C228</f>
        <v>357743.84</v>
      </c>
      <c r="D614" s="33">
        <f>+'[1]BALANZA G'!E228</f>
        <v>433222.88</v>
      </c>
      <c r="E614" s="40">
        <f>+C614-D614</f>
        <v>-75479.039999999979</v>
      </c>
    </row>
    <row r="615" spans="2:26" hidden="1" x14ac:dyDescent="0.25">
      <c r="B615" s="143" t="s">
        <v>325</v>
      </c>
      <c r="C615" s="234">
        <f>+'[1]BALANZA G'!C234</f>
        <v>0</v>
      </c>
      <c r="D615" s="33">
        <f>+'[1]BALANZA G'!E234</f>
        <v>0</v>
      </c>
      <c r="E615" s="40">
        <f>+C615-D615</f>
        <v>0</v>
      </c>
    </row>
    <row r="616" spans="2:26" x14ac:dyDescent="0.25">
      <c r="B616" s="222" t="s">
        <v>326</v>
      </c>
      <c r="C616" s="44">
        <f>SUM(C614:C615)</f>
        <v>357743.84</v>
      </c>
      <c r="D616" s="76">
        <f>SUM(D614:D615)</f>
        <v>433222.88</v>
      </c>
      <c r="E616" s="44">
        <f>SUM(E614:E615)</f>
        <v>-75479.039999999979</v>
      </c>
    </row>
    <row r="617" spans="2:26" x14ac:dyDescent="0.25">
      <c r="B617" s="245"/>
      <c r="C617" s="85">
        <f>+C616-[1]ERF!B23</f>
        <v>0</v>
      </c>
      <c r="D617" s="79"/>
      <c r="E617" s="80"/>
      <c r="J617" s="46"/>
    </row>
    <row r="618" spans="2:26" s="42" customFormat="1" x14ac:dyDescent="0.25">
      <c r="B618" s="270" t="s">
        <v>103</v>
      </c>
      <c r="C618" s="271"/>
      <c r="D618" s="52" t="str">
        <f>IF(E618&gt;=0,"Aumento","Disminución")</f>
        <v>Disminución</v>
      </c>
      <c r="E618" s="81">
        <f>+E616/D616</f>
        <v>-0.17422680907342655</v>
      </c>
      <c r="J618" s="2"/>
      <c r="N618" s="46"/>
      <c r="R618" s="47"/>
      <c r="S618" s="47"/>
      <c r="T618" s="47"/>
      <c r="U618" s="47"/>
      <c r="V618" s="47"/>
      <c r="W618" s="47"/>
      <c r="X618" s="47"/>
      <c r="Y618" s="47"/>
      <c r="Z618" s="46"/>
    </row>
    <row r="619" spans="2:26" x14ac:dyDescent="0.25">
      <c r="B619" s="54"/>
      <c r="C619" s="54"/>
      <c r="D619" s="238"/>
      <c r="E619" s="56"/>
    </row>
    <row r="620" spans="2:26" x14ac:dyDescent="0.25">
      <c r="B620" s="54"/>
      <c r="C620" s="54"/>
      <c r="D620" s="238"/>
      <c r="E620" s="56"/>
    </row>
    <row r="621" spans="2:26" x14ac:dyDescent="0.25">
      <c r="B621" s="57" t="s">
        <v>327</v>
      </c>
      <c r="C621" s="54"/>
      <c r="D621" s="238"/>
      <c r="E621" s="56"/>
    </row>
    <row r="622" spans="2:26" x14ac:dyDescent="0.25">
      <c r="B622" s="57" t="s">
        <v>328</v>
      </c>
      <c r="C622" s="54"/>
      <c r="D622" s="238"/>
      <c r="E622" s="56"/>
    </row>
    <row r="623" spans="2:26" ht="15" customHeight="1" x14ac:dyDescent="0.25">
      <c r="B623" s="260" t="str">
        <f>("Un detalle de "&amp;B622&amp;" al "&amp;[1]BALANZA!$B$3&amp;" "&amp;[1]BALANZA!$C$3&amp;" es como se detalla a continuación:")</f>
        <v>Un detalle de Compromisos y contingencias al 30 de junio del 2023 - 2022 es como se detalla a continuación:</v>
      </c>
      <c r="C623" s="266"/>
      <c r="D623" s="266"/>
      <c r="E623" s="266"/>
    </row>
    <row r="624" spans="2:26" ht="41.25" customHeight="1" x14ac:dyDescent="0.25">
      <c r="B624" s="261" t="str">
        <f>("La facturación historica no cobrada a la fecha de corte, para el "&amp;C626&amp;" presenta un monto de RD$"&amp;R629&amp;" y para el "&amp;D626&amp;" presenta un monto de RD$"&amp;R630&amp;"." )</f>
        <v>La facturación historica no cobrada a la fecha de corte, para el 2023 presenta un monto de RD$506,498,288.07 y para el 2022 presenta un monto de RD$453,841,689.00.</v>
      </c>
      <c r="C624" s="261"/>
      <c r="D624" s="261"/>
      <c r="E624" s="261"/>
    </row>
    <row r="625" spans="2:26" ht="13.5" customHeight="1" x14ac:dyDescent="0.25">
      <c r="B625" s="261"/>
      <c r="C625" s="261"/>
      <c r="D625" s="261"/>
      <c r="E625" s="261"/>
    </row>
    <row r="626" spans="2:26" x14ac:dyDescent="0.25">
      <c r="B626" s="244" t="str">
        <f>+B613</f>
        <v>PARTIDA</v>
      </c>
      <c r="C626" s="244">
        <f>+C613</f>
        <v>2023</v>
      </c>
      <c r="D626" s="244">
        <f>+D613</f>
        <v>2022</v>
      </c>
      <c r="E626" s="186" t="s">
        <v>217</v>
      </c>
    </row>
    <row r="627" spans="2:26" x14ac:dyDescent="0.25">
      <c r="B627" s="143" t="s">
        <v>329</v>
      </c>
      <c r="C627" s="234">
        <f>+C642</f>
        <v>1541601</v>
      </c>
      <c r="D627" s="234">
        <f>+D642</f>
        <v>7909235</v>
      </c>
      <c r="E627" s="40">
        <f>+C627-D627</f>
        <v>-6367634</v>
      </c>
    </row>
    <row r="628" spans="2:26" x14ac:dyDescent="0.25">
      <c r="B628" s="143" t="s">
        <v>330</v>
      </c>
      <c r="C628" s="234">
        <f>+C653-C627</f>
        <v>504956687.06999999</v>
      </c>
      <c r="D628" s="234">
        <f>+D653-D627</f>
        <v>445932454</v>
      </c>
      <c r="E628" s="40">
        <f>+C628-D628</f>
        <v>59024233.069999993</v>
      </c>
    </row>
    <row r="629" spans="2:26" x14ac:dyDescent="0.25">
      <c r="B629" s="222" t="s">
        <v>331</v>
      </c>
      <c r="C629" s="44">
        <f>SUM(C627:C628)</f>
        <v>506498288.06999999</v>
      </c>
      <c r="D629" s="44">
        <f>SUM(D627:D628)</f>
        <v>453841689</v>
      </c>
      <c r="E629" s="44">
        <f>SUM(E627:E628)</f>
        <v>52656599.069999993</v>
      </c>
      <c r="R629" s="3" t="str">
        <f>+CONCATENATE(S629,",",T629,",",U629,V629,AB629)</f>
        <v>506,498,288.07</v>
      </c>
      <c r="S629" s="3" t="str">
        <f>MID(C629,1,3)</f>
        <v>506</v>
      </c>
      <c r="T629" s="3" t="str">
        <f>MID(C629,4,3)</f>
        <v>498</v>
      </c>
      <c r="U629" s="3" t="str">
        <f>MID(C629,7,3)</f>
        <v>288</v>
      </c>
      <c r="V629" s="3" t="str">
        <f>MID(C629,10,3)</f>
        <v>.07</v>
      </c>
    </row>
    <row r="630" spans="2:26" x14ac:dyDescent="0.25">
      <c r="B630" s="245"/>
      <c r="C630" s="78"/>
      <c r="D630" s="79"/>
      <c r="E630" s="80"/>
      <c r="J630" s="46"/>
      <c r="R630" s="3" t="str">
        <f>+CONCATENATE(S630,",",T630,",",U630,V630,AB630,".00")</f>
        <v>453,841,689.00</v>
      </c>
      <c r="S630" s="3" t="str">
        <f>MID(D629,1,3)</f>
        <v>453</v>
      </c>
      <c r="T630" s="3" t="str">
        <f>MID(D629,4,3)</f>
        <v>841</v>
      </c>
      <c r="U630" s="3" t="str">
        <f>MID(D629,7,3)</f>
        <v>689</v>
      </c>
      <c r="V630" s="3" t="str">
        <f>MID(D629,10,3)</f>
        <v/>
      </c>
    </row>
    <row r="631" spans="2:26" s="42" customFormat="1" x14ac:dyDescent="0.25">
      <c r="B631" s="270" t="s">
        <v>103</v>
      </c>
      <c r="C631" s="271"/>
      <c r="D631" s="246" t="str">
        <f>IF(E631&gt;=0,"Aumento","Disminución")</f>
        <v>Aumento</v>
      </c>
      <c r="E631" s="247">
        <f>IFERROR((+E629/D629),0)</f>
        <v>0.11602415632205175</v>
      </c>
      <c r="J631" s="2"/>
      <c r="N631" s="46"/>
      <c r="R631" s="47"/>
      <c r="S631" s="47"/>
      <c r="T631" s="47"/>
      <c r="U631" s="47"/>
      <c r="V631" s="47"/>
      <c r="W631" s="47"/>
      <c r="X631" s="47"/>
      <c r="Y631" s="47"/>
      <c r="Z631" s="46"/>
    </row>
    <row r="632" spans="2:26" ht="13.5" customHeight="1" x14ac:dyDescent="0.25">
      <c r="B632" s="12"/>
      <c r="C632" s="12"/>
      <c r="D632" s="12"/>
      <c r="E632" s="12"/>
    </row>
    <row r="633" spans="2:26" ht="13.5" customHeight="1" x14ac:dyDescent="0.25">
      <c r="B633" s="12"/>
      <c r="C633" s="12"/>
      <c r="D633" s="12"/>
      <c r="E633" s="12"/>
    </row>
    <row r="634" spans="2:26" ht="14.25" customHeight="1" x14ac:dyDescent="0.25"/>
    <row r="635" spans="2:26" ht="14.25" customHeight="1" x14ac:dyDescent="0.25"/>
    <row r="636" spans="2:26" ht="70.5" customHeight="1" x14ac:dyDescent="0.25">
      <c r="B636" s="282" t="s">
        <v>332</v>
      </c>
      <c r="C636" s="282"/>
      <c r="D636" s="282"/>
      <c r="E636" s="282"/>
    </row>
    <row r="637" spans="2:26" s="4" customFormat="1" ht="42.75" customHeight="1" x14ac:dyDescent="0.2">
      <c r="B637" s="283" t="str">
        <f>("La informacion de  Cuentas por Cobrar según el Sistema Comercial al "&amp;[1]BALANZA!B3&amp;" "&amp;[1]BALANZA!C3&amp;" se detalla a continuación")</f>
        <v>La informacion de  Cuentas por Cobrar según el Sistema Comercial al 30 de junio del 2023 - 2022 se detalla a continuación</v>
      </c>
      <c r="C637" s="283"/>
      <c r="D637" s="283"/>
      <c r="E637" s="283"/>
      <c r="J637" s="5"/>
      <c r="N637" s="5"/>
      <c r="R637" s="248"/>
      <c r="S637" s="248"/>
      <c r="T637" s="248"/>
      <c r="U637" s="248"/>
      <c r="V637" s="248"/>
      <c r="W637" s="248"/>
      <c r="X637" s="248"/>
      <c r="Y637" s="248"/>
      <c r="Z637" s="5"/>
    </row>
    <row r="638" spans="2:26" x14ac:dyDescent="0.25">
      <c r="B638" s="186" t="str">
        <f>+B626</f>
        <v>PARTIDA</v>
      </c>
      <c r="C638" s="186">
        <f>+C626</f>
        <v>2023</v>
      </c>
      <c r="D638" s="186">
        <f>+D626</f>
        <v>2022</v>
      </c>
      <c r="E638" s="249"/>
    </row>
    <row r="639" spans="2:26" x14ac:dyDescent="0.25">
      <c r="B639" s="199" t="s">
        <v>333</v>
      </c>
      <c r="C639" s="39"/>
      <c r="D639" s="250"/>
    </row>
    <row r="640" spans="2:26" x14ac:dyDescent="0.25">
      <c r="B640" s="199" t="s">
        <v>334</v>
      </c>
      <c r="C640" s="39">
        <v>237357</v>
      </c>
      <c r="D640" s="251">
        <v>235712</v>
      </c>
    </row>
    <row r="641" spans="2:5" x14ac:dyDescent="0.25">
      <c r="B641" s="199" t="s">
        <v>335</v>
      </c>
      <c r="C641" s="39">
        <v>2500</v>
      </c>
      <c r="D641" s="251">
        <v>1210</v>
      </c>
    </row>
    <row r="642" spans="2:5" x14ac:dyDescent="0.25">
      <c r="B642" s="199" t="s">
        <v>336</v>
      </c>
      <c r="C642" s="39">
        <f>714218+827383</f>
        <v>1541601</v>
      </c>
      <c r="D642" s="251">
        <f>7130810+778425</f>
        <v>7909235</v>
      </c>
    </row>
    <row r="643" spans="2:5" x14ac:dyDescent="0.25">
      <c r="B643" s="199" t="s">
        <v>337</v>
      </c>
      <c r="C643" s="39">
        <v>474743</v>
      </c>
      <c r="D643" s="251">
        <v>869044</v>
      </c>
    </row>
    <row r="644" spans="2:5" x14ac:dyDescent="0.25">
      <c r="B644" s="199" t="s">
        <v>338</v>
      </c>
      <c r="C644" s="39">
        <v>635899</v>
      </c>
      <c r="D644" s="251">
        <v>920884</v>
      </c>
    </row>
    <row r="645" spans="2:5" x14ac:dyDescent="0.25">
      <c r="B645" s="252" t="s">
        <v>339</v>
      </c>
      <c r="C645" s="253">
        <f>SUM(C640:C644)</f>
        <v>2892100</v>
      </c>
      <c r="D645" s="253">
        <f>SUM(D640:D644)</f>
        <v>9936085</v>
      </c>
    </row>
    <row r="646" spans="2:5" x14ac:dyDescent="0.25">
      <c r="B646" s="199" t="s">
        <v>334</v>
      </c>
      <c r="C646" s="39">
        <v>22980543</v>
      </c>
      <c r="D646" s="251">
        <f>14368305</f>
        <v>14368305</v>
      </c>
    </row>
    <row r="647" spans="2:5" x14ac:dyDescent="0.25">
      <c r="B647" s="199" t="s">
        <v>335</v>
      </c>
      <c r="C647" s="39">
        <v>84162</v>
      </c>
      <c r="D647" s="251">
        <v>68295</v>
      </c>
    </row>
    <row r="648" spans="2:5" x14ac:dyDescent="0.25">
      <c r="B648" s="199" t="s">
        <v>340</v>
      </c>
      <c r="C648" s="39">
        <v>95547</v>
      </c>
      <c r="D648" s="251">
        <v>63646</v>
      </c>
    </row>
    <row r="649" spans="2:5" x14ac:dyDescent="0.25">
      <c r="B649" s="199" t="s">
        <v>341</v>
      </c>
      <c r="C649" s="39">
        <v>3602670</v>
      </c>
      <c r="D649" s="251">
        <v>3352009</v>
      </c>
    </row>
    <row r="650" spans="2:5" x14ac:dyDescent="0.25">
      <c r="B650" s="199" t="s">
        <v>337</v>
      </c>
      <c r="C650" s="39">
        <v>190706113.88</v>
      </c>
      <c r="D650" s="251">
        <v>133132858</v>
      </c>
    </row>
    <row r="651" spans="2:5" x14ac:dyDescent="0.25">
      <c r="B651" s="199" t="s">
        <v>338</v>
      </c>
      <c r="C651" s="39">
        <v>286137152.19</v>
      </c>
      <c r="D651" s="251">
        <v>292920491</v>
      </c>
    </row>
    <row r="652" spans="2:5" x14ac:dyDescent="0.25">
      <c r="B652" s="252" t="s">
        <v>342</v>
      </c>
      <c r="C652" s="253">
        <f>SUM(C646:C651)</f>
        <v>503606188.06999999</v>
      </c>
      <c r="D652" s="253">
        <f>SUM(D646:D651)</f>
        <v>443905604</v>
      </c>
    </row>
    <row r="653" spans="2:5" x14ac:dyDescent="0.25">
      <c r="B653" s="252" t="s">
        <v>343</v>
      </c>
      <c r="C653" s="253">
        <f>+C645+C652</f>
        <v>506498288.06999999</v>
      </c>
      <c r="D653" s="253">
        <f>+D645+D652</f>
        <v>453841689</v>
      </c>
    </row>
    <row r="654" spans="2:5" x14ac:dyDescent="0.25">
      <c r="B654" s="254"/>
      <c r="E654" s="249"/>
    </row>
    <row r="655" spans="2:5" x14ac:dyDescent="0.25">
      <c r="B655" s="254"/>
      <c r="C655" s="255"/>
      <c r="E655" s="256"/>
    </row>
    <row r="656" spans="2:5" x14ac:dyDescent="0.25">
      <c r="B656" s="254"/>
      <c r="E656" s="256"/>
    </row>
    <row r="657" spans="2:5" x14ac:dyDescent="0.25">
      <c r="B657" s="254"/>
      <c r="E657" s="249"/>
    </row>
    <row r="658" spans="2:5" x14ac:dyDescent="0.25">
      <c r="B658" s="254"/>
      <c r="E658" s="249"/>
    </row>
    <row r="659" spans="2:5" x14ac:dyDescent="0.25">
      <c r="B659" s="254"/>
      <c r="E659" s="256"/>
    </row>
    <row r="660" spans="2:5" x14ac:dyDescent="0.25">
      <c r="B660" s="254"/>
      <c r="E660" s="249"/>
    </row>
    <row r="661" spans="2:5" x14ac:dyDescent="0.25">
      <c r="B661" s="254"/>
      <c r="E661" s="249"/>
    </row>
    <row r="662" spans="2:5" x14ac:dyDescent="0.25">
      <c r="B662" s="254"/>
      <c r="E662" s="249"/>
    </row>
    <row r="663" spans="2:5" x14ac:dyDescent="0.25">
      <c r="B663" s="254"/>
      <c r="E663" s="249"/>
    </row>
    <row r="664" spans="2:5" x14ac:dyDescent="0.25">
      <c r="B664" s="254"/>
      <c r="E664" s="249"/>
    </row>
    <row r="665" spans="2:5" x14ac:dyDescent="0.25">
      <c r="B665" s="254"/>
      <c r="E665" s="249"/>
    </row>
    <row r="666" spans="2:5" x14ac:dyDescent="0.25">
      <c r="B666" s="254"/>
      <c r="E666" s="249"/>
    </row>
    <row r="667" spans="2:5" x14ac:dyDescent="0.25">
      <c r="B667" s="254"/>
      <c r="E667" s="249"/>
    </row>
    <row r="668" spans="2:5" x14ac:dyDescent="0.25">
      <c r="B668" s="254"/>
      <c r="E668" s="249"/>
    </row>
    <row r="669" spans="2:5" x14ac:dyDescent="0.25">
      <c r="B669" s="254"/>
      <c r="E669" s="249"/>
    </row>
    <row r="670" spans="2:5" x14ac:dyDescent="0.25">
      <c r="B670" s="254"/>
      <c r="E670" s="249"/>
    </row>
    <row r="671" spans="2:5" x14ac:dyDescent="0.25">
      <c r="B671" s="254"/>
      <c r="E671" s="249"/>
    </row>
    <row r="672" spans="2:5" x14ac:dyDescent="0.25">
      <c r="B672" s="254"/>
      <c r="E672" s="249"/>
    </row>
    <row r="673" spans="2:5" x14ac:dyDescent="0.25">
      <c r="B673" s="254"/>
      <c r="E673" s="249"/>
    </row>
    <row r="674" spans="2:5" x14ac:dyDescent="0.25">
      <c r="B674" s="254"/>
      <c r="E674" s="249"/>
    </row>
    <row r="675" spans="2:5" x14ac:dyDescent="0.25">
      <c r="B675" s="254"/>
      <c r="E675" s="249"/>
    </row>
    <row r="676" spans="2:5" x14ac:dyDescent="0.25">
      <c r="B676" s="254"/>
      <c r="E676" s="249"/>
    </row>
    <row r="677" spans="2:5" x14ac:dyDescent="0.25">
      <c r="B677" s="254"/>
      <c r="E677" s="249"/>
    </row>
    <row r="678" spans="2:5" x14ac:dyDescent="0.25">
      <c r="B678" s="254"/>
      <c r="E678" s="249"/>
    </row>
    <row r="679" spans="2:5" x14ac:dyDescent="0.25">
      <c r="B679" s="254"/>
      <c r="E679" s="249"/>
    </row>
    <row r="680" spans="2:5" x14ac:dyDescent="0.25">
      <c r="B680" s="254"/>
      <c r="E680" s="249"/>
    </row>
    <row r="681" spans="2:5" x14ac:dyDescent="0.25">
      <c r="B681" s="254"/>
      <c r="E681" s="249"/>
    </row>
    <row r="682" spans="2:5" x14ac:dyDescent="0.25">
      <c r="B682" s="254"/>
      <c r="E682" s="249"/>
    </row>
    <row r="683" spans="2:5" x14ac:dyDescent="0.25">
      <c r="B683" s="254"/>
      <c r="E683" s="249"/>
    </row>
    <row r="684" spans="2:5" x14ac:dyDescent="0.25">
      <c r="B684" s="254"/>
      <c r="E684" s="249"/>
    </row>
    <row r="685" spans="2:5" x14ac:dyDescent="0.25">
      <c r="B685" s="254"/>
      <c r="E685" s="249"/>
    </row>
    <row r="686" spans="2:5" x14ac:dyDescent="0.25">
      <c r="B686" s="254"/>
      <c r="E686" s="249"/>
    </row>
    <row r="687" spans="2:5" x14ac:dyDescent="0.25">
      <c r="B687" s="254"/>
      <c r="E687" s="249"/>
    </row>
    <row r="688" spans="2:5" x14ac:dyDescent="0.25">
      <c r="B688" s="254"/>
      <c r="E688" s="249"/>
    </row>
    <row r="689" spans="2:5" x14ac:dyDescent="0.25">
      <c r="B689" s="254"/>
      <c r="E689" s="249"/>
    </row>
    <row r="690" spans="2:5" x14ac:dyDescent="0.25">
      <c r="B690" s="254"/>
      <c r="E690" s="249"/>
    </row>
    <row r="691" spans="2:5" x14ac:dyDescent="0.25">
      <c r="B691" s="254"/>
      <c r="E691" s="249"/>
    </row>
    <row r="692" spans="2:5" x14ac:dyDescent="0.25">
      <c r="B692" s="254"/>
      <c r="E692" s="249"/>
    </row>
    <row r="693" spans="2:5" ht="15" customHeight="1" x14ac:dyDescent="0.25">
      <c r="B693" s="254"/>
      <c r="E693" s="249"/>
    </row>
    <row r="694" spans="2:5" x14ac:dyDescent="0.25">
      <c r="B694" s="254"/>
    </row>
    <row r="695" spans="2:5" x14ac:dyDescent="0.25">
      <c r="C695" s="2"/>
    </row>
    <row r="698" spans="2:5" x14ac:dyDescent="0.25">
      <c r="B698" s="254"/>
    </row>
    <row r="700" spans="2:5" x14ac:dyDescent="0.25">
      <c r="B700" s="254"/>
    </row>
    <row r="701" spans="2:5" x14ac:dyDescent="0.25">
      <c r="B701" s="254"/>
    </row>
    <row r="702" spans="2:5" x14ac:dyDescent="0.25">
      <c r="B702" s="254"/>
    </row>
    <row r="703" spans="2:5" x14ac:dyDescent="0.25">
      <c r="B703" s="254"/>
    </row>
    <row r="704" spans="2:5" x14ac:dyDescent="0.25">
      <c r="B704" s="254"/>
    </row>
    <row r="705" spans="2:2" x14ac:dyDescent="0.25">
      <c r="B705" s="254"/>
    </row>
    <row r="706" spans="2:2" x14ac:dyDescent="0.25">
      <c r="B706" s="254"/>
    </row>
    <row r="707" spans="2:2" x14ac:dyDescent="0.25">
      <c r="B707" s="254"/>
    </row>
    <row r="708" spans="2:2" x14ac:dyDescent="0.25">
      <c r="B708" s="254"/>
    </row>
    <row r="709" spans="2:2" x14ac:dyDescent="0.25">
      <c r="B709" s="254"/>
    </row>
    <row r="710" spans="2:2" x14ac:dyDescent="0.25">
      <c r="B710" s="254"/>
    </row>
    <row r="711" spans="2:2" x14ac:dyDescent="0.25">
      <c r="B711" s="254"/>
    </row>
    <row r="712" spans="2:2" x14ac:dyDescent="0.25">
      <c r="B712" s="254"/>
    </row>
    <row r="713" spans="2:2" x14ac:dyDescent="0.25">
      <c r="B713" s="254"/>
    </row>
    <row r="714" spans="2:2" x14ac:dyDescent="0.25">
      <c r="B714" s="254"/>
    </row>
    <row r="715" spans="2:2" x14ac:dyDescent="0.25">
      <c r="B715" s="254"/>
    </row>
    <row r="716" spans="2:2" x14ac:dyDescent="0.25">
      <c r="B716" s="254"/>
    </row>
    <row r="717" spans="2:2" x14ac:dyDescent="0.25">
      <c r="B717" s="254"/>
    </row>
    <row r="718" spans="2:2" x14ac:dyDescent="0.25">
      <c r="B718" s="254"/>
    </row>
    <row r="719" spans="2:2" x14ac:dyDescent="0.25">
      <c r="B719" s="254"/>
    </row>
    <row r="720" spans="2:2" x14ac:dyDescent="0.25">
      <c r="B720" s="254"/>
    </row>
    <row r="721" spans="2:2" x14ac:dyDescent="0.25">
      <c r="B721" s="254"/>
    </row>
    <row r="722" spans="2:2" x14ac:dyDescent="0.25">
      <c r="B722" s="254"/>
    </row>
    <row r="723" spans="2:2" x14ac:dyDescent="0.25">
      <c r="B723" s="254"/>
    </row>
    <row r="724" spans="2:2" x14ac:dyDescent="0.25">
      <c r="B724" s="254"/>
    </row>
    <row r="725" spans="2:2" x14ac:dyDescent="0.25">
      <c r="B725" s="254"/>
    </row>
    <row r="726" spans="2:2" x14ac:dyDescent="0.25">
      <c r="B726" s="254"/>
    </row>
    <row r="727" spans="2:2" x14ac:dyDescent="0.25">
      <c r="B727" s="254"/>
    </row>
    <row r="728" spans="2:2" x14ac:dyDescent="0.25">
      <c r="B728" s="254"/>
    </row>
    <row r="729" spans="2:2" x14ac:dyDescent="0.25">
      <c r="B729" s="254"/>
    </row>
    <row r="730" spans="2:2" x14ac:dyDescent="0.25">
      <c r="B730" s="254"/>
    </row>
    <row r="731" spans="2:2" x14ac:dyDescent="0.25">
      <c r="B731" s="254"/>
    </row>
    <row r="732" spans="2:2" x14ac:dyDescent="0.25">
      <c r="B732" s="254"/>
    </row>
    <row r="733" spans="2:2" x14ac:dyDescent="0.25">
      <c r="B733" s="254"/>
    </row>
    <row r="734" spans="2:2" x14ac:dyDescent="0.25">
      <c r="B734" s="254"/>
    </row>
    <row r="735" spans="2:2" x14ac:dyDescent="0.25">
      <c r="B735" s="254"/>
    </row>
    <row r="736" spans="2:2" x14ac:dyDescent="0.25">
      <c r="B736" s="254"/>
    </row>
    <row r="737" spans="2:2" x14ac:dyDescent="0.25">
      <c r="B737" s="254"/>
    </row>
    <row r="738" spans="2:2" x14ac:dyDescent="0.25">
      <c r="B738" s="254"/>
    </row>
    <row r="739" spans="2:2" x14ac:dyDescent="0.25">
      <c r="B739" s="254"/>
    </row>
    <row r="740" spans="2:2" x14ac:dyDescent="0.25">
      <c r="B740" s="254"/>
    </row>
    <row r="741" spans="2:2" x14ac:dyDescent="0.25">
      <c r="B741" s="254"/>
    </row>
    <row r="742" spans="2:2" x14ac:dyDescent="0.25">
      <c r="B742" s="254"/>
    </row>
    <row r="743" spans="2:2" x14ac:dyDescent="0.25">
      <c r="B743" s="254"/>
    </row>
    <row r="744" spans="2:2" x14ac:dyDescent="0.25">
      <c r="B744" s="254"/>
    </row>
    <row r="745" spans="2:2" x14ac:dyDescent="0.25">
      <c r="B745" s="254"/>
    </row>
    <row r="746" spans="2:2" x14ac:dyDescent="0.25">
      <c r="B746" s="254"/>
    </row>
    <row r="747" spans="2:2" x14ac:dyDescent="0.25">
      <c r="B747" s="254"/>
    </row>
    <row r="748" spans="2:2" x14ac:dyDescent="0.25">
      <c r="B748" s="254"/>
    </row>
    <row r="749" spans="2:2" x14ac:dyDescent="0.25">
      <c r="B749" s="254"/>
    </row>
    <row r="750" spans="2:2" x14ac:dyDescent="0.25">
      <c r="B750" s="254"/>
    </row>
    <row r="751" spans="2:2" x14ac:dyDescent="0.25">
      <c r="B751" s="254"/>
    </row>
    <row r="752" spans="2:2" x14ac:dyDescent="0.25">
      <c r="B752" s="254"/>
    </row>
    <row r="753" spans="2:2" x14ac:dyDescent="0.25">
      <c r="B753" s="254"/>
    </row>
    <row r="754" spans="2:2" x14ac:dyDescent="0.25">
      <c r="B754" s="254"/>
    </row>
    <row r="755" spans="2:2" x14ac:dyDescent="0.25">
      <c r="B755" s="254"/>
    </row>
    <row r="756" spans="2:2" x14ac:dyDescent="0.25">
      <c r="B756" s="254"/>
    </row>
    <row r="757" spans="2:2" x14ac:dyDescent="0.25">
      <c r="B757" s="254"/>
    </row>
    <row r="758" spans="2:2" x14ac:dyDescent="0.25">
      <c r="B758" s="254"/>
    </row>
    <row r="759" spans="2:2" x14ac:dyDescent="0.25">
      <c r="B759" s="254"/>
    </row>
    <row r="760" spans="2:2" x14ac:dyDescent="0.25">
      <c r="B760" s="254"/>
    </row>
    <row r="761" spans="2:2" x14ac:dyDescent="0.25">
      <c r="B761" s="254"/>
    </row>
    <row r="762" spans="2:2" x14ac:dyDescent="0.25">
      <c r="B762" s="254"/>
    </row>
    <row r="763" spans="2:2" x14ac:dyDescent="0.25">
      <c r="B763" s="254"/>
    </row>
    <row r="764" spans="2:2" x14ac:dyDescent="0.25">
      <c r="B764" s="254"/>
    </row>
    <row r="765" spans="2:2" x14ac:dyDescent="0.25">
      <c r="B765" s="254"/>
    </row>
    <row r="766" spans="2:2" x14ac:dyDescent="0.25">
      <c r="B766" s="254"/>
    </row>
    <row r="767" spans="2:2" x14ac:dyDescent="0.25">
      <c r="B767" s="254"/>
    </row>
    <row r="768" spans="2:2" x14ac:dyDescent="0.25">
      <c r="B768" s="254"/>
    </row>
    <row r="769" spans="2:2" x14ac:dyDescent="0.25">
      <c r="B769" s="254"/>
    </row>
    <row r="770" spans="2:2" x14ac:dyDescent="0.25">
      <c r="B770" s="254"/>
    </row>
    <row r="771" spans="2:2" x14ac:dyDescent="0.25">
      <c r="B771" s="254"/>
    </row>
    <row r="772" spans="2:2" x14ac:dyDescent="0.25">
      <c r="B772" s="254"/>
    </row>
  </sheetData>
  <mergeCells count="140">
    <mergeCell ref="B636:E636"/>
    <mergeCell ref="B637:E637"/>
    <mergeCell ref="B610:E610"/>
    <mergeCell ref="B618:C618"/>
    <mergeCell ref="B623:E623"/>
    <mergeCell ref="B624:E624"/>
    <mergeCell ref="B625:E625"/>
    <mergeCell ref="B631:C631"/>
    <mergeCell ref="B555:E555"/>
    <mergeCell ref="B567:C567"/>
    <mergeCell ref="B572:E572"/>
    <mergeCell ref="B580:C580"/>
    <mergeCell ref="B590:E590"/>
    <mergeCell ref="B604:C604"/>
    <mergeCell ref="B486:E486"/>
    <mergeCell ref="B512:E512"/>
    <mergeCell ref="B513:E513"/>
    <mergeCell ref="B527:C527"/>
    <mergeCell ref="B542:E542"/>
    <mergeCell ref="B549:C549"/>
    <mergeCell ref="B468:C468"/>
    <mergeCell ref="B473:E473"/>
    <mergeCell ref="B474:E474"/>
    <mergeCell ref="C476:D476"/>
    <mergeCell ref="B483:C483"/>
    <mergeCell ref="B485:E485"/>
    <mergeCell ref="B437:E437"/>
    <mergeCell ref="B446:C446"/>
    <mergeCell ref="B447:E447"/>
    <mergeCell ref="B459:E459"/>
    <mergeCell ref="B460:E460"/>
    <mergeCell ref="C462:D462"/>
    <mergeCell ref="B410:E410"/>
    <mergeCell ref="B413:E413"/>
    <mergeCell ref="B414:E414"/>
    <mergeCell ref="B427:C427"/>
    <mergeCell ref="B431:C431"/>
    <mergeCell ref="B436:E436"/>
    <mergeCell ref="B391:C391"/>
    <mergeCell ref="B393:E393"/>
    <mergeCell ref="B395:E395"/>
    <mergeCell ref="B396:E396"/>
    <mergeCell ref="B397:E397"/>
    <mergeCell ref="B404:C404"/>
    <mergeCell ref="B371:E371"/>
    <mergeCell ref="B372:E372"/>
    <mergeCell ref="B380:C380"/>
    <mergeCell ref="B381:E381"/>
    <mergeCell ref="B384:E384"/>
    <mergeCell ref="B385:E385"/>
    <mergeCell ref="B314:C314"/>
    <mergeCell ref="B357:E357"/>
    <mergeCell ref="B358:E358"/>
    <mergeCell ref="B365:C365"/>
    <mergeCell ref="B369:E369"/>
    <mergeCell ref="B370:E370"/>
    <mergeCell ref="B193:E193"/>
    <mergeCell ref="B212:C212"/>
    <mergeCell ref="B232:E232"/>
    <mergeCell ref="B233:E233"/>
    <mergeCell ref="B234:E234"/>
    <mergeCell ref="B235:E235"/>
    <mergeCell ref="B168:C168"/>
    <mergeCell ref="B170:E170"/>
    <mergeCell ref="B176:E176"/>
    <mergeCell ref="B177:E177"/>
    <mergeCell ref="B187:C187"/>
    <mergeCell ref="B192:E192"/>
    <mergeCell ref="B154:C154"/>
    <mergeCell ref="B156:E156"/>
    <mergeCell ref="B158:E158"/>
    <mergeCell ref="B159:E159"/>
    <mergeCell ref="B160:E160"/>
    <mergeCell ref="B161:E161"/>
    <mergeCell ref="B134:E134"/>
    <mergeCell ref="B135:E135"/>
    <mergeCell ref="B142:C142"/>
    <mergeCell ref="B145:E145"/>
    <mergeCell ref="B146:E146"/>
    <mergeCell ref="B147:E147"/>
    <mergeCell ref="B110:E110"/>
    <mergeCell ref="B111:E111"/>
    <mergeCell ref="B112:E112"/>
    <mergeCell ref="B113:E113"/>
    <mergeCell ref="B126:C126"/>
    <mergeCell ref="B133:E133"/>
    <mergeCell ref="B101:E101"/>
    <mergeCell ref="B104:E104"/>
    <mergeCell ref="B105:E105"/>
    <mergeCell ref="B106:E106"/>
    <mergeCell ref="B107:E107"/>
    <mergeCell ref="B108:E108"/>
    <mergeCell ref="B93:E93"/>
    <mergeCell ref="B94:E94"/>
    <mergeCell ref="B95:E95"/>
    <mergeCell ref="B96:E96"/>
    <mergeCell ref="B97:E97"/>
    <mergeCell ref="B100:E100"/>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 ref="B59:E59"/>
    <mergeCell ref="B60:E60"/>
    <mergeCell ref="B61:E61"/>
  </mergeCells>
  <conditionalFormatting sqref="D604:D606 D567 D527 D483 D446 D380 D365:D367 D314 D212:D213 D391:D392 D468 D168 D154 D427:D428 D142:D143 D126:D131 D549:D552 D404:D409">
    <cfRule type="expression" priority="3" stopIfTrue="1">
      <formula>"$E$165&gt;=1,¨Aumento¨"</formula>
    </cfRule>
  </conditionalFormatting>
  <conditionalFormatting sqref="D580">
    <cfRule type="expression" priority="2" stopIfTrue="1">
      <formula>"$E$165&gt;=1,¨Aumento¨"</formula>
    </cfRule>
  </conditionalFormatting>
  <conditionalFormatting sqref="D431:D432">
    <cfRule type="expression" priority="1" stopIfTrue="1">
      <formula>"$E$165&gt;=1,¨Aumento¨"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2023-07-11T16:14:55Z</dcterms:created>
  <dcterms:modified xsi:type="dcterms:W3CDTF">2023-07-17T17:14:15Z</dcterms:modified>
</cp:coreProperties>
</file>