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915" windowHeight="11580"/>
  </bookViews>
  <sheets>
    <sheet name="Hoja1" sheetId="1" r:id="rId1"/>
  </sheets>
  <externalReferences>
    <externalReference r:id="rId2"/>
  </externalReferences>
  <definedNames>
    <definedName name="_Toc208202813" localSheetId="0">Hoja1!$B$111</definedName>
  </definedNames>
  <calcPr calcId="145621"/>
</workbook>
</file>

<file path=xl/calcChain.xml><?xml version="1.0" encoding="utf-8"?>
<calcChain xmlns="http://schemas.openxmlformats.org/spreadsheetml/2006/main">
  <c r="C645" i="1" l="1"/>
  <c r="D639" i="1"/>
  <c r="D645" i="1" s="1"/>
  <c r="D638" i="1"/>
  <c r="D635" i="1"/>
  <c r="C635" i="1"/>
  <c r="C638" i="1" s="1"/>
  <c r="C646" i="1" s="1"/>
  <c r="C621" i="1" s="1"/>
  <c r="B630" i="1"/>
  <c r="D620" i="1"/>
  <c r="C620" i="1"/>
  <c r="B616" i="1"/>
  <c r="D608" i="1"/>
  <c r="C608" i="1"/>
  <c r="D607" i="1"/>
  <c r="C607" i="1"/>
  <c r="B606" i="1"/>
  <c r="B619" i="1" s="1"/>
  <c r="B631" i="1" s="1"/>
  <c r="B603" i="1"/>
  <c r="D595" i="1"/>
  <c r="C595" i="1"/>
  <c r="D594" i="1"/>
  <c r="C594" i="1"/>
  <c r="D593" i="1"/>
  <c r="C593" i="1"/>
  <c r="D592" i="1"/>
  <c r="C592" i="1"/>
  <c r="D591" i="1"/>
  <c r="C591" i="1"/>
  <c r="D590" i="1"/>
  <c r="C590" i="1"/>
  <c r="D589" i="1"/>
  <c r="C589" i="1"/>
  <c r="D588" i="1"/>
  <c r="C588" i="1"/>
  <c r="D587" i="1"/>
  <c r="C587" i="1"/>
  <c r="D586" i="1"/>
  <c r="D606" i="1" s="1"/>
  <c r="D619" i="1" s="1"/>
  <c r="D631" i="1" s="1"/>
  <c r="C586" i="1"/>
  <c r="C606" i="1" s="1"/>
  <c r="C619" i="1" s="1"/>
  <c r="B584" i="1"/>
  <c r="E575" i="1"/>
  <c r="D573" i="1"/>
  <c r="C573" i="1"/>
  <c r="D572" i="1"/>
  <c r="C572" i="1"/>
  <c r="B570" i="1"/>
  <c r="D562" i="1"/>
  <c r="C562" i="1"/>
  <c r="C561" i="1"/>
  <c r="E561" i="1" s="1"/>
  <c r="C560" i="1"/>
  <c r="E560" i="1" s="1"/>
  <c r="D559" i="1"/>
  <c r="C559" i="1"/>
  <c r="D558" i="1"/>
  <c r="C558" i="1"/>
  <c r="D557" i="1"/>
  <c r="C557" i="1"/>
  <c r="C556" i="1"/>
  <c r="E556" i="1" s="1"/>
  <c r="D555" i="1"/>
  <c r="D542" i="1" s="1"/>
  <c r="C555" i="1"/>
  <c r="C542" i="1" s="1"/>
  <c r="B553" i="1"/>
  <c r="C546" i="1"/>
  <c r="C545" i="1"/>
  <c r="D543" i="1"/>
  <c r="D545" i="1" s="1"/>
  <c r="D546" i="1" s="1"/>
  <c r="B540" i="1"/>
  <c r="D522" i="1"/>
  <c r="C522" i="1"/>
  <c r="D521" i="1"/>
  <c r="C521" i="1"/>
  <c r="D520" i="1"/>
  <c r="C520" i="1"/>
  <c r="D519" i="1"/>
  <c r="C519" i="1"/>
  <c r="D518" i="1"/>
  <c r="C518" i="1"/>
  <c r="D517" i="1"/>
  <c r="C517" i="1"/>
  <c r="D516" i="1"/>
  <c r="C516" i="1"/>
  <c r="D515" i="1"/>
  <c r="C515" i="1"/>
  <c r="D514" i="1"/>
  <c r="C514" i="1"/>
  <c r="J513" i="1"/>
  <c r="D513" i="1"/>
  <c r="C513" i="1"/>
  <c r="L512" i="1"/>
  <c r="L514" i="1" s="1"/>
  <c r="K512" i="1"/>
  <c r="D512" i="1"/>
  <c r="C512" i="1"/>
  <c r="B512" i="1"/>
  <c r="L511" i="1"/>
  <c r="L510" i="1"/>
  <c r="K510" i="1"/>
  <c r="B510" i="1"/>
  <c r="K509" i="1"/>
  <c r="K508" i="1"/>
  <c r="E505" i="1"/>
  <c r="D505" i="1"/>
  <c r="C505" i="1"/>
  <c r="E504" i="1"/>
  <c r="D504" i="1"/>
  <c r="C504" i="1"/>
  <c r="E503" i="1"/>
  <c r="D503" i="1"/>
  <c r="C503" i="1"/>
  <c r="E502" i="1"/>
  <c r="D502" i="1"/>
  <c r="C502" i="1"/>
  <c r="E501" i="1"/>
  <c r="D501" i="1"/>
  <c r="C501" i="1"/>
  <c r="E500" i="1"/>
  <c r="D500" i="1"/>
  <c r="C500" i="1"/>
  <c r="S487" i="1"/>
  <c r="T487" i="1" s="1"/>
  <c r="S486" i="1"/>
  <c r="V486" i="1" s="1"/>
  <c r="S485" i="1"/>
  <c r="T485" i="1" s="1"/>
  <c r="S484" i="1"/>
  <c r="T484" i="1" s="1"/>
  <c r="N478" i="1"/>
  <c r="N480" i="1" s="1"/>
  <c r="D478" i="1"/>
  <c r="V483" i="1" s="1"/>
  <c r="C478" i="1"/>
  <c r="V478" i="1" s="1"/>
  <c r="D477" i="1"/>
  <c r="T482" i="1" s="1"/>
  <c r="C477" i="1"/>
  <c r="S477" i="1" s="1"/>
  <c r="D476" i="1"/>
  <c r="U481" i="1" s="1"/>
  <c r="C476" i="1"/>
  <c r="S476" i="1" s="1"/>
  <c r="D475" i="1"/>
  <c r="C475" i="1"/>
  <c r="B483" i="1" s="1"/>
  <c r="B474" i="1"/>
  <c r="B471" i="1"/>
  <c r="S465" i="1"/>
  <c r="D464" i="1"/>
  <c r="T465" i="1" s="1"/>
  <c r="E463" i="1"/>
  <c r="C463" i="1"/>
  <c r="D462" i="1"/>
  <c r="C462" i="1"/>
  <c r="C464" i="1" s="1"/>
  <c r="B456" i="1"/>
  <c r="AA442" i="1"/>
  <c r="X442" i="1"/>
  <c r="AA441" i="1"/>
  <c r="D440" i="1"/>
  <c r="C440" i="1"/>
  <c r="C439" i="1"/>
  <c r="E439" i="1" s="1"/>
  <c r="D438" i="1"/>
  <c r="C438" i="1"/>
  <c r="E437" i="1"/>
  <c r="D436" i="1"/>
  <c r="B433" i="1"/>
  <c r="AA427" i="1"/>
  <c r="Y427" i="1"/>
  <c r="X427" i="1"/>
  <c r="W427" i="1"/>
  <c r="AA426" i="1"/>
  <c r="D425" i="1"/>
  <c r="C425" i="1"/>
  <c r="D424" i="1"/>
  <c r="C424" i="1"/>
  <c r="D423" i="1"/>
  <c r="C423" i="1"/>
  <c r="D422" i="1"/>
  <c r="C422" i="1"/>
  <c r="D421" i="1"/>
  <c r="C421" i="1"/>
  <c r="D420" i="1"/>
  <c r="C420" i="1"/>
  <c r="D419" i="1"/>
  <c r="C419" i="1"/>
  <c r="B414" i="1"/>
  <c r="D401" i="1"/>
  <c r="C401" i="1"/>
  <c r="D400" i="1"/>
  <c r="C400" i="1"/>
  <c r="B396" i="1"/>
  <c r="D390" i="1"/>
  <c r="D391" i="1" s="1"/>
  <c r="C390" i="1"/>
  <c r="C391" i="1" s="1"/>
  <c r="D379" i="1"/>
  <c r="C379" i="1"/>
  <c r="E378" i="1"/>
  <c r="C378" i="1"/>
  <c r="D377" i="1"/>
  <c r="C377" i="1"/>
  <c r="C380" i="1" s="1"/>
  <c r="D376" i="1"/>
  <c r="C376" i="1"/>
  <c r="B372" i="1"/>
  <c r="G364" i="1"/>
  <c r="D364" i="1"/>
  <c r="D574" i="1" s="1"/>
  <c r="C364" i="1"/>
  <c r="C574" i="1" s="1"/>
  <c r="D363" i="1"/>
  <c r="C363" i="1"/>
  <c r="D362" i="1"/>
  <c r="C362" i="1"/>
  <c r="C151" i="1" s="1"/>
  <c r="B359" i="1"/>
  <c r="E317" i="1"/>
  <c r="D317" i="1" s="1"/>
  <c r="D314" i="1"/>
  <c r="C314" i="1"/>
  <c r="E314" i="1" s="1"/>
  <c r="D312" i="1"/>
  <c r="E311" i="1"/>
  <c r="D310" i="1"/>
  <c r="C310" i="1"/>
  <c r="C312" i="1" s="1"/>
  <c r="E309" i="1"/>
  <c r="E308" i="1"/>
  <c r="E310" i="1" s="1"/>
  <c r="E312" i="1" s="1"/>
  <c r="E307" i="1"/>
  <c r="D305" i="1"/>
  <c r="E304" i="1"/>
  <c r="D303" i="1"/>
  <c r="C303" i="1"/>
  <c r="C305" i="1" s="1"/>
  <c r="E302" i="1"/>
  <c r="E303" i="1" s="1"/>
  <c r="E305" i="1" s="1"/>
  <c r="E301" i="1"/>
  <c r="E299" i="1"/>
  <c r="F298" i="1"/>
  <c r="C296" i="1"/>
  <c r="C295" i="1"/>
  <c r="D293" i="1"/>
  <c r="C293" i="1"/>
  <c r="D292" i="1"/>
  <c r="C292" i="1"/>
  <c r="E287" i="1"/>
  <c r="D286" i="1"/>
  <c r="C286" i="1"/>
  <c r="E286" i="1" s="1"/>
  <c r="D285" i="1"/>
  <c r="C285" i="1"/>
  <c r="E282" i="1"/>
  <c r="D281" i="1"/>
  <c r="D283" i="1" s="1"/>
  <c r="C281" i="1"/>
  <c r="C283" i="1" s="1"/>
  <c r="E280" i="1"/>
  <c r="E279" i="1"/>
  <c r="E281" i="1" s="1"/>
  <c r="E283" i="1" s="1"/>
  <c r="E278" i="1"/>
  <c r="C274" i="1"/>
  <c r="C273" i="1"/>
  <c r="E272" i="1"/>
  <c r="D271" i="1"/>
  <c r="C271" i="1" s="1"/>
  <c r="E267" i="1"/>
  <c r="C265" i="1"/>
  <c r="B265" i="1"/>
  <c r="B274" i="1" s="1"/>
  <c r="B289" i="1" s="1"/>
  <c r="B296" i="1" s="1"/>
  <c r="E263" i="1"/>
  <c r="D262" i="1"/>
  <c r="E262" i="1" s="1"/>
  <c r="C261" i="1"/>
  <c r="E258" i="1"/>
  <c r="C256" i="1"/>
  <c r="B256" i="1"/>
  <c r="C255" i="1"/>
  <c r="B255" i="1"/>
  <c r="B264" i="1" s="1"/>
  <c r="B273" i="1" s="1"/>
  <c r="B288" i="1" s="1"/>
  <c r="B295" i="1" s="1"/>
  <c r="E254" i="1"/>
  <c r="B254" i="1"/>
  <c r="B263" i="1" s="1"/>
  <c r="B272" i="1" s="1"/>
  <c r="B287" i="1" s="1"/>
  <c r="B294" i="1" s="1"/>
  <c r="D253" i="1"/>
  <c r="E253" i="1" s="1"/>
  <c r="B253" i="1"/>
  <c r="B262" i="1" s="1"/>
  <c r="B271" i="1" s="1"/>
  <c r="B286" i="1" s="1"/>
  <c r="B293" i="1" s="1"/>
  <c r="D252" i="1"/>
  <c r="C252" i="1"/>
  <c r="B252" i="1"/>
  <c r="B261" i="1" s="1"/>
  <c r="B270" i="1" s="1"/>
  <c r="B285" i="1" s="1"/>
  <c r="B292" i="1" s="1"/>
  <c r="E249" i="1"/>
  <c r="C247" i="1"/>
  <c r="C246" i="1"/>
  <c r="E245" i="1"/>
  <c r="D243" i="1"/>
  <c r="D248" i="1" s="1"/>
  <c r="D250" i="1" s="1"/>
  <c r="D240" i="1"/>
  <c r="C240" i="1"/>
  <c r="B239" i="1"/>
  <c r="B236" i="1"/>
  <c r="E210" i="1"/>
  <c r="E206" i="1"/>
  <c r="E204" i="1"/>
  <c r="E203" i="1"/>
  <c r="E202" i="1"/>
  <c r="E201" i="1"/>
  <c r="E200" i="1"/>
  <c r="E199" i="1"/>
  <c r="E198" i="1"/>
  <c r="E207" i="1" s="1"/>
  <c r="B194" i="1"/>
  <c r="D186" i="1"/>
  <c r="D187" i="1" s="1"/>
  <c r="C186" i="1"/>
  <c r="C187" i="1" s="1"/>
  <c r="D184" i="1"/>
  <c r="D183" i="1"/>
  <c r="C183" i="1"/>
  <c r="B178" i="1"/>
  <c r="D167" i="1"/>
  <c r="C167" i="1"/>
  <c r="D166" i="1"/>
  <c r="C166" i="1"/>
  <c r="D165" i="1"/>
  <c r="D181" i="1" s="1"/>
  <c r="B162" i="1"/>
  <c r="W155" i="1"/>
  <c r="D153" i="1"/>
  <c r="D154" i="1" s="1"/>
  <c r="U155" i="1" s="1"/>
  <c r="C153" i="1"/>
  <c r="D151" i="1"/>
  <c r="D209" i="1" s="1"/>
  <c r="B148" i="1"/>
  <c r="D141" i="1"/>
  <c r="U142" i="1" s="1"/>
  <c r="C141" i="1"/>
  <c r="T142" i="1" s="1"/>
  <c r="D140" i="1"/>
  <c r="C140" i="1"/>
  <c r="D139" i="1"/>
  <c r="C139" i="1"/>
  <c r="B136" i="1"/>
  <c r="B386" i="1" s="1"/>
  <c r="X126" i="1"/>
  <c r="D124" i="1"/>
  <c r="C124" i="1"/>
  <c r="D123" i="1"/>
  <c r="C123" i="1"/>
  <c r="D122" i="1"/>
  <c r="C122" i="1"/>
  <c r="D121" i="1"/>
  <c r="C121" i="1"/>
  <c r="D120" i="1"/>
  <c r="C120" i="1"/>
  <c r="D119" i="1"/>
  <c r="C119" i="1"/>
  <c r="D118" i="1"/>
  <c r="C118" i="1"/>
  <c r="D117" i="1"/>
  <c r="C117" i="1"/>
  <c r="D116" i="1"/>
  <c r="C116" i="1"/>
  <c r="B112" i="1"/>
  <c r="B14" i="1"/>
  <c r="S478" i="1" l="1"/>
  <c r="E401" i="1"/>
  <c r="E140" i="1"/>
  <c r="D609" i="1"/>
  <c r="D610" i="1" s="1"/>
  <c r="E153" i="1"/>
  <c r="C165" i="1"/>
  <c r="C181" i="1" s="1"/>
  <c r="E167" i="1"/>
  <c r="C297" i="1"/>
  <c r="E589" i="1"/>
  <c r="E593" i="1"/>
  <c r="E607" i="1"/>
  <c r="E123" i="1"/>
  <c r="E118" i="1"/>
  <c r="E122" i="1"/>
  <c r="E423" i="1"/>
  <c r="E518" i="1"/>
  <c r="E522" i="1"/>
  <c r="E559" i="1"/>
  <c r="E562" i="1"/>
  <c r="E420" i="1"/>
  <c r="E422" i="1"/>
  <c r="E424" i="1"/>
  <c r="D142" i="1"/>
  <c r="D143" i="1" s="1"/>
  <c r="E517" i="1"/>
  <c r="C168" i="1"/>
  <c r="C169" i="1" s="1"/>
  <c r="C257" i="1"/>
  <c r="C259" i="1" s="1"/>
  <c r="C266" i="1"/>
  <c r="C268" i="1" s="1"/>
  <c r="U478" i="1"/>
  <c r="U484" i="1"/>
  <c r="U486" i="1"/>
  <c r="E573" i="1"/>
  <c r="E588" i="1"/>
  <c r="E590" i="1"/>
  <c r="D125" i="1"/>
  <c r="U126" i="1" s="1"/>
  <c r="E119" i="1"/>
  <c r="D168" i="1"/>
  <c r="V169" i="1" s="1"/>
  <c r="D257" i="1"/>
  <c r="D259" i="1" s="1"/>
  <c r="D261" i="1"/>
  <c r="D266" i="1" s="1"/>
  <c r="D268" i="1" s="1"/>
  <c r="E364" i="1"/>
  <c r="C426" i="1"/>
  <c r="V426" i="1" s="1"/>
  <c r="C436" i="1"/>
  <c r="U476" i="1"/>
  <c r="V484" i="1"/>
  <c r="R484" i="1" s="1"/>
  <c r="D506" i="1"/>
  <c r="E519" i="1"/>
  <c r="E121" i="1"/>
  <c r="E166" i="1"/>
  <c r="E168" i="1" s="1"/>
  <c r="E186" i="1"/>
  <c r="D290" i="1"/>
  <c r="D297" i="1"/>
  <c r="D298" i="1" s="1"/>
  <c r="E574" i="1"/>
  <c r="E576" i="1" s="1"/>
  <c r="D380" i="1"/>
  <c r="V381" i="1" s="1"/>
  <c r="E379" i="1"/>
  <c r="C403" i="1"/>
  <c r="U403" i="1" s="1"/>
  <c r="E438" i="1"/>
  <c r="T476" i="1"/>
  <c r="T478" i="1"/>
  <c r="S488" i="1"/>
  <c r="V488" i="1" s="1"/>
  <c r="C506" i="1"/>
  <c r="E506" i="1"/>
  <c r="E514" i="1"/>
  <c r="E516" i="1"/>
  <c r="E521" i="1"/>
  <c r="E543" i="1"/>
  <c r="C563" i="1"/>
  <c r="C564" i="1" s="1"/>
  <c r="C596" i="1"/>
  <c r="C597" i="1" s="1"/>
  <c r="E592" i="1"/>
  <c r="E594" i="1"/>
  <c r="C609" i="1"/>
  <c r="C610" i="1" s="1"/>
  <c r="E293" i="1"/>
  <c r="E377" i="1"/>
  <c r="E421" i="1"/>
  <c r="T477" i="1"/>
  <c r="C523" i="1"/>
  <c r="C524" i="1" s="1"/>
  <c r="E520" i="1"/>
  <c r="D563" i="1"/>
  <c r="D564" i="1" s="1"/>
  <c r="E591" i="1"/>
  <c r="C125" i="1"/>
  <c r="U125" i="1" s="1"/>
  <c r="E120" i="1"/>
  <c r="D270" i="1"/>
  <c r="D275" i="1" s="1"/>
  <c r="D277" i="1" s="1"/>
  <c r="E285" i="1"/>
  <c r="E290" i="1" s="1"/>
  <c r="E425" i="1"/>
  <c r="E440" i="1"/>
  <c r="V476" i="1"/>
  <c r="U477" i="1"/>
  <c r="R477" i="1" s="1"/>
  <c r="C479" i="1"/>
  <c r="T479" i="1" s="1"/>
  <c r="D523" i="1"/>
  <c r="D524" i="1" s="1"/>
  <c r="E515" i="1"/>
  <c r="E558" i="1"/>
  <c r="E595" i="1"/>
  <c r="E608" i="1"/>
  <c r="V477" i="1"/>
  <c r="V187" i="1"/>
  <c r="U187" i="1"/>
  <c r="E187" i="1"/>
  <c r="E189" i="1" s="1"/>
  <c r="D189" i="1" s="1"/>
  <c r="T187" i="1"/>
  <c r="C188" i="1"/>
  <c r="S187" i="1"/>
  <c r="C211" i="1"/>
  <c r="E208" i="1"/>
  <c r="D211" i="1"/>
  <c r="D212" i="1" s="1"/>
  <c r="V126" i="1"/>
  <c r="S169" i="1"/>
  <c r="S188" i="1"/>
  <c r="U188" i="1"/>
  <c r="D188" i="1"/>
  <c r="T188" i="1"/>
  <c r="E271" i="1"/>
  <c r="C270" i="1"/>
  <c r="E117" i="1"/>
  <c r="S155" i="1"/>
  <c r="C182" i="1"/>
  <c r="C209" i="1"/>
  <c r="E252" i="1"/>
  <c r="E257" i="1" s="1"/>
  <c r="E259" i="1" s="1"/>
  <c r="E292" i="1"/>
  <c r="C441" i="1"/>
  <c r="C465" i="1"/>
  <c r="S464" i="1"/>
  <c r="V464" i="1"/>
  <c r="U464" i="1"/>
  <c r="T464" i="1"/>
  <c r="C622" i="1"/>
  <c r="E141" i="1"/>
  <c r="T143" i="1"/>
  <c r="C152" i="1"/>
  <c r="T155" i="1"/>
  <c r="U168" i="1"/>
  <c r="D182" i="1"/>
  <c r="E183" i="1"/>
  <c r="E363" i="1"/>
  <c r="E365" i="1" s="1"/>
  <c r="E400" i="1"/>
  <c r="E403" i="1" s="1"/>
  <c r="D403" i="1"/>
  <c r="D441" i="1"/>
  <c r="E545" i="1"/>
  <c r="E547" i="1" s="1"/>
  <c r="D547" i="1" s="1"/>
  <c r="D646" i="1"/>
  <c r="D621" i="1" s="1"/>
  <c r="D622" i="1" s="1"/>
  <c r="C399" i="1"/>
  <c r="C389" i="1"/>
  <c r="C461" i="1"/>
  <c r="C142" i="1"/>
  <c r="D155" i="1"/>
  <c r="C243" i="1"/>
  <c r="C290" i="1"/>
  <c r="C298" i="1" s="1"/>
  <c r="V380" i="1"/>
  <c r="T380" i="1"/>
  <c r="C381" i="1"/>
  <c r="S380" i="1"/>
  <c r="U380" i="1"/>
  <c r="E390" i="1"/>
  <c r="E391" i="1" s="1"/>
  <c r="E393" i="1" s="1"/>
  <c r="D393" i="1" s="1"/>
  <c r="U426" i="1"/>
  <c r="C576" i="1"/>
  <c r="C577" i="1" s="1"/>
  <c r="C631" i="1"/>
  <c r="D461" i="1"/>
  <c r="D399" i="1"/>
  <c r="D418" i="1" s="1"/>
  <c r="D389" i="1"/>
  <c r="S381" i="1"/>
  <c r="U381" i="1"/>
  <c r="D381" i="1"/>
  <c r="D426" i="1"/>
  <c r="E419" i="1"/>
  <c r="E621" i="1"/>
  <c r="C365" i="1"/>
  <c r="E462" i="1"/>
  <c r="E464" i="1" s="1"/>
  <c r="E466" i="1" s="1"/>
  <c r="D466" i="1" s="1"/>
  <c r="D465" i="1"/>
  <c r="U465" i="1"/>
  <c r="R465" i="1" s="1"/>
  <c r="V481" i="1"/>
  <c r="U482" i="1"/>
  <c r="S483" i="1"/>
  <c r="U485" i="1"/>
  <c r="W486" i="1"/>
  <c r="U487" i="1"/>
  <c r="E587" i="1"/>
  <c r="E620" i="1"/>
  <c r="D365" i="1"/>
  <c r="V465" i="1"/>
  <c r="S481" i="1"/>
  <c r="V482" i="1"/>
  <c r="T483" i="1"/>
  <c r="V485" i="1"/>
  <c r="T486" i="1"/>
  <c r="V487" i="1"/>
  <c r="E513" i="1"/>
  <c r="E557" i="1"/>
  <c r="D576" i="1"/>
  <c r="D577" i="1" s="1"/>
  <c r="T481" i="1"/>
  <c r="S482" i="1"/>
  <c r="U483" i="1"/>
  <c r="W485" i="1"/>
  <c r="D596" i="1"/>
  <c r="D597" i="1" s="1"/>
  <c r="E476" i="1"/>
  <c r="E477" i="1"/>
  <c r="E478" i="1"/>
  <c r="D479" i="1"/>
  <c r="T126" i="1" l="1"/>
  <c r="E609" i="1"/>
  <c r="E611" i="1" s="1"/>
  <c r="D611" i="1" s="1"/>
  <c r="W125" i="1"/>
  <c r="W126" i="1"/>
  <c r="R476" i="1"/>
  <c r="S479" i="1"/>
  <c r="E142" i="1"/>
  <c r="E144" i="1" s="1"/>
  <c r="D144" i="1" s="1"/>
  <c r="V125" i="1"/>
  <c r="V403" i="1"/>
  <c r="V479" i="1"/>
  <c r="E426" i="1"/>
  <c r="T488" i="1"/>
  <c r="S143" i="1"/>
  <c r="T381" i="1"/>
  <c r="S168" i="1"/>
  <c r="V168" i="1"/>
  <c r="T168" i="1"/>
  <c r="D126" i="1"/>
  <c r="R478" i="1"/>
  <c r="T426" i="1"/>
  <c r="C427" i="1"/>
  <c r="U169" i="1"/>
  <c r="AB426" i="1"/>
  <c r="T403" i="1"/>
  <c r="U488" i="1"/>
  <c r="E297" i="1"/>
  <c r="D169" i="1"/>
  <c r="T169" i="1"/>
  <c r="C404" i="1"/>
  <c r="E125" i="1"/>
  <c r="E127" i="1" s="1"/>
  <c r="D127" i="1" s="1"/>
  <c r="E563" i="1"/>
  <c r="E565" i="1" s="1"/>
  <c r="D565" i="1" s="1"/>
  <c r="E596" i="1"/>
  <c r="E598" i="1" s="1"/>
  <c r="D598" i="1" s="1"/>
  <c r="E428" i="1"/>
  <c r="D428" i="1" s="1"/>
  <c r="E525" i="1"/>
  <c r="D525" i="1" s="1"/>
  <c r="E261" i="1"/>
  <c r="E266" i="1" s="1"/>
  <c r="E268" i="1" s="1"/>
  <c r="E441" i="1"/>
  <c r="E443" i="1" s="1"/>
  <c r="D443" i="1" s="1"/>
  <c r="E170" i="1"/>
  <c r="D170" i="1" s="1"/>
  <c r="R482" i="1"/>
  <c r="R486" i="1"/>
  <c r="R485" i="1"/>
  <c r="U479" i="1"/>
  <c r="R479" i="1" s="1"/>
  <c r="E298" i="1"/>
  <c r="E300" i="1" s="1"/>
  <c r="T125" i="1"/>
  <c r="E380" i="1"/>
  <c r="E382" i="1" s="1"/>
  <c r="D382" i="1" s="1"/>
  <c r="C126" i="1"/>
  <c r="Y126" i="1" s="1"/>
  <c r="C480" i="1"/>
  <c r="E523" i="1"/>
  <c r="R487" i="1"/>
  <c r="U143" i="1"/>
  <c r="C300" i="1"/>
  <c r="U623" i="1"/>
  <c r="T623" i="1"/>
  <c r="S623" i="1"/>
  <c r="V623" i="1"/>
  <c r="S366" i="1"/>
  <c r="U366" i="1"/>
  <c r="D366" i="1"/>
  <c r="T366" i="1"/>
  <c r="R403" i="1"/>
  <c r="E243" i="1"/>
  <c r="U404" i="1"/>
  <c r="D404" i="1"/>
  <c r="S404" i="1"/>
  <c r="T404" i="1"/>
  <c r="E182" i="1"/>
  <c r="R188" i="1"/>
  <c r="R187" i="1"/>
  <c r="E479" i="1"/>
  <c r="E481" i="1" s="1"/>
  <c r="D481" i="1" s="1"/>
  <c r="R481" i="1"/>
  <c r="E622" i="1"/>
  <c r="E624" i="1" s="1"/>
  <c r="D624" i="1" s="1"/>
  <c r="V365" i="1"/>
  <c r="T365" i="1"/>
  <c r="C366" i="1"/>
  <c r="S365" i="1"/>
  <c r="U365" i="1"/>
  <c r="U427" i="1"/>
  <c r="AB427" i="1"/>
  <c r="V427" i="1"/>
  <c r="D427" i="1"/>
  <c r="T427" i="1"/>
  <c r="R381" i="1"/>
  <c r="B387" i="1"/>
  <c r="E405" i="1"/>
  <c r="C442" i="1"/>
  <c r="U441" i="1"/>
  <c r="W441" i="1"/>
  <c r="S441" i="1"/>
  <c r="V441" i="1"/>
  <c r="T441" i="1"/>
  <c r="C184" i="1"/>
  <c r="E184" i="1" s="1"/>
  <c r="R169" i="1"/>
  <c r="U213" i="1"/>
  <c r="D213" i="1"/>
  <c r="T213" i="1"/>
  <c r="S213" i="1"/>
  <c r="V213" i="1"/>
  <c r="D300" i="1"/>
  <c r="D313" i="1" s="1"/>
  <c r="D315" i="1"/>
  <c r="T480" i="1"/>
  <c r="D480" i="1"/>
  <c r="S480" i="1"/>
  <c r="V480" i="1"/>
  <c r="U480" i="1"/>
  <c r="R483" i="1"/>
  <c r="C418" i="1"/>
  <c r="T442" i="1"/>
  <c r="V442" i="1"/>
  <c r="U442" i="1"/>
  <c r="D442" i="1"/>
  <c r="S442" i="1"/>
  <c r="E367" i="1"/>
  <c r="D367" i="1" s="1"/>
  <c r="V622" i="1"/>
  <c r="U622" i="1"/>
  <c r="T622" i="1"/>
  <c r="S622" i="1"/>
  <c r="R155" i="1"/>
  <c r="E270" i="1"/>
  <c r="E275" i="1" s="1"/>
  <c r="E277" i="1" s="1"/>
  <c r="C275" i="1"/>
  <c r="C277" i="1" s="1"/>
  <c r="E578" i="1"/>
  <c r="D578" i="1" s="1"/>
  <c r="R380" i="1"/>
  <c r="S142" i="1"/>
  <c r="R142" i="1" s="1"/>
  <c r="C143" i="1"/>
  <c r="C154" i="1"/>
  <c r="E152" i="1"/>
  <c r="E154" i="1" s="1"/>
  <c r="E156" i="1" s="1"/>
  <c r="R464" i="1"/>
  <c r="B458" i="1" s="1"/>
  <c r="R143" i="1"/>
  <c r="C212" i="1"/>
  <c r="E211" i="1"/>
  <c r="E212" i="1" s="1"/>
  <c r="E214" i="1" s="1"/>
  <c r="R125" i="1"/>
  <c r="B373" i="1" l="1"/>
  <c r="R426" i="1"/>
  <c r="R488" i="1"/>
  <c r="R126" i="1"/>
  <c r="R168" i="1"/>
  <c r="B163" i="1" s="1"/>
  <c r="R404" i="1"/>
  <c r="B397" i="1" s="1"/>
  <c r="R365" i="1"/>
  <c r="B113" i="1"/>
  <c r="R622" i="1"/>
  <c r="R480" i="1"/>
  <c r="B472" i="1"/>
  <c r="B137" i="1"/>
  <c r="R442" i="1"/>
  <c r="R427" i="1"/>
  <c r="B415" i="1" s="1"/>
  <c r="R366" i="1"/>
  <c r="R623" i="1"/>
  <c r="T212" i="1"/>
  <c r="C213" i="1"/>
  <c r="S212" i="1"/>
  <c r="V212" i="1"/>
  <c r="U212" i="1"/>
  <c r="R213" i="1"/>
  <c r="R441" i="1"/>
  <c r="B179" i="1"/>
  <c r="T154" i="1"/>
  <c r="S154" i="1"/>
  <c r="C155" i="1"/>
  <c r="U154" i="1"/>
  <c r="C244" i="1"/>
  <c r="B434" i="1" l="1"/>
  <c r="B360" i="1"/>
  <c r="R154" i="1"/>
  <c r="B149" i="1" s="1"/>
  <c r="B617" i="1"/>
  <c r="E244" i="1"/>
  <c r="E248" i="1" s="1"/>
  <c r="E250" i="1" s="1"/>
  <c r="E313" i="1" s="1"/>
  <c r="E315" i="1" s="1"/>
  <c r="C248" i="1"/>
  <c r="C250" i="1" s="1"/>
  <c r="R212" i="1"/>
  <c r="B195" i="1" s="1"/>
  <c r="C315" i="1" l="1"/>
  <c r="C313" i="1"/>
</calcChain>
</file>

<file path=xl/sharedStrings.xml><?xml version="1.0" encoding="utf-8"?>
<sst xmlns="http://schemas.openxmlformats.org/spreadsheetml/2006/main" count="413" uniqueCount="346">
  <si>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</si>
  <si>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</si>
  <si>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</si>
  <si>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</si>
  <si>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</si>
  <si>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</si>
  <si>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</si>
  <si>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</si>
  <si>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</si>
  <si>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Grullon</t>
  </si>
  <si>
    <t>Directora Administrativa Financiera</t>
  </si>
  <si>
    <t>Heidy Mariel  Colon  Estévez de Jiménez</t>
  </si>
  <si>
    <t>Directora Recursos Humanos</t>
  </si>
  <si>
    <t>Julio  Henríquez Tejada</t>
  </si>
  <si>
    <t xml:space="preserve">Director Gerencia Técnica </t>
  </si>
  <si>
    <t xml:space="preserve">José Gregorio Henríquez </t>
  </si>
  <si>
    <t>Director Comercial</t>
  </si>
  <si>
    <t>Joel Andrés Bautista Gómez</t>
  </si>
  <si>
    <t>Jurídico</t>
  </si>
  <si>
    <t>Stephany Almonte</t>
  </si>
  <si>
    <t>Enc. Dpto. Administrativa</t>
  </si>
  <si>
    <t>Nilo Cipriano Tavarez Santiago</t>
  </si>
  <si>
    <t>Enc. de Tecnología</t>
  </si>
  <si>
    <t>Gullermina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</si>
  <si>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</si>
  <si>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</si>
  <si>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</si>
  <si>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</si>
  <si>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</si>
  <si>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</si>
  <si>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</si>
  <si>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</si>
  <si>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</si>
  <si>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Alex Ureña Badía</t>
  </si>
  <si>
    <t>Enc. Planta La Dura</t>
  </si>
  <si>
    <t>Marleny de Jesus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</si>
  <si>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</si>
  <si>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</si>
  <si>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</si>
  <si>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</si>
  <si>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</si>
  <si>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</si>
  <si>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</si>
  <si>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</si>
  <si>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</si>
  <si>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</si>
  <si>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</si>
  <si>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</si>
  <si>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</si>
  <si>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</si>
  <si>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</si>
  <si>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</si>
  <si>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</si>
  <si>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</si>
  <si>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</si>
  <si>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</si>
  <si>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</si>
  <si>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</si>
  <si>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</si>
  <si>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</si>
  <si>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</si>
  <si>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</si>
  <si>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</si>
  <si>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</si>
  <si>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</si>
  <si>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</si>
  <si>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</si>
  <si>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</si>
  <si>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</si>
  <si>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</si>
  <si>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</si>
  <si>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</si>
  <si>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</si>
  <si>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</si>
  <si>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</si>
  <si>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</si>
  <si>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</si>
  <si>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</si>
  <si>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</si>
  <si>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</si>
  <si>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</si>
  <si>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</si>
  <si>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</si>
  <si>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</si>
  <si>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</si>
  <si>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</si>
  <si>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</si>
  <si>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</si>
  <si>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</si>
  <si>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Hay dos cuentas en el sigef y tres cuentas instirucional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</si>
  <si>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</si>
  <si>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</si>
  <si>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</si>
  <si>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</si>
  <si>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</si>
  <si>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</si>
  <si>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</si>
  <si>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</si>
  <si>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</si>
  <si>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</si>
  <si>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</si>
  <si>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Cambio porcentual con relación al 2023</t>
  </si>
  <si>
    <t xml:space="preserve"> Nota #8</t>
  </si>
  <si>
    <t>Inversiones a corto plazo</t>
  </si>
  <si>
    <t>Inventarios de Mercancías</t>
  </si>
  <si>
    <t>Deposito a plazo fijo</t>
  </si>
  <si>
    <t>Total Inversiones a corto plazo</t>
  </si>
  <si>
    <t>Nota #9</t>
  </si>
  <si>
    <t>Cuentas por cobrar a corto plazo</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</si>
  <si>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</si>
  <si>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</si>
  <si>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</si>
  <si>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t>
  </si>
  <si>
    <t>Nota # 10</t>
  </si>
  <si>
    <t>Inventario</t>
  </si>
  <si>
    <t>Inventarios Materiales y suministros para consumo y prestación de servicios</t>
  </si>
  <si>
    <t>Total en Inventario</t>
  </si>
  <si>
    <t>Nota # 11</t>
  </si>
  <si>
    <t>Pagos anticipados</t>
  </si>
  <si>
    <t>Seguros bienes muebles balance inicial</t>
  </si>
  <si>
    <t>Adquisición de seguros</t>
  </si>
  <si>
    <t>Gasto por seguros consumido</t>
  </si>
  <si>
    <t>Seguros bienes muebles</t>
  </si>
  <si>
    <t>Total Pagos anticipados</t>
  </si>
  <si>
    <t>Nota # 12</t>
  </si>
  <si>
    <t>Otros activos corrientes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</si>
  <si>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</si>
  <si>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</si>
  <si>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</si>
  <si>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</si>
  <si>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</si>
  <si>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</si>
  <si>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</si>
  <si>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</si>
  <si>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</si>
  <si>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</si>
  <si>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</si>
  <si>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</si>
  <si>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</si>
  <si>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</si>
  <si>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</si>
  <si>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</si>
  <si>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</si>
  <si>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</si>
  <si>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</si>
  <si>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</si>
  <si>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</si>
  <si>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</si>
  <si>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</si>
  <si>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 xml:space="preserve">Nota # 13 </t>
  </si>
  <si>
    <t>Propiedad planta y equipo</t>
  </si>
  <si>
    <r>
      <t>L</t>
    </r>
    <r>
      <rPr>
        <sz val="11"/>
        <color indexed="8"/>
        <rFont val="Times New Roman"/>
        <family val="1"/>
      </rPr>
      <t>os balances de las cuentas de Propiedad planta y equipo están integrados por los valores históricos registrados.</t>
    </r>
  </si>
  <si>
    <t>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En la actualidad el SIAB tiene una diferencia en el valor en libro ocasionada por errores de configuración interna según nos informaron en correo recibido el 25 de abril del 2023.</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</si>
  <si>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</si>
  <si>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</si>
  <si>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</si>
  <si>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</si>
  <si>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</si>
  <si>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</si>
  <si>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</si>
  <si>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</si>
  <si>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</si>
  <si>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</si>
  <si>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</si>
  <si>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</si>
  <si>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</si>
  <si>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 xml:space="preserve"> </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</si>
  <si>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</si>
  <si>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</si>
  <si>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</si>
  <si>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</si>
  <si>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</si>
  <si>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</si>
  <si>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</si>
  <si>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</si>
  <si>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</si>
  <si>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</si>
  <si>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</si>
  <si>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</si>
  <si>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</si>
  <si>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</si>
  <si>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</si>
  <si>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</si>
  <si>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</si>
  <si>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</si>
  <si>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</si>
  <si>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</si>
  <si>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</si>
  <si>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</si>
  <si>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</si>
  <si>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</si>
  <si>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</si>
  <si>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</si>
  <si>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</si>
  <si>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</si>
  <si>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</si>
  <si>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</si>
  <si>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</si>
  <si>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</si>
  <si>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</si>
  <si>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</si>
  <si>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</si>
  <si>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</si>
  <si>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</si>
  <si>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</si>
  <si>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 xml:space="preserve">Nota #  14  </t>
  </si>
  <si>
    <t xml:space="preserve">Activos Intangible </t>
  </si>
  <si>
    <t>Programa informáticos (1 año)</t>
  </si>
  <si>
    <t>Amortización Programa informáticos</t>
  </si>
  <si>
    <t>Total</t>
  </si>
  <si>
    <t>Nota # 15</t>
  </si>
  <si>
    <t>Cuentas por pagar a corto plazo</t>
  </si>
  <si>
    <t xml:space="preserve"> ** Otras Cuentas por pagar están integrada por  Otro proveedores directo a pagar a corto plazo   cuenta por pagar usos internos por cheques anulados  fuera de fecha.</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</si>
  <si>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</si>
  <si>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</si>
  <si>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</si>
  <si>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</si>
  <si>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</si>
  <si>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</si>
  <si>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</si>
  <si>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</si>
  <si>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</si>
  <si>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</si>
  <si>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</si>
  <si>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</si>
  <si>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16</t>
  </si>
  <si>
    <t>Acumulaciones por pagar</t>
  </si>
  <si>
    <r>
      <t xml:space="preserve">Deducciones al personal </t>
    </r>
    <r>
      <rPr>
        <sz val="11"/>
        <color indexed="8"/>
        <rFont val="Times New Roman"/>
        <family val="1"/>
      </rPr>
      <t>(Histórico Antiguo PP)</t>
    </r>
  </si>
  <si>
    <t>Nomina por pagar</t>
  </si>
  <si>
    <t>Total Acumulaciones por pagar</t>
  </si>
  <si>
    <t>Nota # 17</t>
  </si>
  <si>
    <t>Retenciones por pagar</t>
  </si>
  <si>
    <t>Ret. Impos. Por Pagar Ir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</si>
  <si>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</si>
  <si>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</si>
  <si>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</si>
  <si>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</si>
  <si>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</si>
  <si>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</si>
  <si>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</si>
  <si>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Nota # 18</t>
  </si>
  <si>
    <t>Activos Netos/Patrimonio</t>
  </si>
  <si>
    <t>Capital</t>
  </si>
  <si>
    <t>Resultados acumulado</t>
  </si>
  <si>
    <t>Ajuste al Resultados periodo anterior</t>
  </si>
  <si>
    <t xml:space="preserve">Resultado Neto del Período </t>
  </si>
  <si>
    <t>Total Patrimonio Institucional</t>
  </si>
  <si>
    <t>Nota # 19</t>
  </si>
  <si>
    <t>Ingresos por transacciones con contraprestaciones</t>
  </si>
  <si>
    <t>AÑOS</t>
  </si>
  <si>
    <t>Ventas de servicios de APS</t>
  </si>
  <si>
    <t>Intereses ganados</t>
  </si>
  <si>
    <t>Total de Ingresos por transacciones con contraprestaciones</t>
  </si>
  <si>
    <t>Nota # 20</t>
  </si>
  <si>
    <t xml:space="preserve">Transferencias y donaciones </t>
  </si>
  <si>
    <t>Transferencias Recibidas:</t>
  </si>
  <si>
    <t>Transferencias de la Adm. Central: corriente</t>
  </si>
  <si>
    <t>Transferencias de la Adm. Central: capital</t>
  </si>
  <si>
    <t>Transferencias de la Adm. Central: energía no cortable</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</si>
  <si>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</si>
  <si>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</si>
  <si>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</si>
  <si>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</si>
  <si>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</si>
  <si>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</si>
  <si>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</si>
  <si>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</si>
  <si>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</si>
  <si>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</si>
  <si>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</si>
  <si>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</si>
  <si>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</si>
  <si>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</si>
  <si>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</si>
  <si>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 xml:space="preserve"> Nota # 21</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</si>
  <si>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</si>
  <si>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</si>
  <si>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</si>
  <si>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</si>
  <si>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</si>
  <si>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</si>
  <si>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</si>
  <si>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</si>
  <si>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</si>
  <si>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</si>
  <si>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</si>
  <si>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</si>
  <si>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22</t>
  </si>
  <si>
    <t>Subvenciones y otros pagos por transferencias</t>
  </si>
  <si>
    <t>PARTIDAS</t>
  </si>
  <si>
    <t xml:space="preserve">Transferencias al Sector Privado  </t>
  </si>
  <si>
    <t>Total Subvenciones y otros pagos por transferencias</t>
  </si>
  <si>
    <t>Ver detalle anexo</t>
  </si>
  <si>
    <t>Nota # 23</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</si>
  <si>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</si>
  <si>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</si>
  <si>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</si>
  <si>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</si>
  <si>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</si>
  <si>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</si>
  <si>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</si>
  <si>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</si>
  <si>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</si>
  <si>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24</t>
  </si>
  <si>
    <t>Gasto de Depreciación y Amortización</t>
  </si>
  <si>
    <t>Depreciación</t>
  </si>
  <si>
    <t>Amortización</t>
  </si>
  <si>
    <t>Nota # 25</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</si>
  <si>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</si>
  <si>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</si>
  <si>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</si>
  <si>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</si>
  <si>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</si>
  <si>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</si>
  <si>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</si>
  <si>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</si>
  <si>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</si>
  <si>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</si>
  <si>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</si>
  <si>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</si>
  <si>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26</t>
  </si>
  <si>
    <t xml:space="preserve">Gastos Financieros </t>
  </si>
  <si>
    <t>Comisiones y gastos bancarios</t>
  </si>
  <si>
    <t>Intereses</t>
  </si>
  <si>
    <t xml:space="preserve">Total Gastos Financieros </t>
  </si>
  <si>
    <t>Nota # 27</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</si>
  <si>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</si>
  <si>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</si>
  <si>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</si>
  <si>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</si>
  <si>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</si>
  <si>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ORZANIZACION</t>
  </si>
  <si>
    <t>COMERCIAL</t>
  </si>
  <si>
    <t>ESPECIAL</t>
  </si>
  <si>
    <t>PUBLICO</t>
  </si>
  <si>
    <t>RESIDENCIAL</t>
  </si>
  <si>
    <t>SIN DATOS</t>
  </si>
  <si>
    <t>TOTAL ORZANIZACION</t>
  </si>
  <si>
    <t>HOTELES</t>
  </si>
  <si>
    <t>INDUSTRIAL</t>
  </si>
  <si>
    <t>TOTAL PERSONAL</t>
  </si>
  <si>
    <t>TOTAL GENERAL</t>
  </si>
  <si>
    <t>La Institución presenta su presupuesto ejecutado según la base contable de efectivo y los Estados Financieros sobre  la base de acumulación (o devengo) conforme a las estipulaciones de las NICESP 24 “Presentación de Información del Presupuesto en los Estados Financieros”.</t>
  </si>
  <si>
    <t>El presupuesto se ejecuta según la base contable de efectivo siguiendo una clasificación de pago por funciones. El presupuesto aprobado cubre el periodo fiscal que va desde el 1ro. de enero hasta el 30 de junio de 2024 y es incluido como información suplementaria en los Estados Financieros y sus Notas, aunque cabe señalar que las informaciones contenidas en los mismos,  corresponden al corte del mes.</t>
  </si>
  <si>
    <t>La información sobre los supuestos e incertidumbre de estimación que tiene un riesgo significativo de resultar en un ajuste material en los años terminados el 30 de junio 2024 y 30 de junio 2023 se incluye en la Nota referente a compromisos y contingencias; reconocimiento y medición de contingencias; supuestos claves relacionados con la probabilidad y magnitud de una salida de recursos económicos.</t>
  </si>
  <si>
    <t>Los ingresos por contraprestacion difieren con lo reportado en el SIGEF en vista que ingresaron en una cuenta intitucional diferente a la cuenta CUT, estos ingreso se monejo fuera del SIGEF, para resolver casos de urgencia que se presentaron.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</si>
</sst>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_);\(0\)"/>
    <numFmt numFmtId="165" formatCode="&quot;RD$&quot;#,##0.00;[Red]\-&quot;RD$&quot;#,##0.00"/>
  </numFmts>
  <fonts count="16"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sz val="8"/>
      <color theme="1"/>
      <name val="Times New Roman"/>
      <family val="1"/>
    </font>
    <font>
      <sz val="10"/>
      <color theme="1"/>
      <name val="Times New Roman"/>
      <family val="1"/>
    </font>
    <font>
      <sz val="9"/>
      <color theme="1"/>
      <name val="Times New Roman"/>
      <family val="1"/>
    </font>
    <font>
      <sz val="11"/>
      <color theme="0" tint="-0.249977111117893"/>
      <name val="Times New Roman"/>
      <family val="1"/>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77">
    <xf numFmtId="0" fontId="0" fillId="0" borderId="0" xfId="0"/>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3" fillId="0" borderId="0" xfId="0" applyFont="1" applyAlignment="1">
      <alignment horizontal="justify"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5"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xf numFmtId="0" fontId="7" fillId="0" borderId="0" xfId="0" applyFont="1" applyAlignment="1">
      <alignment horizontal="left" vertical="center" wrapText="1"/>
    </xf>
    <xf numFmtId="43" fontId="7" fillId="0" borderId="0" xfId="1" applyFont="1" applyAlignment="1">
      <alignment horizontal="left" vertical="center" wrapText="1"/>
    </xf>
    <xf numFmtId="43" fontId="7" fillId="0" borderId="0" xfId="1" applyFont="1"/>
    <xf numFmtId="0" fontId="7" fillId="2" borderId="0" xfId="0" applyFont="1" applyFill="1"/>
    <xf numFmtId="43" fontId="3" fillId="0" borderId="0" xfId="1"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 fontId="6" fillId="0" borderId="1" xfId="0" applyNumberFormat="1" applyFont="1" applyBorder="1" applyAlignment="1">
      <alignment horizontal="right" vertical="center"/>
    </xf>
    <xf numFmtId="43" fontId="6" fillId="0" borderId="1" xfId="1" applyFont="1" applyBorder="1" applyAlignment="1">
      <alignment horizontal="right" vertical="center" wrapText="1"/>
    </xf>
    <xf numFmtId="4" fontId="5" fillId="0" borderId="1" xfId="0" applyNumberFormat="1" applyFont="1" applyBorder="1" applyAlignment="1">
      <alignment horizontal="right"/>
    </xf>
    <xf numFmtId="43" fontId="6" fillId="0" borderId="1" xfId="1" applyFont="1" applyBorder="1" applyAlignment="1">
      <alignment horizontal="right" vertical="center"/>
    </xf>
    <xf numFmtId="0" fontId="6" fillId="0" borderId="1" xfId="0" applyFont="1" applyBorder="1" applyAlignment="1">
      <alignment horizontal="left" vertical="center" wrapText="1"/>
    </xf>
    <xf numFmtId="4" fontId="5" fillId="0" borderId="1" xfId="0" applyNumberFormat="1" applyFont="1" applyBorder="1" applyAlignment="1"/>
    <xf numFmtId="0" fontId="3" fillId="0" borderId="1" xfId="0" applyFont="1" applyBorder="1" applyAlignment="1">
      <alignment vertical="center"/>
    </xf>
    <xf numFmtId="4" fontId="3" fillId="0" borderId="1" xfId="0" applyNumberFormat="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3" fontId="4" fillId="4" borderId="0" xfId="1" applyFont="1" applyFill="1" applyBorder="1" applyAlignment="1">
      <alignment horizontal="right" vertical="center"/>
    </xf>
    <xf numFmtId="4" fontId="4" fillId="4" borderId="0" xfId="0" applyNumberFormat="1" applyFont="1" applyFill="1" applyBorder="1" applyAlignment="1">
      <alignment horizontal="right" vertical="center"/>
    </xf>
    <xf numFmtId="43" fontId="4" fillId="0" borderId="1" xfId="1" applyFont="1" applyBorder="1" applyAlignment="1">
      <alignment horizontal="right" wrapText="1"/>
    </xf>
    <xf numFmtId="0" fontId="3" fillId="0" borderId="0" xfId="0" applyFont="1" applyAlignment="1">
      <alignment vertical="center" wrapText="1"/>
    </xf>
    <xf numFmtId="43" fontId="3" fillId="0" borderId="4" xfId="1" applyFont="1" applyBorder="1" applyAlignment="1">
      <alignment horizontal="right" vertical="center"/>
    </xf>
    <xf numFmtId="43" fontId="6" fillId="0" borderId="4" xfId="1" applyFont="1" applyBorder="1" applyAlignment="1">
      <alignment horizontal="left" vertical="center" wrapText="1"/>
    </xf>
    <xf numFmtId="43" fontId="3" fillId="0" borderId="1" xfId="1" applyFont="1" applyBorder="1" applyAlignment="1">
      <alignment horizontal="right" vertical="center"/>
    </xf>
    <xf numFmtId="43" fontId="6" fillId="0" borderId="1" xfId="1" applyFont="1" applyBorder="1" applyAlignment="1">
      <alignment horizontal="left" vertical="center" wrapText="1"/>
    </xf>
    <xf numFmtId="0" fontId="8" fillId="4" borderId="1" xfId="0" applyFont="1" applyFill="1" applyBorder="1" applyAlignment="1">
      <alignment horizontal="left" vertical="center" wrapText="1"/>
    </xf>
    <xf numFmtId="43" fontId="8" fillId="4" borderId="1" xfId="1" applyFont="1" applyFill="1" applyBorder="1" applyAlignment="1">
      <alignment horizontal="right" vertical="center"/>
    </xf>
    <xf numFmtId="0" fontId="8" fillId="4" borderId="0" xfId="0" applyFont="1" applyFill="1" applyBorder="1" applyAlignment="1">
      <alignment horizontal="left" vertical="center" wrapText="1"/>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10" fontId="2" fillId="0" borderId="1" xfId="0" applyNumberFormat="1" applyFont="1" applyBorder="1"/>
    <xf numFmtId="4" fontId="3" fillId="0" borderId="1" xfId="0" applyNumberFormat="1" applyFont="1" applyBorder="1" applyAlignment="1">
      <alignment horizontal="right" vertical="center"/>
    </xf>
    <xf numFmtId="4" fontId="3" fillId="0" borderId="0" xfId="0" applyNumberFormat="1" applyFont="1"/>
    <xf numFmtId="4" fontId="3" fillId="0" borderId="0" xfId="0" applyNumberFormat="1" applyFont="1" applyAlignment="1">
      <alignment vertical="center"/>
    </xf>
    <xf numFmtId="43" fontId="9" fillId="4" borderId="0" xfId="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5" borderId="1" xfId="0" applyFont="1" applyFill="1" applyBorder="1" applyAlignment="1">
      <alignment vertical="center" wrapText="1"/>
    </xf>
    <xf numFmtId="165" fontId="6" fillId="5" borderId="1" xfId="0" applyNumberFormat="1" applyFont="1" applyFill="1" applyBorder="1" applyAlignment="1">
      <alignment horizontal="right" vertical="center"/>
    </xf>
    <xf numFmtId="43" fontId="6" fillId="5" borderId="1" xfId="1" applyFont="1" applyFill="1" applyBorder="1" applyAlignment="1">
      <alignment horizontal="center" vertical="center"/>
    </xf>
    <xf numFmtId="4" fontId="3" fillId="5"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4" fontId="9" fillId="0" borderId="0" xfId="0" applyNumberFormat="1" applyFont="1" applyFill="1" applyBorder="1" applyAlignment="1">
      <alignment horizontal="right"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3" fontId="5" fillId="4" borderId="0" xfId="1" applyFont="1" applyFill="1" applyBorder="1" applyAlignment="1">
      <alignment horizontal="right" vertical="center"/>
    </xf>
    <xf numFmtId="4" fontId="5" fillId="4" borderId="0" xfId="0" applyNumberFormat="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6" borderId="1" xfId="0" applyFont="1" applyFill="1" applyBorder="1" applyAlignment="1">
      <alignment horizontal="center" vertical="center" wrapText="1"/>
    </xf>
    <xf numFmtId="43" fontId="2" fillId="6" borderId="1" xfId="1"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8" borderId="1" xfId="0" applyFont="1" applyFill="1" applyBorder="1" applyAlignment="1">
      <alignment vertical="center" wrapText="1"/>
    </xf>
    <xf numFmtId="0" fontId="8" fillId="8" borderId="1" xfId="0" applyFont="1" applyFill="1" applyBorder="1" applyAlignment="1">
      <alignment horizontal="center" vertical="center" wrapText="1"/>
    </xf>
    <xf numFmtId="43" fontId="2" fillId="8" borderId="1" xfId="1" applyFont="1" applyFill="1" applyBorder="1" applyAlignment="1">
      <alignment horizontal="center" vertical="center" wrapText="1"/>
    </xf>
    <xf numFmtId="0" fontId="3" fillId="8"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7" borderId="1" xfId="0" applyFont="1" applyFill="1" applyBorder="1" applyAlignment="1">
      <alignment vertical="center" wrapText="1"/>
    </xf>
    <xf numFmtId="4" fontId="2" fillId="7" borderId="1" xfId="0" applyNumberFormat="1" applyFont="1" applyFill="1" applyBorder="1" applyAlignment="1">
      <alignment horizontal="right" vertical="center"/>
    </xf>
    <xf numFmtId="43" fontId="2" fillId="7" borderId="1" xfId="1" applyFont="1" applyFill="1" applyBorder="1" applyAlignment="1">
      <alignment horizontal="right" vertical="center"/>
    </xf>
    <xf numFmtId="4" fontId="3" fillId="7" borderId="1" xfId="0" applyNumberFormat="1" applyFont="1" applyFill="1" applyBorder="1" applyAlignment="1">
      <alignment horizontal="right" vertical="center"/>
    </xf>
    <xf numFmtId="43" fontId="3" fillId="7" borderId="1" xfId="1" applyFont="1" applyFill="1" applyBorder="1" applyAlignment="1">
      <alignment horizontal="right" vertical="center" wrapText="1"/>
    </xf>
    <xf numFmtId="4" fontId="3" fillId="7" borderId="1" xfId="0" applyNumberFormat="1" applyFont="1" applyFill="1" applyBorder="1"/>
    <xf numFmtId="0" fontId="3" fillId="8" borderId="1" xfId="0"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8" fillId="7" borderId="1" xfId="0" applyFont="1" applyFill="1" applyBorder="1" applyAlignment="1">
      <alignment horizontal="left" vertical="center" wrapText="1"/>
    </xf>
    <xf numFmtId="0" fontId="8" fillId="8"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7" borderId="1" xfId="0" applyNumberFormat="1" applyFont="1" applyFill="1" applyBorder="1" applyAlignment="1">
      <alignment horizontal="right" vertical="center"/>
    </xf>
    <xf numFmtId="43" fontId="8" fillId="7" borderId="1" xfId="1" applyFont="1" applyFill="1" applyBorder="1" applyAlignment="1">
      <alignment horizontal="right" vertical="center"/>
    </xf>
    <xf numFmtId="0" fontId="3" fillId="7"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7" borderId="1" xfId="0" applyNumberFormat="1" applyFont="1" applyFill="1" applyBorder="1" applyAlignment="1">
      <alignment horizontal="right" vertical="center" wrapText="1"/>
    </xf>
    <xf numFmtId="43" fontId="2" fillId="7" borderId="1" xfId="1" applyFont="1" applyFill="1" applyBorder="1" applyAlignment="1">
      <alignment horizontal="right" vertical="center" wrapText="1"/>
    </xf>
    <xf numFmtId="4" fontId="3" fillId="7"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 fontId="3" fillId="0" borderId="1" xfId="0" applyNumberFormat="1" applyFont="1" applyBorder="1" applyAlignment="1">
      <alignment horizontal="right"/>
    </xf>
    <xf numFmtId="4" fontId="2" fillId="4" borderId="1" xfId="0" applyNumberFormat="1" applyFont="1" applyFill="1" applyBorder="1" applyAlignment="1">
      <alignment vertical="center"/>
    </xf>
    <xf numFmtId="0" fontId="3" fillId="4" borderId="0" xfId="0" applyFont="1" applyFill="1" applyBorder="1" applyAlignment="1">
      <alignment horizontal="left"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2" fillId="4" borderId="1" xfId="0" applyFont="1" applyFill="1" applyBorder="1" applyAlignment="1">
      <alignment vertical="center" wrapText="1"/>
    </xf>
    <xf numFmtId="0" fontId="2" fillId="0" borderId="1" xfId="0" applyFont="1" applyBorder="1" applyAlignment="1">
      <alignment horizont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43" fontId="9" fillId="0" borderId="0" xfId="1" applyFont="1" applyFill="1" applyBorder="1" applyAlignment="1">
      <alignment horizontal="right" vertical="center"/>
    </xf>
    <xf numFmtId="0" fontId="2" fillId="9" borderId="1" xfId="0" applyFont="1" applyFill="1" applyBorder="1" applyAlignment="1">
      <alignment horizontal="center"/>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0" borderId="1" xfId="1" applyFont="1" applyBorder="1"/>
    <xf numFmtId="43" fontId="3" fillId="2" borderId="0" xfId="0" applyNumberFormat="1" applyFont="1" applyFill="1"/>
    <xf numFmtId="43" fontId="6" fillId="0" borderId="1" xfId="1" applyFont="1" applyBorder="1" applyAlignment="1">
      <alignment vertical="center"/>
    </xf>
    <xf numFmtId="4" fontId="8" fillId="4" borderId="1" xfId="0" applyNumberFormat="1" applyFont="1" applyFill="1" applyBorder="1" applyAlignment="1">
      <alignment vertical="center" wrapText="1"/>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12" fillId="0" borderId="0" xfId="1" applyFont="1"/>
    <xf numFmtId="4" fontId="5" fillId="0" borderId="1" xfId="0" applyNumberFormat="1" applyFont="1" applyBorder="1" applyAlignment="1">
      <alignment horizontal="right" vertical="center" wrapText="1"/>
    </xf>
    <xf numFmtId="43" fontId="5" fillId="0" borderId="1" xfId="1" applyFont="1" applyBorder="1" applyAlignment="1">
      <alignment horizontal="right" vertical="center" wrapText="1"/>
    </xf>
    <xf numFmtId="0" fontId="3" fillId="10" borderId="1" xfId="0" applyFont="1" applyFill="1" applyBorder="1" applyAlignment="1">
      <alignment vertical="center" wrapText="1"/>
    </xf>
    <xf numFmtId="4" fontId="3" fillId="0" borderId="1" xfId="0" applyNumberFormat="1" applyFont="1" applyBorder="1" applyAlignment="1">
      <alignment vertical="center"/>
    </xf>
    <xf numFmtId="43" fontId="2" fillId="4" borderId="1" xfId="1" applyFont="1" applyFill="1" applyBorder="1" applyAlignment="1">
      <alignment horizontal="right" vertical="center" wrapText="1"/>
    </xf>
    <xf numFmtId="4" fontId="13" fillId="2" borderId="0" xfId="0" applyNumberFormat="1" applyFont="1" applyFill="1"/>
    <xf numFmtId="4" fontId="14" fillId="2" borderId="0" xfId="0" applyNumberFormat="1" applyFont="1" applyFill="1"/>
    <xf numFmtId="0" fontId="4" fillId="9"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9" borderId="1" xfId="0" applyFont="1" applyFill="1" applyBorder="1" applyAlignment="1">
      <alignment horizontal="left" vertical="center" wrapText="1"/>
    </xf>
    <xf numFmtId="43" fontId="4" fillId="9" borderId="1" xfId="1" applyFont="1" applyFill="1" applyBorder="1" applyAlignment="1">
      <alignment horizontal="left" vertical="center" wrapText="1"/>
    </xf>
    <xf numFmtId="43" fontId="3" fillId="0" borderId="0" xfId="0" applyNumberFormat="1" applyFont="1"/>
    <xf numFmtId="0" fontId="3" fillId="5" borderId="1" xfId="0" applyFont="1" applyFill="1" applyBorder="1" applyAlignment="1">
      <alignment vertical="center" wrapText="1"/>
    </xf>
    <xf numFmtId="43" fontId="3" fillId="5"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5" fillId="0" borderId="0" xfId="1" applyFont="1"/>
    <xf numFmtId="43" fontId="2" fillId="10" borderId="1" xfId="1" applyFont="1" applyFill="1" applyBorder="1" applyAlignment="1">
      <alignment horizontal="right" wrapText="1"/>
    </xf>
    <xf numFmtId="10" fontId="2" fillId="10" borderId="1" xfId="0" applyNumberFormat="1" applyFont="1" applyFill="1" applyBorder="1"/>
    <xf numFmtId="0" fontId="3" fillId="5"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9" borderId="1" xfId="0" applyNumberFormat="1" applyFont="1" applyFill="1" applyBorder="1" applyAlignment="1">
      <alignment vertical="center"/>
    </xf>
    <xf numFmtId="0" fontId="2" fillId="0" borderId="0" xfId="0" applyFont="1" applyFill="1" applyBorder="1" applyAlignment="1">
      <alignment horizontal="justify" vertical="center" wrapText="1"/>
    </xf>
    <xf numFmtId="4" fontId="8" fillId="0" borderId="0" xfId="0" applyNumberFormat="1" applyFont="1" applyFill="1" applyBorder="1" applyAlignment="1">
      <alignment horizontal="right" vertical="center"/>
    </xf>
    <xf numFmtId="43" fontId="2" fillId="0" borderId="0" xfId="1" applyFont="1" applyBorder="1" applyAlignment="1">
      <alignment horizontal="left" wrapText="1"/>
    </xf>
    <xf numFmtId="0" fontId="2" fillId="10" borderId="0" xfId="0" applyFont="1" applyFill="1"/>
    <xf numFmtId="43" fontId="6" fillId="5" borderId="1" xfId="1" applyFont="1" applyFill="1" applyBorder="1" applyAlignment="1">
      <alignment horizontal="right" vertical="center"/>
    </xf>
    <xf numFmtId="4" fontId="3" fillId="0" borderId="1" xfId="0" applyNumberFormat="1" applyFont="1" applyBorder="1" applyAlignment="1">
      <alignment horizont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43" fontId="3" fillId="0" borderId="1" xfId="1" applyFont="1" applyBorder="1" applyAlignment="1">
      <alignment horizontal="right"/>
    </xf>
    <xf numFmtId="0" fontId="2" fillId="9" borderId="1" xfId="0" applyFont="1" applyFill="1" applyBorder="1"/>
    <xf numFmtId="43" fontId="2" fillId="9"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Fill="1" applyAlignment="1">
      <alignment horizontal="left" vertical="center" wrapText="1"/>
    </xf>
    <xf numFmtId="0" fontId="6" fillId="0" borderId="0" xfId="0" applyFont="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Alignment="1">
      <alignment horizontal="left"/>
    </xf>
    <xf numFmtId="0" fontId="7" fillId="0" borderId="0" xfId="0" applyFont="1" applyAlignment="1">
      <alignment horizontal="left" vertic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3" fillId="0" borderId="0" xfId="0" applyFont="1" applyFill="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2" fillId="0" borderId="5" xfId="0" applyFont="1" applyBorder="1" applyAlignment="1">
      <alignment vertical="center" wrapText="1"/>
    </xf>
    <xf numFmtId="0" fontId="6" fillId="0" borderId="6" xfId="0" applyFont="1" applyBorder="1" applyAlignment="1">
      <alignment horizontal="left" vertical="center" wrapText="1"/>
    </xf>
    <xf numFmtId="0" fontId="10" fillId="0" borderId="0" xfId="0" applyFont="1" applyAlignment="1">
      <alignment horizontal="left" vertical="center" wrapText="1"/>
    </xf>
    <xf numFmtId="0" fontId="2" fillId="4" borderId="1" xfId="0" applyFont="1" applyFill="1" applyBorder="1" applyAlignment="1">
      <alignment horizontal="center" vertical="center"/>
    </xf>
    <xf numFmtId="0" fontId="2" fillId="0" borderId="0" xfId="0" applyFont="1" applyFill="1" applyAlignment="1">
      <alignment horizontal="left" wrapText="1"/>
    </xf>
    <xf numFmtId="0" fontId="5" fillId="0" borderId="0" xfId="0" applyFont="1" applyFill="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704850</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670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97</xdr:row>
      <xdr:rowOff>114300</xdr:rowOff>
    </xdr:from>
    <xdr:to>
      <xdr:col>5</xdr:col>
      <xdr:colOff>0</xdr:colOff>
      <xdr:row>99</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1179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129</xdr:row>
      <xdr:rowOff>123825</xdr:rowOff>
    </xdr:from>
    <xdr:to>
      <xdr:col>5</xdr:col>
      <xdr:colOff>0</xdr:colOff>
      <xdr:row>132</xdr:row>
      <xdr:rowOff>133350</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33450"/>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171</xdr:row>
      <xdr:rowOff>123825</xdr:rowOff>
    </xdr:from>
    <xdr:to>
      <xdr:col>5</xdr:col>
      <xdr:colOff>0</xdr:colOff>
      <xdr:row>174</xdr:row>
      <xdr:rowOff>9525</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886325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229</xdr:row>
      <xdr:rowOff>95250</xdr:rowOff>
    </xdr:from>
    <xdr:to>
      <xdr:col>5</xdr:col>
      <xdr:colOff>0</xdr:colOff>
      <xdr:row>232</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883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406</xdr:row>
      <xdr:rowOff>28575</xdr:rowOff>
    </xdr:from>
    <xdr:to>
      <xdr:col>5</xdr:col>
      <xdr:colOff>0</xdr:colOff>
      <xdr:row>409</xdr:row>
      <xdr:rowOff>85725</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78590775"/>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449</xdr:row>
      <xdr:rowOff>76200</xdr:rowOff>
    </xdr:from>
    <xdr:to>
      <xdr:col>5</xdr:col>
      <xdr:colOff>0</xdr:colOff>
      <xdr:row>451</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363425"/>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488</xdr:row>
      <xdr:rowOff>85725</xdr:rowOff>
    </xdr:from>
    <xdr:to>
      <xdr:col>5</xdr:col>
      <xdr:colOff>0</xdr:colOff>
      <xdr:row>491</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631375"/>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533</xdr:row>
      <xdr:rowOff>57150</xdr:rowOff>
    </xdr:from>
    <xdr:to>
      <xdr:col>5</xdr:col>
      <xdr:colOff>0</xdr:colOff>
      <xdr:row>536</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85183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579</xdr:row>
      <xdr:rowOff>104775</xdr:rowOff>
    </xdr:from>
    <xdr:to>
      <xdr:col>5</xdr:col>
      <xdr:colOff>0</xdr:colOff>
      <xdr:row>581</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81576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352</xdr:row>
      <xdr:rowOff>133350</xdr:rowOff>
    </xdr:from>
    <xdr:to>
      <xdr:col>5</xdr:col>
      <xdr:colOff>0</xdr:colOff>
      <xdr:row>355</xdr:row>
      <xdr:rowOff>76200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68477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625</xdr:row>
      <xdr:rowOff>28575</xdr:rowOff>
    </xdr:from>
    <xdr:to>
      <xdr:col>5</xdr:col>
      <xdr:colOff>0</xdr:colOff>
      <xdr:row>628</xdr:row>
      <xdr:rowOff>95250</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2795885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318</xdr:row>
          <xdr:rowOff>0</xdr:rowOff>
        </xdr:from>
        <xdr:to>
          <xdr:col>33</xdr:col>
          <xdr:colOff>421217</xdr:colOff>
          <xdr:row>353</xdr:row>
          <xdr:rowOff>114300</xdr:rowOff>
        </xdr:to>
        <xdr:pic>
          <xdr:nvPicPr>
            <xdr:cNvPr id="16" name="Imagen 16"/>
            <xdr:cNvPicPr>
              <a:picLocks noChangeAspect="1" noChangeArrowheads="1"/>
              <a:extLst>
                <a:ext uri="{84589F7E-364E-4C9E-8A38-B11213B215E9}">
                  <a14:cameraTool cellRange="[1]nota13!$B$6:$K$33" spid="_x0000_s1050"/>
                </a:ext>
              </a:extLst>
            </xdr:cNvPicPr>
          </xdr:nvPicPr>
          <xdr:blipFill>
            <a:blip xmlns:r="http://schemas.openxmlformats.org/officeDocument/2006/relationships" r:embed="rId3"/>
            <a:srcRect/>
            <a:stretch>
              <a:fillRect/>
            </a:stretch>
          </xdr:blipFill>
          <xdr:spPr bwMode="auto">
            <a:xfrm>
              <a:off x="85725" y="62188725"/>
              <a:ext cx="9641417" cy="6667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rillop/Downloads/ESTADO%20CORAAMOCA%20CG%20%20SEM1%20202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
      <sheetName val="Pres"/>
      <sheetName val="BALANZA"/>
      <sheetName val="BALANZA G"/>
      <sheetName val="DE"/>
      <sheetName val="Pres A"/>
      <sheetName val="25A"/>
      <sheetName val="Notas NF"/>
      <sheetName val="nota13"/>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sheetData sheetId="2">
        <row r="3">
          <cell r="B3" t="str">
            <v>30 de junio del 2024</v>
          </cell>
          <cell r="C3" t="str">
            <v>- 2023</v>
          </cell>
        </row>
        <row r="4">
          <cell r="B4">
            <v>2024</v>
          </cell>
          <cell r="C4">
            <v>2023</v>
          </cell>
        </row>
        <row r="21">
          <cell r="B21" t="str">
            <v>CUENTA  9604127870</v>
          </cell>
          <cell r="C21">
            <v>937623.2</v>
          </cell>
        </row>
      </sheetData>
      <sheetData sheetId="3">
        <row r="12">
          <cell r="C12">
            <v>0</v>
          </cell>
          <cell r="D12">
            <v>0</v>
          </cell>
        </row>
        <row r="13">
          <cell r="C13">
            <v>110000</v>
          </cell>
          <cell r="D13">
            <v>110000</v>
          </cell>
        </row>
        <row r="15">
          <cell r="C15">
            <v>80000</v>
          </cell>
          <cell r="D15">
            <v>80000</v>
          </cell>
        </row>
        <row r="22">
          <cell r="C22">
            <v>0</v>
          </cell>
          <cell r="D22">
            <v>0</v>
          </cell>
        </row>
        <row r="23">
          <cell r="C23">
            <v>273250.45</v>
          </cell>
          <cell r="D23">
            <v>253900.45</v>
          </cell>
        </row>
        <row r="24">
          <cell r="C24">
            <v>33577403.869999997</v>
          </cell>
          <cell r="D24">
            <v>55744300.140000001</v>
          </cell>
        </row>
        <row r="25">
          <cell r="C25">
            <v>696670.93</v>
          </cell>
          <cell r="D25">
            <v>1810906.34</v>
          </cell>
        </row>
        <row r="26">
          <cell r="C26">
            <v>937623.2</v>
          </cell>
          <cell r="D26">
            <v>717865.13</v>
          </cell>
        </row>
        <row r="27">
          <cell r="C27">
            <v>220323664.75999999</v>
          </cell>
          <cell r="D27">
            <v>181835467.61000001</v>
          </cell>
        </row>
        <row r="28">
          <cell r="C28">
            <v>0</v>
          </cell>
          <cell r="D28">
            <v>0</v>
          </cell>
        </row>
        <row r="30">
          <cell r="C30">
            <v>453000</v>
          </cell>
          <cell r="D30">
            <v>453000</v>
          </cell>
        </row>
        <row r="34">
          <cell r="C34">
            <v>1350.12</v>
          </cell>
          <cell r="D34">
            <v>1350.12</v>
          </cell>
        </row>
        <row r="35">
          <cell r="C35">
            <v>1350.12</v>
          </cell>
        </row>
        <row r="40">
          <cell r="C40">
            <v>0</v>
          </cell>
          <cell r="D40">
            <v>0</v>
          </cell>
        </row>
        <row r="41">
          <cell r="C41">
            <v>18231182.800000001</v>
          </cell>
          <cell r="D41">
            <v>27856960.68</v>
          </cell>
        </row>
        <row r="48">
          <cell r="C48">
            <v>149285.06</v>
          </cell>
          <cell r="D48">
            <v>106467.47</v>
          </cell>
        </row>
        <row r="55">
          <cell r="C55">
            <v>1623675</v>
          </cell>
          <cell r="D55">
            <v>1623675</v>
          </cell>
        </row>
        <row r="58">
          <cell r="C58">
            <v>953149176.46000004</v>
          </cell>
          <cell r="D58">
            <v>953149176.46000004</v>
          </cell>
        </row>
        <row r="59">
          <cell r="C59">
            <v>3620347.32</v>
          </cell>
          <cell r="D59">
            <v>3448747.32</v>
          </cell>
        </row>
        <row r="62">
          <cell r="C62">
            <v>48572302.979999997</v>
          </cell>
          <cell r="D62">
            <v>48572302.979999997</v>
          </cell>
        </row>
        <row r="63">
          <cell r="C63">
            <v>10165018.76</v>
          </cell>
          <cell r="D63">
            <v>9835781.5199999996</v>
          </cell>
        </row>
        <row r="66">
          <cell r="C66">
            <v>396650</v>
          </cell>
          <cell r="D66">
            <v>396650</v>
          </cell>
        </row>
        <row r="67">
          <cell r="C67">
            <v>5463229.0700000003</v>
          </cell>
          <cell r="D67">
            <v>5382149.0700000003</v>
          </cell>
        </row>
        <row r="69">
          <cell r="C69">
            <v>175165.5</v>
          </cell>
          <cell r="D69">
            <v>243708</v>
          </cell>
        </row>
        <row r="70">
          <cell r="C70">
            <v>24266945.620000001</v>
          </cell>
          <cell r="D70">
            <v>24047513.5</v>
          </cell>
        </row>
        <row r="72">
          <cell r="C72">
            <v>932591.88</v>
          </cell>
        </row>
        <row r="82">
          <cell r="C82">
            <v>102179.83</v>
          </cell>
          <cell r="D82">
            <v>142163</v>
          </cell>
        </row>
        <row r="86">
          <cell r="C86">
            <v>0</v>
          </cell>
          <cell r="D86">
            <v>0</v>
          </cell>
        </row>
        <row r="87">
          <cell r="C87">
            <v>3605.1</v>
          </cell>
          <cell r="D87">
            <v>2740.6</v>
          </cell>
        </row>
        <row r="88">
          <cell r="C88">
            <v>0</v>
          </cell>
          <cell r="D88">
            <v>0</v>
          </cell>
        </row>
        <row r="89">
          <cell r="C89">
            <v>172.63</v>
          </cell>
          <cell r="D89">
            <v>-243449.60000000001</v>
          </cell>
        </row>
        <row r="90">
          <cell r="C90">
            <v>0</v>
          </cell>
          <cell r="D90">
            <v>92405.93</v>
          </cell>
        </row>
        <row r="91">
          <cell r="C91">
            <v>0.01</v>
          </cell>
          <cell r="D91">
            <v>24300</v>
          </cell>
        </row>
        <row r="92">
          <cell r="C92">
            <v>0</v>
          </cell>
          <cell r="D92">
            <v>0</v>
          </cell>
        </row>
        <row r="93">
          <cell r="C93">
            <v>268485.17</v>
          </cell>
          <cell r="D93">
            <v>256808.17</v>
          </cell>
        </row>
        <row r="96">
          <cell r="C96">
            <v>0</v>
          </cell>
          <cell r="D96">
            <v>0</v>
          </cell>
        </row>
        <row r="97">
          <cell r="C97">
            <v>0</v>
          </cell>
          <cell r="D97">
            <v>0</v>
          </cell>
        </row>
        <row r="99">
          <cell r="C99">
            <v>12330058.119999999</v>
          </cell>
          <cell r="D99">
            <v>10883421.02</v>
          </cell>
        </row>
        <row r="100">
          <cell r="C100">
            <v>7106.65</v>
          </cell>
          <cell r="D100">
            <v>7106.65</v>
          </cell>
        </row>
        <row r="101">
          <cell r="C101">
            <v>1436011.51</v>
          </cell>
          <cell r="D101">
            <v>1419668.51</v>
          </cell>
        </row>
        <row r="106">
          <cell r="C106">
            <v>252299.3</v>
          </cell>
          <cell r="D106">
            <v>252299.3</v>
          </cell>
        </row>
        <row r="107">
          <cell r="C107">
            <v>0</v>
          </cell>
          <cell r="D107">
            <v>0</v>
          </cell>
        </row>
        <row r="110">
          <cell r="C110">
            <v>0</v>
          </cell>
          <cell r="D110">
            <v>0</v>
          </cell>
        </row>
        <row r="122">
          <cell r="C122">
            <v>324545105.69999999</v>
          </cell>
        </row>
        <row r="123">
          <cell r="C123">
            <v>-88460972.420000002</v>
          </cell>
        </row>
        <row r="127">
          <cell r="C127">
            <v>87431949.00999999</v>
          </cell>
        </row>
        <row r="139">
          <cell r="C139">
            <v>0</v>
          </cell>
        </row>
        <row r="143">
          <cell r="C143">
            <v>28254359</v>
          </cell>
          <cell r="D143">
            <v>11795171.060000001</v>
          </cell>
        </row>
        <row r="144">
          <cell r="C144">
            <v>41370000</v>
          </cell>
          <cell r="D144">
            <v>0</v>
          </cell>
        </row>
        <row r="145">
          <cell r="C145">
            <v>27771916.02</v>
          </cell>
          <cell r="D145">
            <v>20661129</v>
          </cell>
        </row>
        <row r="151">
          <cell r="C151">
            <v>74074164</v>
          </cell>
          <cell r="D151">
            <v>74637564</v>
          </cell>
        </row>
        <row r="152">
          <cell r="C152">
            <v>0</v>
          </cell>
          <cell r="D152">
            <v>0</v>
          </cell>
        </row>
        <row r="153">
          <cell r="C153">
            <v>0</v>
          </cell>
          <cell r="D153">
            <v>0</v>
          </cell>
        </row>
        <row r="154">
          <cell r="C154">
            <v>0</v>
          </cell>
          <cell r="D154">
            <v>0</v>
          </cell>
        </row>
        <row r="155">
          <cell r="C155">
            <v>0</v>
          </cell>
          <cell r="D155">
            <v>0</v>
          </cell>
        </row>
        <row r="156">
          <cell r="C156">
            <v>0</v>
          </cell>
          <cell r="D156">
            <v>0</v>
          </cell>
        </row>
        <row r="157">
          <cell r="C157">
            <v>47180.65</v>
          </cell>
          <cell r="D157">
            <v>108768.92</v>
          </cell>
        </row>
        <row r="158">
          <cell r="C158">
            <v>540175</v>
          </cell>
          <cell r="D158">
            <v>509435</v>
          </cell>
        </row>
        <row r="159">
          <cell r="C159">
            <v>3351510</v>
          </cell>
          <cell r="D159">
            <v>3271134.28</v>
          </cell>
        </row>
        <row r="160">
          <cell r="C160">
            <v>0</v>
          </cell>
          <cell r="D160">
            <v>0</v>
          </cell>
        </row>
        <row r="161">
          <cell r="C161">
            <v>0</v>
          </cell>
          <cell r="D161">
            <v>0</v>
          </cell>
        </row>
        <row r="162">
          <cell r="C162">
            <v>0</v>
          </cell>
          <cell r="D162">
            <v>0</v>
          </cell>
        </row>
        <row r="163">
          <cell r="C163">
            <v>1715.66</v>
          </cell>
          <cell r="D163">
            <v>0</v>
          </cell>
        </row>
        <row r="165">
          <cell r="C165">
            <v>0</v>
          </cell>
          <cell r="D165">
            <v>0</v>
          </cell>
        </row>
        <row r="166">
          <cell r="C166">
            <v>1465000</v>
          </cell>
          <cell r="D166">
            <v>1290000</v>
          </cell>
        </row>
        <row r="167">
          <cell r="C167">
            <v>0</v>
          </cell>
          <cell r="D167">
            <v>0</v>
          </cell>
        </row>
        <row r="168">
          <cell r="C168">
            <v>0</v>
          </cell>
          <cell r="D168">
            <v>0</v>
          </cell>
        </row>
        <row r="169">
          <cell r="C169">
            <v>0</v>
          </cell>
          <cell r="D169">
            <v>0</v>
          </cell>
        </row>
        <row r="171">
          <cell r="C171">
            <v>0</v>
          </cell>
          <cell r="D171">
            <v>0</v>
          </cell>
        </row>
        <row r="172">
          <cell r="C172">
            <v>0</v>
          </cell>
          <cell r="D172">
            <v>0</v>
          </cell>
        </row>
        <row r="173">
          <cell r="C173">
            <v>0</v>
          </cell>
          <cell r="D173">
            <v>0</v>
          </cell>
        </row>
        <row r="176">
          <cell r="C176">
            <v>5286056.46</v>
          </cell>
          <cell r="D176">
            <v>5289226.54</v>
          </cell>
        </row>
        <row r="177">
          <cell r="C177">
            <v>3913449.67</v>
          </cell>
          <cell r="D177">
            <v>5307903.51</v>
          </cell>
        </row>
        <row r="178">
          <cell r="C178">
            <v>2263824.7400000002</v>
          </cell>
          <cell r="D178">
            <v>886712.76</v>
          </cell>
        </row>
        <row r="184">
          <cell r="C184">
            <v>55900</v>
          </cell>
          <cell r="D184">
            <v>189211.5</v>
          </cell>
        </row>
        <row r="185">
          <cell r="C185">
            <v>0</v>
          </cell>
          <cell r="D185">
            <v>0</v>
          </cell>
        </row>
        <row r="189">
          <cell r="C189">
            <v>0</v>
          </cell>
          <cell r="D189">
            <v>232775</v>
          </cell>
        </row>
        <row r="190">
          <cell r="C190">
            <v>856131.17</v>
          </cell>
          <cell r="D190">
            <v>785426.84</v>
          </cell>
        </row>
        <row r="191">
          <cell r="C191">
            <v>343887.04</v>
          </cell>
          <cell r="D191">
            <v>541380.68000000005</v>
          </cell>
        </row>
        <row r="192">
          <cell r="C192">
            <v>0</v>
          </cell>
          <cell r="D192">
            <v>0</v>
          </cell>
        </row>
        <row r="193">
          <cell r="C193">
            <v>192320.6</v>
          </cell>
          <cell r="D193">
            <v>185815.64</v>
          </cell>
        </row>
        <row r="194">
          <cell r="C194">
            <v>31698102.710000001</v>
          </cell>
          <cell r="D194">
            <v>26183712.109999999</v>
          </cell>
        </row>
        <row r="195">
          <cell r="C195">
            <v>205465.68</v>
          </cell>
          <cell r="D195">
            <v>426121.78</v>
          </cell>
        </row>
        <row r="196">
          <cell r="C196">
            <v>287800</v>
          </cell>
          <cell r="D196">
            <v>722427.5</v>
          </cell>
        </row>
        <row r="197">
          <cell r="C197">
            <v>207341.45</v>
          </cell>
          <cell r="D197">
            <v>4649.2</v>
          </cell>
        </row>
        <row r="198">
          <cell r="C198">
            <v>0</v>
          </cell>
          <cell r="D198">
            <v>0</v>
          </cell>
        </row>
        <row r="199">
          <cell r="C199">
            <v>0</v>
          </cell>
          <cell r="D199">
            <v>0</v>
          </cell>
        </row>
        <row r="200">
          <cell r="C200">
            <v>175</v>
          </cell>
          <cell r="D200">
            <v>0</v>
          </cell>
        </row>
        <row r="201">
          <cell r="C201">
            <v>0</v>
          </cell>
          <cell r="D201">
            <v>0</v>
          </cell>
        </row>
        <row r="203">
          <cell r="C203">
            <v>26678.6</v>
          </cell>
          <cell r="D203">
            <v>714107.78</v>
          </cell>
        </row>
        <row r="204">
          <cell r="C204">
            <v>62614.5</v>
          </cell>
          <cell r="D204">
            <v>133772.75</v>
          </cell>
        </row>
        <row r="205">
          <cell r="C205">
            <v>0</v>
          </cell>
          <cell r="D205">
            <v>0</v>
          </cell>
        </row>
        <row r="206">
          <cell r="C206">
            <v>0</v>
          </cell>
          <cell r="D206">
            <v>197000</v>
          </cell>
        </row>
        <row r="207">
          <cell r="C207">
            <v>568000</v>
          </cell>
          <cell r="D207">
            <v>0</v>
          </cell>
        </row>
        <row r="208">
          <cell r="C208">
            <v>0</v>
          </cell>
          <cell r="D208">
            <v>0</v>
          </cell>
        </row>
        <row r="209">
          <cell r="C209">
            <v>100699.58</v>
          </cell>
          <cell r="D209">
            <v>0</v>
          </cell>
        </row>
        <row r="210">
          <cell r="C210">
            <v>223927.67999999999</v>
          </cell>
          <cell r="D210">
            <v>222027.02</v>
          </cell>
        </row>
        <row r="211">
          <cell r="C211">
            <v>90096.48</v>
          </cell>
          <cell r="D211">
            <v>90096.48</v>
          </cell>
        </row>
        <row r="213">
          <cell r="C213">
            <v>127000</v>
          </cell>
          <cell r="D213">
            <v>0</v>
          </cell>
        </row>
        <row r="214">
          <cell r="C214">
            <v>869174.42</v>
          </cell>
          <cell r="D214">
            <v>8950</v>
          </cell>
        </row>
        <row r="215">
          <cell r="C215">
            <v>6234547.2000000002</v>
          </cell>
          <cell r="D215">
            <v>-14367754.27</v>
          </cell>
        </row>
        <row r="216">
          <cell r="C216">
            <v>0</v>
          </cell>
          <cell r="D216">
            <v>0</v>
          </cell>
        </row>
        <row r="217">
          <cell r="C217">
            <v>0</v>
          </cell>
          <cell r="D217">
            <v>0</v>
          </cell>
        </row>
        <row r="218">
          <cell r="C218">
            <v>193141.82</v>
          </cell>
          <cell r="D218">
            <v>0</v>
          </cell>
        </row>
        <row r="219">
          <cell r="C219">
            <v>0</v>
          </cell>
          <cell r="D219">
            <v>3370</v>
          </cell>
        </row>
        <row r="220">
          <cell r="C220">
            <v>12500</v>
          </cell>
          <cell r="D220">
            <v>0</v>
          </cell>
        </row>
        <row r="221">
          <cell r="C221">
            <v>0</v>
          </cell>
          <cell r="D221">
            <v>0</v>
          </cell>
        </row>
        <row r="222">
          <cell r="C222">
            <v>0</v>
          </cell>
          <cell r="D222">
            <v>0</v>
          </cell>
        </row>
        <row r="223">
          <cell r="C223">
            <v>661795.93999999994</v>
          </cell>
          <cell r="D223">
            <v>359552.46</v>
          </cell>
        </row>
        <row r="224">
          <cell r="C224">
            <v>220000</v>
          </cell>
        </row>
        <row r="225">
          <cell r="C225">
            <v>1769</v>
          </cell>
          <cell r="D225">
            <v>7008.25</v>
          </cell>
        </row>
        <row r="226">
          <cell r="C226">
            <v>14473.85</v>
          </cell>
          <cell r="D226">
            <v>4997.93</v>
          </cell>
        </row>
        <row r="227">
          <cell r="C227">
            <v>0</v>
          </cell>
          <cell r="D227">
            <v>0</v>
          </cell>
        </row>
        <row r="229">
          <cell r="C229">
            <v>0</v>
          </cell>
          <cell r="D229">
            <v>0</v>
          </cell>
        </row>
        <row r="230">
          <cell r="C230">
            <v>0</v>
          </cell>
          <cell r="D230">
            <v>0</v>
          </cell>
        </row>
        <row r="231">
          <cell r="C231">
            <v>354384.54</v>
          </cell>
          <cell r="D231">
            <v>357743.84</v>
          </cell>
        </row>
        <row r="232">
          <cell r="C232">
            <v>20015.84</v>
          </cell>
          <cell r="D232">
            <v>42900</v>
          </cell>
        </row>
        <row r="233">
          <cell r="C233">
            <v>0</v>
          </cell>
          <cell r="D233">
            <v>0</v>
          </cell>
        </row>
        <row r="234">
          <cell r="C234">
            <v>223728.81</v>
          </cell>
          <cell r="D234">
            <v>911694.92</v>
          </cell>
        </row>
        <row r="235">
          <cell r="C235">
            <v>521700</v>
          </cell>
          <cell r="D235">
            <v>350554.48</v>
          </cell>
        </row>
        <row r="236">
          <cell r="C236">
            <v>1585425.5</v>
          </cell>
          <cell r="D236">
            <v>4822952.43</v>
          </cell>
        </row>
        <row r="237">
          <cell r="C237">
            <v>0</v>
          </cell>
          <cell r="D237">
            <v>0</v>
          </cell>
        </row>
        <row r="242">
          <cell r="C242">
            <v>359873.96</v>
          </cell>
        </row>
        <row r="244">
          <cell r="C244">
            <v>10612.02</v>
          </cell>
        </row>
        <row r="245">
          <cell r="C245">
            <v>0</v>
          </cell>
          <cell r="D245">
            <v>0</v>
          </cell>
        </row>
        <row r="246">
          <cell r="C246">
            <v>0</v>
          </cell>
          <cell r="D246">
            <v>9856.9500000000007</v>
          </cell>
        </row>
        <row r="248">
          <cell r="C248">
            <v>54806.5</v>
          </cell>
          <cell r="D248">
            <v>715992</v>
          </cell>
        </row>
        <row r="249">
          <cell r="C249">
            <v>204450</v>
          </cell>
          <cell r="D249">
            <v>0</v>
          </cell>
        </row>
        <row r="250">
          <cell r="C250">
            <v>120780.5</v>
          </cell>
          <cell r="D250">
            <v>110500</v>
          </cell>
        </row>
        <row r="252">
          <cell r="C252">
            <v>2994400</v>
          </cell>
          <cell r="D252">
            <v>3532450</v>
          </cell>
        </row>
        <row r="253">
          <cell r="C253">
            <v>1320250</v>
          </cell>
          <cell r="D253">
            <v>1323000</v>
          </cell>
        </row>
        <row r="254">
          <cell r="C254">
            <v>0</v>
          </cell>
          <cell r="D254">
            <v>1610</v>
          </cell>
        </row>
        <row r="255">
          <cell r="C255">
            <v>125164</v>
          </cell>
        </row>
        <row r="256">
          <cell r="C256">
            <v>1226292</v>
          </cell>
        </row>
        <row r="257">
          <cell r="C257">
            <v>0</v>
          </cell>
        </row>
        <row r="258">
          <cell r="C258">
            <v>3945</v>
          </cell>
          <cell r="D258">
            <v>5721</v>
          </cell>
        </row>
        <row r="259">
          <cell r="C259">
            <v>0</v>
          </cell>
        </row>
        <row r="261">
          <cell r="C261">
            <v>123855.94</v>
          </cell>
        </row>
        <row r="262">
          <cell r="C262">
            <v>73634.009999999995</v>
          </cell>
        </row>
        <row r="263">
          <cell r="C263">
            <v>56331.27</v>
          </cell>
        </row>
        <row r="264">
          <cell r="C264">
            <v>1654.83</v>
          </cell>
        </row>
        <row r="265">
          <cell r="C265">
            <v>159082.45000000001</v>
          </cell>
        </row>
        <row r="266">
          <cell r="C266">
            <v>0</v>
          </cell>
        </row>
        <row r="267">
          <cell r="C267">
            <v>10687</v>
          </cell>
        </row>
        <row r="269">
          <cell r="C269">
            <v>1239375</v>
          </cell>
        </row>
        <row r="270">
          <cell r="C270">
            <v>0</v>
          </cell>
        </row>
        <row r="271">
          <cell r="C271">
            <v>2542.37</v>
          </cell>
        </row>
        <row r="272">
          <cell r="C272">
            <v>1374466.46</v>
          </cell>
        </row>
        <row r="273">
          <cell r="C273">
            <v>0</v>
          </cell>
        </row>
        <row r="274">
          <cell r="C274">
            <v>0</v>
          </cell>
        </row>
        <row r="275">
          <cell r="C275">
            <v>0</v>
          </cell>
        </row>
        <row r="276">
          <cell r="C276">
            <v>349911.52</v>
          </cell>
        </row>
        <row r="277">
          <cell r="C277">
            <v>0</v>
          </cell>
        </row>
        <row r="278">
          <cell r="C278">
            <v>0</v>
          </cell>
        </row>
        <row r="279">
          <cell r="C279">
            <v>0</v>
          </cell>
        </row>
        <row r="280">
          <cell r="C280">
            <v>3011</v>
          </cell>
        </row>
        <row r="281">
          <cell r="C281">
            <v>0</v>
          </cell>
        </row>
        <row r="282">
          <cell r="C282">
            <v>0</v>
          </cell>
        </row>
        <row r="284">
          <cell r="C284">
            <v>0</v>
          </cell>
        </row>
        <row r="285">
          <cell r="C285">
            <v>0</v>
          </cell>
          <cell r="D285">
            <v>0</v>
          </cell>
        </row>
        <row r="288">
          <cell r="C288">
            <v>473568.28</v>
          </cell>
          <cell r="D288">
            <v>2056762.66</v>
          </cell>
        </row>
        <row r="289">
          <cell r="D289">
            <v>199000</v>
          </cell>
        </row>
        <row r="290">
          <cell r="D290">
            <v>0</v>
          </cell>
        </row>
      </sheetData>
      <sheetData sheetId="4"/>
      <sheetData sheetId="5">
        <row r="289">
          <cell r="E289">
            <v>29759044</v>
          </cell>
        </row>
        <row r="290">
          <cell r="E290">
            <v>41322258</v>
          </cell>
        </row>
        <row r="291">
          <cell r="E291">
            <v>118200000</v>
          </cell>
        </row>
        <row r="295">
          <cell r="E295">
            <v>222257238</v>
          </cell>
        </row>
      </sheetData>
      <sheetData sheetId="6"/>
      <sheetData sheetId="7">
        <row r="593">
          <cell r="D593">
            <v>312123.5</v>
          </cell>
        </row>
      </sheetData>
      <sheetData sheetId="8">
        <row r="14">
          <cell r="K14">
            <v>23515520.119999997</v>
          </cell>
        </row>
        <row r="17">
          <cell r="K17">
            <v>834813663.58000016</v>
          </cell>
        </row>
        <row r="28">
          <cell r="E28">
            <v>220360422.87</v>
          </cell>
          <cell r="F28">
            <v>24689545.350000001</v>
          </cell>
          <cell r="H28">
            <v>10876825.58</v>
          </cell>
          <cell r="I28">
            <v>34810179.979999997</v>
          </cell>
        </row>
        <row r="29">
          <cell r="E29">
            <v>25248051.370000005</v>
          </cell>
          <cell r="F29">
            <v>780111.56999999832</v>
          </cell>
          <cell r="G29">
            <v>8638.7799999999988</v>
          </cell>
          <cell r="H29">
            <v>340373.11999999965</v>
          </cell>
          <cell r="I29">
            <v>1668929.1400000006</v>
          </cell>
          <cell r="K29">
            <v>28046103.980000004</v>
          </cell>
        </row>
        <row r="32">
          <cell r="K32">
            <v>793722193.80999994</v>
          </cell>
        </row>
      </sheetData>
      <sheetData sheetId="9"/>
      <sheetData sheetId="10">
        <row r="11">
          <cell r="B11">
            <v>255918613.20999998</v>
          </cell>
          <cell r="C11">
            <v>240472439.67000002</v>
          </cell>
        </row>
        <row r="12">
          <cell r="B12">
            <v>453000</v>
          </cell>
          <cell r="C12">
            <v>453000</v>
          </cell>
        </row>
        <row r="14">
          <cell r="B14">
            <v>1350.12</v>
          </cell>
          <cell r="C14">
            <v>1350.12</v>
          </cell>
        </row>
        <row r="15">
          <cell r="B15">
            <v>18231182.800000001</v>
          </cell>
          <cell r="C15">
            <v>27856960.68</v>
          </cell>
        </row>
        <row r="16">
          <cell r="B16">
            <v>149285.06</v>
          </cell>
          <cell r="C16">
            <v>106467.47</v>
          </cell>
        </row>
        <row r="17">
          <cell r="B17">
            <v>193172</v>
          </cell>
          <cell r="C17">
            <v>193172</v>
          </cell>
        </row>
        <row r="25">
          <cell r="B25">
            <v>72985.67</v>
          </cell>
          <cell r="C25">
            <v>101545</v>
          </cell>
        </row>
        <row r="31">
          <cell r="B31">
            <v>13773176.219999999</v>
          </cell>
          <cell r="C31">
            <v>12310196.18</v>
          </cell>
        </row>
        <row r="34">
          <cell r="B34">
            <v>524562.21</v>
          </cell>
          <cell r="C34">
            <v>385104.4</v>
          </cell>
        </row>
        <row r="56">
          <cell r="B56">
            <v>1054444044.24</v>
          </cell>
          <cell r="C56">
            <v>1091303297.9400001</v>
          </cell>
        </row>
      </sheetData>
      <sheetData sheetId="11">
        <row r="11">
          <cell r="B11">
            <v>87431949.00999999</v>
          </cell>
          <cell r="C11">
            <v>93999897.140000001</v>
          </cell>
        </row>
        <row r="12">
          <cell r="B12">
            <v>97396275.019999996</v>
          </cell>
          <cell r="C12">
            <v>32456300.060000002</v>
          </cell>
        </row>
        <row r="13">
          <cell r="B13">
            <v>0</v>
          </cell>
          <cell r="C13">
            <v>0</v>
          </cell>
        </row>
        <row r="17">
          <cell r="B17">
            <v>-90943076.179999992</v>
          </cell>
          <cell r="C17">
            <v>-93357507.670000017</v>
          </cell>
        </row>
        <row r="18">
          <cell r="B18">
            <v>-473568.28</v>
          </cell>
          <cell r="C18">
            <v>-199000</v>
          </cell>
        </row>
        <row r="19">
          <cell r="B19">
            <v>-10035125.83</v>
          </cell>
          <cell r="C19">
            <v>-28017255.399999999</v>
          </cell>
        </row>
        <row r="20">
          <cell r="B20">
            <v>-28133686.730000004</v>
          </cell>
          <cell r="C20">
            <v>-23637374.120000001</v>
          </cell>
        </row>
        <row r="22">
          <cell r="B22">
            <v>-45384412.809999995</v>
          </cell>
          <cell r="C22">
            <v>-22772750.480000004</v>
          </cell>
        </row>
        <row r="23">
          <cell r="B23">
            <v>-354384.54</v>
          </cell>
          <cell r="C23">
            <v>-357743.84</v>
          </cell>
        </row>
        <row r="30">
          <cell r="C30">
            <v>-41885434.310000017</v>
          </cell>
        </row>
        <row r="35">
          <cell r="B35">
            <v>9503969.6599999964</v>
          </cell>
        </row>
      </sheetData>
      <sheetData sheetId="12"/>
      <sheetData sheetId="13">
        <row r="16">
          <cell r="E16">
            <v>324395677.64999998</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25">
          <cell r="J25">
            <v>0</v>
          </cell>
          <cell r="K25">
            <v>0</v>
          </cell>
          <cell r="L25">
            <v>0</v>
          </cell>
          <cell r="M25">
            <v>0</v>
          </cell>
          <cell r="N25">
            <v>0</v>
          </cell>
          <cell r="O25">
            <v>0</v>
          </cell>
        </row>
        <row r="26">
          <cell r="J26">
            <v>0</v>
          </cell>
          <cell r="K26">
            <v>0</v>
          </cell>
          <cell r="L26">
            <v>0</v>
          </cell>
          <cell r="M26">
            <v>0</v>
          </cell>
          <cell r="N26">
            <v>0</v>
          </cell>
          <cell r="O26">
            <v>0</v>
          </cell>
        </row>
        <row r="27">
          <cell r="J27">
            <v>0</v>
          </cell>
          <cell r="K27">
            <v>0</v>
          </cell>
          <cell r="L27">
            <v>0</v>
          </cell>
          <cell r="M27">
            <v>0</v>
          </cell>
          <cell r="N27">
            <v>0</v>
          </cell>
          <cell r="O27">
            <v>0</v>
          </cell>
        </row>
      </sheetData>
      <sheetData sheetId="52"/>
      <sheetData sheetId="53"/>
      <sheetData sheetId="54"/>
      <sheetData sheetId="55"/>
      <sheetData sheetId="56"/>
      <sheetData sheetId="57"/>
      <sheetData sheetId="58"/>
      <sheetData sheetId="59"/>
      <sheetData sheetId="60"/>
      <sheetData sheetId="6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E671"/>
  <sheetViews>
    <sheetView tabSelected="1" topLeftCell="A445" workbookViewId="0">
      <selection activeCell="AE450" sqref="AE450"/>
    </sheetView>
  </sheetViews>
  <sheetFormatPr baseColWidth="10" defaultColWidth="9.140625" defaultRowHeight="15" x14ac:dyDescent="0.25"/>
  <cols>
    <col min="1" max="1" width="1.28515625" style="1" customWidth="1"/>
    <col min="2" max="2" width="44.5703125" style="15" customWidth="1"/>
    <col min="3" max="3" width="17.140625" style="1" customWidth="1"/>
    <col min="4" max="4" width="18.5703125" style="2" customWidth="1"/>
    <col min="5" max="5" width="17.140625" style="1" customWidth="1"/>
    <col min="6" max="6" width="1" style="1" customWidth="1"/>
    <col min="7" max="7" width="7" style="1" hidden="1" customWidth="1"/>
    <col min="8" max="9" width="15.140625" style="1" hidden="1" customWidth="1"/>
    <col min="10" max="10" width="14.85546875" style="2" hidden="1" customWidth="1"/>
    <col min="11" max="11" width="14.85546875" style="1" hidden="1" customWidth="1"/>
    <col min="12" max="12" width="13.85546875" style="1" hidden="1" customWidth="1"/>
    <col min="13" max="13" width="15.140625" style="1" hidden="1" customWidth="1"/>
    <col min="14" max="14" width="13.85546875" style="2" hidden="1" customWidth="1"/>
    <col min="15" max="17" width="15.140625" style="1" hidden="1" customWidth="1"/>
    <col min="18" max="18" width="15" style="3" hidden="1" customWidth="1"/>
    <col min="19" max="19" width="11.7109375" style="3" hidden="1" customWidth="1"/>
    <col min="20" max="22" width="4" style="3" hidden="1" customWidth="1"/>
    <col min="23" max="23" width="3.5703125" style="3" hidden="1" customWidth="1"/>
    <col min="24" max="25" width="15.140625" style="3" hidden="1" customWidth="1"/>
    <col min="26" max="26" width="15.140625" style="2" hidden="1" customWidth="1"/>
    <col min="27" max="27" width="19.85546875" style="1" hidden="1" customWidth="1"/>
    <col min="28" max="28" width="8.85546875" style="1" hidden="1" customWidth="1"/>
    <col min="29" max="29" width="12" style="1" hidden="1" customWidth="1"/>
    <col min="30" max="30" width="12.42578125" style="1" bestFit="1" customWidth="1"/>
    <col min="31" max="256" width="9.140625" style="1"/>
    <col min="257" max="257" width="1.28515625" style="1" customWidth="1"/>
    <col min="258" max="258" width="44.5703125" style="1" customWidth="1"/>
    <col min="259" max="259" width="17.140625" style="1" customWidth="1"/>
    <col min="260" max="260" width="18.5703125" style="1" customWidth="1"/>
    <col min="261" max="261" width="17.140625" style="1" customWidth="1"/>
    <col min="262" max="262" width="1" style="1" customWidth="1"/>
    <col min="263" max="285" width="0" style="1" hidden="1" customWidth="1"/>
    <col min="286" max="286" width="12.42578125" style="1" bestFit="1" customWidth="1"/>
    <col min="287" max="512" width="9.140625" style="1"/>
    <col min="513" max="513" width="1.28515625" style="1" customWidth="1"/>
    <col min="514" max="514" width="44.5703125" style="1" customWidth="1"/>
    <col min="515" max="515" width="17.140625" style="1" customWidth="1"/>
    <col min="516" max="516" width="18.5703125" style="1" customWidth="1"/>
    <col min="517" max="517" width="17.140625" style="1" customWidth="1"/>
    <col min="518" max="518" width="1" style="1" customWidth="1"/>
    <col min="519" max="541" width="0" style="1" hidden="1" customWidth="1"/>
    <col min="542" max="542" width="12.42578125" style="1" bestFit="1" customWidth="1"/>
    <col min="543" max="768" width="9.140625" style="1"/>
    <col min="769" max="769" width="1.28515625" style="1" customWidth="1"/>
    <col min="770" max="770" width="44.5703125" style="1" customWidth="1"/>
    <col min="771" max="771" width="17.140625" style="1" customWidth="1"/>
    <col min="772" max="772" width="18.5703125" style="1" customWidth="1"/>
    <col min="773" max="773" width="17.140625" style="1" customWidth="1"/>
    <col min="774" max="774" width="1" style="1" customWidth="1"/>
    <col min="775" max="797" width="0" style="1" hidden="1" customWidth="1"/>
    <col min="798" max="798" width="12.42578125" style="1" bestFit="1" customWidth="1"/>
    <col min="799" max="1024" width="9.140625" style="1"/>
    <col min="1025" max="1025" width="1.28515625" style="1" customWidth="1"/>
    <col min="1026" max="1026" width="44.5703125" style="1" customWidth="1"/>
    <col min="1027" max="1027" width="17.140625" style="1" customWidth="1"/>
    <col min="1028" max="1028" width="18.5703125" style="1" customWidth="1"/>
    <col min="1029" max="1029" width="17.140625" style="1" customWidth="1"/>
    <col min="1030" max="1030" width="1" style="1" customWidth="1"/>
    <col min="1031" max="1053" width="0" style="1" hidden="1" customWidth="1"/>
    <col min="1054" max="1054" width="12.42578125" style="1" bestFit="1" customWidth="1"/>
    <col min="1055" max="1280" width="9.140625" style="1"/>
    <col min="1281" max="1281" width="1.28515625" style="1" customWidth="1"/>
    <col min="1282" max="1282" width="44.5703125" style="1" customWidth="1"/>
    <col min="1283" max="1283" width="17.140625" style="1" customWidth="1"/>
    <col min="1284" max="1284" width="18.5703125" style="1" customWidth="1"/>
    <col min="1285" max="1285" width="17.140625" style="1" customWidth="1"/>
    <col min="1286" max="1286" width="1" style="1" customWidth="1"/>
    <col min="1287" max="1309" width="0" style="1" hidden="1" customWidth="1"/>
    <col min="1310" max="1310" width="12.42578125" style="1" bestFit="1" customWidth="1"/>
    <col min="1311" max="1536" width="9.140625" style="1"/>
    <col min="1537" max="1537" width="1.28515625" style="1" customWidth="1"/>
    <col min="1538" max="1538" width="44.5703125" style="1" customWidth="1"/>
    <col min="1539" max="1539" width="17.140625" style="1" customWidth="1"/>
    <col min="1540" max="1540" width="18.5703125" style="1" customWidth="1"/>
    <col min="1541" max="1541" width="17.140625" style="1" customWidth="1"/>
    <col min="1542" max="1542" width="1" style="1" customWidth="1"/>
    <col min="1543" max="1565" width="0" style="1" hidden="1" customWidth="1"/>
    <col min="1566" max="1566" width="12.42578125" style="1" bestFit="1" customWidth="1"/>
    <col min="1567" max="1792" width="9.140625" style="1"/>
    <col min="1793" max="1793" width="1.28515625" style="1" customWidth="1"/>
    <col min="1794" max="1794" width="44.5703125" style="1" customWidth="1"/>
    <col min="1795" max="1795" width="17.140625" style="1" customWidth="1"/>
    <col min="1796" max="1796" width="18.5703125" style="1" customWidth="1"/>
    <col min="1797" max="1797" width="17.140625" style="1" customWidth="1"/>
    <col min="1798" max="1798" width="1" style="1" customWidth="1"/>
    <col min="1799" max="1821" width="0" style="1" hidden="1" customWidth="1"/>
    <col min="1822" max="1822" width="12.42578125" style="1" bestFit="1" customWidth="1"/>
    <col min="1823" max="2048" width="9.140625" style="1"/>
    <col min="2049" max="2049" width="1.28515625" style="1" customWidth="1"/>
    <col min="2050" max="2050" width="44.5703125" style="1" customWidth="1"/>
    <col min="2051" max="2051" width="17.140625" style="1" customWidth="1"/>
    <col min="2052" max="2052" width="18.5703125" style="1" customWidth="1"/>
    <col min="2053" max="2053" width="17.140625" style="1" customWidth="1"/>
    <col min="2054" max="2054" width="1" style="1" customWidth="1"/>
    <col min="2055" max="2077" width="0" style="1" hidden="1" customWidth="1"/>
    <col min="2078" max="2078" width="12.42578125" style="1" bestFit="1" customWidth="1"/>
    <col min="2079" max="2304" width="9.140625" style="1"/>
    <col min="2305" max="2305" width="1.28515625" style="1" customWidth="1"/>
    <col min="2306" max="2306" width="44.5703125" style="1" customWidth="1"/>
    <col min="2307" max="2307" width="17.140625" style="1" customWidth="1"/>
    <col min="2308" max="2308" width="18.5703125" style="1" customWidth="1"/>
    <col min="2309" max="2309" width="17.140625" style="1" customWidth="1"/>
    <col min="2310" max="2310" width="1" style="1" customWidth="1"/>
    <col min="2311" max="2333" width="0" style="1" hidden="1" customWidth="1"/>
    <col min="2334" max="2334" width="12.42578125" style="1" bestFit="1" customWidth="1"/>
    <col min="2335" max="2560" width="9.140625" style="1"/>
    <col min="2561" max="2561" width="1.28515625" style="1" customWidth="1"/>
    <col min="2562" max="2562" width="44.5703125" style="1" customWidth="1"/>
    <col min="2563" max="2563" width="17.140625" style="1" customWidth="1"/>
    <col min="2564" max="2564" width="18.5703125" style="1" customWidth="1"/>
    <col min="2565" max="2565" width="17.140625" style="1" customWidth="1"/>
    <col min="2566" max="2566" width="1" style="1" customWidth="1"/>
    <col min="2567" max="2589" width="0" style="1" hidden="1" customWidth="1"/>
    <col min="2590" max="2590" width="12.42578125" style="1" bestFit="1" customWidth="1"/>
    <col min="2591" max="2816" width="9.140625" style="1"/>
    <col min="2817" max="2817" width="1.28515625" style="1" customWidth="1"/>
    <col min="2818" max="2818" width="44.5703125" style="1" customWidth="1"/>
    <col min="2819" max="2819" width="17.140625" style="1" customWidth="1"/>
    <col min="2820" max="2820" width="18.5703125" style="1" customWidth="1"/>
    <col min="2821" max="2821" width="17.140625" style="1" customWidth="1"/>
    <col min="2822" max="2822" width="1" style="1" customWidth="1"/>
    <col min="2823" max="2845" width="0" style="1" hidden="1" customWidth="1"/>
    <col min="2846" max="2846" width="12.42578125" style="1" bestFit="1" customWidth="1"/>
    <col min="2847" max="3072" width="9.140625" style="1"/>
    <col min="3073" max="3073" width="1.28515625" style="1" customWidth="1"/>
    <col min="3074" max="3074" width="44.5703125" style="1" customWidth="1"/>
    <col min="3075" max="3075" width="17.140625" style="1" customWidth="1"/>
    <col min="3076" max="3076" width="18.5703125" style="1" customWidth="1"/>
    <col min="3077" max="3077" width="17.140625" style="1" customWidth="1"/>
    <col min="3078" max="3078" width="1" style="1" customWidth="1"/>
    <col min="3079" max="3101" width="0" style="1" hidden="1" customWidth="1"/>
    <col min="3102" max="3102" width="12.42578125" style="1" bestFit="1" customWidth="1"/>
    <col min="3103" max="3328" width="9.140625" style="1"/>
    <col min="3329" max="3329" width="1.28515625" style="1" customWidth="1"/>
    <col min="3330" max="3330" width="44.5703125" style="1" customWidth="1"/>
    <col min="3331" max="3331" width="17.140625" style="1" customWidth="1"/>
    <col min="3332" max="3332" width="18.5703125" style="1" customWidth="1"/>
    <col min="3333" max="3333" width="17.140625" style="1" customWidth="1"/>
    <col min="3334" max="3334" width="1" style="1" customWidth="1"/>
    <col min="3335" max="3357" width="0" style="1" hidden="1" customWidth="1"/>
    <col min="3358" max="3358" width="12.42578125" style="1" bestFit="1" customWidth="1"/>
    <col min="3359" max="3584" width="9.140625" style="1"/>
    <col min="3585" max="3585" width="1.28515625" style="1" customWidth="1"/>
    <col min="3586" max="3586" width="44.5703125" style="1" customWidth="1"/>
    <col min="3587" max="3587" width="17.140625" style="1" customWidth="1"/>
    <col min="3588" max="3588" width="18.5703125" style="1" customWidth="1"/>
    <col min="3589" max="3589" width="17.140625" style="1" customWidth="1"/>
    <col min="3590" max="3590" width="1" style="1" customWidth="1"/>
    <col min="3591" max="3613" width="0" style="1" hidden="1" customWidth="1"/>
    <col min="3614" max="3614" width="12.42578125" style="1" bestFit="1" customWidth="1"/>
    <col min="3615" max="3840" width="9.140625" style="1"/>
    <col min="3841" max="3841" width="1.28515625" style="1" customWidth="1"/>
    <col min="3842" max="3842" width="44.5703125" style="1" customWidth="1"/>
    <col min="3843" max="3843" width="17.140625" style="1" customWidth="1"/>
    <col min="3844" max="3844" width="18.5703125" style="1" customWidth="1"/>
    <col min="3845" max="3845" width="17.140625" style="1" customWidth="1"/>
    <col min="3846" max="3846" width="1" style="1" customWidth="1"/>
    <col min="3847" max="3869" width="0" style="1" hidden="1" customWidth="1"/>
    <col min="3870" max="3870" width="12.42578125" style="1" bestFit="1" customWidth="1"/>
    <col min="3871" max="4096" width="9.140625" style="1"/>
    <col min="4097" max="4097" width="1.28515625" style="1" customWidth="1"/>
    <col min="4098" max="4098" width="44.5703125" style="1" customWidth="1"/>
    <col min="4099" max="4099" width="17.140625" style="1" customWidth="1"/>
    <col min="4100" max="4100" width="18.5703125" style="1" customWidth="1"/>
    <col min="4101" max="4101" width="17.140625" style="1" customWidth="1"/>
    <col min="4102" max="4102" width="1" style="1" customWidth="1"/>
    <col min="4103" max="4125" width="0" style="1" hidden="1" customWidth="1"/>
    <col min="4126" max="4126" width="12.42578125" style="1" bestFit="1" customWidth="1"/>
    <col min="4127" max="4352" width="9.140625" style="1"/>
    <col min="4353" max="4353" width="1.28515625" style="1" customWidth="1"/>
    <col min="4354" max="4354" width="44.5703125" style="1" customWidth="1"/>
    <col min="4355" max="4355" width="17.140625" style="1" customWidth="1"/>
    <col min="4356" max="4356" width="18.5703125" style="1" customWidth="1"/>
    <col min="4357" max="4357" width="17.140625" style="1" customWidth="1"/>
    <col min="4358" max="4358" width="1" style="1" customWidth="1"/>
    <col min="4359" max="4381" width="0" style="1" hidden="1" customWidth="1"/>
    <col min="4382" max="4382" width="12.42578125" style="1" bestFit="1" customWidth="1"/>
    <col min="4383" max="4608" width="9.140625" style="1"/>
    <col min="4609" max="4609" width="1.28515625" style="1" customWidth="1"/>
    <col min="4610" max="4610" width="44.5703125" style="1" customWidth="1"/>
    <col min="4611" max="4611" width="17.140625" style="1" customWidth="1"/>
    <col min="4612" max="4612" width="18.5703125" style="1" customWidth="1"/>
    <col min="4613" max="4613" width="17.140625" style="1" customWidth="1"/>
    <col min="4614" max="4614" width="1" style="1" customWidth="1"/>
    <col min="4615" max="4637" width="0" style="1" hidden="1" customWidth="1"/>
    <col min="4638" max="4638" width="12.42578125" style="1" bestFit="1" customWidth="1"/>
    <col min="4639" max="4864" width="9.140625" style="1"/>
    <col min="4865" max="4865" width="1.28515625" style="1" customWidth="1"/>
    <col min="4866" max="4866" width="44.5703125" style="1" customWidth="1"/>
    <col min="4867" max="4867" width="17.140625" style="1" customWidth="1"/>
    <col min="4868" max="4868" width="18.5703125" style="1" customWidth="1"/>
    <col min="4869" max="4869" width="17.140625" style="1" customWidth="1"/>
    <col min="4870" max="4870" width="1" style="1" customWidth="1"/>
    <col min="4871" max="4893" width="0" style="1" hidden="1" customWidth="1"/>
    <col min="4894" max="4894" width="12.42578125" style="1" bestFit="1" customWidth="1"/>
    <col min="4895" max="5120" width="9.140625" style="1"/>
    <col min="5121" max="5121" width="1.28515625" style="1" customWidth="1"/>
    <col min="5122" max="5122" width="44.5703125" style="1" customWidth="1"/>
    <col min="5123" max="5123" width="17.140625" style="1" customWidth="1"/>
    <col min="5124" max="5124" width="18.5703125" style="1" customWidth="1"/>
    <col min="5125" max="5125" width="17.140625" style="1" customWidth="1"/>
    <col min="5126" max="5126" width="1" style="1" customWidth="1"/>
    <col min="5127" max="5149" width="0" style="1" hidden="1" customWidth="1"/>
    <col min="5150" max="5150" width="12.42578125" style="1" bestFit="1" customWidth="1"/>
    <col min="5151" max="5376" width="9.140625" style="1"/>
    <col min="5377" max="5377" width="1.28515625" style="1" customWidth="1"/>
    <col min="5378" max="5378" width="44.5703125" style="1" customWidth="1"/>
    <col min="5379" max="5379" width="17.140625" style="1" customWidth="1"/>
    <col min="5380" max="5380" width="18.5703125" style="1" customWidth="1"/>
    <col min="5381" max="5381" width="17.140625" style="1" customWidth="1"/>
    <col min="5382" max="5382" width="1" style="1" customWidth="1"/>
    <col min="5383" max="5405" width="0" style="1" hidden="1" customWidth="1"/>
    <col min="5406" max="5406" width="12.42578125" style="1" bestFit="1" customWidth="1"/>
    <col min="5407" max="5632" width="9.140625" style="1"/>
    <col min="5633" max="5633" width="1.28515625" style="1" customWidth="1"/>
    <col min="5634" max="5634" width="44.5703125" style="1" customWidth="1"/>
    <col min="5635" max="5635" width="17.140625" style="1" customWidth="1"/>
    <col min="5636" max="5636" width="18.5703125" style="1" customWidth="1"/>
    <col min="5637" max="5637" width="17.140625" style="1" customWidth="1"/>
    <col min="5638" max="5638" width="1" style="1" customWidth="1"/>
    <col min="5639" max="5661" width="0" style="1" hidden="1" customWidth="1"/>
    <col min="5662" max="5662" width="12.42578125" style="1" bestFit="1" customWidth="1"/>
    <col min="5663" max="5888" width="9.140625" style="1"/>
    <col min="5889" max="5889" width="1.28515625" style="1" customWidth="1"/>
    <col min="5890" max="5890" width="44.5703125" style="1" customWidth="1"/>
    <col min="5891" max="5891" width="17.140625" style="1" customWidth="1"/>
    <col min="5892" max="5892" width="18.5703125" style="1" customWidth="1"/>
    <col min="5893" max="5893" width="17.140625" style="1" customWidth="1"/>
    <col min="5894" max="5894" width="1" style="1" customWidth="1"/>
    <col min="5895" max="5917" width="0" style="1" hidden="1" customWidth="1"/>
    <col min="5918" max="5918" width="12.42578125" style="1" bestFit="1" customWidth="1"/>
    <col min="5919" max="6144" width="9.140625" style="1"/>
    <col min="6145" max="6145" width="1.28515625" style="1" customWidth="1"/>
    <col min="6146" max="6146" width="44.5703125" style="1" customWidth="1"/>
    <col min="6147" max="6147" width="17.140625" style="1" customWidth="1"/>
    <col min="6148" max="6148" width="18.5703125" style="1" customWidth="1"/>
    <col min="6149" max="6149" width="17.140625" style="1" customWidth="1"/>
    <col min="6150" max="6150" width="1" style="1" customWidth="1"/>
    <col min="6151" max="6173" width="0" style="1" hidden="1" customWidth="1"/>
    <col min="6174" max="6174" width="12.42578125" style="1" bestFit="1" customWidth="1"/>
    <col min="6175" max="6400" width="9.140625" style="1"/>
    <col min="6401" max="6401" width="1.28515625" style="1" customWidth="1"/>
    <col min="6402" max="6402" width="44.5703125" style="1" customWidth="1"/>
    <col min="6403" max="6403" width="17.140625" style="1" customWidth="1"/>
    <col min="6404" max="6404" width="18.5703125" style="1" customWidth="1"/>
    <col min="6405" max="6405" width="17.140625" style="1" customWidth="1"/>
    <col min="6406" max="6406" width="1" style="1" customWidth="1"/>
    <col min="6407" max="6429" width="0" style="1" hidden="1" customWidth="1"/>
    <col min="6430" max="6430" width="12.42578125" style="1" bestFit="1" customWidth="1"/>
    <col min="6431" max="6656" width="9.140625" style="1"/>
    <col min="6657" max="6657" width="1.28515625" style="1" customWidth="1"/>
    <col min="6658" max="6658" width="44.5703125" style="1" customWidth="1"/>
    <col min="6659" max="6659" width="17.140625" style="1" customWidth="1"/>
    <col min="6660" max="6660" width="18.5703125" style="1" customWidth="1"/>
    <col min="6661" max="6661" width="17.140625" style="1" customWidth="1"/>
    <col min="6662" max="6662" width="1" style="1" customWidth="1"/>
    <col min="6663" max="6685" width="0" style="1" hidden="1" customWidth="1"/>
    <col min="6686" max="6686" width="12.42578125" style="1" bestFit="1" customWidth="1"/>
    <col min="6687" max="6912" width="9.140625" style="1"/>
    <col min="6913" max="6913" width="1.28515625" style="1" customWidth="1"/>
    <col min="6914" max="6914" width="44.5703125" style="1" customWidth="1"/>
    <col min="6915" max="6915" width="17.140625" style="1" customWidth="1"/>
    <col min="6916" max="6916" width="18.5703125" style="1" customWidth="1"/>
    <col min="6917" max="6917" width="17.140625" style="1" customWidth="1"/>
    <col min="6918" max="6918" width="1" style="1" customWidth="1"/>
    <col min="6919" max="6941" width="0" style="1" hidden="1" customWidth="1"/>
    <col min="6942" max="6942" width="12.42578125" style="1" bestFit="1" customWidth="1"/>
    <col min="6943" max="7168" width="9.140625" style="1"/>
    <col min="7169" max="7169" width="1.28515625" style="1" customWidth="1"/>
    <col min="7170" max="7170" width="44.5703125" style="1" customWidth="1"/>
    <col min="7171" max="7171" width="17.140625" style="1" customWidth="1"/>
    <col min="7172" max="7172" width="18.5703125" style="1" customWidth="1"/>
    <col min="7173" max="7173" width="17.140625" style="1" customWidth="1"/>
    <col min="7174" max="7174" width="1" style="1" customWidth="1"/>
    <col min="7175" max="7197" width="0" style="1" hidden="1" customWidth="1"/>
    <col min="7198" max="7198" width="12.42578125" style="1" bestFit="1" customWidth="1"/>
    <col min="7199" max="7424" width="9.140625" style="1"/>
    <col min="7425" max="7425" width="1.28515625" style="1" customWidth="1"/>
    <col min="7426" max="7426" width="44.5703125" style="1" customWidth="1"/>
    <col min="7427" max="7427" width="17.140625" style="1" customWidth="1"/>
    <col min="7428" max="7428" width="18.5703125" style="1" customWidth="1"/>
    <col min="7429" max="7429" width="17.140625" style="1" customWidth="1"/>
    <col min="7430" max="7430" width="1" style="1" customWidth="1"/>
    <col min="7431" max="7453" width="0" style="1" hidden="1" customWidth="1"/>
    <col min="7454" max="7454" width="12.42578125" style="1" bestFit="1" customWidth="1"/>
    <col min="7455" max="7680" width="9.140625" style="1"/>
    <col min="7681" max="7681" width="1.28515625" style="1" customWidth="1"/>
    <col min="7682" max="7682" width="44.5703125" style="1" customWidth="1"/>
    <col min="7683" max="7683" width="17.140625" style="1" customWidth="1"/>
    <col min="7684" max="7684" width="18.5703125" style="1" customWidth="1"/>
    <col min="7685" max="7685" width="17.140625" style="1" customWidth="1"/>
    <col min="7686" max="7686" width="1" style="1" customWidth="1"/>
    <col min="7687" max="7709" width="0" style="1" hidden="1" customWidth="1"/>
    <col min="7710" max="7710" width="12.42578125" style="1" bestFit="1" customWidth="1"/>
    <col min="7711" max="7936" width="9.140625" style="1"/>
    <col min="7937" max="7937" width="1.28515625" style="1" customWidth="1"/>
    <col min="7938" max="7938" width="44.5703125" style="1" customWidth="1"/>
    <col min="7939" max="7939" width="17.140625" style="1" customWidth="1"/>
    <col min="7940" max="7940" width="18.5703125" style="1" customWidth="1"/>
    <col min="7941" max="7941" width="17.140625" style="1" customWidth="1"/>
    <col min="7942" max="7942" width="1" style="1" customWidth="1"/>
    <col min="7943" max="7965" width="0" style="1" hidden="1" customWidth="1"/>
    <col min="7966" max="7966" width="12.42578125" style="1" bestFit="1" customWidth="1"/>
    <col min="7967" max="8192" width="9.140625" style="1"/>
    <col min="8193" max="8193" width="1.28515625" style="1" customWidth="1"/>
    <col min="8194" max="8194" width="44.5703125" style="1" customWidth="1"/>
    <col min="8195" max="8195" width="17.140625" style="1" customWidth="1"/>
    <col min="8196" max="8196" width="18.5703125" style="1" customWidth="1"/>
    <col min="8197" max="8197" width="17.140625" style="1" customWidth="1"/>
    <col min="8198" max="8198" width="1" style="1" customWidth="1"/>
    <col min="8199" max="8221" width="0" style="1" hidden="1" customWidth="1"/>
    <col min="8222" max="8222" width="12.42578125" style="1" bestFit="1" customWidth="1"/>
    <col min="8223" max="8448" width="9.140625" style="1"/>
    <col min="8449" max="8449" width="1.28515625" style="1" customWidth="1"/>
    <col min="8450" max="8450" width="44.5703125" style="1" customWidth="1"/>
    <col min="8451" max="8451" width="17.140625" style="1" customWidth="1"/>
    <col min="8452" max="8452" width="18.5703125" style="1" customWidth="1"/>
    <col min="8453" max="8453" width="17.140625" style="1" customWidth="1"/>
    <col min="8454" max="8454" width="1" style="1" customWidth="1"/>
    <col min="8455" max="8477" width="0" style="1" hidden="1" customWidth="1"/>
    <col min="8478" max="8478" width="12.42578125" style="1" bestFit="1" customWidth="1"/>
    <col min="8479" max="8704" width="9.140625" style="1"/>
    <col min="8705" max="8705" width="1.28515625" style="1" customWidth="1"/>
    <col min="8706" max="8706" width="44.5703125" style="1" customWidth="1"/>
    <col min="8707" max="8707" width="17.140625" style="1" customWidth="1"/>
    <col min="8708" max="8708" width="18.5703125" style="1" customWidth="1"/>
    <col min="8709" max="8709" width="17.140625" style="1" customWidth="1"/>
    <col min="8710" max="8710" width="1" style="1" customWidth="1"/>
    <col min="8711" max="8733" width="0" style="1" hidden="1" customWidth="1"/>
    <col min="8734" max="8734" width="12.42578125" style="1" bestFit="1" customWidth="1"/>
    <col min="8735" max="8960" width="9.140625" style="1"/>
    <col min="8961" max="8961" width="1.28515625" style="1" customWidth="1"/>
    <col min="8962" max="8962" width="44.5703125" style="1" customWidth="1"/>
    <col min="8963" max="8963" width="17.140625" style="1" customWidth="1"/>
    <col min="8964" max="8964" width="18.5703125" style="1" customWidth="1"/>
    <col min="8965" max="8965" width="17.140625" style="1" customWidth="1"/>
    <col min="8966" max="8966" width="1" style="1" customWidth="1"/>
    <col min="8967" max="8989" width="0" style="1" hidden="1" customWidth="1"/>
    <col min="8990" max="8990" width="12.42578125" style="1" bestFit="1" customWidth="1"/>
    <col min="8991" max="9216" width="9.140625" style="1"/>
    <col min="9217" max="9217" width="1.28515625" style="1" customWidth="1"/>
    <col min="9218" max="9218" width="44.5703125" style="1" customWidth="1"/>
    <col min="9219" max="9219" width="17.140625" style="1" customWidth="1"/>
    <col min="9220" max="9220" width="18.5703125" style="1" customWidth="1"/>
    <col min="9221" max="9221" width="17.140625" style="1" customWidth="1"/>
    <col min="9222" max="9222" width="1" style="1" customWidth="1"/>
    <col min="9223" max="9245" width="0" style="1" hidden="1" customWidth="1"/>
    <col min="9246" max="9246" width="12.42578125" style="1" bestFit="1" customWidth="1"/>
    <col min="9247" max="9472" width="9.140625" style="1"/>
    <col min="9473" max="9473" width="1.28515625" style="1" customWidth="1"/>
    <col min="9474" max="9474" width="44.5703125" style="1" customWidth="1"/>
    <col min="9475" max="9475" width="17.140625" style="1" customWidth="1"/>
    <col min="9476" max="9476" width="18.5703125" style="1" customWidth="1"/>
    <col min="9477" max="9477" width="17.140625" style="1" customWidth="1"/>
    <col min="9478" max="9478" width="1" style="1" customWidth="1"/>
    <col min="9479" max="9501" width="0" style="1" hidden="1" customWidth="1"/>
    <col min="9502" max="9502" width="12.42578125" style="1" bestFit="1" customWidth="1"/>
    <col min="9503" max="9728" width="9.140625" style="1"/>
    <col min="9729" max="9729" width="1.28515625" style="1" customWidth="1"/>
    <col min="9730" max="9730" width="44.5703125" style="1" customWidth="1"/>
    <col min="9731" max="9731" width="17.140625" style="1" customWidth="1"/>
    <col min="9732" max="9732" width="18.5703125" style="1" customWidth="1"/>
    <col min="9733" max="9733" width="17.140625" style="1" customWidth="1"/>
    <col min="9734" max="9734" width="1" style="1" customWidth="1"/>
    <col min="9735" max="9757" width="0" style="1" hidden="1" customWidth="1"/>
    <col min="9758" max="9758" width="12.42578125" style="1" bestFit="1" customWidth="1"/>
    <col min="9759" max="9984" width="9.140625" style="1"/>
    <col min="9985" max="9985" width="1.28515625" style="1" customWidth="1"/>
    <col min="9986" max="9986" width="44.5703125" style="1" customWidth="1"/>
    <col min="9987" max="9987" width="17.140625" style="1" customWidth="1"/>
    <col min="9988" max="9988" width="18.5703125" style="1" customWidth="1"/>
    <col min="9989" max="9989" width="17.140625" style="1" customWidth="1"/>
    <col min="9990" max="9990" width="1" style="1" customWidth="1"/>
    <col min="9991" max="10013" width="0" style="1" hidden="1" customWidth="1"/>
    <col min="10014" max="10014" width="12.42578125" style="1" bestFit="1" customWidth="1"/>
    <col min="10015" max="10240" width="9.140625" style="1"/>
    <col min="10241" max="10241" width="1.28515625" style="1" customWidth="1"/>
    <col min="10242" max="10242" width="44.5703125" style="1" customWidth="1"/>
    <col min="10243" max="10243" width="17.140625" style="1" customWidth="1"/>
    <col min="10244" max="10244" width="18.5703125" style="1" customWidth="1"/>
    <col min="10245" max="10245" width="17.140625" style="1" customWidth="1"/>
    <col min="10246" max="10246" width="1" style="1" customWidth="1"/>
    <col min="10247" max="10269" width="0" style="1" hidden="1" customWidth="1"/>
    <col min="10270" max="10270" width="12.42578125" style="1" bestFit="1" customWidth="1"/>
    <col min="10271" max="10496" width="9.140625" style="1"/>
    <col min="10497" max="10497" width="1.28515625" style="1" customWidth="1"/>
    <col min="10498" max="10498" width="44.5703125" style="1" customWidth="1"/>
    <col min="10499" max="10499" width="17.140625" style="1" customWidth="1"/>
    <col min="10500" max="10500" width="18.5703125" style="1" customWidth="1"/>
    <col min="10501" max="10501" width="17.140625" style="1" customWidth="1"/>
    <col min="10502" max="10502" width="1" style="1" customWidth="1"/>
    <col min="10503" max="10525" width="0" style="1" hidden="1" customWidth="1"/>
    <col min="10526" max="10526" width="12.42578125" style="1" bestFit="1" customWidth="1"/>
    <col min="10527" max="10752" width="9.140625" style="1"/>
    <col min="10753" max="10753" width="1.28515625" style="1" customWidth="1"/>
    <col min="10754" max="10754" width="44.5703125" style="1" customWidth="1"/>
    <col min="10755" max="10755" width="17.140625" style="1" customWidth="1"/>
    <col min="10756" max="10756" width="18.5703125" style="1" customWidth="1"/>
    <col min="10757" max="10757" width="17.140625" style="1" customWidth="1"/>
    <col min="10758" max="10758" width="1" style="1" customWidth="1"/>
    <col min="10759" max="10781" width="0" style="1" hidden="1" customWidth="1"/>
    <col min="10782" max="10782" width="12.42578125" style="1" bestFit="1" customWidth="1"/>
    <col min="10783" max="11008" width="9.140625" style="1"/>
    <col min="11009" max="11009" width="1.28515625" style="1" customWidth="1"/>
    <col min="11010" max="11010" width="44.5703125" style="1" customWidth="1"/>
    <col min="11011" max="11011" width="17.140625" style="1" customWidth="1"/>
    <col min="11012" max="11012" width="18.5703125" style="1" customWidth="1"/>
    <col min="11013" max="11013" width="17.140625" style="1" customWidth="1"/>
    <col min="11014" max="11014" width="1" style="1" customWidth="1"/>
    <col min="11015" max="11037" width="0" style="1" hidden="1" customWidth="1"/>
    <col min="11038" max="11038" width="12.42578125" style="1" bestFit="1" customWidth="1"/>
    <col min="11039" max="11264" width="9.140625" style="1"/>
    <col min="11265" max="11265" width="1.28515625" style="1" customWidth="1"/>
    <col min="11266" max="11266" width="44.5703125" style="1" customWidth="1"/>
    <col min="11267" max="11267" width="17.140625" style="1" customWidth="1"/>
    <col min="11268" max="11268" width="18.5703125" style="1" customWidth="1"/>
    <col min="11269" max="11269" width="17.140625" style="1" customWidth="1"/>
    <col min="11270" max="11270" width="1" style="1" customWidth="1"/>
    <col min="11271" max="11293" width="0" style="1" hidden="1" customWidth="1"/>
    <col min="11294" max="11294" width="12.42578125" style="1" bestFit="1" customWidth="1"/>
    <col min="11295" max="11520" width="9.140625" style="1"/>
    <col min="11521" max="11521" width="1.28515625" style="1" customWidth="1"/>
    <col min="11522" max="11522" width="44.5703125" style="1" customWidth="1"/>
    <col min="11523" max="11523" width="17.140625" style="1" customWidth="1"/>
    <col min="11524" max="11524" width="18.5703125" style="1" customWidth="1"/>
    <col min="11525" max="11525" width="17.140625" style="1" customWidth="1"/>
    <col min="11526" max="11526" width="1" style="1" customWidth="1"/>
    <col min="11527" max="11549" width="0" style="1" hidden="1" customWidth="1"/>
    <col min="11550" max="11550" width="12.42578125" style="1" bestFit="1" customWidth="1"/>
    <col min="11551" max="11776" width="9.140625" style="1"/>
    <col min="11777" max="11777" width="1.28515625" style="1" customWidth="1"/>
    <col min="11778" max="11778" width="44.5703125" style="1" customWidth="1"/>
    <col min="11779" max="11779" width="17.140625" style="1" customWidth="1"/>
    <col min="11780" max="11780" width="18.5703125" style="1" customWidth="1"/>
    <col min="11781" max="11781" width="17.140625" style="1" customWidth="1"/>
    <col min="11782" max="11782" width="1" style="1" customWidth="1"/>
    <col min="11783" max="11805" width="0" style="1" hidden="1" customWidth="1"/>
    <col min="11806" max="11806" width="12.42578125" style="1" bestFit="1" customWidth="1"/>
    <col min="11807" max="12032" width="9.140625" style="1"/>
    <col min="12033" max="12033" width="1.28515625" style="1" customWidth="1"/>
    <col min="12034" max="12034" width="44.5703125" style="1" customWidth="1"/>
    <col min="12035" max="12035" width="17.140625" style="1" customWidth="1"/>
    <col min="12036" max="12036" width="18.5703125" style="1" customWidth="1"/>
    <col min="12037" max="12037" width="17.140625" style="1" customWidth="1"/>
    <col min="12038" max="12038" width="1" style="1" customWidth="1"/>
    <col min="12039" max="12061" width="0" style="1" hidden="1" customWidth="1"/>
    <col min="12062" max="12062" width="12.42578125" style="1" bestFit="1" customWidth="1"/>
    <col min="12063" max="12288" width="9.140625" style="1"/>
    <col min="12289" max="12289" width="1.28515625" style="1" customWidth="1"/>
    <col min="12290" max="12290" width="44.5703125" style="1" customWidth="1"/>
    <col min="12291" max="12291" width="17.140625" style="1" customWidth="1"/>
    <col min="12292" max="12292" width="18.5703125" style="1" customWidth="1"/>
    <col min="12293" max="12293" width="17.140625" style="1" customWidth="1"/>
    <col min="12294" max="12294" width="1" style="1" customWidth="1"/>
    <col min="12295" max="12317" width="0" style="1" hidden="1" customWidth="1"/>
    <col min="12318" max="12318" width="12.42578125" style="1" bestFit="1" customWidth="1"/>
    <col min="12319" max="12544" width="9.140625" style="1"/>
    <col min="12545" max="12545" width="1.28515625" style="1" customWidth="1"/>
    <col min="12546" max="12546" width="44.5703125" style="1" customWidth="1"/>
    <col min="12547" max="12547" width="17.140625" style="1" customWidth="1"/>
    <col min="12548" max="12548" width="18.5703125" style="1" customWidth="1"/>
    <col min="12549" max="12549" width="17.140625" style="1" customWidth="1"/>
    <col min="12550" max="12550" width="1" style="1" customWidth="1"/>
    <col min="12551" max="12573" width="0" style="1" hidden="1" customWidth="1"/>
    <col min="12574" max="12574" width="12.42578125" style="1" bestFit="1" customWidth="1"/>
    <col min="12575" max="12800" width="9.140625" style="1"/>
    <col min="12801" max="12801" width="1.28515625" style="1" customWidth="1"/>
    <col min="12802" max="12802" width="44.5703125" style="1" customWidth="1"/>
    <col min="12803" max="12803" width="17.140625" style="1" customWidth="1"/>
    <col min="12804" max="12804" width="18.5703125" style="1" customWidth="1"/>
    <col min="12805" max="12805" width="17.140625" style="1" customWidth="1"/>
    <col min="12806" max="12806" width="1" style="1" customWidth="1"/>
    <col min="12807" max="12829" width="0" style="1" hidden="1" customWidth="1"/>
    <col min="12830" max="12830" width="12.42578125" style="1" bestFit="1" customWidth="1"/>
    <col min="12831" max="13056" width="9.140625" style="1"/>
    <col min="13057" max="13057" width="1.28515625" style="1" customWidth="1"/>
    <col min="13058" max="13058" width="44.5703125" style="1" customWidth="1"/>
    <col min="13059" max="13059" width="17.140625" style="1" customWidth="1"/>
    <col min="13060" max="13060" width="18.5703125" style="1" customWidth="1"/>
    <col min="13061" max="13061" width="17.140625" style="1" customWidth="1"/>
    <col min="13062" max="13062" width="1" style="1" customWidth="1"/>
    <col min="13063" max="13085" width="0" style="1" hidden="1" customWidth="1"/>
    <col min="13086" max="13086" width="12.42578125" style="1" bestFit="1" customWidth="1"/>
    <col min="13087" max="13312" width="9.140625" style="1"/>
    <col min="13313" max="13313" width="1.28515625" style="1" customWidth="1"/>
    <col min="13314" max="13314" width="44.5703125" style="1" customWidth="1"/>
    <col min="13315" max="13315" width="17.140625" style="1" customWidth="1"/>
    <col min="13316" max="13316" width="18.5703125" style="1" customWidth="1"/>
    <col min="13317" max="13317" width="17.140625" style="1" customWidth="1"/>
    <col min="13318" max="13318" width="1" style="1" customWidth="1"/>
    <col min="13319" max="13341" width="0" style="1" hidden="1" customWidth="1"/>
    <col min="13342" max="13342" width="12.42578125" style="1" bestFit="1" customWidth="1"/>
    <col min="13343" max="13568" width="9.140625" style="1"/>
    <col min="13569" max="13569" width="1.28515625" style="1" customWidth="1"/>
    <col min="13570" max="13570" width="44.5703125" style="1" customWidth="1"/>
    <col min="13571" max="13571" width="17.140625" style="1" customWidth="1"/>
    <col min="13572" max="13572" width="18.5703125" style="1" customWidth="1"/>
    <col min="13573" max="13573" width="17.140625" style="1" customWidth="1"/>
    <col min="13574" max="13574" width="1" style="1" customWidth="1"/>
    <col min="13575" max="13597" width="0" style="1" hidden="1" customWidth="1"/>
    <col min="13598" max="13598" width="12.42578125" style="1" bestFit="1" customWidth="1"/>
    <col min="13599" max="13824" width="9.140625" style="1"/>
    <col min="13825" max="13825" width="1.28515625" style="1" customWidth="1"/>
    <col min="13826" max="13826" width="44.5703125" style="1" customWidth="1"/>
    <col min="13827" max="13827" width="17.140625" style="1" customWidth="1"/>
    <col min="13828" max="13828" width="18.5703125" style="1" customWidth="1"/>
    <col min="13829" max="13829" width="17.140625" style="1" customWidth="1"/>
    <col min="13830" max="13830" width="1" style="1" customWidth="1"/>
    <col min="13831" max="13853" width="0" style="1" hidden="1" customWidth="1"/>
    <col min="13854" max="13854" width="12.42578125" style="1" bestFit="1" customWidth="1"/>
    <col min="13855" max="14080" width="9.140625" style="1"/>
    <col min="14081" max="14081" width="1.28515625" style="1" customWidth="1"/>
    <col min="14082" max="14082" width="44.5703125" style="1" customWidth="1"/>
    <col min="14083" max="14083" width="17.140625" style="1" customWidth="1"/>
    <col min="14084" max="14084" width="18.5703125" style="1" customWidth="1"/>
    <col min="14085" max="14085" width="17.140625" style="1" customWidth="1"/>
    <col min="14086" max="14086" width="1" style="1" customWidth="1"/>
    <col min="14087" max="14109" width="0" style="1" hidden="1" customWidth="1"/>
    <col min="14110" max="14110" width="12.42578125" style="1" bestFit="1" customWidth="1"/>
    <col min="14111" max="14336" width="9.140625" style="1"/>
    <col min="14337" max="14337" width="1.28515625" style="1" customWidth="1"/>
    <col min="14338" max="14338" width="44.5703125" style="1" customWidth="1"/>
    <col min="14339" max="14339" width="17.140625" style="1" customWidth="1"/>
    <col min="14340" max="14340" width="18.5703125" style="1" customWidth="1"/>
    <col min="14341" max="14341" width="17.140625" style="1" customWidth="1"/>
    <col min="14342" max="14342" width="1" style="1" customWidth="1"/>
    <col min="14343" max="14365" width="0" style="1" hidden="1" customWidth="1"/>
    <col min="14366" max="14366" width="12.42578125" style="1" bestFit="1" customWidth="1"/>
    <col min="14367" max="14592" width="9.140625" style="1"/>
    <col min="14593" max="14593" width="1.28515625" style="1" customWidth="1"/>
    <col min="14594" max="14594" width="44.5703125" style="1" customWidth="1"/>
    <col min="14595" max="14595" width="17.140625" style="1" customWidth="1"/>
    <col min="14596" max="14596" width="18.5703125" style="1" customWidth="1"/>
    <col min="14597" max="14597" width="17.140625" style="1" customWidth="1"/>
    <col min="14598" max="14598" width="1" style="1" customWidth="1"/>
    <col min="14599" max="14621" width="0" style="1" hidden="1" customWidth="1"/>
    <col min="14622" max="14622" width="12.42578125" style="1" bestFit="1" customWidth="1"/>
    <col min="14623" max="14848" width="9.140625" style="1"/>
    <col min="14849" max="14849" width="1.28515625" style="1" customWidth="1"/>
    <col min="14850" max="14850" width="44.5703125" style="1" customWidth="1"/>
    <col min="14851" max="14851" width="17.140625" style="1" customWidth="1"/>
    <col min="14852" max="14852" width="18.5703125" style="1" customWidth="1"/>
    <col min="14853" max="14853" width="17.140625" style="1" customWidth="1"/>
    <col min="14854" max="14854" width="1" style="1" customWidth="1"/>
    <col min="14855" max="14877" width="0" style="1" hidden="1" customWidth="1"/>
    <col min="14878" max="14878" width="12.42578125" style="1" bestFit="1" customWidth="1"/>
    <col min="14879" max="15104" width="9.140625" style="1"/>
    <col min="15105" max="15105" width="1.28515625" style="1" customWidth="1"/>
    <col min="15106" max="15106" width="44.5703125" style="1" customWidth="1"/>
    <col min="15107" max="15107" width="17.140625" style="1" customWidth="1"/>
    <col min="15108" max="15108" width="18.5703125" style="1" customWidth="1"/>
    <col min="15109" max="15109" width="17.140625" style="1" customWidth="1"/>
    <col min="15110" max="15110" width="1" style="1" customWidth="1"/>
    <col min="15111" max="15133" width="0" style="1" hidden="1" customWidth="1"/>
    <col min="15134" max="15134" width="12.42578125" style="1" bestFit="1" customWidth="1"/>
    <col min="15135" max="15360" width="9.140625" style="1"/>
    <col min="15361" max="15361" width="1.28515625" style="1" customWidth="1"/>
    <col min="15362" max="15362" width="44.5703125" style="1" customWidth="1"/>
    <col min="15363" max="15363" width="17.140625" style="1" customWidth="1"/>
    <col min="15364" max="15364" width="18.5703125" style="1" customWidth="1"/>
    <col min="15365" max="15365" width="17.140625" style="1" customWidth="1"/>
    <col min="15366" max="15366" width="1" style="1" customWidth="1"/>
    <col min="15367" max="15389" width="0" style="1" hidden="1" customWidth="1"/>
    <col min="15390" max="15390" width="12.42578125" style="1" bestFit="1" customWidth="1"/>
    <col min="15391" max="15616" width="9.140625" style="1"/>
    <col min="15617" max="15617" width="1.28515625" style="1" customWidth="1"/>
    <col min="15618" max="15618" width="44.5703125" style="1" customWidth="1"/>
    <col min="15619" max="15619" width="17.140625" style="1" customWidth="1"/>
    <col min="15620" max="15620" width="18.5703125" style="1" customWidth="1"/>
    <col min="15621" max="15621" width="17.140625" style="1" customWidth="1"/>
    <col min="15622" max="15622" width="1" style="1" customWidth="1"/>
    <col min="15623" max="15645" width="0" style="1" hidden="1" customWidth="1"/>
    <col min="15646" max="15646" width="12.42578125" style="1" bestFit="1" customWidth="1"/>
    <col min="15647" max="15872" width="9.140625" style="1"/>
    <col min="15873" max="15873" width="1.28515625" style="1" customWidth="1"/>
    <col min="15874" max="15874" width="44.5703125" style="1" customWidth="1"/>
    <col min="15875" max="15875" width="17.140625" style="1" customWidth="1"/>
    <col min="15876" max="15876" width="18.5703125" style="1" customWidth="1"/>
    <col min="15877" max="15877" width="17.140625" style="1" customWidth="1"/>
    <col min="15878" max="15878" width="1" style="1" customWidth="1"/>
    <col min="15879" max="15901" width="0" style="1" hidden="1" customWidth="1"/>
    <col min="15902" max="15902" width="12.42578125" style="1" bestFit="1" customWidth="1"/>
    <col min="15903" max="16128" width="9.140625" style="1"/>
    <col min="16129" max="16129" width="1.28515625" style="1" customWidth="1"/>
    <col min="16130" max="16130" width="44.5703125" style="1" customWidth="1"/>
    <col min="16131" max="16131" width="17.140625" style="1" customWidth="1"/>
    <col min="16132" max="16132" width="18.5703125" style="1" customWidth="1"/>
    <col min="16133" max="16133" width="17.140625" style="1" customWidth="1"/>
    <col min="16134" max="16134" width="1" style="1" customWidth="1"/>
    <col min="16135" max="16157" width="0" style="1" hidden="1" customWidth="1"/>
    <col min="16158" max="16158" width="12.42578125" style="1" bestFit="1" customWidth="1"/>
    <col min="16159" max="16384" width="9.140625" style="1"/>
  </cols>
  <sheetData>
    <row r="4" spans="1:10" x14ac:dyDescent="0.25">
      <c r="A4" s="251"/>
      <c r="B4" s="251"/>
      <c r="C4" s="251"/>
      <c r="D4" s="251"/>
      <c r="E4" s="251"/>
    </row>
    <row r="5" spans="1:10" x14ac:dyDescent="0.25">
      <c r="A5" s="4"/>
      <c r="B5" s="4"/>
      <c r="C5" s="4"/>
      <c r="D5" s="5"/>
      <c r="E5" s="4"/>
    </row>
    <row r="6" spans="1:10" ht="31.5" customHeight="1" x14ac:dyDescent="0.25">
      <c r="B6" s="252" t="s">
        <v>0</v>
      </c>
      <c r="C6" s="252"/>
      <c r="D6" s="252"/>
      <c r="E6" s="252"/>
    </row>
    <row r="7" spans="1:10" x14ac:dyDescent="0.25">
      <c r="B7" s="6" t="s">
        <v>1</v>
      </c>
    </row>
    <row r="8" spans="1:10" x14ac:dyDescent="0.25">
      <c r="B8" s="7" t="s">
        <v>2</v>
      </c>
      <c r="C8" s="8"/>
    </row>
    <row r="9" spans="1:10" x14ac:dyDescent="0.25">
      <c r="B9" s="9"/>
    </row>
    <row r="10" spans="1:10" x14ac:dyDescent="0.25">
      <c r="B10" s="253" t="s">
        <v>3</v>
      </c>
      <c r="C10" s="253"/>
      <c r="D10" s="253"/>
      <c r="E10" s="253"/>
    </row>
    <row r="11" spans="1:10" x14ac:dyDescent="0.25">
      <c r="B11" s="10"/>
    </row>
    <row r="12" spans="1:10" ht="144.75" customHeight="1" x14ac:dyDescent="0.25">
      <c r="B12" s="254" t="s">
        <v>4</v>
      </c>
      <c r="C12" s="254"/>
      <c r="D12" s="254"/>
      <c r="E12" s="254"/>
      <c r="G12" s="8"/>
      <c r="H12" s="8"/>
      <c r="I12" s="8"/>
      <c r="J12" s="11"/>
    </row>
    <row r="13" spans="1:10" ht="18" customHeight="1" x14ac:dyDescent="0.25">
      <c r="B13" s="12"/>
      <c r="C13" s="12"/>
      <c r="D13" s="12"/>
      <c r="E13" s="12"/>
      <c r="G13" s="8"/>
      <c r="H13" s="8"/>
      <c r="I13" s="8"/>
      <c r="J13" s="11"/>
    </row>
    <row r="14" spans="1:10" ht="27.75" customHeight="1" x14ac:dyDescent="0.25">
      <c r="B14" s="253" t="str">
        <f>("Principales funcionarios al "&amp;[1]BALANZA!B3&amp;".")</f>
        <v>Principales funcionarios al 30 de junio del 2024.</v>
      </c>
      <c r="C14" s="253"/>
      <c r="D14" s="253"/>
      <c r="E14" s="253"/>
    </row>
    <row r="15" spans="1:10" ht="17.25" customHeight="1" x14ac:dyDescent="0.25">
      <c r="B15" s="13" t="s">
        <v>5</v>
      </c>
      <c r="C15" s="4" t="s">
        <v>6</v>
      </c>
      <c r="D15" s="4"/>
      <c r="F15" s="2"/>
      <c r="H15" s="2"/>
      <c r="J15" s="1"/>
    </row>
    <row r="16" spans="1:10" ht="17.25" customHeight="1" x14ac:dyDescent="0.25">
      <c r="B16" s="14" t="s">
        <v>7</v>
      </c>
      <c r="C16" s="1" t="s">
        <v>8</v>
      </c>
      <c r="D16" s="1"/>
      <c r="F16" s="2"/>
      <c r="H16" s="2"/>
      <c r="J16" s="1"/>
    </row>
    <row r="17" spans="2:10" ht="17.25" customHeight="1" x14ac:dyDescent="0.25">
      <c r="B17" s="15" t="s">
        <v>9</v>
      </c>
      <c r="C17" s="1" t="s">
        <v>10</v>
      </c>
      <c r="D17" s="1"/>
      <c r="F17" s="2"/>
      <c r="H17" s="2"/>
      <c r="J17" s="1"/>
    </row>
    <row r="18" spans="2:10" ht="17.25" customHeight="1" x14ac:dyDescent="0.25">
      <c r="B18" s="15" t="s">
        <v>11</v>
      </c>
      <c r="C18" s="1" t="s">
        <v>12</v>
      </c>
      <c r="F18" s="2"/>
      <c r="H18" s="2"/>
      <c r="J18" s="1"/>
    </row>
    <row r="19" spans="2:10" ht="17.25" customHeight="1" x14ac:dyDescent="0.25">
      <c r="B19" s="15" t="s">
        <v>13</v>
      </c>
      <c r="C19" s="1" t="s">
        <v>14</v>
      </c>
      <c r="F19" s="2"/>
      <c r="H19" s="2"/>
      <c r="J19" s="1"/>
    </row>
    <row r="20" spans="2:10" ht="17.25" customHeight="1" x14ac:dyDescent="0.25">
      <c r="B20" s="15" t="s">
        <v>15</v>
      </c>
      <c r="C20" s="1" t="s">
        <v>16</v>
      </c>
      <c r="F20" s="2"/>
      <c r="H20" s="2"/>
      <c r="J20" s="1"/>
    </row>
    <row r="21" spans="2:10" ht="17.25" customHeight="1" x14ac:dyDescent="0.25">
      <c r="B21" s="15" t="s">
        <v>17</v>
      </c>
      <c r="C21" s="1" t="s">
        <v>18</v>
      </c>
      <c r="F21" s="2"/>
      <c r="H21" s="2"/>
      <c r="J21" s="1"/>
    </row>
    <row r="22" spans="2:10" ht="17.25" customHeight="1" x14ac:dyDescent="0.25">
      <c r="B22" s="15" t="s">
        <v>19</v>
      </c>
      <c r="C22" s="1" t="s">
        <v>20</v>
      </c>
      <c r="F22" s="2"/>
      <c r="H22" s="2"/>
      <c r="J22" s="1"/>
    </row>
    <row r="23" spans="2:10" ht="17.25" customHeight="1" x14ac:dyDescent="0.25">
      <c r="B23" s="15" t="s">
        <v>21</v>
      </c>
      <c r="C23" s="1" t="s">
        <v>22</v>
      </c>
      <c r="F23" s="2"/>
      <c r="H23" s="2"/>
      <c r="J23" s="1"/>
    </row>
    <row r="24" spans="2:10" ht="17.25" customHeight="1" x14ac:dyDescent="0.25">
      <c r="B24" s="15" t="s">
        <v>23</v>
      </c>
      <c r="C24" s="1" t="s">
        <v>24</v>
      </c>
      <c r="F24" s="2"/>
      <c r="H24" s="2"/>
      <c r="J24" s="1"/>
    </row>
    <row r="25" spans="2:10" ht="17.25" customHeight="1" x14ac:dyDescent="0.25">
      <c r="B25" s="15" t="s">
        <v>25</v>
      </c>
      <c r="C25" s="1" t="s">
        <v>26</v>
      </c>
      <c r="F25" s="2"/>
      <c r="H25" s="2"/>
      <c r="J25" s="1"/>
    </row>
    <row r="26" spans="2:10" ht="17.25" customHeight="1" x14ac:dyDescent="0.25">
      <c r="B26" s="14" t="s">
        <v>27</v>
      </c>
      <c r="C26" s="1" t="s">
        <v>28</v>
      </c>
      <c r="D26" s="1"/>
      <c r="F26" s="2"/>
      <c r="H26" s="2"/>
      <c r="J26" s="1"/>
    </row>
    <row r="27" spans="2:10" x14ac:dyDescent="0.25">
      <c r="B27" s="15" t="s">
        <v>29</v>
      </c>
      <c r="C27" s="1" t="s">
        <v>30</v>
      </c>
      <c r="D27" s="1"/>
      <c r="F27" s="2"/>
      <c r="H27" s="2"/>
      <c r="J27" s="1"/>
    </row>
    <row r="28" spans="2:10" x14ac:dyDescent="0.25">
      <c r="B28" s="15" t="s">
        <v>31</v>
      </c>
      <c r="C28" s="1" t="s">
        <v>32</v>
      </c>
      <c r="D28" s="1"/>
      <c r="F28" s="2"/>
      <c r="H28" s="2"/>
      <c r="J28" s="1"/>
    </row>
    <row r="29" spans="2:10" x14ac:dyDescent="0.25">
      <c r="B29" s="14" t="s">
        <v>33</v>
      </c>
      <c r="C29" s="1" t="s">
        <v>34</v>
      </c>
      <c r="D29" s="1"/>
      <c r="F29" s="2"/>
      <c r="H29" s="2"/>
      <c r="J29" s="1"/>
    </row>
    <row r="30" spans="2:10" x14ac:dyDescent="0.25">
      <c r="B30" s="14" t="s">
        <v>35</v>
      </c>
      <c r="C30" s="1" t="s">
        <v>36</v>
      </c>
      <c r="D30" s="1"/>
      <c r="F30" s="2"/>
      <c r="H30" s="2"/>
      <c r="J30" s="1"/>
    </row>
    <row r="31" spans="2:10" x14ac:dyDescent="0.25">
      <c r="D31" s="1"/>
      <c r="F31" s="2"/>
      <c r="H31" s="2"/>
      <c r="J31" s="1"/>
    </row>
    <row r="32" spans="2:10" x14ac:dyDescent="0.25">
      <c r="B32" s="13"/>
      <c r="C32" s="2"/>
      <c r="D32" s="1"/>
    </row>
    <row r="33" spans="2:5" x14ac:dyDescent="0.25">
      <c r="B33" s="13"/>
      <c r="C33" s="2"/>
      <c r="D33" s="1"/>
    </row>
    <row r="34" spans="2:5" x14ac:dyDescent="0.25">
      <c r="B34" s="13"/>
      <c r="C34" s="2"/>
      <c r="D34" s="1"/>
    </row>
    <row r="35" spans="2:5" x14ac:dyDescent="0.25">
      <c r="B35" s="13"/>
      <c r="C35" s="2"/>
      <c r="D35" s="1"/>
    </row>
    <row r="36" spans="2:5" x14ac:dyDescent="0.25">
      <c r="B36" s="13"/>
      <c r="C36" s="2"/>
      <c r="D36" s="1"/>
    </row>
    <row r="37" spans="2:5" x14ac:dyDescent="0.25">
      <c r="B37" s="13"/>
      <c r="C37" s="2"/>
      <c r="D37" s="1"/>
    </row>
    <row r="38" spans="2:5" x14ac:dyDescent="0.25">
      <c r="B38" s="13"/>
      <c r="C38" s="2"/>
      <c r="D38" s="1"/>
    </row>
    <row r="39" spans="2:5" x14ac:dyDescent="0.25">
      <c r="B39" s="13"/>
      <c r="C39" s="2"/>
      <c r="D39" s="1"/>
    </row>
    <row r="40" spans="2:5" x14ac:dyDescent="0.25">
      <c r="B40" s="13"/>
      <c r="C40" s="2"/>
      <c r="D40" s="1"/>
    </row>
    <row r="41" spans="2:5" x14ac:dyDescent="0.25">
      <c r="B41" s="13"/>
      <c r="C41" s="2"/>
      <c r="D41" s="1"/>
    </row>
    <row r="42" spans="2:5" x14ac:dyDescent="0.25">
      <c r="B42" s="13"/>
      <c r="C42" s="2"/>
      <c r="D42" s="1"/>
    </row>
    <row r="43" spans="2:5" x14ac:dyDescent="0.25">
      <c r="B43" s="13"/>
      <c r="C43" s="2"/>
      <c r="D43" s="1"/>
    </row>
    <row r="44" spans="2:5" x14ac:dyDescent="0.25">
      <c r="B44" s="13" t="s">
        <v>37</v>
      </c>
    </row>
    <row r="45" spans="2:5" ht="30" customHeight="1" x14ac:dyDescent="0.25">
      <c r="B45" s="252" t="s">
        <v>38</v>
      </c>
      <c r="C45" s="252"/>
      <c r="D45" s="252"/>
      <c r="E45" s="252"/>
    </row>
    <row r="46" spans="2:5" ht="60" customHeight="1" x14ac:dyDescent="0.25">
      <c r="B46" s="255" t="s">
        <v>39</v>
      </c>
      <c r="C46" s="255"/>
      <c r="D46" s="255"/>
      <c r="E46" s="255"/>
    </row>
    <row r="47" spans="2:5" ht="56.25" customHeight="1" x14ac:dyDescent="0.25">
      <c r="B47" s="255" t="s">
        <v>342</v>
      </c>
      <c r="C47" s="255"/>
      <c r="D47" s="255"/>
      <c r="E47" s="255"/>
    </row>
    <row r="48" spans="2:5" ht="69.75" customHeight="1" x14ac:dyDescent="0.25">
      <c r="B48" s="254" t="s">
        <v>343</v>
      </c>
      <c r="C48" s="254"/>
      <c r="D48" s="254"/>
      <c r="E48" s="254"/>
    </row>
    <row r="49" spans="2:5" ht="13.5" customHeight="1" x14ac:dyDescent="0.25">
      <c r="B49" s="16"/>
      <c r="C49" s="16"/>
      <c r="D49" s="16"/>
      <c r="E49" s="16"/>
    </row>
    <row r="50" spans="2:5" ht="13.5" customHeight="1" x14ac:dyDescent="0.25">
      <c r="B50" s="16"/>
      <c r="C50" s="16"/>
      <c r="D50" s="16"/>
      <c r="E50" s="16"/>
    </row>
    <row r="51" spans="2:5" ht="22.5" customHeight="1" x14ac:dyDescent="0.25">
      <c r="B51" s="252" t="s">
        <v>40</v>
      </c>
      <c r="C51" s="252"/>
      <c r="D51" s="252"/>
      <c r="E51" s="252"/>
    </row>
    <row r="52" spans="2:5" ht="21" customHeight="1" x14ac:dyDescent="0.25">
      <c r="B52" s="252" t="s">
        <v>41</v>
      </c>
      <c r="C52" s="252"/>
      <c r="D52" s="252"/>
      <c r="E52" s="252"/>
    </row>
    <row r="53" spans="2:5" ht="9.75" customHeight="1" x14ac:dyDescent="0.25">
      <c r="B53" s="10"/>
    </row>
    <row r="54" spans="2:5" ht="48" customHeight="1" x14ac:dyDescent="0.25">
      <c r="B54" s="257" t="s">
        <v>42</v>
      </c>
      <c r="C54" s="257"/>
      <c r="D54" s="257"/>
      <c r="E54" s="257"/>
    </row>
    <row r="55" spans="2:5" ht="14.25" customHeight="1" x14ac:dyDescent="0.25">
      <c r="B55" s="17"/>
      <c r="C55" s="17"/>
      <c r="D55" s="17"/>
      <c r="E55" s="17"/>
    </row>
    <row r="56" spans="2:5" ht="14.25" customHeight="1" x14ac:dyDescent="0.25">
      <c r="B56" s="17"/>
      <c r="C56" s="17"/>
      <c r="D56" s="17"/>
      <c r="E56" s="17"/>
    </row>
    <row r="57" spans="2:5" ht="25.5" customHeight="1" x14ac:dyDescent="0.25">
      <c r="B57" s="13" t="s">
        <v>43</v>
      </c>
      <c r="C57" s="17"/>
      <c r="D57" s="18"/>
      <c r="E57" s="17"/>
    </row>
    <row r="58" spans="2:5" x14ac:dyDescent="0.25">
      <c r="B58" s="13" t="s">
        <v>44</v>
      </c>
    </row>
    <row r="59" spans="2:5" ht="55.5" customHeight="1" x14ac:dyDescent="0.25">
      <c r="B59" s="255" t="s">
        <v>45</v>
      </c>
      <c r="C59" s="255"/>
      <c r="D59" s="255"/>
      <c r="E59" s="255"/>
    </row>
    <row r="60" spans="2:5" ht="27" customHeight="1" x14ac:dyDescent="0.25">
      <c r="B60" s="255" t="s">
        <v>46</v>
      </c>
      <c r="C60" s="255"/>
      <c r="D60" s="255"/>
      <c r="E60" s="255"/>
    </row>
    <row r="61" spans="2:5" x14ac:dyDescent="0.25">
      <c r="B61" s="252" t="s">
        <v>47</v>
      </c>
      <c r="C61" s="252"/>
      <c r="D61" s="252"/>
      <c r="E61" s="252"/>
    </row>
    <row r="62" spans="2:5" ht="73.5" customHeight="1" x14ac:dyDescent="0.25">
      <c r="B62" s="256" t="s">
        <v>48</v>
      </c>
      <c r="C62" s="256"/>
      <c r="D62" s="256"/>
      <c r="E62" s="256"/>
    </row>
    <row r="63" spans="2:5" x14ac:dyDescent="0.25">
      <c r="B63" s="252" t="s">
        <v>49</v>
      </c>
      <c r="C63" s="252"/>
      <c r="D63" s="252"/>
      <c r="E63" s="252"/>
    </row>
    <row r="64" spans="2:5" ht="68.25" customHeight="1" x14ac:dyDescent="0.25">
      <c r="B64" s="254" t="s">
        <v>344</v>
      </c>
      <c r="C64" s="254"/>
      <c r="D64" s="254"/>
      <c r="E64" s="254"/>
    </row>
    <row r="65" spans="2:5" ht="68.25" customHeight="1" x14ac:dyDescent="0.25">
      <c r="B65" s="16"/>
      <c r="C65" s="16"/>
      <c r="D65" s="16"/>
      <c r="E65" s="16"/>
    </row>
    <row r="66" spans="2:5" ht="25.5" customHeight="1" x14ac:dyDescent="0.25">
      <c r="B66" s="252" t="s">
        <v>50</v>
      </c>
      <c r="C66" s="252"/>
      <c r="D66" s="252"/>
      <c r="E66" s="252"/>
    </row>
    <row r="67" spans="2:5" ht="46.5" customHeight="1" x14ac:dyDescent="0.25">
      <c r="B67" s="255" t="s">
        <v>51</v>
      </c>
      <c r="C67" s="255"/>
      <c r="D67" s="255"/>
      <c r="E67" s="255"/>
    </row>
    <row r="68" spans="2:5" ht="43.5" hidden="1" customHeight="1" x14ac:dyDescent="0.25">
      <c r="B68" s="258" t="s">
        <v>52</v>
      </c>
      <c r="C68" s="258"/>
      <c r="D68" s="258"/>
      <c r="E68" s="258"/>
    </row>
    <row r="69" spans="2:5" ht="58.5" hidden="1" customHeight="1" x14ac:dyDescent="0.25">
      <c r="B69" s="258" t="s">
        <v>53</v>
      </c>
      <c r="C69" s="258"/>
      <c r="D69" s="258"/>
      <c r="E69" s="258"/>
    </row>
    <row r="70" spans="2:5" ht="30" hidden="1" customHeight="1" x14ac:dyDescent="0.25">
      <c r="B70" s="258" t="s">
        <v>54</v>
      </c>
      <c r="C70" s="258"/>
      <c r="D70" s="258"/>
      <c r="E70" s="258"/>
    </row>
    <row r="71" spans="2:5" hidden="1" x14ac:dyDescent="0.25">
      <c r="B71" s="258" t="s">
        <v>55</v>
      </c>
      <c r="C71" s="258"/>
      <c r="D71" s="258"/>
      <c r="E71" s="258"/>
    </row>
    <row r="72" spans="2:5" ht="63.75" hidden="1" customHeight="1" x14ac:dyDescent="0.25">
      <c r="B72" s="258" t="s">
        <v>56</v>
      </c>
      <c r="C72" s="258"/>
      <c r="D72" s="258"/>
      <c r="E72" s="258"/>
    </row>
    <row r="73" spans="2:5" ht="42" hidden="1" customHeight="1" x14ac:dyDescent="0.25">
      <c r="B73" s="258" t="s">
        <v>57</v>
      </c>
      <c r="C73" s="258"/>
      <c r="D73" s="258"/>
      <c r="E73" s="258"/>
    </row>
    <row r="74" spans="2:5" ht="78.75" hidden="1" customHeight="1" x14ac:dyDescent="0.25">
      <c r="B74" s="258" t="s">
        <v>58</v>
      </c>
      <c r="C74" s="258"/>
      <c r="D74" s="258"/>
      <c r="E74" s="258"/>
    </row>
    <row r="75" spans="2:5" ht="66" hidden="1" customHeight="1" x14ac:dyDescent="0.25">
      <c r="B75" s="258" t="s">
        <v>59</v>
      </c>
      <c r="C75" s="258"/>
      <c r="D75" s="258"/>
      <c r="E75" s="258"/>
    </row>
    <row r="76" spans="2:5" ht="13.5" customHeight="1" x14ac:dyDescent="0.25">
      <c r="B76" s="19"/>
      <c r="C76" s="19"/>
      <c r="D76" s="20"/>
      <c r="E76" s="19"/>
    </row>
    <row r="77" spans="2:5" ht="26.25" customHeight="1" x14ac:dyDescent="0.25">
      <c r="B77" s="252" t="s">
        <v>60</v>
      </c>
      <c r="C77" s="252"/>
      <c r="D77" s="252"/>
      <c r="E77" s="252"/>
    </row>
    <row r="78" spans="2:5" ht="34.5" customHeight="1" x14ac:dyDescent="0.25">
      <c r="B78" s="259" t="s">
        <v>61</v>
      </c>
      <c r="C78" s="259"/>
      <c r="D78" s="259"/>
      <c r="E78" s="259"/>
    </row>
    <row r="79" spans="2:5" ht="15.75" customHeight="1" x14ac:dyDescent="0.25">
      <c r="B79" s="19"/>
      <c r="C79" s="19"/>
      <c r="D79" s="19"/>
      <c r="E79" s="19"/>
    </row>
    <row r="80" spans="2:5" ht="15.75" customHeight="1" x14ac:dyDescent="0.25">
      <c r="B80" s="21" t="s">
        <v>62</v>
      </c>
      <c r="C80" s="19"/>
      <c r="D80" s="20"/>
      <c r="E80" s="19"/>
    </row>
    <row r="81" spans="2:5" ht="20.25" customHeight="1" x14ac:dyDescent="0.25">
      <c r="B81" s="252" t="s">
        <v>63</v>
      </c>
      <c r="C81" s="252"/>
      <c r="D81" s="252"/>
      <c r="E81" s="252"/>
    </row>
    <row r="82" spans="2:5" x14ac:dyDescent="0.25">
      <c r="B82" s="252" t="s">
        <v>64</v>
      </c>
      <c r="C82" s="252"/>
      <c r="D82" s="252"/>
      <c r="E82" s="252"/>
    </row>
    <row r="83" spans="2:5" ht="49.5" customHeight="1" x14ac:dyDescent="0.25">
      <c r="B83" s="259" t="s">
        <v>65</v>
      </c>
      <c r="C83" s="259"/>
      <c r="D83" s="259"/>
      <c r="E83" s="259"/>
    </row>
    <row r="84" spans="2:5" x14ac:dyDescent="0.25">
      <c r="B84" s="252" t="s">
        <v>66</v>
      </c>
      <c r="C84" s="252"/>
      <c r="D84" s="252"/>
      <c r="E84" s="252"/>
    </row>
    <row r="85" spans="2:5" ht="45" customHeight="1" x14ac:dyDescent="0.25">
      <c r="B85" s="255" t="s">
        <v>67</v>
      </c>
      <c r="C85" s="255"/>
      <c r="D85" s="255"/>
      <c r="E85" s="255"/>
    </row>
    <row r="86" spans="2:5" x14ac:dyDescent="0.25">
      <c r="B86" s="252" t="s">
        <v>68</v>
      </c>
      <c r="C86" s="252"/>
      <c r="D86" s="252"/>
      <c r="E86" s="252"/>
    </row>
    <row r="87" spans="2:5" ht="39.75" customHeight="1" x14ac:dyDescent="0.25">
      <c r="B87" s="255" t="s">
        <v>69</v>
      </c>
      <c r="C87" s="255"/>
      <c r="D87" s="255"/>
      <c r="E87" s="255"/>
    </row>
    <row r="88" spans="2:5" x14ac:dyDescent="0.25">
      <c r="B88" s="252" t="s">
        <v>70</v>
      </c>
      <c r="C88" s="252"/>
      <c r="D88" s="252"/>
      <c r="E88" s="252"/>
    </row>
    <row r="89" spans="2:5" ht="40.5" customHeight="1" x14ac:dyDescent="0.25">
      <c r="B89" s="255" t="s">
        <v>71</v>
      </c>
      <c r="C89" s="255"/>
      <c r="D89" s="255"/>
      <c r="E89" s="255"/>
    </row>
    <row r="90" spans="2:5" x14ac:dyDescent="0.25">
      <c r="B90" s="252" t="s">
        <v>72</v>
      </c>
      <c r="C90" s="252"/>
      <c r="D90" s="252"/>
      <c r="E90" s="252"/>
    </row>
    <row r="91" spans="2:5" ht="39" customHeight="1" x14ac:dyDescent="0.25">
      <c r="B91" s="255" t="s">
        <v>73</v>
      </c>
      <c r="C91" s="255"/>
      <c r="D91" s="255"/>
      <c r="E91" s="255"/>
    </row>
    <row r="92" spans="2:5" x14ac:dyDescent="0.25">
      <c r="B92" s="252" t="s">
        <v>74</v>
      </c>
      <c r="C92" s="252"/>
      <c r="D92" s="252"/>
      <c r="E92" s="252"/>
    </row>
    <row r="93" spans="2:5" ht="25.5" customHeight="1" x14ac:dyDescent="0.25">
      <c r="B93" s="252" t="s">
        <v>75</v>
      </c>
      <c r="C93" s="252"/>
      <c r="D93" s="252"/>
      <c r="E93" s="252"/>
    </row>
    <row r="94" spans="2:5" ht="45" customHeight="1" x14ac:dyDescent="0.25">
      <c r="B94" s="255" t="s">
        <v>76</v>
      </c>
      <c r="C94" s="255"/>
      <c r="D94" s="255"/>
      <c r="E94" s="255"/>
    </row>
    <row r="95" spans="2:5" ht="35.25" customHeight="1" x14ac:dyDescent="0.25">
      <c r="B95" s="255" t="s">
        <v>77</v>
      </c>
      <c r="C95" s="255"/>
      <c r="D95" s="255"/>
      <c r="E95" s="255"/>
    </row>
    <row r="96" spans="2:5" ht="39.75" customHeight="1" x14ac:dyDescent="0.25">
      <c r="B96" s="254" t="s">
        <v>78</v>
      </c>
      <c r="C96" s="254"/>
      <c r="D96" s="254"/>
      <c r="E96" s="254"/>
    </row>
    <row r="97" spans="2:26" ht="51.75" customHeight="1" x14ac:dyDescent="0.25">
      <c r="B97" s="255" t="s">
        <v>79</v>
      </c>
      <c r="C97" s="255"/>
      <c r="D97" s="255"/>
      <c r="E97" s="255"/>
    </row>
    <row r="98" spans="2:26" ht="24.75" customHeight="1" x14ac:dyDescent="0.25">
      <c r="B98" s="12"/>
      <c r="C98" s="12"/>
      <c r="D98" s="12"/>
      <c r="E98" s="12"/>
    </row>
    <row r="99" spans="2:26" ht="33" customHeight="1" x14ac:dyDescent="0.25">
      <c r="B99" s="12"/>
      <c r="C99" s="12"/>
      <c r="D99" s="12"/>
      <c r="E99" s="12"/>
    </row>
    <row r="100" spans="2:26" ht="36.75" customHeight="1" x14ac:dyDescent="0.25">
      <c r="B100" s="255" t="s">
        <v>80</v>
      </c>
      <c r="C100" s="255"/>
      <c r="D100" s="255"/>
      <c r="E100" s="255"/>
    </row>
    <row r="101" spans="2:26" ht="87.75" customHeight="1" x14ac:dyDescent="0.25">
      <c r="B101" s="255" t="s">
        <v>81</v>
      </c>
      <c r="C101" s="255"/>
      <c r="D101" s="255"/>
      <c r="E101" s="255"/>
    </row>
    <row r="102" spans="2:26" s="22" customFormat="1" ht="11.25" customHeight="1" x14ac:dyDescent="0.25">
      <c r="B102" s="23"/>
      <c r="C102" s="23"/>
      <c r="D102" s="24"/>
      <c r="E102" s="23"/>
      <c r="J102" s="25"/>
      <c r="N102" s="25"/>
      <c r="R102" s="26"/>
      <c r="S102" s="26"/>
      <c r="T102" s="26"/>
      <c r="U102" s="26"/>
      <c r="V102" s="26"/>
      <c r="W102" s="26"/>
      <c r="X102" s="26"/>
      <c r="Y102" s="26"/>
      <c r="Z102" s="25"/>
    </row>
    <row r="103" spans="2:26" ht="11.25" customHeight="1" x14ac:dyDescent="0.25">
      <c r="B103" s="12"/>
      <c r="C103" s="12"/>
      <c r="D103" s="27"/>
      <c r="E103" s="12"/>
    </row>
    <row r="104" spans="2:26" ht="18.75" customHeight="1" x14ac:dyDescent="0.25">
      <c r="B104" s="253" t="s">
        <v>82</v>
      </c>
      <c r="C104" s="253"/>
      <c r="D104" s="253"/>
      <c r="E104" s="253"/>
    </row>
    <row r="105" spans="2:26" ht="66.75" customHeight="1" x14ac:dyDescent="0.25">
      <c r="B105" s="255" t="s">
        <v>83</v>
      </c>
      <c r="C105" s="255"/>
      <c r="D105" s="255"/>
      <c r="E105" s="255"/>
    </row>
    <row r="106" spans="2:26" ht="55.5" customHeight="1" x14ac:dyDescent="0.25">
      <c r="B106" s="255" t="s">
        <v>84</v>
      </c>
      <c r="C106" s="255"/>
      <c r="D106" s="255"/>
      <c r="E106" s="255"/>
    </row>
    <row r="107" spans="2:26" ht="18.75" customHeight="1" x14ac:dyDescent="0.25">
      <c r="B107" s="253" t="s">
        <v>85</v>
      </c>
      <c r="C107" s="253"/>
      <c r="D107" s="253"/>
      <c r="E107" s="253"/>
    </row>
    <row r="108" spans="2:26" ht="42" customHeight="1" x14ac:dyDescent="0.25">
      <c r="B108" s="255" t="s">
        <v>86</v>
      </c>
      <c r="C108" s="255"/>
      <c r="D108" s="255"/>
      <c r="E108" s="255"/>
    </row>
    <row r="109" spans="2:26" x14ac:dyDescent="0.25">
      <c r="B109" s="12"/>
      <c r="C109" s="12"/>
      <c r="D109" s="27"/>
      <c r="E109" s="12"/>
    </row>
    <row r="110" spans="2:26" x14ac:dyDescent="0.25">
      <c r="B110" s="252" t="s">
        <v>87</v>
      </c>
      <c r="C110" s="252"/>
      <c r="D110" s="252"/>
      <c r="E110" s="252"/>
    </row>
    <row r="111" spans="2:26" ht="27" customHeight="1" x14ac:dyDescent="0.25">
      <c r="B111" s="252" t="s">
        <v>88</v>
      </c>
      <c r="C111" s="252"/>
      <c r="D111" s="252"/>
      <c r="E111" s="252"/>
    </row>
    <row r="112" spans="2:26" ht="27.75" customHeight="1" x14ac:dyDescent="0.25">
      <c r="B112" s="254" t="str">
        <f>("Un detalle del "&amp;_Toc208202813&amp;" al "&amp;[1]BALANZA!$B$3&amp;" "&amp;[1]BALANZA!$C$3&amp;" es como se detalla a continuación:")</f>
        <v>Un detalle del Efectivo y equivalentes de efectivo al 30 de junio del 2024 - 2023 es como se detalla a continuación:</v>
      </c>
      <c r="C112" s="261"/>
      <c r="D112" s="261"/>
      <c r="E112" s="261"/>
    </row>
    <row r="113" spans="2:26" ht="41.25" customHeight="1" x14ac:dyDescent="0.25">
      <c r="B113" s="255" t="str">
        <f>("El efectivo disponible en caja y cuentas bancarias presenta los siguientes ascenso  para el "&amp;C116&amp;" RD$"&amp;R125&amp;"  y para el "&amp;D116&amp;" fue de RD$ "&amp;R126&amp;" , el cual se detalla a continuación:")</f>
        <v>El efectivo disponible en caja y cuentas bancarias presenta los siguientes ascenso  para el 2024 RD$255,918,613.21  y para el 2023 fue de RD$ 240,472,439.67 , el cual se detalla a continuación:</v>
      </c>
      <c r="C113" s="255"/>
      <c r="D113" s="255"/>
      <c r="E113" s="255"/>
    </row>
    <row r="114" spans="2:26" ht="21" customHeight="1" x14ac:dyDescent="0.25">
      <c r="B114" s="255" t="s">
        <v>89</v>
      </c>
      <c r="C114" s="255"/>
      <c r="D114" s="255"/>
      <c r="E114" s="255"/>
    </row>
    <row r="115" spans="2:26" x14ac:dyDescent="0.25">
      <c r="B115" s="10"/>
    </row>
    <row r="116" spans="2:26" ht="14.25" customHeight="1" x14ac:dyDescent="0.25">
      <c r="B116" s="28" t="s">
        <v>90</v>
      </c>
      <c r="C116" s="29">
        <f>+[1]BALANZA!B4</f>
        <v>2024</v>
      </c>
      <c r="D116" s="30">
        <f>+[1]BALANZA!C4</f>
        <v>2023</v>
      </c>
      <c r="E116" s="31" t="s">
        <v>91</v>
      </c>
    </row>
    <row r="117" spans="2:26" ht="18" hidden="1" customHeight="1" x14ac:dyDescent="0.25">
      <c r="B117" s="32" t="s">
        <v>92</v>
      </c>
      <c r="C117" s="33">
        <f>+'[1]BALANZA G'!C12</f>
        <v>0</v>
      </c>
      <c r="D117" s="34">
        <f>+'[1]BALANZA G'!D12</f>
        <v>0</v>
      </c>
      <c r="E117" s="35">
        <f t="shared" ref="E117:E123" si="0">+C117-D117</f>
        <v>0</v>
      </c>
    </row>
    <row r="118" spans="2:26" ht="18" customHeight="1" x14ac:dyDescent="0.25">
      <c r="B118" s="32" t="s">
        <v>93</v>
      </c>
      <c r="C118" s="33">
        <f>+'[1]BALANZA G'!C13</f>
        <v>110000</v>
      </c>
      <c r="D118" s="34">
        <f>+'[1]BALANZA G'!D13</f>
        <v>110000</v>
      </c>
      <c r="E118" s="35">
        <f t="shared" si="0"/>
        <v>0</v>
      </c>
    </row>
    <row r="119" spans="2:26" ht="18" customHeight="1" x14ac:dyDescent="0.25">
      <c r="B119" s="32" t="s">
        <v>94</v>
      </c>
      <c r="C119" s="33">
        <f>+'[1]BALANZA G'!C23</f>
        <v>273250.45</v>
      </c>
      <c r="D119" s="36">
        <f>IF(+'[1]BALANZA G'!D23&gt;0,+'[1]BALANZA G'!D23,0)</f>
        <v>253900.45</v>
      </c>
      <c r="E119" s="35">
        <f t="shared" si="0"/>
        <v>19350</v>
      </c>
    </row>
    <row r="120" spans="2:26" ht="18" customHeight="1" x14ac:dyDescent="0.25">
      <c r="B120" s="37" t="s">
        <v>95</v>
      </c>
      <c r="C120" s="33">
        <f>+'[1]BALANZA G'!C25</f>
        <v>696670.93</v>
      </c>
      <c r="D120" s="36">
        <f>IF(+'[1]BALANZA G'!D25&gt;0,+'[1]BALANZA G'!D25,0)</f>
        <v>1810906.34</v>
      </c>
      <c r="E120" s="38">
        <f t="shared" si="0"/>
        <v>-1114235.4100000001</v>
      </c>
    </row>
    <row r="121" spans="2:26" ht="30" customHeight="1" x14ac:dyDescent="0.25">
      <c r="B121" s="32" t="s">
        <v>96</v>
      </c>
      <c r="C121" s="33">
        <f>+'[1]BALANZA G'!C24</f>
        <v>33577403.869999997</v>
      </c>
      <c r="D121" s="36">
        <f>IF(+'[1]BALANZA G'!D24&gt;0,+'[1]BALANZA G'!D24,0)</f>
        <v>55744300.140000001</v>
      </c>
      <c r="E121" s="35">
        <f t="shared" si="0"/>
        <v>-22166896.270000003</v>
      </c>
    </row>
    <row r="122" spans="2:26" ht="17.25" customHeight="1" x14ac:dyDescent="0.25">
      <c r="B122" s="32" t="s">
        <v>97</v>
      </c>
      <c r="C122" s="33">
        <f>+'[1]BALANZA G'!C26</f>
        <v>937623.2</v>
      </c>
      <c r="D122" s="36">
        <f>+'[1]BALANZA G'!D26</f>
        <v>717865.13</v>
      </c>
      <c r="E122" s="35">
        <f t="shared" si="0"/>
        <v>219758.06999999995</v>
      </c>
    </row>
    <row r="123" spans="2:26" ht="17.25" customHeight="1" x14ac:dyDescent="0.25">
      <c r="B123" s="39" t="s">
        <v>98</v>
      </c>
      <c r="C123" s="40">
        <f>+'[1]BALANZA G'!C27+'[1]BALANZA G'!C22</f>
        <v>220323664.75999999</v>
      </c>
      <c r="D123" s="36">
        <f>+'[1]BALANZA G'!D27+'[1]BALANZA G'!D22</f>
        <v>181835467.61000001</v>
      </c>
      <c r="E123" s="35">
        <f t="shared" si="0"/>
        <v>38488197.149999976</v>
      </c>
    </row>
    <row r="124" spans="2:26" ht="17.25" hidden="1" customHeight="1" x14ac:dyDescent="0.25">
      <c r="B124" s="39" t="s">
        <v>99</v>
      </c>
      <c r="C124" s="40">
        <f>+'[1]BALANZA G'!C28</f>
        <v>0</v>
      </c>
      <c r="D124" s="36">
        <f>+'[1]BALANZA G'!D28</f>
        <v>0</v>
      </c>
      <c r="E124" s="35"/>
    </row>
    <row r="125" spans="2:26" s="41" customFormat="1" ht="18.75" customHeight="1" x14ac:dyDescent="0.25">
      <c r="B125" s="42" t="s">
        <v>100</v>
      </c>
      <c r="C125" s="43">
        <f>SUM(C117:C124)</f>
        <v>255918613.20999998</v>
      </c>
      <c r="D125" s="43">
        <f>SUM(D117:D124)</f>
        <v>240472439.67000002</v>
      </c>
      <c r="E125" s="44">
        <f>SUM(E117:E121)</f>
        <v>-23261781.680000003</v>
      </c>
      <c r="J125" s="45"/>
      <c r="N125" s="45"/>
      <c r="R125" s="3" t="str">
        <f>+CONCATENATE(T125,",",U125,",",V125,W125)</f>
        <v>255,918,613.21</v>
      </c>
      <c r="S125" s="3"/>
      <c r="T125" s="3" t="str">
        <f>MID(C125,1,3)</f>
        <v>255</v>
      </c>
      <c r="U125" s="3" t="str">
        <f>MID(C125,4,3)</f>
        <v>918</v>
      </c>
      <c r="V125" s="3" t="str">
        <f>MID(C125,7,3)</f>
        <v>613</v>
      </c>
      <c r="W125" s="3" t="str">
        <f>MID(C125,10,3)</f>
        <v>.21</v>
      </c>
      <c r="X125" s="3"/>
      <c r="Y125" s="46"/>
      <c r="Z125" s="45"/>
    </row>
    <row r="126" spans="2:26" s="41" customFormat="1" x14ac:dyDescent="0.25">
      <c r="B126" s="47"/>
      <c r="C126" s="48">
        <f>+C125-'[1]ES F '!B11</f>
        <v>0</v>
      </c>
      <c r="D126" s="48">
        <f>+D125-'[1]ES F '!C11</f>
        <v>0</v>
      </c>
      <c r="E126" s="49"/>
      <c r="J126" s="45"/>
      <c r="N126" s="45"/>
      <c r="R126" s="3" t="str">
        <f>+CONCATENATE(T126,",",U126,",",V126,W126)</f>
        <v>240,472,439.67</v>
      </c>
      <c r="S126" s="3"/>
      <c r="T126" s="3" t="str">
        <f>MID(D125,1,3)</f>
        <v>240</v>
      </c>
      <c r="U126" s="3" t="str">
        <f>MID(D125,4,3)</f>
        <v>472</v>
      </c>
      <c r="V126" s="3" t="str">
        <f>MID(D125,7,3)</f>
        <v>439</v>
      </c>
      <c r="W126" s="3" t="str">
        <f>MID(D125,10,3)</f>
        <v>.67</v>
      </c>
      <c r="X126" s="3" t="str">
        <f>MID(E126,7,3)</f>
        <v/>
      </c>
      <c r="Y126" s="3" t="str">
        <f>MID(C126,10,3)</f>
        <v/>
      </c>
      <c r="Z126" s="45"/>
    </row>
    <row r="127" spans="2:26" s="41" customFormat="1" x14ac:dyDescent="0.25">
      <c r="B127" s="262" t="s">
        <v>101</v>
      </c>
      <c r="C127" s="263"/>
      <c r="D127" s="50" t="str">
        <f>IF(E127&gt;=0,"Aumento","Disminución")</f>
        <v>Disminución</v>
      </c>
      <c r="E127" s="51">
        <f>+E125/D125</f>
        <v>-9.673367023648162E-2</v>
      </c>
      <c r="J127" s="45"/>
      <c r="N127" s="45"/>
      <c r="R127" s="46"/>
      <c r="S127" s="46"/>
      <c r="T127" s="46"/>
      <c r="U127" s="46"/>
      <c r="V127" s="46"/>
      <c r="W127" s="46"/>
      <c r="X127" s="46"/>
      <c r="Y127" s="46"/>
      <c r="Z127" s="45"/>
    </row>
    <row r="128" spans="2:26" s="41" customFormat="1" x14ac:dyDescent="0.25">
      <c r="B128" s="52"/>
      <c r="C128" s="52"/>
      <c r="D128" s="53"/>
      <c r="E128" s="54"/>
      <c r="J128" s="45"/>
      <c r="N128" s="45"/>
      <c r="R128" s="46"/>
      <c r="S128" s="46"/>
      <c r="T128" s="46"/>
      <c r="U128" s="46"/>
      <c r="V128" s="46"/>
      <c r="W128" s="46"/>
      <c r="X128" s="46"/>
      <c r="Y128" s="46"/>
      <c r="Z128" s="45"/>
    </row>
    <row r="129" spans="2:26" s="41" customFormat="1" x14ac:dyDescent="0.25">
      <c r="B129" s="55"/>
      <c r="C129" s="55"/>
      <c r="D129" s="53"/>
      <c r="E129" s="56"/>
      <c r="J129" s="45"/>
      <c r="N129" s="45"/>
      <c r="R129" s="46"/>
      <c r="S129" s="46"/>
      <c r="T129" s="46"/>
      <c r="U129" s="46"/>
      <c r="V129" s="46"/>
      <c r="W129" s="46"/>
      <c r="X129" s="46"/>
      <c r="Y129" s="46"/>
      <c r="Z129" s="45"/>
    </row>
    <row r="130" spans="2:26" s="41" customFormat="1" x14ac:dyDescent="0.25">
      <c r="B130" s="55"/>
      <c r="C130" s="55"/>
      <c r="D130" s="53"/>
      <c r="E130" s="56"/>
      <c r="J130" s="45"/>
      <c r="N130" s="45"/>
      <c r="R130" s="46"/>
      <c r="S130" s="46"/>
      <c r="T130" s="46"/>
      <c r="U130" s="46"/>
      <c r="V130" s="46"/>
      <c r="W130" s="46"/>
      <c r="X130" s="46"/>
      <c r="Y130" s="46"/>
      <c r="Z130" s="45"/>
    </row>
    <row r="131" spans="2:26" s="41" customFormat="1" x14ac:dyDescent="0.25">
      <c r="B131" s="55"/>
      <c r="C131" s="55"/>
      <c r="D131" s="53"/>
      <c r="E131" s="56"/>
      <c r="J131" s="45"/>
      <c r="N131" s="45"/>
      <c r="R131" s="46"/>
      <c r="S131" s="46"/>
      <c r="T131" s="46"/>
      <c r="U131" s="46"/>
      <c r="V131" s="46"/>
      <c r="W131" s="46"/>
      <c r="X131" s="46"/>
      <c r="Y131" s="46"/>
      <c r="Z131" s="45"/>
    </row>
    <row r="132" spans="2:26" s="41" customFormat="1" x14ac:dyDescent="0.25">
      <c r="B132" s="55"/>
      <c r="C132" s="55"/>
      <c r="D132" s="53"/>
      <c r="E132" s="56"/>
      <c r="J132" s="45"/>
      <c r="N132" s="45"/>
      <c r="R132" s="46"/>
      <c r="S132" s="46"/>
      <c r="T132" s="46"/>
      <c r="U132" s="46"/>
      <c r="V132" s="46"/>
      <c r="W132" s="46"/>
      <c r="X132" s="46"/>
      <c r="Y132" s="46"/>
      <c r="Z132" s="45"/>
    </row>
    <row r="133" spans="2:26" s="41" customFormat="1" x14ac:dyDescent="0.25">
      <c r="B133" s="55"/>
      <c r="C133" s="55"/>
      <c r="D133" s="53"/>
      <c r="E133" s="56"/>
      <c r="J133" s="45"/>
      <c r="N133" s="45"/>
      <c r="R133" s="46"/>
      <c r="S133" s="46"/>
      <c r="T133" s="46"/>
      <c r="U133" s="46"/>
      <c r="V133" s="46"/>
      <c r="W133" s="46"/>
      <c r="X133" s="46"/>
      <c r="Y133" s="46"/>
      <c r="Z133" s="45"/>
    </row>
    <row r="134" spans="2:26" x14ac:dyDescent="0.25">
      <c r="B134" s="9" t="s">
        <v>102</v>
      </c>
    </row>
    <row r="135" spans="2:26" x14ac:dyDescent="0.25">
      <c r="B135" s="260" t="s">
        <v>103</v>
      </c>
      <c r="C135" s="260"/>
      <c r="D135" s="260"/>
      <c r="E135" s="260"/>
    </row>
    <row r="136" spans="2:26" ht="23.25" customHeight="1" x14ac:dyDescent="0.25">
      <c r="B136" s="254" t="str">
        <f>("Un detalle del "&amp;B135&amp;" al "&amp;[1]BALANZA!$B$3&amp;" "&amp;[1]BALANZA!$C$3&amp;" es como se detalla a continuación:")</f>
        <v>Un detalle del Inversiones a corto plazo al 30 de junio del 2024 - 2023 es como se detalla a continuación:</v>
      </c>
      <c r="C136" s="261"/>
      <c r="D136" s="261"/>
      <c r="E136" s="261"/>
    </row>
    <row r="137" spans="2:26" ht="45" customHeight="1" x14ac:dyDescent="0.25">
      <c r="B137" s="255" t="str">
        <f>("Las inversiones a corto plazo enta integrado por un certificado financiero en el banco de reservas a un año renobable a la tasa de 0.12% anual, para el "&amp;C139&amp;" el total era de RD$ "&amp;R142&amp;" y para el "&amp;D139&amp;" el total fue de RD$ "&amp;R143&amp;" , Según el siguiente detalle:")</f>
        <v>Las inversiones a corto plazo enta integrado por un certificado financiero en el banco de reservas a un año renobable a la tasa de 0.12% anual, para el 2024 el total era de RD$ 453,000.00 y para el 2023 el total fue de RD$ 453,000.00 , Según el siguiente detalle:</v>
      </c>
      <c r="C137" s="255"/>
      <c r="D137" s="255"/>
      <c r="E137" s="255"/>
    </row>
    <row r="138" spans="2:26" x14ac:dyDescent="0.25">
      <c r="B138" s="57"/>
    </row>
    <row r="139" spans="2:26" x14ac:dyDescent="0.25">
      <c r="B139" s="31" t="s">
        <v>90</v>
      </c>
      <c r="C139" s="31">
        <f>+[1]BALANZA!B4</f>
        <v>2024</v>
      </c>
      <c r="D139" s="31">
        <f>+[1]BALANZA!C4</f>
        <v>2023</v>
      </c>
      <c r="E139" s="31" t="s">
        <v>91</v>
      </c>
    </row>
    <row r="140" spans="2:26" hidden="1" x14ac:dyDescent="0.25">
      <c r="B140" s="58" t="s">
        <v>104</v>
      </c>
      <c r="C140" s="59">
        <f>+'[1]BALANZA G'!C15</f>
        <v>80000</v>
      </c>
      <c r="D140" s="60">
        <f>+'[1]BALANZA G'!D15</f>
        <v>80000</v>
      </c>
      <c r="E140" s="61">
        <f>+C140-D140</f>
        <v>0</v>
      </c>
    </row>
    <row r="141" spans="2:26" x14ac:dyDescent="0.25">
      <c r="B141" s="58" t="s">
        <v>105</v>
      </c>
      <c r="C141" s="62">
        <f>+'[1]BALANZA G'!C30</f>
        <v>453000</v>
      </c>
      <c r="D141" s="63">
        <f>+'[1]BALANZA G'!D30</f>
        <v>453000</v>
      </c>
      <c r="E141" s="64">
        <f>+C141-D141</f>
        <v>0</v>
      </c>
    </row>
    <row r="142" spans="2:26" x14ac:dyDescent="0.25">
      <c r="B142" s="65" t="s">
        <v>106</v>
      </c>
      <c r="C142" s="44">
        <f>SUM(C141:C141)</f>
        <v>453000</v>
      </c>
      <c r="D142" s="66">
        <f>SUM(D141:D141)</f>
        <v>453000</v>
      </c>
      <c r="E142" s="44">
        <f>SUM(E140:E141)</f>
        <v>0</v>
      </c>
      <c r="R142" s="3" t="str">
        <f>+CONCATENATE(S142,",",T142,U142,".00")</f>
        <v>453,000.00</v>
      </c>
      <c r="S142" s="3" t="str">
        <f>MID(C142,1,3)</f>
        <v>453</v>
      </c>
      <c r="T142" s="3" t="str">
        <f>MID(C141,4,3)</f>
        <v>000</v>
      </c>
      <c r="U142" s="3" t="str">
        <f>MID(D141,7,3)</f>
        <v/>
      </c>
    </row>
    <row r="143" spans="2:26" x14ac:dyDescent="0.25">
      <c r="B143" s="67"/>
      <c r="C143" s="68">
        <f>+C142-'[1]ES F '!B12</f>
        <v>0</v>
      </c>
      <c r="D143" s="68">
        <f>+D142-'[1]ES F '!C12</f>
        <v>0</v>
      </c>
      <c r="E143" s="69"/>
      <c r="R143" s="3" t="str">
        <f>+CONCATENATE(S143,",",T143,U143,".00")</f>
        <v>453,000.00</v>
      </c>
      <c r="S143" s="3" t="str">
        <f>MID(D142,1,3)</f>
        <v>453</v>
      </c>
      <c r="T143" s="3" t="str">
        <f>MID(D142,4,3)</f>
        <v>000</v>
      </c>
      <c r="U143" s="3" t="str">
        <f>MID(E142,7,3)</f>
        <v/>
      </c>
    </row>
    <row r="144" spans="2:26" s="41" customFormat="1" x14ac:dyDescent="0.25">
      <c r="B144" s="262" t="s">
        <v>101</v>
      </c>
      <c r="C144" s="263"/>
      <c r="D144" s="70" t="str">
        <f>IF(E144&gt;=0,"Aumento","Disminución")</f>
        <v>Aumento</v>
      </c>
      <c r="E144" s="51">
        <f>+E142/D142</f>
        <v>0</v>
      </c>
      <c r="J144" s="45"/>
      <c r="N144" s="45"/>
      <c r="R144" s="46"/>
      <c r="S144" s="46"/>
      <c r="T144" s="46"/>
      <c r="U144" s="46"/>
      <c r="V144" s="46"/>
      <c r="W144" s="46"/>
      <c r="X144" s="46"/>
      <c r="Y144" s="46"/>
      <c r="Z144" s="45"/>
    </row>
    <row r="145" spans="2:26" s="41" customFormat="1" x14ac:dyDescent="0.25">
      <c r="B145" s="55"/>
      <c r="C145" s="55"/>
      <c r="D145" s="53"/>
      <c r="E145" s="56"/>
      <c r="J145" s="45"/>
      <c r="N145" s="45"/>
      <c r="R145" s="46"/>
      <c r="S145" s="46"/>
      <c r="T145" s="46"/>
      <c r="U145" s="46"/>
      <c r="V145" s="46"/>
      <c r="W145" s="46"/>
      <c r="X145" s="46"/>
      <c r="Y145" s="46"/>
      <c r="Z145" s="45"/>
    </row>
    <row r="146" spans="2:26" x14ac:dyDescent="0.25">
      <c r="B146" s="57" t="s">
        <v>107</v>
      </c>
    </row>
    <row r="147" spans="2:26" ht="18.75" customHeight="1" x14ac:dyDescent="0.25">
      <c r="B147" s="260" t="s">
        <v>108</v>
      </c>
      <c r="C147" s="260"/>
      <c r="D147" s="260"/>
      <c r="E147" s="260"/>
    </row>
    <row r="148" spans="2:26" ht="36" customHeight="1" x14ac:dyDescent="0.25">
      <c r="B148" s="254" t="str">
        <f>("Un detalle de las "&amp;B147&amp;" al "&amp;[1]BALANZA!$B$3&amp;""&amp;[1]BALANZA!$C$3&amp;" es como se detalla a continuación:")</f>
        <v>Un detalle de las Cuentas por cobrar a corto plazo al 30 de junio del 2024- 2023 es como se detalla a continuación:</v>
      </c>
      <c r="C148" s="261"/>
      <c r="D148" s="261"/>
      <c r="E148" s="261"/>
    </row>
    <row r="149" spans="2:26" ht="51" customHeight="1" x14ac:dyDescent="0.25">
      <c r="B149" s="255" t="str">
        <f>("Las Cuentas por cobrar  están representados por las partidas  Cuentas por cobrar Empleados, Para el "&amp;C151&amp;" el monto total de estas partidas fue por RD$ "&amp;R154&amp;" y para el "&amp;D151&amp;" el monto era RD$ "&amp;R155&amp;"  ,   de Según el siguiente detalle:")</f>
        <v>Las Cuentas por cobrar  están representados por las partidas  Cuentas por cobrar Empleados, Para el 2024 el monto total de estas partidas fue por RD$ 1,350.12 y para el 2023 el monto era RD$ 1,350.12  ,   de Según el siguiente detalle:</v>
      </c>
      <c r="C149" s="255"/>
      <c r="D149" s="255"/>
      <c r="E149" s="255"/>
    </row>
    <row r="150" spans="2:26" x14ac:dyDescent="0.25">
      <c r="B150" s="71"/>
    </row>
    <row r="151" spans="2:26" x14ac:dyDescent="0.25">
      <c r="B151" s="28" t="s">
        <v>90</v>
      </c>
      <c r="C151" s="28">
        <f>+C362</f>
        <v>2024</v>
      </c>
      <c r="D151" s="28">
        <f>+D362</f>
        <v>2023</v>
      </c>
      <c r="E151" s="28" t="s">
        <v>91</v>
      </c>
    </row>
    <row r="152" spans="2:26" ht="17.25" customHeight="1" x14ac:dyDescent="0.25">
      <c r="B152" s="37" t="s">
        <v>109</v>
      </c>
      <c r="C152" s="72">
        <f>+'[1]BALANZA G'!C34-C153</f>
        <v>0</v>
      </c>
      <c r="D152" s="73">
        <v>0</v>
      </c>
      <c r="E152" s="40">
        <f>+C152-D152</f>
        <v>0</v>
      </c>
    </row>
    <row r="153" spans="2:26" x14ac:dyDescent="0.25">
      <c r="B153" s="37" t="s">
        <v>110</v>
      </c>
      <c r="C153" s="74">
        <f>+'[1]BALANZA G'!C35</f>
        <v>1350.12</v>
      </c>
      <c r="D153" s="75">
        <f>+'[1]BALANZA G'!D34-D152</f>
        <v>1350.12</v>
      </c>
      <c r="E153" s="40">
        <f>+C153-D153</f>
        <v>0</v>
      </c>
    </row>
    <row r="154" spans="2:26" x14ac:dyDescent="0.25">
      <c r="B154" s="76" t="s">
        <v>111</v>
      </c>
      <c r="C154" s="77">
        <f>SUM(C152:C153)</f>
        <v>1350.12</v>
      </c>
      <c r="D154" s="77">
        <f>SUM(D152:D153)</f>
        <v>1350.12</v>
      </c>
      <c r="E154" s="43">
        <f>SUM(E152:E153)</f>
        <v>0</v>
      </c>
      <c r="R154" s="3" t="str">
        <f>+CONCATENATE(S154,",",T154,U154)</f>
        <v>1,350.12</v>
      </c>
      <c r="S154" s="3" t="str">
        <f>MID(C154,1,1)</f>
        <v>1</v>
      </c>
      <c r="T154" s="3" t="str">
        <f>MID(C154,2,3)</f>
        <v>350</v>
      </c>
      <c r="U154" s="3" t="str">
        <f>MID(C154,5,3)</f>
        <v>.12</v>
      </c>
    </row>
    <row r="155" spans="2:26" x14ac:dyDescent="0.25">
      <c r="B155" s="78"/>
      <c r="C155" s="79">
        <f>+C154-'[1]ES F '!B14</f>
        <v>0</v>
      </c>
      <c r="D155" s="79">
        <f>+D154-'[1]ES F '!C14</f>
        <v>0</v>
      </c>
      <c r="E155" s="80"/>
      <c r="R155" s="3" t="str">
        <f>+CONCATENATE(S155,",",T155,U155,V155)</f>
        <v>1,350.12</v>
      </c>
      <c r="S155" s="3" t="str">
        <f>MID(D154,1,1)</f>
        <v>1</v>
      </c>
      <c r="T155" s="3" t="str">
        <f>MID(D154,2,3)</f>
        <v>350</v>
      </c>
      <c r="U155" s="3" t="str">
        <f>MID(D154,5,3)</f>
        <v>.12</v>
      </c>
      <c r="W155" s="3" t="str">
        <f>MID(G154,2,3)</f>
        <v/>
      </c>
    </row>
    <row r="156" spans="2:26" s="41" customFormat="1" x14ac:dyDescent="0.25">
      <c r="B156" s="262" t="s">
        <v>101</v>
      </c>
      <c r="C156" s="263"/>
      <c r="D156" s="50"/>
      <c r="E156" s="81">
        <f>IFERROR(+E154/D154,0)</f>
        <v>0</v>
      </c>
      <c r="J156" s="45"/>
      <c r="N156" s="45"/>
      <c r="R156" s="46"/>
      <c r="S156" s="46"/>
      <c r="T156" s="46"/>
      <c r="U156" s="46"/>
      <c r="V156" s="46"/>
      <c r="W156" s="46"/>
      <c r="X156" s="46"/>
      <c r="Y156" s="46"/>
      <c r="Z156" s="45"/>
    </row>
    <row r="157" spans="2:26" ht="9" customHeight="1" x14ac:dyDescent="0.25">
      <c r="B157" s="71"/>
    </row>
    <row r="158" spans="2:26" ht="61.5" customHeight="1" x14ac:dyDescent="0.25">
      <c r="B158" s="266" t="s">
        <v>112</v>
      </c>
      <c r="C158" s="266"/>
      <c r="D158" s="266"/>
      <c r="E158" s="266"/>
    </row>
    <row r="159" spans="2:26" x14ac:dyDescent="0.25">
      <c r="B159" s="71"/>
    </row>
    <row r="160" spans="2:26" x14ac:dyDescent="0.25">
      <c r="B160" s="260" t="s">
        <v>113</v>
      </c>
      <c r="C160" s="260"/>
      <c r="D160" s="260"/>
      <c r="E160" s="260"/>
    </row>
    <row r="161" spans="2:26" x14ac:dyDescent="0.25">
      <c r="B161" s="260" t="s">
        <v>114</v>
      </c>
      <c r="C161" s="260"/>
      <c r="D161" s="260"/>
      <c r="E161" s="260"/>
    </row>
    <row r="162" spans="2:26" ht="18.75" customHeight="1" x14ac:dyDescent="0.25">
      <c r="B162" s="254" t="str">
        <f>("Un detalle del "&amp;B161&amp;" al "&amp;[1]BALANZA!$B$3&amp;" "&amp;[1]BALANZA!$C$3&amp;" es como se detalla a continuación:")</f>
        <v>Un detalle del Inventario al 30 de junio del 2024 - 2023 es como se detalla a continuación:</v>
      </c>
      <c r="C162" s="261"/>
      <c r="D162" s="261"/>
      <c r="E162" s="261"/>
    </row>
    <row r="163" spans="2:26" ht="36" customHeight="1" x14ac:dyDescent="0.25">
      <c r="B163" s="255" t="str">
        <f>("Los  inventarios están representados por las partidas de materiales en existencia, Para el "&amp;[1]BALANZA!B4&amp;" RD$ "&amp;R168&amp;" y para el "&amp;[1]BALANZA!C4&amp;" RD$ "&amp;R169&amp;", Según el siguiente detalle:")</f>
        <v>Los  inventarios están representados por las partidas de materiales en existencia, Para el 2024 RD$ 18,231,182.8 y para el 2023 RD$ 27,856,960.68, Según el siguiente detalle:</v>
      </c>
      <c r="C163" s="255"/>
      <c r="D163" s="255"/>
      <c r="E163" s="255"/>
    </row>
    <row r="164" spans="2:26" ht="7.5" customHeight="1" x14ac:dyDescent="0.25">
      <c r="B164" s="71"/>
    </row>
    <row r="165" spans="2:26" x14ac:dyDescent="0.25">
      <c r="B165" s="28" t="s">
        <v>90</v>
      </c>
      <c r="C165" s="28">
        <f>+C362</f>
        <v>2024</v>
      </c>
      <c r="D165" s="28">
        <f>+D362</f>
        <v>2023</v>
      </c>
      <c r="E165" s="28" t="s">
        <v>91</v>
      </c>
    </row>
    <row r="166" spans="2:26" hidden="1" x14ac:dyDescent="0.25">
      <c r="B166" s="37" t="s">
        <v>104</v>
      </c>
      <c r="C166" s="82">
        <f>+'[1]BALANZA G'!C40</f>
        <v>0</v>
      </c>
      <c r="D166" s="34">
        <f>+'[1]BALANZA G'!D40</f>
        <v>0</v>
      </c>
      <c r="E166" s="83">
        <f>+C166-D166</f>
        <v>0</v>
      </c>
    </row>
    <row r="167" spans="2:26" ht="30" x14ac:dyDescent="0.25">
      <c r="B167" s="37" t="s">
        <v>115</v>
      </c>
      <c r="C167" s="82">
        <f>+'[1]BALANZA G'!C41</f>
        <v>18231182.800000001</v>
      </c>
      <c r="D167" s="74">
        <f>+'[1]BALANZA G'!D41</f>
        <v>27856960.68</v>
      </c>
      <c r="E167" s="84">
        <f>+C167-D167</f>
        <v>-9625777.879999999</v>
      </c>
    </row>
    <row r="168" spans="2:26" x14ac:dyDescent="0.25">
      <c r="B168" s="76" t="s">
        <v>116</v>
      </c>
      <c r="C168" s="43">
        <f>SUM(C166:C167)</f>
        <v>18231182.800000001</v>
      </c>
      <c r="D168" s="77">
        <f>SUM(D166:D167)</f>
        <v>27856960.68</v>
      </c>
      <c r="E168" s="43">
        <f>SUM(E166:E167)</f>
        <v>-9625777.879999999</v>
      </c>
      <c r="R168" s="3" t="str">
        <f>+CONCATENATE(S168,",",T168,",",U168,V168,AB168)</f>
        <v>18,231,182.8</v>
      </c>
      <c r="S168" s="3" t="str">
        <f>MID(C168,1,2)</f>
        <v>18</v>
      </c>
      <c r="T168" s="3" t="str">
        <f>MID(C168,3,3)</f>
        <v>231</v>
      </c>
      <c r="U168" s="3" t="str">
        <f>MID(C168,6,3)</f>
        <v>182</v>
      </c>
      <c r="V168" s="3" t="str">
        <f>MID(C168,9,3)</f>
        <v>.8</v>
      </c>
    </row>
    <row r="169" spans="2:26" x14ac:dyDescent="0.25">
      <c r="B169" s="78"/>
      <c r="C169" s="85">
        <f>+C168-'[1]ES F '!B15</f>
        <v>0</v>
      </c>
      <c r="D169" s="85">
        <f>+D168-'[1]ES F '!C15</f>
        <v>0</v>
      </c>
      <c r="E169" s="80"/>
      <c r="R169" s="3" t="str">
        <f>+CONCATENATE(S169,",",T169,",",U169,V169)</f>
        <v>27,856,960.68</v>
      </c>
      <c r="S169" s="3" t="str">
        <f>MID(D168,1,2)</f>
        <v>27</v>
      </c>
      <c r="T169" s="3" t="str">
        <f>MID(D168,3,3)</f>
        <v>856</v>
      </c>
      <c r="U169" s="3" t="str">
        <f>MID(D168,6,3)</f>
        <v>960</v>
      </c>
      <c r="V169" s="3" t="str">
        <f>MID(D168,9,3)</f>
        <v>.68</v>
      </c>
    </row>
    <row r="170" spans="2:26" s="41" customFormat="1" x14ac:dyDescent="0.25">
      <c r="B170" s="262" t="s">
        <v>101</v>
      </c>
      <c r="C170" s="263"/>
      <c r="D170" s="50" t="str">
        <f>IF(E170&gt;=0,"Aumento","Disminución")</f>
        <v>Disminución</v>
      </c>
      <c r="E170" s="81">
        <f>IFERROR((+E168/D168),0)</f>
        <v>-0.34554300415518263</v>
      </c>
      <c r="J170" s="45"/>
      <c r="N170" s="45"/>
      <c r="R170" s="46"/>
      <c r="S170" s="46"/>
      <c r="T170" s="46"/>
      <c r="U170" s="46"/>
      <c r="V170" s="46"/>
      <c r="W170" s="46"/>
      <c r="X170" s="46"/>
      <c r="Y170" s="46"/>
      <c r="Z170" s="45"/>
    </row>
    <row r="171" spans="2:26" x14ac:dyDescent="0.25">
      <c r="B171" s="71"/>
    </row>
    <row r="172" spans="2:26" ht="16.5" customHeight="1" x14ac:dyDescent="0.25">
      <c r="B172" s="255"/>
      <c r="C172" s="255"/>
      <c r="D172" s="255"/>
      <c r="E172" s="255"/>
    </row>
    <row r="173" spans="2:26" ht="16.5" customHeight="1" x14ac:dyDescent="0.25">
      <c r="B173" s="12"/>
      <c r="C173" s="12"/>
      <c r="D173" s="12"/>
      <c r="E173" s="12"/>
    </row>
    <row r="174" spans="2:26" ht="16.5" customHeight="1" x14ac:dyDescent="0.25">
      <c r="B174" s="12"/>
      <c r="C174" s="12"/>
      <c r="D174" s="12"/>
      <c r="E174" s="12"/>
    </row>
    <row r="175" spans="2:26" ht="16.5" customHeight="1" x14ac:dyDescent="0.25">
      <c r="B175" s="12"/>
      <c r="C175" s="12"/>
      <c r="D175" s="12"/>
      <c r="E175" s="12"/>
    </row>
    <row r="176" spans="2:26" ht="16.5" customHeight="1" x14ac:dyDescent="0.25">
      <c r="B176" s="57" t="s">
        <v>117</v>
      </c>
      <c r="C176" s="12"/>
      <c r="D176" s="27"/>
      <c r="E176" s="12"/>
    </row>
    <row r="177" spans="2:26" ht="16.5" customHeight="1" x14ac:dyDescent="0.25">
      <c r="B177" s="57" t="s">
        <v>118</v>
      </c>
      <c r="C177" s="12"/>
      <c r="D177" s="27"/>
      <c r="E177" s="12"/>
    </row>
    <row r="178" spans="2:26" ht="27.75" customHeight="1" x14ac:dyDescent="0.25">
      <c r="B178" s="254" t="str">
        <f>("Un detalle del "&amp;B177&amp;" al "&amp;[1]BALANZA!$B$3&amp;" "&amp;[1]BALANZA!$C$3&amp;" es como se detalla a continuación:")</f>
        <v>Un detalle del Pagos anticipados al 30 de junio del 2024 - 2023 es como se detalla a continuación:</v>
      </c>
      <c r="C178" s="261"/>
      <c r="D178" s="261"/>
      <c r="E178" s="261"/>
    </row>
    <row r="179" spans="2:26" ht="41.25" customHeight="1" x14ac:dyDescent="0.25">
      <c r="B179" s="255" t="str">
        <f>("Los  pagos anticipados están representados por las partidas de seguros pagados por adelantado, Para el "&amp;[1]BALANZA!B4&amp;" el monto ascendio  a RD$ "&amp;R187&amp;" y para el "&amp;[1]BALANZA!C4&amp;" el monto era RD$ "&amp;R188&amp;", Según el siguiente detalle:")</f>
        <v>Los  pagos anticipados están representados por las partidas de seguros pagados por adelantado, Para el 2024 el monto ascendio  a RD$ 149,285.06 y para el 2023 el monto era RD$ 106,467.47, Según el siguiente detalle:</v>
      </c>
      <c r="C179" s="255"/>
      <c r="D179" s="255"/>
      <c r="E179" s="255"/>
    </row>
    <row r="180" spans="2:26" x14ac:dyDescent="0.25">
      <c r="B180" s="71"/>
    </row>
    <row r="181" spans="2:26" x14ac:dyDescent="0.25">
      <c r="B181" s="28" t="s">
        <v>90</v>
      </c>
      <c r="C181" s="31">
        <f>+C165</f>
        <v>2024</v>
      </c>
      <c r="D181" s="31">
        <f>+D165</f>
        <v>2023</v>
      </c>
      <c r="E181" s="28" t="s">
        <v>91</v>
      </c>
    </row>
    <row r="182" spans="2:26" ht="15" customHeight="1" x14ac:dyDescent="0.25">
      <c r="B182" s="37" t="s">
        <v>119</v>
      </c>
      <c r="C182" s="82">
        <f>+D186</f>
        <v>106467.47</v>
      </c>
      <c r="D182" s="34">
        <f>+D186-D184-D183</f>
        <v>180693.45999999996</v>
      </c>
      <c r="E182" s="40">
        <f>+C182-D182</f>
        <v>-74225.989999999962</v>
      </c>
    </row>
    <row r="183" spans="2:26" ht="15" customHeight="1" x14ac:dyDescent="0.25">
      <c r="B183" s="37" t="s">
        <v>120</v>
      </c>
      <c r="C183" s="82">
        <f>423467.27+24513.6+252.66+45048.24</f>
        <v>493281.76999999996</v>
      </c>
      <c r="D183" s="34">
        <f>205890.43+32007.08</f>
        <v>237897.51</v>
      </c>
      <c r="E183" s="40">
        <f>+C183-D183</f>
        <v>255384.25999999995</v>
      </c>
    </row>
    <row r="184" spans="2:26" ht="15" customHeight="1" x14ac:dyDescent="0.25">
      <c r="B184" s="37" t="s">
        <v>121</v>
      </c>
      <c r="C184" s="86">
        <f>-C183-C182+C186</f>
        <v>-450464.18</v>
      </c>
      <c r="D184" s="86">
        <f>-'[1]Notas NF'!D593</f>
        <v>-312123.5</v>
      </c>
      <c r="E184" s="40">
        <f>+C184-D184</f>
        <v>-138340.68</v>
      </c>
      <c r="U184" s="87"/>
    </row>
    <row r="185" spans="2:26" ht="15" customHeight="1" x14ac:dyDescent="0.25">
      <c r="B185" s="37"/>
      <c r="C185" s="82"/>
      <c r="D185" s="82"/>
      <c r="E185" s="40"/>
    </row>
    <row r="186" spans="2:26" x14ac:dyDescent="0.25">
      <c r="B186" s="37" t="s">
        <v>122</v>
      </c>
      <c r="C186" s="82">
        <f>+'[1]BALANZA G'!C48</f>
        <v>149285.06</v>
      </c>
      <c r="D186" s="74">
        <f>+'[1]BALANZA G'!D48</f>
        <v>106467.47</v>
      </c>
      <c r="E186" s="40">
        <f>+C186-D186</f>
        <v>42817.59</v>
      </c>
    </row>
    <row r="187" spans="2:26" x14ac:dyDescent="0.25">
      <c r="B187" s="76" t="s">
        <v>123</v>
      </c>
      <c r="C187" s="43">
        <f>SUM(C186:C186)</f>
        <v>149285.06</v>
      </c>
      <c r="D187" s="43">
        <f>SUM(D186:D186)</f>
        <v>106467.47</v>
      </c>
      <c r="E187" s="88">
        <f>+C187-D187</f>
        <v>42817.59</v>
      </c>
      <c r="R187" s="3" t="str">
        <f>+CONCATENATE(S187,",",T187,U187)</f>
        <v>149,285.06</v>
      </c>
      <c r="S187" s="3" t="str">
        <f>MID(C187,1,3)</f>
        <v>149</v>
      </c>
      <c r="T187" s="3" t="str">
        <f>MID(C187,4,3)</f>
        <v>285</v>
      </c>
      <c r="U187" s="3" t="str">
        <f>MID(C187,7,3)</f>
        <v>.06</v>
      </c>
      <c r="V187" s="3" t="str">
        <f>MID(C187,9,3)</f>
        <v>6</v>
      </c>
    </row>
    <row r="188" spans="2:26" x14ac:dyDescent="0.25">
      <c r="B188" s="78"/>
      <c r="C188" s="85">
        <f>+C187-'[1]ES F '!B16</f>
        <v>0</v>
      </c>
      <c r="D188" s="85">
        <f>+D187-'[1]ES F '!C16</f>
        <v>0</v>
      </c>
      <c r="E188" s="80"/>
      <c r="R188" s="3" t="str">
        <f>+CONCATENATE(S188,",",T188,U188)</f>
        <v>106,467.47</v>
      </c>
      <c r="S188" s="3" t="str">
        <f>MID(D187,1,3)</f>
        <v>106</v>
      </c>
      <c r="T188" s="3" t="str">
        <f>MID(D187,4,3)</f>
        <v>467</v>
      </c>
      <c r="U188" s="3" t="str">
        <f>MID(D187,7,3)</f>
        <v>.47</v>
      </c>
    </row>
    <row r="189" spans="2:26" s="41" customFormat="1" x14ac:dyDescent="0.25">
      <c r="B189" s="264" t="s">
        <v>101</v>
      </c>
      <c r="C189" s="265"/>
      <c r="D189" s="50" t="str">
        <f>IF(E189&gt;=0,"Aumento","Disminución")</f>
        <v>Aumento</v>
      </c>
      <c r="E189" s="81">
        <f>IFERROR((+E187/D187),0)</f>
        <v>0.40216593857259869</v>
      </c>
      <c r="J189" s="45"/>
      <c r="N189" s="45"/>
      <c r="R189" s="46"/>
      <c r="S189" s="46"/>
      <c r="T189" s="46"/>
      <c r="U189" s="46"/>
      <c r="V189" s="46"/>
      <c r="W189" s="46"/>
      <c r="X189" s="46"/>
      <c r="Y189" s="46"/>
      <c r="Z189" s="45"/>
    </row>
    <row r="190" spans="2:26" ht="16.5" customHeight="1" x14ac:dyDescent="0.25">
      <c r="B190" s="57"/>
      <c r="C190" s="12"/>
      <c r="D190" s="27"/>
      <c r="E190" s="12"/>
    </row>
    <row r="191" spans="2:26" ht="16.5" customHeight="1" x14ac:dyDescent="0.25">
      <c r="B191" s="57"/>
      <c r="C191" s="89"/>
      <c r="D191" s="27"/>
      <c r="E191" s="12"/>
    </row>
    <row r="192" spans="2:26" ht="14.25" customHeight="1" x14ac:dyDescent="0.25">
      <c r="B192" s="57" t="s">
        <v>124</v>
      </c>
      <c r="C192" s="12"/>
      <c r="D192" s="27"/>
      <c r="E192" s="12"/>
    </row>
    <row r="193" spans="2:26" x14ac:dyDescent="0.25">
      <c r="B193" s="57" t="s">
        <v>125</v>
      </c>
    </row>
    <row r="194" spans="2:26" ht="28.5" customHeight="1" x14ac:dyDescent="0.25">
      <c r="B194" s="254" t="str">
        <f>("Un detalle de "&amp;B193&amp;" al "&amp;[1]BALANZA!$B$3&amp;" "&amp;[1]BALANZA!$C$3&amp;" es como se detalla a continuación:")</f>
        <v>Un detalle de Otros activos corrientes al 30 de junio del 2024 - 2023 es como se detalla a continuación:</v>
      </c>
      <c r="C194" s="261"/>
      <c r="D194" s="261"/>
      <c r="E194" s="261"/>
    </row>
    <row r="195" spans="2:26" ht="49.5" customHeight="1" x14ac:dyDescent="0.25">
      <c r="B195" s="255" t="str">
        <f>("Los depósitos o fianzas por los alquileres de locales de CORAAMOCA, vigentes, están registrado en el Estado de Balance General, dentro  de la partida de otros activos, en  periodos "&amp;[1]BALANZA!B4&amp;" el valor estaba en RD$ "&amp;R212&amp;". Los interes generados entan incluidos en los ingresos totales de la institucion Según detalles:")</f>
        <v>Los depósitos o fianzas por los alquileres de locales de CORAAMOCA, vigentes, están registrado en el Estado de Balance General, dentro  de la partida de otros activos, en  periodos 2024 el valor estaba en RD$ 193,172.00. Los interes generados entan incluidos en los ingresos totales de la institucion Según detalles:</v>
      </c>
      <c r="C195" s="255"/>
      <c r="D195" s="255"/>
      <c r="E195" s="255"/>
    </row>
    <row r="196" spans="2:26" ht="14.25" customHeight="1" x14ac:dyDescent="0.25">
      <c r="B196" s="90"/>
    </row>
    <row r="197" spans="2:26" s="91" customFormat="1" ht="19.5" hidden="1" customHeight="1" x14ac:dyDescent="0.25">
      <c r="B197" s="28" t="s">
        <v>126</v>
      </c>
      <c r="C197" s="28" t="s">
        <v>127</v>
      </c>
      <c r="D197" s="92" t="s">
        <v>128</v>
      </c>
      <c r="E197" s="29" t="s">
        <v>129</v>
      </c>
      <c r="J197" s="93"/>
      <c r="N197" s="93"/>
      <c r="R197" s="94"/>
      <c r="S197" s="94"/>
      <c r="T197" s="94"/>
      <c r="U197" s="94"/>
      <c r="V197" s="94"/>
      <c r="W197" s="94"/>
      <c r="X197" s="94"/>
      <c r="Y197" s="94"/>
      <c r="Z197" s="93"/>
    </row>
    <row r="198" spans="2:26" hidden="1" x14ac:dyDescent="0.25">
      <c r="B198" s="95" t="s">
        <v>130</v>
      </c>
      <c r="C198" s="96" t="s">
        <v>131</v>
      </c>
      <c r="D198" s="97">
        <v>12000</v>
      </c>
      <c r="E198" s="98">
        <f>+D198</f>
        <v>12000</v>
      </c>
    </row>
    <row r="199" spans="2:26" hidden="1" x14ac:dyDescent="0.25">
      <c r="B199" s="95" t="s">
        <v>132</v>
      </c>
      <c r="C199" s="96" t="s">
        <v>133</v>
      </c>
      <c r="D199" s="97">
        <v>21000</v>
      </c>
      <c r="E199" s="98">
        <f t="shared" ref="E199:E206" si="1">+D199</f>
        <v>21000</v>
      </c>
    </row>
    <row r="200" spans="2:26" hidden="1" x14ac:dyDescent="0.25">
      <c r="B200" s="95" t="s">
        <v>134</v>
      </c>
      <c r="C200" s="96" t="s">
        <v>135</v>
      </c>
      <c r="D200" s="97">
        <v>28500</v>
      </c>
      <c r="E200" s="98">
        <f t="shared" si="1"/>
        <v>28500</v>
      </c>
    </row>
    <row r="201" spans="2:26" hidden="1" x14ac:dyDescent="0.25">
      <c r="B201" s="95" t="s">
        <v>136</v>
      </c>
      <c r="C201" s="96" t="s">
        <v>137</v>
      </c>
      <c r="D201" s="97">
        <v>33336</v>
      </c>
      <c r="E201" s="98">
        <f t="shared" si="1"/>
        <v>33336</v>
      </c>
    </row>
    <row r="202" spans="2:26" hidden="1" x14ac:dyDescent="0.25">
      <c r="B202" s="99" t="s">
        <v>138</v>
      </c>
      <c r="C202" s="100" t="s">
        <v>139</v>
      </c>
      <c r="D202" s="101">
        <v>20000</v>
      </c>
      <c r="E202" s="98">
        <f t="shared" si="1"/>
        <v>20000</v>
      </c>
    </row>
    <row r="203" spans="2:26" hidden="1" x14ac:dyDescent="0.25">
      <c r="B203" s="99" t="s">
        <v>140</v>
      </c>
      <c r="C203" s="100" t="s">
        <v>141</v>
      </c>
      <c r="D203" s="101">
        <v>18000</v>
      </c>
      <c r="E203" s="98">
        <f t="shared" si="1"/>
        <v>18000</v>
      </c>
    </row>
    <row r="204" spans="2:26" hidden="1" x14ac:dyDescent="0.25">
      <c r="B204" s="99" t="s">
        <v>142</v>
      </c>
      <c r="C204" s="100" t="s">
        <v>143</v>
      </c>
      <c r="D204" s="101">
        <v>33336</v>
      </c>
      <c r="E204" s="98">
        <f t="shared" si="1"/>
        <v>33336</v>
      </c>
    </row>
    <row r="205" spans="2:26" hidden="1" x14ac:dyDescent="0.25">
      <c r="B205" s="99" t="s">
        <v>144</v>
      </c>
      <c r="C205" s="100" t="s">
        <v>145</v>
      </c>
      <c r="D205" s="101">
        <v>27000</v>
      </c>
      <c r="E205" s="98">
        <v>27000</v>
      </c>
    </row>
    <row r="206" spans="2:26" hidden="1" x14ac:dyDescent="0.25">
      <c r="B206" s="99"/>
      <c r="C206" s="100"/>
      <c r="D206" s="101"/>
      <c r="E206" s="98">
        <f t="shared" si="1"/>
        <v>0</v>
      </c>
    </row>
    <row r="207" spans="2:26" hidden="1" x14ac:dyDescent="0.25">
      <c r="B207" s="102" t="s">
        <v>146</v>
      </c>
      <c r="C207" s="102"/>
      <c r="D207" s="103"/>
      <c r="E207" s="104">
        <f>SUM(E198:E206)</f>
        <v>193172</v>
      </c>
    </row>
    <row r="208" spans="2:26" hidden="1" x14ac:dyDescent="0.25">
      <c r="B208" s="105"/>
      <c r="C208" s="105"/>
      <c r="D208" s="106"/>
      <c r="E208" s="107">
        <f>+E207-'[1]ES F '!B17</f>
        <v>0</v>
      </c>
    </row>
    <row r="209" spans="2:26" ht="26.25" customHeight="1" x14ac:dyDescent="0.25">
      <c r="B209" s="28" t="s">
        <v>90</v>
      </c>
      <c r="C209" s="28">
        <f>+C151</f>
        <v>2024</v>
      </c>
      <c r="D209" s="28">
        <f>+D151</f>
        <v>2023</v>
      </c>
      <c r="E209" s="28" t="s">
        <v>91</v>
      </c>
    </row>
    <row r="210" spans="2:26" ht="15.75" hidden="1" customHeight="1" x14ac:dyDescent="0.25">
      <c r="B210" s="37" t="s">
        <v>104</v>
      </c>
      <c r="C210" s="82">
        <v>0</v>
      </c>
      <c r="D210" s="34">
        <v>0</v>
      </c>
      <c r="E210" s="83">
        <f>+C210-D210</f>
        <v>0</v>
      </c>
    </row>
    <row r="211" spans="2:26" x14ac:dyDescent="0.25">
      <c r="B211" s="37" t="s">
        <v>147</v>
      </c>
      <c r="C211" s="82">
        <f>+E207</f>
        <v>193172</v>
      </c>
      <c r="D211" s="74">
        <f>+E207+10500-18000+13500-6000</f>
        <v>193172</v>
      </c>
      <c r="E211" s="83">
        <f>+C211-D211</f>
        <v>0</v>
      </c>
    </row>
    <row r="212" spans="2:26" s="108" customFormat="1" x14ac:dyDescent="0.25">
      <c r="B212" s="65" t="s">
        <v>148</v>
      </c>
      <c r="C212" s="44">
        <f>SUM(C210:C211)</f>
        <v>193172</v>
      </c>
      <c r="D212" s="66">
        <f>SUM(D210:D211)</f>
        <v>193172</v>
      </c>
      <c r="E212" s="44">
        <f>SUM(E210:E211)</f>
        <v>0</v>
      </c>
      <c r="J212" s="109"/>
      <c r="N212" s="109"/>
      <c r="R212" s="3" t="str">
        <f>+CONCATENATE(S212,",",T212,".00")</f>
        <v>193,172.00</v>
      </c>
      <c r="S212" s="3" t="str">
        <f>MID(C212,1,3)</f>
        <v>193</v>
      </c>
      <c r="T212" s="3" t="str">
        <f>MID(C212,4,3)</f>
        <v>172</v>
      </c>
      <c r="U212" s="3" t="str">
        <f>MID(C212,7,3)</f>
        <v/>
      </c>
      <c r="V212" s="3" t="str">
        <f>MID(C212,9,3)</f>
        <v/>
      </c>
      <c r="W212" s="110"/>
      <c r="X212" s="110"/>
      <c r="Y212" s="110"/>
      <c r="Z212" s="109"/>
    </row>
    <row r="213" spans="2:26" s="108" customFormat="1" x14ac:dyDescent="0.25">
      <c r="B213" s="111"/>
      <c r="C213" s="112">
        <f>+C212-'[1]ES F '!B17</f>
        <v>0</v>
      </c>
      <c r="D213" s="112">
        <f>+D212-'[1]ES F '!C17</f>
        <v>0</v>
      </c>
      <c r="E213" s="113"/>
      <c r="J213" s="109"/>
      <c r="N213" s="109"/>
      <c r="R213" s="3" t="str">
        <f>+CONCATENATE(S213,",",T213,".00")</f>
        <v>193,172.00</v>
      </c>
      <c r="S213" s="3" t="str">
        <f>MID(D212,1,3)</f>
        <v>193</v>
      </c>
      <c r="T213" s="3" t="str">
        <f>MID(D212,4,3)</f>
        <v>172</v>
      </c>
      <c r="U213" s="3" t="str">
        <f>MID(D212,7,3)</f>
        <v/>
      </c>
      <c r="V213" s="3" t="str">
        <f>MID(D212,8,3)</f>
        <v/>
      </c>
      <c r="W213" s="110"/>
      <c r="X213" s="110"/>
      <c r="Y213" s="110"/>
      <c r="Z213" s="109"/>
    </row>
    <row r="214" spans="2:26" s="114" customFormat="1" x14ac:dyDescent="0.25">
      <c r="B214" s="269" t="s">
        <v>101</v>
      </c>
      <c r="C214" s="270"/>
      <c r="D214" s="115"/>
      <c r="E214" s="116">
        <f>IFERROR((+E212/D212),0)</f>
        <v>0</v>
      </c>
      <c r="J214" s="117"/>
      <c r="N214" s="117"/>
      <c r="R214" s="118"/>
      <c r="S214" s="118"/>
      <c r="T214" s="118"/>
      <c r="U214" s="118"/>
      <c r="V214" s="118"/>
      <c r="W214" s="118"/>
      <c r="X214" s="118"/>
      <c r="Y214" s="118"/>
      <c r="Z214" s="117"/>
    </row>
    <row r="215" spans="2:26" s="114" customFormat="1" x14ac:dyDescent="0.25">
      <c r="B215" s="119"/>
      <c r="C215" s="119"/>
      <c r="D215" s="120"/>
      <c r="E215" s="121"/>
      <c r="J215" s="117"/>
      <c r="N215" s="117"/>
      <c r="R215" s="118"/>
      <c r="S215" s="118"/>
      <c r="T215" s="118"/>
      <c r="U215" s="118"/>
      <c r="V215" s="118"/>
      <c r="W215" s="118"/>
      <c r="X215" s="118"/>
      <c r="Y215" s="118"/>
      <c r="Z215" s="117"/>
    </row>
    <row r="216" spans="2:26" x14ac:dyDescent="0.25">
      <c r="B216" s="9"/>
    </row>
    <row r="217" spans="2:26" x14ac:dyDescent="0.25">
      <c r="B217" s="9"/>
    </row>
    <row r="218" spans="2:26" x14ac:dyDescent="0.25">
      <c r="B218" s="9"/>
    </row>
    <row r="219" spans="2:26" x14ac:dyDescent="0.25">
      <c r="B219" s="9"/>
    </row>
    <row r="220" spans="2:26" x14ac:dyDescent="0.25">
      <c r="B220" s="9"/>
    </row>
    <row r="221" spans="2:26" x14ac:dyDescent="0.25">
      <c r="B221" s="9"/>
    </row>
    <row r="222" spans="2:26" x14ac:dyDescent="0.25">
      <c r="B222" s="9"/>
    </row>
    <row r="223" spans="2:26" x14ac:dyDescent="0.25">
      <c r="B223" s="9"/>
    </row>
    <row r="224" spans="2:26" x14ac:dyDescent="0.25">
      <c r="B224" s="9"/>
    </row>
    <row r="225" spans="2:5" x14ac:dyDescent="0.25">
      <c r="B225" s="9"/>
    </row>
    <row r="226" spans="2:5" x14ac:dyDescent="0.25">
      <c r="B226" s="9"/>
    </row>
    <row r="227" spans="2:5" x14ac:dyDescent="0.25">
      <c r="B227" s="9"/>
    </row>
    <row r="228" spans="2:5" x14ac:dyDescent="0.25">
      <c r="B228" s="9"/>
    </row>
    <row r="229" spans="2:5" x14ac:dyDescent="0.25">
      <c r="B229" s="9"/>
    </row>
    <row r="230" spans="2:5" x14ac:dyDescent="0.25">
      <c r="B230" s="9"/>
    </row>
    <row r="231" spans="2:5" x14ac:dyDescent="0.25">
      <c r="B231" s="9"/>
    </row>
    <row r="232" spans="2:5" x14ac:dyDescent="0.25">
      <c r="B232" s="9"/>
    </row>
    <row r="233" spans="2:5" x14ac:dyDescent="0.25">
      <c r="B233" s="9"/>
    </row>
    <row r="234" spans="2:5" x14ac:dyDescent="0.25">
      <c r="B234" s="9" t="s">
        <v>149</v>
      </c>
    </row>
    <row r="235" spans="2:5" ht="19.5" customHeight="1" x14ac:dyDescent="0.25">
      <c r="B235" s="253" t="s">
        <v>150</v>
      </c>
      <c r="C235" s="253"/>
      <c r="D235" s="253"/>
      <c r="E235" s="253"/>
    </row>
    <row r="236" spans="2:5" ht="19.5" customHeight="1" x14ac:dyDescent="0.25">
      <c r="B236" s="254" t="str">
        <f>("Un detalle de "&amp;B235&amp;" al "&amp;[1]BALANZA!$B$3&amp;" "&amp;[1]BALANZA!$C$3&amp;" es como se detalla a continuación:")</f>
        <v>Un detalle de Propiedad planta y equipo al 30 de junio del 2024 - 2023 es como se detalla a continuación:</v>
      </c>
      <c r="C236" s="261"/>
      <c r="D236" s="261"/>
      <c r="E236" s="261"/>
    </row>
    <row r="237" spans="2:5" ht="19.5" customHeight="1" x14ac:dyDescent="0.25">
      <c r="B237" s="255" t="s">
        <v>151</v>
      </c>
      <c r="C237" s="255"/>
      <c r="D237" s="255"/>
      <c r="E237" s="255"/>
    </row>
    <row r="238" spans="2:5" ht="81.75" customHeight="1" x14ac:dyDescent="0.25">
      <c r="B238" s="259" t="s">
        <v>152</v>
      </c>
      <c r="C238" s="259"/>
      <c r="D238" s="259"/>
      <c r="E238" s="259"/>
    </row>
    <row r="239" spans="2:5" ht="27" customHeight="1" x14ac:dyDescent="0.25">
      <c r="B239" s="10" t="str">
        <f>+B235</f>
        <v>Propiedad planta y equipo</v>
      </c>
      <c r="C239" s="8" t="s">
        <v>153</v>
      </c>
      <c r="D239" s="11"/>
    </row>
    <row r="240" spans="2:5" hidden="1" x14ac:dyDescent="0.25">
      <c r="B240" s="122" t="s">
        <v>154</v>
      </c>
      <c r="C240" s="122">
        <f>+[1]BALANZA!B4</f>
        <v>2024</v>
      </c>
      <c r="D240" s="123">
        <f>+[1]BALANZA!C4</f>
        <v>2023</v>
      </c>
      <c r="E240" s="124" t="s">
        <v>91</v>
      </c>
    </row>
    <row r="241" spans="2:7" hidden="1" x14ac:dyDescent="0.25">
      <c r="B241" s="125" t="s">
        <v>155</v>
      </c>
      <c r="C241" s="126"/>
      <c r="D241" s="127"/>
      <c r="E241" s="128"/>
    </row>
    <row r="242" spans="2:7" ht="20.25" hidden="1" customHeight="1" x14ac:dyDescent="0.25">
      <c r="B242" s="99" t="s">
        <v>156</v>
      </c>
      <c r="C242" s="126"/>
      <c r="D242" s="127"/>
      <c r="E242" s="128"/>
    </row>
    <row r="243" spans="2:7" ht="20.25" hidden="1" customHeight="1" x14ac:dyDescent="0.25">
      <c r="B243" s="57" t="s">
        <v>157</v>
      </c>
      <c r="C243" s="82">
        <f>+D243+D244</f>
        <v>27496260.82</v>
      </c>
      <c r="D243" s="129">
        <f>+'[1]BALANZA G'!D70+'[1]BALANZA G'!D59-D244</f>
        <v>24319560.82</v>
      </c>
      <c r="E243" s="40">
        <f>+C243-D243</f>
        <v>3176700</v>
      </c>
    </row>
    <row r="244" spans="2:7" ht="20.25" hidden="1" customHeight="1" x14ac:dyDescent="0.25">
      <c r="B244" s="99" t="s">
        <v>158</v>
      </c>
      <c r="C244" s="82">
        <f>+'[1]BALANZA G'!C70-'[1]BALANZA G'!D70+'[1]BALANZA G'!C59+'[1]BALANZA G'!C72-E243</f>
        <v>1595671.3200000012</v>
      </c>
      <c r="D244" s="130">
        <v>3176700</v>
      </c>
      <c r="E244" s="40">
        <f>+C244-D244</f>
        <v>-1581028.6799999988</v>
      </c>
    </row>
    <row r="245" spans="2:7" ht="20.25" hidden="1" customHeight="1" x14ac:dyDescent="0.25">
      <c r="B245" s="99" t="s">
        <v>159</v>
      </c>
      <c r="C245" s="82"/>
      <c r="D245" s="129"/>
      <c r="E245" s="40">
        <f>+C245-D245</f>
        <v>0</v>
      </c>
    </row>
    <row r="246" spans="2:7" ht="20.25" hidden="1" customHeight="1" x14ac:dyDescent="0.25">
      <c r="B246" s="99" t="s">
        <v>160</v>
      </c>
      <c r="C246" s="82">
        <f>-[1]nota13!F28</f>
        <v>-24689545.350000001</v>
      </c>
      <c r="D246" s="129"/>
      <c r="E246" s="40"/>
    </row>
    <row r="247" spans="2:7" ht="20.25" hidden="1" customHeight="1" x14ac:dyDescent="0.25">
      <c r="B247" s="99" t="s">
        <v>161</v>
      </c>
      <c r="C247" s="82">
        <f>-[1]nota13!F29</f>
        <v>-780111.56999999832</v>
      </c>
      <c r="D247" s="129"/>
      <c r="E247" s="40"/>
    </row>
    <row r="248" spans="2:7" hidden="1" x14ac:dyDescent="0.25">
      <c r="B248" s="131" t="s">
        <v>162</v>
      </c>
      <c r="C248" s="132">
        <f>SUM(C243:C247)</f>
        <v>3622275.2200000007</v>
      </c>
      <c r="D248" s="133">
        <f>SUM(D241:D245)</f>
        <v>27496260.82</v>
      </c>
      <c r="E248" s="132">
        <f>SUM(E241:E245)</f>
        <v>1595671.3200000012</v>
      </c>
    </row>
    <row r="249" spans="2:7" ht="28.5" hidden="1" x14ac:dyDescent="0.25">
      <c r="B249" s="131" t="s">
        <v>163</v>
      </c>
      <c r="C249" s="134">
        <v>0</v>
      </c>
      <c r="D249" s="135">
        <v>0</v>
      </c>
      <c r="E249" s="136">
        <f>+C249-D249</f>
        <v>0</v>
      </c>
    </row>
    <row r="250" spans="2:7" ht="28.5" hidden="1" x14ac:dyDescent="0.25">
      <c r="B250" s="131" t="s">
        <v>164</v>
      </c>
      <c r="C250" s="132">
        <f>+C248-C249</f>
        <v>3622275.2200000007</v>
      </c>
      <c r="D250" s="133">
        <f>+D248-D249</f>
        <v>27496260.82</v>
      </c>
      <c r="E250" s="132">
        <f>+E248-E249</f>
        <v>1595671.3200000012</v>
      </c>
    </row>
    <row r="251" spans="2:7" ht="23.25" hidden="1" customHeight="1" x14ac:dyDescent="0.25">
      <c r="B251" s="125" t="s">
        <v>165</v>
      </c>
      <c r="C251" s="137"/>
      <c r="D251" s="138"/>
      <c r="E251" s="139"/>
    </row>
    <row r="252" spans="2:7" hidden="1" x14ac:dyDescent="0.25">
      <c r="B252" s="99" t="str">
        <f>+B243</f>
        <v xml:space="preserve">Costos de adquisición  </v>
      </c>
      <c r="C252" s="82">
        <f>+'[1]BALANZA G'!C62</f>
        <v>48572302.979999997</v>
      </c>
      <c r="D252" s="129">
        <f>+'[1]BALANZA G'!D62</f>
        <v>48572302.979999997</v>
      </c>
      <c r="E252" s="40">
        <f>+C252-D252</f>
        <v>0</v>
      </c>
      <c r="G252" s="1" t="s">
        <v>166</v>
      </c>
    </row>
    <row r="253" spans="2:7" hidden="1" x14ac:dyDescent="0.25">
      <c r="B253" s="99" t="str">
        <f>+B244</f>
        <v>Adiciones</v>
      </c>
      <c r="C253" s="82"/>
      <c r="D253" s="129" t="e">
        <f>+'[1]BALANZA G'!#REF!</f>
        <v>#REF!</v>
      </c>
      <c r="E253" s="40" t="e">
        <f>+C253-D253</f>
        <v>#REF!</v>
      </c>
    </row>
    <row r="254" spans="2:7" hidden="1" x14ac:dyDescent="0.25">
      <c r="B254" s="99" t="str">
        <f>+B245</f>
        <v>Retiros</v>
      </c>
      <c r="C254" s="82"/>
      <c r="D254" s="129"/>
      <c r="E254" s="40">
        <f>+C254-D254</f>
        <v>0</v>
      </c>
    </row>
    <row r="255" spans="2:7" hidden="1" x14ac:dyDescent="0.25">
      <c r="B255" s="99" t="str">
        <f>+B246</f>
        <v>Depreciación Acumulada</v>
      </c>
      <c r="C255" s="82">
        <f>-[1]nota13!I28</f>
        <v>-34810179.979999997</v>
      </c>
      <c r="D255" s="129"/>
      <c r="E255" s="40"/>
    </row>
    <row r="256" spans="2:7" hidden="1" x14ac:dyDescent="0.25">
      <c r="B256" s="99" t="str">
        <f>+B247</f>
        <v>Depreciación del periodo</v>
      </c>
      <c r="C256" s="82">
        <f>-[1]nota13!I29</f>
        <v>-1668929.1400000006</v>
      </c>
      <c r="D256" s="129"/>
      <c r="E256" s="40"/>
    </row>
    <row r="257" spans="2:5" ht="28.5" hidden="1" x14ac:dyDescent="0.25">
      <c r="B257" s="140" t="s">
        <v>167</v>
      </c>
      <c r="C257" s="132">
        <f>SUM(C252:C256)</f>
        <v>12093193.859999999</v>
      </c>
      <c r="D257" s="133" t="e">
        <f>SUM(D252:D254)</f>
        <v>#REF!</v>
      </c>
      <c r="E257" s="132" t="e">
        <f>SUM(E252:E254)</f>
        <v>#REF!</v>
      </c>
    </row>
    <row r="258" spans="2:5" ht="28.5" hidden="1" x14ac:dyDescent="0.25">
      <c r="B258" s="131" t="s">
        <v>168</v>
      </c>
      <c r="C258" s="134">
        <v>0</v>
      </c>
      <c r="D258" s="135">
        <v>0</v>
      </c>
      <c r="E258" s="136">
        <f>+C258-D258</f>
        <v>0</v>
      </c>
    </row>
    <row r="259" spans="2:5" ht="42.75" hidden="1" x14ac:dyDescent="0.25">
      <c r="B259" s="131" t="s">
        <v>169</v>
      </c>
      <c r="C259" s="132">
        <f>+C257-C258</f>
        <v>12093193.859999999</v>
      </c>
      <c r="D259" s="133" t="e">
        <f>+D257-D258</f>
        <v>#REF!</v>
      </c>
      <c r="E259" s="132" t="e">
        <f>+E257-E258</f>
        <v>#REF!</v>
      </c>
    </row>
    <row r="260" spans="2:5" ht="26.25" hidden="1" customHeight="1" x14ac:dyDescent="0.25">
      <c r="B260" s="141" t="s">
        <v>170</v>
      </c>
      <c r="C260" s="137"/>
      <c r="D260" s="138"/>
      <c r="E260" s="139"/>
    </row>
    <row r="261" spans="2:5" hidden="1" x14ac:dyDescent="0.25">
      <c r="B261" s="99" t="str">
        <f>+B252</f>
        <v xml:space="preserve">Costos de adquisición  </v>
      </c>
      <c r="C261" s="82">
        <f>+'[1]BALANZA G'!C66</f>
        <v>396650</v>
      </c>
      <c r="D261" s="129" t="e">
        <f>+'[1]BALANZA G'!D66-D262</f>
        <v>#REF!</v>
      </c>
      <c r="E261" s="40" t="e">
        <f>+C261-D261</f>
        <v>#REF!</v>
      </c>
    </row>
    <row r="262" spans="2:5" hidden="1" x14ac:dyDescent="0.25">
      <c r="B262" s="99" t="str">
        <f>+B253</f>
        <v>Adiciones</v>
      </c>
      <c r="C262" s="82"/>
      <c r="D262" s="129" t="e">
        <f>+'[1]BALANZA G'!#REF!</f>
        <v>#REF!</v>
      </c>
      <c r="E262" s="40" t="e">
        <f>+C262-D262</f>
        <v>#REF!</v>
      </c>
    </row>
    <row r="263" spans="2:5" hidden="1" x14ac:dyDescent="0.25">
      <c r="B263" s="99" t="str">
        <f>+B254</f>
        <v>Retiros</v>
      </c>
      <c r="C263" s="82"/>
      <c r="D263" s="129"/>
      <c r="E263" s="40">
        <f>+C263-D263</f>
        <v>0</v>
      </c>
    </row>
    <row r="264" spans="2:5" hidden="1" x14ac:dyDescent="0.25">
      <c r="B264" s="99" t="str">
        <f>+B255</f>
        <v>Depreciación Acumulada</v>
      </c>
      <c r="C264" s="82"/>
      <c r="D264" s="129"/>
      <c r="E264" s="40"/>
    </row>
    <row r="265" spans="2:5" hidden="1" x14ac:dyDescent="0.25">
      <c r="B265" s="99" t="str">
        <f>+B256</f>
        <v>Depreciación del periodo</v>
      </c>
      <c r="C265" s="82">
        <f>-[1]nota13!G29</f>
        <v>-8638.7799999999988</v>
      </c>
      <c r="D265" s="129"/>
      <c r="E265" s="40"/>
    </row>
    <row r="266" spans="2:5" ht="28.5" hidden="1" x14ac:dyDescent="0.25">
      <c r="B266" s="131" t="s">
        <v>171</v>
      </c>
      <c r="C266" s="132">
        <f>SUM(C261:C265)</f>
        <v>388011.22</v>
      </c>
      <c r="D266" s="133" t="e">
        <f>SUM(D261:D265)</f>
        <v>#REF!</v>
      </c>
      <c r="E266" s="132" t="e">
        <f>SUM(E261)</f>
        <v>#REF!</v>
      </c>
    </row>
    <row r="267" spans="2:5" ht="27" hidden="1" customHeight="1" x14ac:dyDescent="0.25">
      <c r="B267" s="131" t="s">
        <v>172</v>
      </c>
      <c r="C267" s="134">
        <v>0</v>
      </c>
      <c r="D267" s="135">
        <v>0</v>
      </c>
      <c r="E267" s="136">
        <f>+C267-D267</f>
        <v>0</v>
      </c>
    </row>
    <row r="268" spans="2:5" ht="28.5" hidden="1" x14ac:dyDescent="0.25">
      <c r="B268" s="131" t="s">
        <v>173</v>
      </c>
      <c r="C268" s="132">
        <f>+C266-C267</f>
        <v>388011.22</v>
      </c>
      <c r="D268" s="133" t="e">
        <f>+D266-D267</f>
        <v>#REF!</v>
      </c>
      <c r="E268" s="132" t="e">
        <f>+E266-E267</f>
        <v>#REF!</v>
      </c>
    </row>
    <row r="269" spans="2:5" hidden="1" x14ac:dyDescent="0.25">
      <c r="B269" s="125" t="s">
        <v>174</v>
      </c>
      <c r="C269" s="137"/>
      <c r="D269" s="138"/>
      <c r="E269" s="139"/>
    </row>
    <row r="270" spans="2:5" hidden="1" x14ac:dyDescent="0.25">
      <c r="B270" s="99" t="str">
        <f>+B261</f>
        <v xml:space="preserve">Costos de adquisición  </v>
      </c>
      <c r="C270" s="82">
        <f>+'[1]BALANZA G'!C63+'[1]BALANZA G'!C67-C271</f>
        <v>15217930.59</v>
      </c>
      <c r="D270" s="129">
        <f>+'[1]BALANZA G'!D63+'[1]BALANZA G'!D67-D271</f>
        <v>9835781.5199999996</v>
      </c>
      <c r="E270" s="40">
        <f>+C270-D270</f>
        <v>5382149.0700000003</v>
      </c>
    </row>
    <row r="271" spans="2:5" hidden="1" x14ac:dyDescent="0.25">
      <c r="B271" s="99" t="str">
        <f>+B262</f>
        <v>Adiciones</v>
      </c>
      <c r="C271" s="82">
        <f>+'[1]BALANZA G'!C67-D271+'[1]BALANZA G'!C63-'[1]BALANZA G'!D63</f>
        <v>410317.24000000022</v>
      </c>
      <c r="D271" s="74">
        <f>+'[1]BALANZA G'!D67</f>
        <v>5382149.0700000003</v>
      </c>
      <c r="E271" s="40">
        <f>+C271-D271</f>
        <v>-4971831.83</v>
      </c>
    </row>
    <row r="272" spans="2:5" hidden="1" x14ac:dyDescent="0.25">
      <c r="B272" s="99" t="str">
        <f>+B263</f>
        <v>Retiros</v>
      </c>
      <c r="C272" s="82"/>
      <c r="D272" s="129"/>
      <c r="E272" s="40">
        <f>+C272-D272</f>
        <v>0</v>
      </c>
    </row>
    <row r="273" spans="2:5" hidden="1" x14ac:dyDescent="0.25">
      <c r="B273" s="99" t="str">
        <f>+B264</f>
        <v>Depreciación Acumulada</v>
      </c>
      <c r="C273" s="82">
        <f>-[1]nota13!H28</f>
        <v>-10876825.58</v>
      </c>
      <c r="D273" s="129"/>
      <c r="E273" s="40"/>
    </row>
    <row r="274" spans="2:5" hidden="1" x14ac:dyDescent="0.25">
      <c r="B274" s="99" t="str">
        <f>+B265</f>
        <v>Depreciación del periodo</v>
      </c>
      <c r="C274" s="82">
        <f>-[1]nota13!H29</f>
        <v>-340373.11999999965</v>
      </c>
      <c r="D274" s="129"/>
      <c r="E274" s="40"/>
    </row>
    <row r="275" spans="2:5" ht="28.5" hidden="1" x14ac:dyDescent="0.25">
      <c r="B275" s="131" t="s">
        <v>175</v>
      </c>
      <c r="C275" s="132">
        <f>SUM(C270:C274)</f>
        <v>4411049.1300000008</v>
      </c>
      <c r="D275" s="133">
        <f>SUM(D270:D272)</f>
        <v>15217930.59</v>
      </c>
      <c r="E275" s="132">
        <f>SUM(E270:E272)</f>
        <v>410317.24000000022</v>
      </c>
    </row>
    <row r="276" spans="2:5" ht="28.5" hidden="1" x14ac:dyDescent="0.25">
      <c r="B276" s="131" t="s">
        <v>176</v>
      </c>
      <c r="C276" s="134"/>
      <c r="D276" s="135"/>
      <c r="E276" s="136"/>
    </row>
    <row r="277" spans="2:5" ht="28.5" hidden="1" x14ac:dyDescent="0.25">
      <c r="B277" s="131" t="s">
        <v>177</v>
      </c>
      <c r="C277" s="132">
        <f>+C275-C276</f>
        <v>4411049.1300000008</v>
      </c>
      <c r="D277" s="133">
        <f>+D275-D276</f>
        <v>15217930.59</v>
      </c>
      <c r="E277" s="132">
        <f>+E275-E276</f>
        <v>410317.24000000022</v>
      </c>
    </row>
    <row r="278" spans="2:5" hidden="1" x14ac:dyDescent="0.25">
      <c r="B278" s="125" t="s">
        <v>178</v>
      </c>
      <c r="C278" s="142"/>
      <c r="D278" s="129"/>
      <c r="E278" s="40">
        <f>+C278-D278</f>
        <v>0</v>
      </c>
    </row>
    <row r="279" spans="2:5" hidden="1" x14ac:dyDescent="0.25">
      <c r="B279" s="99" t="s">
        <v>179</v>
      </c>
      <c r="C279" s="82"/>
      <c r="D279" s="129"/>
      <c r="E279" s="40">
        <f>+C279-D279</f>
        <v>0</v>
      </c>
    </row>
    <row r="280" spans="2:5" hidden="1" x14ac:dyDescent="0.25">
      <c r="B280" s="143" t="s">
        <v>180</v>
      </c>
      <c r="C280" s="82"/>
      <c r="D280" s="129"/>
      <c r="E280" s="40">
        <f>+C280-D280</f>
        <v>0</v>
      </c>
    </row>
    <row r="281" spans="2:5" hidden="1" x14ac:dyDescent="0.25">
      <c r="B281" s="131" t="s">
        <v>181</v>
      </c>
      <c r="C281" s="144">
        <f>SUM(C279:C280)</f>
        <v>0</v>
      </c>
      <c r="D281" s="145">
        <f>SUM(D279:D280)</f>
        <v>0</v>
      </c>
      <c r="E281" s="144">
        <f>SUM(E279:E280)</f>
        <v>0</v>
      </c>
    </row>
    <row r="282" spans="2:5" ht="28.5" hidden="1" x14ac:dyDescent="0.25">
      <c r="B282" s="131" t="s">
        <v>182</v>
      </c>
      <c r="C282" s="146">
        <v>0</v>
      </c>
      <c r="D282" s="135">
        <v>0</v>
      </c>
      <c r="E282" s="136">
        <f>+C282-D282</f>
        <v>0</v>
      </c>
    </row>
    <row r="283" spans="2:5" ht="28.5" hidden="1" x14ac:dyDescent="0.25">
      <c r="B283" s="131" t="s">
        <v>183</v>
      </c>
      <c r="C283" s="144">
        <f>+C281-C282</f>
        <v>0</v>
      </c>
      <c r="D283" s="145">
        <f>+D281-D282</f>
        <v>0</v>
      </c>
      <c r="E283" s="144">
        <f>+E281-E282</f>
        <v>0</v>
      </c>
    </row>
    <row r="284" spans="2:5" hidden="1" x14ac:dyDescent="0.25">
      <c r="B284" s="141" t="s">
        <v>184</v>
      </c>
      <c r="C284" s="137"/>
      <c r="D284" s="138"/>
      <c r="E284" s="139"/>
    </row>
    <row r="285" spans="2:5" hidden="1" x14ac:dyDescent="0.25">
      <c r="B285" s="37" t="str">
        <f>+B270</f>
        <v xml:space="preserve">Costos de adquisición  </v>
      </c>
      <c r="C285" s="82">
        <f>+'[1]BALANZA G'!D55</f>
        <v>1623675</v>
      </c>
      <c r="D285" s="129">
        <f>+'[1]BALANZA G'!D55</f>
        <v>1623675</v>
      </c>
      <c r="E285" s="40">
        <f>+C285-D285</f>
        <v>0</v>
      </c>
    </row>
    <row r="286" spans="2:5" hidden="1" x14ac:dyDescent="0.25">
      <c r="B286" s="37" t="str">
        <f>+B271</f>
        <v>Adiciones</v>
      </c>
      <c r="C286" s="82">
        <f>+'[1]BALANZA G'!C55-'[1]BALANZA G'!D55</f>
        <v>0</v>
      </c>
      <c r="D286" s="129" t="e">
        <f>+'[1]BALANZA G'!#REF!</f>
        <v>#REF!</v>
      </c>
      <c r="E286" s="40" t="e">
        <f>+C286-D286</f>
        <v>#REF!</v>
      </c>
    </row>
    <row r="287" spans="2:5" hidden="1" x14ac:dyDescent="0.25">
      <c r="B287" s="37" t="str">
        <f>+B272</f>
        <v>Retiros</v>
      </c>
      <c r="C287" s="82"/>
      <c r="D287" s="129"/>
      <c r="E287" s="40">
        <f>+C287-D287</f>
        <v>0</v>
      </c>
    </row>
    <row r="288" spans="2:5" hidden="1" x14ac:dyDescent="0.25">
      <c r="B288" s="37" t="str">
        <f>+B273</f>
        <v>Depreciación Acumulada</v>
      </c>
      <c r="C288" s="82"/>
      <c r="D288" s="129"/>
      <c r="E288" s="40"/>
    </row>
    <row r="289" spans="2:6" hidden="1" x14ac:dyDescent="0.25">
      <c r="B289" s="37" t="str">
        <f>+B274</f>
        <v>Depreciación del periodo</v>
      </c>
      <c r="C289" s="82"/>
      <c r="D289" s="129"/>
      <c r="E289" s="40"/>
    </row>
    <row r="290" spans="2:6" hidden="1" x14ac:dyDescent="0.25">
      <c r="B290" s="131" t="s">
        <v>185</v>
      </c>
      <c r="C290" s="132">
        <f>SUM(C279:C286)</f>
        <v>1623675</v>
      </c>
      <c r="D290" s="133" t="e">
        <f>SUM(D279:D286)</f>
        <v>#REF!</v>
      </c>
      <c r="E290" s="132" t="e">
        <f>SUM(E279:E286)</f>
        <v>#REF!</v>
      </c>
    </row>
    <row r="291" spans="2:6" hidden="1" x14ac:dyDescent="0.25">
      <c r="B291" s="141" t="s">
        <v>186</v>
      </c>
      <c r="C291" s="137"/>
      <c r="D291" s="138"/>
      <c r="E291" s="139"/>
    </row>
    <row r="292" spans="2:6" hidden="1" x14ac:dyDescent="0.25">
      <c r="B292" s="37" t="str">
        <f>+B285</f>
        <v xml:space="preserve">Costos de adquisición  </v>
      </c>
      <c r="C292" s="82">
        <f>+'[1]BALANZA G'!D58</f>
        <v>953149176.46000004</v>
      </c>
      <c r="D292" s="129">
        <f>+'[1]BALANZA G'!D58</f>
        <v>953149176.46000004</v>
      </c>
      <c r="E292" s="40">
        <f>+C292-D292</f>
        <v>0</v>
      </c>
    </row>
    <row r="293" spans="2:6" hidden="1" x14ac:dyDescent="0.25">
      <c r="B293" s="37" t="str">
        <f>+B286</f>
        <v>Adiciones</v>
      </c>
      <c r="C293" s="82">
        <f>+'[1]BALANZA G'!C58-'[1]BALANZA G'!D58</f>
        <v>0</v>
      </c>
      <c r="D293" s="129" t="e">
        <f>+'[1]BALANZA G'!#REF!</f>
        <v>#REF!</v>
      </c>
      <c r="E293" s="40" t="e">
        <f>+C293-D293</f>
        <v>#REF!</v>
      </c>
    </row>
    <row r="294" spans="2:6" hidden="1" x14ac:dyDescent="0.25">
      <c r="B294" s="37" t="str">
        <f>+B287</f>
        <v>Retiros</v>
      </c>
      <c r="C294" s="82"/>
      <c r="D294" s="129"/>
      <c r="E294" s="40"/>
    </row>
    <row r="295" spans="2:6" hidden="1" x14ac:dyDescent="0.25">
      <c r="B295" s="37" t="str">
        <f>+B288</f>
        <v>Depreciación Acumulada</v>
      </c>
      <c r="C295" s="82">
        <f>-[1]nota13!E28</f>
        <v>-220360422.87</v>
      </c>
      <c r="D295" s="129"/>
      <c r="E295" s="40"/>
    </row>
    <row r="296" spans="2:6" hidden="1" x14ac:dyDescent="0.25">
      <c r="B296" s="37" t="str">
        <f>+B289</f>
        <v>Depreciación del periodo</v>
      </c>
      <c r="C296" s="82">
        <f>-[1]nota13!E29</f>
        <v>-25248051.370000005</v>
      </c>
      <c r="D296" s="129"/>
      <c r="E296" s="40"/>
    </row>
    <row r="297" spans="2:6" hidden="1" x14ac:dyDescent="0.25">
      <c r="B297" s="131" t="s">
        <v>187</v>
      </c>
      <c r="C297" s="132">
        <f>SUM(C292:C296)</f>
        <v>707540702.22000003</v>
      </c>
      <c r="D297" s="133" t="e">
        <f>+D292+D293-D294</f>
        <v>#REF!</v>
      </c>
      <c r="E297" s="132" t="e">
        <f>+E292+E293-E294</f>
        <v>#REF!</v>
      </c>
    </row>
    <row r="298" spans="2:6" hidden="1" x14ac:dyDescent="0.25">
      <c r="B298" s="131" t="s">
        <v>185</v>
      </c>
      <c r="C298" s="132">
        <f>+C297+C290</f>
        <v>709164377.22000003</v>
      </c>
      <c r="D298" s="133" t="e">
        <f>+D297+D290</f>
        <v>#REF!</v>
      </c>
      <c r="E298" s="132" t="e">
        <f>+E297+E290</f>
        <v>#REF!</v>
      </c>
      <c r="F298" s="147">
        <f>+F297+F290</f>
        <v>0</v>
      </c>
    </row>
    <row r="299" spans="2:6" hidden="1" x14ac:dyDescent="0.25">
      <c r="B299" s="131" t="s">
        <v>188</v>
      </c>
      <c r="C299" s="134"/>
      <c r="D299" s="135"/>
      <c r="E299" s="136">
        <f>+C299-D299</f>
        <v>0</v>
      </c>
    </row>
    <row r="300" spans="2:6" ht="27" hidden="1" customHeight="1" x14ac:dyDescent="0.25">
      <c r="B300" s="131" t="s">
        <v>189</v>
      </c>
      <c r="C300" s="132">
        <f>+C298-C299</f>
        <v>709164377.22000003</v>
      </c>
      <c r="D300" s="133" t="e">
        <f>+D298-D299</f>
        <v>#REF!</v>
      </c>
      <c r="E300" s="132" t="e">
        <f>+E298-E299</f>
        <v>#REF!</v>
      </c>
    </row>
    <row r="301" spans="2:6" hidden="1" x14ac:dyDescent="0.25">
      <c r="B301" s="148" t="s">
        <v>190</v>
      </c>
      <c r="C301" s="142"/>
      <c r="D301" s="129"/>
      <c r="E301" s="40">
        <f>+C301-D301</f>
        <v>0</v>
      </c>
    </row>
    <row r="302" spans="2:6" hidden="1" x14ac:dyDescent="0.25">
      <c r="B302" s="99" t="s">
        <v>191</v>
      </c>
      <c r="C302" s="82"/>
      <c r="D302" s="129"/>
      <c r="E302" s="40">
        <f>+C302-D302</f>
        <v>0</v>
      </c>
    </row>
    <row r="303" spans="2:6" hidden="1" x14ac:dyDescent="0.25">
      <c r="B303" s="131" t="s">
        <v>192</v>
      </c>
      <c r="C303" s="132">
        <f>SUM(C302)</f>
        <v>0</v>
      </c>
      <c r="D303" s="133">
        <f>SUM(D302)</f>
        <v>0</v>
      </c>
      <c r="E303" s="132">
        <f>SUM(E302)</f>
        <v>0</v>
      </c>
    </row>
    <row r="304" spans="2:6" hidden="1" x14ac:dyDescent="0.25">
      <c r="B304" s="131" t="s">
        <v>193</v>
      </c>
      <c r="C304" s="134"/>
      <c r="D304" s="135"/>
      <c r="E304" s="136">
        <f>+C304-D304</f>
        <v>0</v>
      </c>
    </row>
    <row r="305" spans="2:26" ht="28.5" hidden="1" x14ac:dyDescent="0.25">
      <c r="B305" s="131" t="s">
        <v>194</v>
      </c>
      <c r="C305" s="132">
        <f>+C303-C304</f>
        <v>0</v>
      </c>
      <c r="D305" s="133">
        <f>+D303-D304</f>
        <v>0</v>
      </c>
      <c r="E305" s="132">
        <f>+E303-E304</f>
        <v>0</v>
      </c>
    </row>
    <row r="306" spans="2:26" hidden="1" x14ac:dyDescent="0.25">
      <c r="B306" s="148" t="s">
        <v>195</v>
      </c>
      <c r="C306" s="142"/>
      <c r="D306" s="129"/>
      <c r="E306" s="40"/>
    </row>
    <row r="307" spans="2:26" hidden="1" x14ac:dyDescent="0.25">
      <c r="B307" s="143" t="s">
        <v>196</v>
      </c>
      <c r="C307" s="82"/>
      <c r="D307" s="129"/>
      <c r="E307" s="40">
        <f>+C307-D307</f>
        <v>0</v>
      </c>
    </row>
    <row r="308" spans="2:26" ht="12" hidden="1" customHeight="1" x14ac:dyDescent="0.25">
      <c r="B308" s="143" t="s">
        <v>197</v>
      </c>
      <c r="C308" s="82"/>
      <c r="D308" s="129"/>
      <c r="E308" s="40">
        <f>+C308-D308</f>
        <v>0</v>
      </c>
    </row>
    <row r="309" spans="2:26" ht="13.5" hidden="1" customHeight="1" x14ac:dyDescent="0.25">
      <c r="B309" s="143" t="s">
        <v>198</v>
      </c>
      <c r="C309" s="82"/>
      <c r="D309" s="129"/>
      <c r="E309" s="40">
        <f>+C309-D309</f>
        <v>0</v>
      </c>
    </row>
    <row r="310" spans="2:26" ht="24.75" hidden="1" customHeight="1" x14ac:dyDescent="0.25">
      <c r="B310" s="131" t="s">
        <v>199</v>
      </c>
      <c r="C310" s="132">
        <f>SUM(C307:C309)</f>
        <v>0</v>
      </c>
      <c r="D310" s="133">
        <f>SUM(D307:D309)</f>
        <v>0</v>
      </c>
      <c r="E310" s="132">
        <f>SUM(E307:E309)</f>
        <v>0</v>
      </c>
    </row>
    <row r="311" spans="2:26" ht="21" hidden="1" customHeight="1" x14ac:dyDescent="0.25">
      <c r="B311" s="131" t="s">
        <v>200</v>
      </c>
      <c r="C311" s="134"/>
      <c r="D311" s="135"/>
      <c r="E311" s="136">
        <f>+C311-D311</f>
        <v>0</v>
      </c>
    </row>
    <row r="312" spans="2:26" ht="33" hidden="1" customHeight="1" x14ac:dyDescent="0.25">
      <c r="B312" s="131" t="s">
        <v>201</v>
      </c>
      <c r="C312" s="132">
        <f>+C310-C311</f>
        <v>0</v>
      </c>
      <c r="D312" s="133">
        <f>+D310-D311</f>
        <v>0</v>
      </c>
      <c r="E312" s="132">
        <f>+E310-E311</f>
        <v>0</v>
      </c>
    </row>
    <row r="313" spans="2:26" hidden="1" x14ac:dyDescent="0.25">
      <c r="B313" s="131" t="s">
        <v>202</v>
      </c>
      <c r="C313" s="149">
        <f>+C312+C305+C300+C283+C277+C268+C259+C250</f>
        <v>729678906.6500001</v>
      </c>
      <c r="D313" s="150" t="e">
        <f>+D312+D305+D300+D283+D277+D268+D259+D250</f>
        <v>#REF!</v>
      </c>
      <c r="E313" s="149" t="e">
        <f>+E312+E305+E300+E283+E277+E268+E259+E250</f>
        <v>#REF!</v>
      </c>
    </row>
    <row r="314" spans="2:26" hidden="1" x14ac:dyDescent="0.25">
      <c r="B314" s="131" t="s">
        <v>203</v>
      </c>
      <c r="C314" s="151">
        <f>+C311+C304+C299+C282+C276+C267+C258+C249</f>
        <v>0</v>
      </c>
      <c r="D314" s="135">
        <f>+D311+D304+D299+D282+D276+D267+D258+D249</f>
        <v>0</v>
      </c>
      <c r="E314" s="136">
        <f>+C314-D314</f>
        <v>0</v>
      </c>
    </row>
    <row r="315" spans="2:26" hidden="1" x14ac:dyDescent="0.25">
      <c r="B315" s="131" t="s">
        <v>204</v>
      </c>
      <c r="C315" s="149">
        <f>+C298+C277+C268+C259+C250</f>
        <v>729678906.6500001</v>
      </c>
      <c r="D315" s="150" t="e">
        <f>+D298+D277+D268+D259+D250</f>
        <v>#REF!</v>
      </c>
      <c r="E315" s="149" t="e">
        <f>+E313-E314</f>
        <v>#REF!</v>
      </c>
    </row>
    <row r="316" spans="2:26" s="8" customFormat="1" ht="9.75" hidden="1" customHeight="1" x14ac:dyDescent="0.25">
      <c r="B316" s="152"/>
      <c r="C316" s="153"/>
      <c r="D316" s="154"/>
      <c r="E316" s="155"/>
      <c r="J316" s="11"/>
      <c r="N316" s="11"/>
      <c r="R316" s="3"/>
      <c r="S316" s="3"/>
      <c r="T316" s="3"/>
      <c r="U316" s="3"/>
      <c r="V316" s="3"/>
      <c r="W316" s="3"/>
      <c r="X316" s="3"/>
      <c r="Y316" s="3"/>
      <c r="Z316" s="11"/>
    </row>
    <row r="317" spans="2:26" s="41" customFormat="1" ht="18" customHeight="1" x14ac:dyDescent="0.25">
      <c r="B317" s="262" t="s">
        <v>101</v>
      </c>
      <c r="C317" s="263"/>
      <c r="D317" s="115" t="str">
        <f>IF(E317&gt;=0,"Aumento","Disminución")</f>
        <v>Disminución</v>
      </c>
      <c r="E317" s="116">
        <f>+(-[1]nota13!K17+[1]nota13!K32)/[1]nota13!K17</f>
        <v>-4.9222325367536852E-2</v>
      </c>
      <c r="J317" s="45"/>
      <c r="N317" s="45"/>
      <c r="R317" s="46"/>
      <c r="S317" s="46"/>
      <c r="T317" s="46"/>
      <c r="U317" s="46"/>
      <c r="V317" s="46"/>
      <c r="W317" s="46"/>
      <c r="X317" s="46"/>
      <c r="Y317" s="46"/>
      <c r="Z317" s="45"/>
    </row>
    <row r="318" spans="2:26" x14ac:dyDescent="0.25">
      <c r="B318" s="90"/>
    </row>
    <row r="319" spans="2:26" x14ac:dyDescent="0.25">
      <c r="B319" s="90"/>
    </row>
    <row r="320" spans="2:26" x14ac:dyDescent="0.25">
      <c r="B320" s="90"/>
    </row>
    <row r="321" spans="2:2" x14ac:dyDescent="0.25">
      <c r="B321" s="90"/>
    </row>
    <row r="322" spans="2:2" x14ac:dyDescent="0.25">
      <c r="B322" s="90"/>
    </row>
    <row r="323" spans="2:2" x14ac:dyDescent="0.25">
      <c r="B323" s="90"/>
    </row>
    <row r="324" spans="2:2" x14ac:dyDescent="0.25">
      <c r="B324" s="90"/>
    </row>
    <row r="325" spans="2:2" x14ac:dyDescent="0.25">
      <c r="B325" s="90"/>
    </row>
    <row r="326" spans="2:2" x14ac:dyDescent="0.25">
      <c r="B326" s="90"/>
    </row>
    <row r="327" spans="2:2" x14ac:dyDescent="0.25">
      <c r="B327" s="90"/>
    </row>
    <row r="328" spans="2:2" x14ac:dyDescent="0.25">
      <c r="B328" s="90"/>
    </row>
    <row r="329" spans="2:2" x14ac:dyDescent="0.25">
      <c r="B329" s="90"/>
    </row>
    <row r="330" spans="2:2" x14ac:dyDescent="0.25">
      <c r="B330" s="90"/>
    </row>
    <row r="331" spans="2:2" x14ac:dyDescent="0.25">
      <c r="B331" s="90"/>
    </row>
    <row r="332" spans="2:2" x14ac:dyDescent="0.25">
      <c r="B332" s="90"/>
    </row>
    <row r="333" spans="2:2" x14ac:dyDescent="0.25">
      <c r="B333" s="90"/>
    </row>
    <row r="334" spans="2:2" x14ac:dyDescent="0.25">
      <c r="B334" s="90"/>
    </row>
    <row r="335" spans="2:2" x14ac:dyDescent="0.25">
      <c r="B335" s="90"/>
    </row>
    <row r="336" spans="2:2" x14ac:dyDescent="0.25">
      <c r="B336" s="90"/>
    </row>
    <row r="337" spans="2:2" x14ac:dyDescent="0.25">
      <c r="B337" s="90"/>
    </row>
    <row r="338" spans="2:2" x14ac:dyDescent="0.25">
      <c r="B338" s="90"/>
    </row>
    <row r="339" spans="2:2" x14ac:dyDescent="0.25">
      <c r="B339" s="90"/>
    </row>
    <row r="340" spans="2:2" x14ac:dyDescent="0.25">
      <c r="B340" s="90"/>
    </row>
    <row r="341" spans="2:2" x14ac:dyDescent="0.25">
      <c r="B341" s="90"/>
    </row>
    <row r="342" spans="2:2" x14ac:dyDescent="0.25">
      <c r="B342" s="90"/>
    </row>
    <row r="343" spans="2:2" x14ac:dyDescent="0.25">
      <c r="B343" s="90"/>
    </row>
    <row r="344" spans="2:2" x14ac:dyDescent="0.25">
      <c r="B344" s="90"/>
    </row>
    <row r="345" spans="2:2" x14ac:dyDescent="0.25">
      <c r="B345" s="90"/>
    </row>
    <row r="346" spans="2:2" x14ac:dyDescent="0.25">
      <c r="B346" s="90"/>
    </row>
    <row r="347" spans="2:2" x14ac:dyDescent="0.25">
      <c r="B347" s="90"/>
    </row>
    <row r="348" spans="2:2" x14ac:dyDescent="0.25">
      <c r="B348" s="90"/>
    </row>
    <row r="349" spans="2:2" x14ac:dyDescent="0.25">
      <c r="B349" s="90"/>
    </row>
    <row r="350" spans="2:2" x14ac:dyDescent="0.25">
      <c r="B350" s="90"/>
    </row>
    <row r="351" spans="2:2" x14ac:dyDescent="0.25">
      <c r="B351" s="90"/>
    </row>
    <row r="352" spans="2:2" ht="6" customHeight="1" x14ac:dyDescent="0.25">
      <c r="B352" s="90"/>
    </row>
    <row r="353" spans="2:26" x14ac:dyDescent="0.25">
      <c r="B353" s="90"/>
    </row>
    <row r="354" spans="2:26" x14ac:dyDescent="0.25">
      <c r="B354" s="90"/>
    </row>
    <row r="355" spans="2:26" x14ac:dyDescent="0.25">
      <c r="B355" s="90"/>
    </row>
    <row r="356" spans="2:26" x14ac:dyDescent="0.25">
      <c r="B356" s="90"/>
    </row>
    <row r="357" spans="2:26" x14ac:dyDescent="0.25">
      <c r="B357" s="57" t="s">
        <v>205</v>
      </c>
    </row>
    <row r="358" spans="2:26" x14ac:dyDescent="0.25">
      <c r="B358" s="57" t="s">
        <v>206</v>
      </c>
    </row>
    <row r="359" spans="2:26" ht="15" customHeight="1" x14ac:dyDescent="0.25">
      <c r="B359" s="254" t="str">
        <f>("Un detalle de las  "&amp;B358&amp;" al "&amp;[1]BALANZA!$C$4&amp;" "&amp;[1]BALANZA!$C$3&amp;" es como se detalla a continuación:")</f>
        <v>Un detalle de las  Activos Intangible  al 2023 - 2023 es como se detalla a continuación:</v>
      </c>
      <c r="C359" s="261"/>
      <c r="D359" s="261"/>
      <c r="E359" s="261"/>
    </row>
    <row r="360" spans="2:26" ht="33.75" customHeight="1" x14ac:dyDescent="0.25">
      <c r="B360" s="255" t="str">
        <f>("Las "&amp;B358&amp;" está integrado siguientes cuentas, para el "&amp;C362&amp;" el total era de RD$"&amp;R365&amp;" y para el "&amp;D362&amp;" el total fue de RD$"&amp;R366&amp;".00 , Según el siguiente detalle:")</f>
        <v>Las Activos Intangible  está integrado siguientes cuentas, para el 2024 el total era de RD$72,985.67 y para el 2023 el total fue de RD$101,545.00 , Según el siguiente detalle:</v>
      </c>
      <c r="C360" s="255"/>
      <c r="D360" s="255"/>
      <c r="E360" s="255"/>
      <c r="I360" s="156"/>
      <c r="J360" s="157"/>
    </row>
    <row r="361" spans="2:26" s="41" customFormat="1" ht="12.75" customHeight="1" x14ac:dyDescent="0.25">
      <c r="B361" s="158"/>
      <c r="C361" s="158"/>
      <c r="D361" s="159"/>
      <c r="E361" s="160"/>
      <c r="J361" s="45"/>
      <c r="N361" s="45"/>
      <c r="R361" s="46"/>
      <c r="S361" s="46"/>
      <c r="T361" s="46"/>
      <c r="U361" s="46"/>
      <c r="V361" s="46"/>
      <c r="W361" s="46"/>
      <c r="X361" s="46"/>
      <c r="Y361" s="46"/>
      <c r="Z361" s="45"/>
    </row>
    <row r="362" spans="2:26" x14ac:dyDescent="0.25">
      <c r="B362" s="161" t="s">
        <v>90</v>
      </c>
      <c r="C362" s="162">
        <f>+[1]BALANZA!B4</f>
        <v>2024</v>
      </c>
      <c r="D362" s="162">
        <f>+[1]BALANZA!C4</f>
        <v>2023</v>
      </c>
      <c r="E362" s="161" t="s">
        <v>91</v>
      </c>
    </row>
    <row r="363" spans="2:26" x14ac:dyDescent="0.25">
      <c r="B363" s="163" t="s">
        <v>207</v>
      </c>
      <c r="C363" s="74">
        <f>+'[1]BALANZA G'!C69</f>
        <v>175165.5</v>
      </c>
      <c r="D363" s="74">
        <f>+'[1]BALANZA G'!D69</f>
        <v>243708</v>
      </c>
      <c r="E363" s="164">
        <f>+C363-D363</f>
        <v>-68542.5</v>
      </c>
    </row>
    <row r="364" spans="2:26" x14ac:dyDescent="0.25">
      <c r="B364" s="163" t="s">
        <v>208</v>
      </c>
      <c r="C364" s="74">
        <f>-+'[1]BALANZA G'!C82</f>
        <v>-102179.83</v>
      </c>
      <c r="D364" s="74">
        <f>-'[1]BALANZA G'!D82</f>
        <v>-142163</v>
      </c>
      <c r="E364" s="164">
        <f>+C364-D364</f>
        <v>39983.17</v>
      </c>
      <c r="G364" s="83">
        <f>+[1]ERF!N20</f>
        <v>0</v>
      </c>
    </row>
    <row r="365" spans="2:26" x14ac:dyDescent="0.25">
      <c r="B365" s="102" t="s">
        <v>209</v>
      </c>
      <c r="C365" s="103">
        <f>SUM(C363:C363)+C364</f>
        <v>72985.67</v>
      </c>
      <c r="D365" s="165">
        <f>SUM(D363:D363)+D364</f>
        <v>101545</v>
      </c>
      <c r="E365" s="165">
        <f>SUM(E363:E363)</f>
        <v>-68542.5</v>
      </c>
      <c r="R365" s="3" t="str">
        <f>+CONCATENATE(S365,",",T365,U365)</f>
        <v>72,985.67</v>
      </c>
      <c r="S365" s="3" t="str">
        <f>MID(C365,1,2)</f>
        <v>72</v>
      </c>
      <c r="T365" s="3" t="str">
        <f>MID(C365,3,3)</f>
        <v>985</v>
      </c>
      <c r="U365" s="3" t="str">
        <f>MID(C365,6,3)</f>
        <v>.67</v>
      </c>
      <c r="V365" s="3" t="str">
        <f>MID(C365,9,3)</f>
        <v/>
      </c>
    </row>
    <row r="366" spans="2:26" ht="10.5" customHeight="1" x14ac:dyDescent="0.25">
      <c r="B366" s="166"/>
      <c r="C366" s="167">
        <f>+C365-'[1]ES F '!B25</f>
        <v>0</v>
      </c>
      <c r="D366" s="167">
        <f>+D365-'[1]ES F '!C25</f>
        <v>0</v>
      </c>
      <c r="E366" s="168"/>
      <c r="R366" s="3" t="str">
        <f>+CONCATENATE(S366,",",T366,U366)</f>
        <v>101,545</v>
      </c>
      <c r="S366" s="3" t="str">
        <f>MID(D365,1,3)</f>
        <v>101</v>
      </c>
      <c r="T366" s="3" t="str">
        <f>MID(D365,4,3)</f>
        <v>545</v>
      </c>
      <c r="U366" s="3" t="str">
        <f>MID(D365,7,3)</f>
        <v/>
      </c>
    </row>
    <row r="367" spans="2:26" s="41" customFormat="1" x14ac:dyDescent="0.25">
      <c r="B367" s="267" t="s">
        <v>101</v>
      </c>
      <c r="C367" s="268"/>
      <c r="D367" s="115" t="str">
        <f>IF(E367&gt;=0,"Aumento","Disminución")</f>
        <v>Disminución</v>
      </c>
      <c r="E367" s="81">
        <f>IFERROR(+E365/D365,0)</f>
        <v>-0.67499630705598501</v>
      </c>
      <c r="J367" s="45"/>
      <c r="N367" s="45"/>
      <c r="R367" s="46"/>
      <c r="S367" s="46"/>
      <c r="T367" s="46"/>
      <c r="U367" s="46"/>
      <c r="V367" s="46"/>
      <c r="W367" s="46"/>
      <c r="X367" s="46"/>
      <c r="Y367" s="46"/>
      <c r="Z367" s="45"/>
    </row>
    <row r="368" spans="2:26" s="41" customFormat="1" x14ac:dyDescent="0.25">
      <c r="B368" s="158"/>
      <c r="C368" s="158"/>
      <c r="D368" s="169"/>
      <c r="E368" s="160"/>
      <c r="J368" s="45"/>
      <c r="N368" s="45"/>
      <c r="R368" s="46"/>
      <c r="S368" s="46"/>
      <c r="T368" s="46"/>
      <c r="U368" s="46"/>
      <c r="V368" s="46"/>
      <c r="W368" s="46"/>
      <c r="X368" s="46"/>
      <c r="Y368" s="46"/>
      <c r="Z368" s="45"/>
    </row>
    <row r="369" spans="2:30" s="41" customFormat="1" ht="8.25" customHeight="1" x14ac:dyDescent="0.25">
      <c r="B369" s="170"/>
      <c r="C369" s="170"/>
      <c r="D369" s="171"/>
      <c r="E369" s="172"/>
      <c r="J369" s="45"/>
      <c r="N369" s="45"/>
      <c r="R369" s="46"/>
      <c r="S369" s="46"/>
      <c r="T369" s="46"/>
      <c r="U369" s="46"/>
      <c r="V369" s="46"/>
      <c r="W369" s="46"/>
      <c r="X369" s="46"/>
      <c r="Y369" s="46"/>
      <c r="Z369" s="45"/>
    </row>
    <row r="370" spans="2:30" x14ac:dyDescent="0.25">
      <c r="B370" s="173" t="s">
        <v>210</v>
      </c>
      <c r="C370" s="22"/>
      <c r="D370" s="25"/>
      <c r="E370" s="22"/>
    </row>
    <row r="371" spans="2:30" ht="21.75" customHeight="1" x14ac:dyDescent="0.25">
      <c r="B371" s="252" t="s">
        <v>211</v>
      </c>
      <c r="C371" s="252"/>
      <c r="D371" s="252"/>
      <c r="E371" s="252"/>
    </row>
    <row r="372" spans="2:30" ht="27.75" customHeight="1" x14ac:dyDescent="0.25">
      <c r="B372" s="254" t="str">
        <f>("Un detalle de las  "&amp;B371&amp;" al "&amp;[1]BALANZA!$B$4&amp;" "&amp;[1]BALANZA!$C$3&amp;" es como se detalla a continuación:")</f>
        <v>Un detalle de las  Cuentas por pagar a corto plazo al 2024 - 2023 es como se detalla a continuación:</v>
      </c>
      <c r="C372" s="261"/>
      <c r="D372" s="261"/>
      <c r="E372" s="261"/>
    </row>
    <row r="373" spans="2:30" ht="59.25" customHeight="1" x14ac:dyDescent="0.25">
      <c r="B373" s="255" t="str">
        <f>("Las Cuentas por Pagar está integrado por las deudas y compromisos de pago que tiene la institución con los suplidores de servicios, retenciones impositivas y documentos por pagar, con una disminucion en el "&amp;C376&amp;"  el total era de RD$ "&amp;R380&amp;"0 y para el "&amp;D376&amp;" el total fue de RD$ "&amp;R381&amp;" , Según el siguiente detalle:")</f>
        <v>Las Cuentas por Pagar está integrado por las deudas y compromisos de pago que tiene la institución con los suplidores de servicios, retenciones impositivas y documentos por pagar, con una disminucion en el 2024  el total era de RD$ 13,773,176.220 y para el 2023 el total fue de RD$ 12,310,196.18 , Según el siguiente detalle:</v>
      </c>
      <c r="C373" s="255"/>
      <c r="D373" s="255"/>
      <c r="E373" s="255"/>
    </row>
    <row r="374" spans="2:30" ht="45" customHeight="1" x14ac:dyDescent="0.25">
      <c r="B374" s="254" t="s">
        <v>212</v>
      </c>
      <c r="C374" s="254"/>
      <c r="D374" s="254"/>
      <c r="E374" s="254"/>
    </row>
    <row r="375" spans="2:30" x14ac:dyDescent="0.25">
      <c r="B375" s="10" t="s">
        <v>213</v>
      </c>
    </row>
    <row r="376" spans="2:30" x14ac:dyDescent="0.25">
      <c r="B376" s="174" t="s">
        <v>214</v>
      </c>
      <c r="C376" s="162">
        <f>+[1]BALANZA!B4</f>
        <v>2024</v>
      </c>
      <c r="D376" s="162">
        <f>+[1]BALANZA!C4</f>
        <v>2023</v>
      </c>
      <c r="E376" s="175" t="s">
        <v>215</v>
      </c>
    </row>
    <row r="377" spans="2:30" x14ac:dyDescent="0.25">
      <c r="B377" s="143" t="s">
        <v>216</v>
      </c>
      <c r="C377" s="82">
        <f>+'[1]BALANZA G'!C99-C378-0.06</f>
        <v>4451748.42</v>
      </c>
      <c r="D377" s="74">
        <f>+'[1]BALANZA G'!D99-D378</f>
        <v>10083421.02</v>
      </c>
      <c r="E377" s="40">
        <f>+C377-D377</f>
        <v>-5631672.5999999996</v>
      </c>
      <c r="AD377" s="83"/>
    </row>
    <row r="378" spans="2:30" x14ac:dyDescent="0.25">
      <c r="B378" s="143" t="s">
        <v>217</v>
      </c>
      <c r="C378" s="82">
        <f>800000+7078309.64</f>
        <v>7878309.6399999997</v>
      </c>
      <c r="D378" s="74">
        <v>800000</v>
      </c>
      <c r="E378" s="40">
        <f>+C378-D378</f>
        <v>7078309.6399999997</v>
      </c>
    </row>
    <row r="379" spans="2:30" x14ac:dyDescent="0.25">
      <c r="B379" s="143" t="s">
        <v>218</v>
      </c>
      <c r="C379" s="82">
        <f>+'[1]BALANZA G'!C100+'[1]BALANZA G'!C101</f>
        <v>1443118.16</v>
      </c>
      <c r="D379" s="74">
        <f>+'[1]BALANZA G'!D100+'[1]BALANZA G'!D101</f>
        <v>1426775.16</v>
      </c>
      <c r="E379" s="40">
        <f>+C379-D379</f>
        <v>16343</v>
      </c>
    </row>
    <row r="380" spans="2:30" x14ac:dyDescent="0.25">
      <c r="B380" s="174" t="s">
        <v>219</v>
      </c>
      <c r="C380" s="104">
        <f>SUM(C377:C379)</f>
        <v>13773176.219999999</v>
      </c>
      <c r="D380" s="176">
        <f>SUM(D377:D379)</f>
        <v>12310196.18</v>
      </c>
      <c r="E380" s="104">
        <f>SUM(E377:E379)</f>
        <v>1462980.04</v>
      </c>
      <c r="R380" s="3" t="str">
        <f>+CONCATENATE(S380,",",T380,",",U380,V380,AB380)</f>
        <v>13,773,176.22</v>
      </c>
      <c r="S380" s="3" t="str">
        <f>MID(C380,1,2)</f>
        <v>13</v>
      </c>
      <c r="T380" s="3" t="str">
        <f>MID(C380,3,3)</f>
        <v>773</v>
      </c>
      <c r="U380" s="3" t="str">
        <f>MID(C380,6,3)</f>
        <v>176</v>
      </c>
      <c r="V380" s="3" t="str">
        <f>MID(C380,9,3)</f>
        <v>.22</v>
      </c>
    </row>
    <row r="381" spans="2:30" x14ac:dyDescent="0.25">
      <c r="B381" s="177"/>
      <c r="C381" s="178">
        <f>+C380-'[1]ES F '!B31</f>
        <v>0</v>
      </c>
      <c r="D381" s="178">
        <f>+D380-'[1]ES F '!C31</f>
        <v>0</v>
      </c>
      <c r="R381" s="3" t="str">
        <f>+CONCATENATE(S381,",",T381,",",U381,V381,AB381)</f>
        <v>12,310,196.18</v>
      </c>
      <c r="S381" s="3" t="str">
        <f>MID(D380,1,2)</f>
        <v>12</v>
      </c>
      <c r="T381" s="3" t="str">
        <f>MID(D380,3,3)</f>
        <v>310</v>
      </c>
      <c r="U381" s="3" t="str">
        <f>MID(D380,6,3)</f>
        <v>196</v>
      </c>
      <c r="V381" s="3" t="str">
        <f>MID(D380,9,3)</f>
        <v>.18</v>
      </c>
    </row>
    <row r="382" spans="2:30" s="41" customFormat="1" x14ac:dyDescent="0.25">
      <c r="B382" s="262" t="s">
        <v>101</v>
      </c>
      <c r="C382" s="263"/>
      <c r="D382" s="50" t="str">
        <f>IF(E382&gt;=0,"Aumento","Disminución")</f>
        <v>Aumento</v>
      </c>
      <c r="E382" s="81">
        <f>+E380/D380</f>
        <v>0.11884295088463814</v>
      </c>
      <c r="J382" s="45"/>
      <c r="N382" s="45"/>
      <c r="R382" s="46"/>
      <c r="S382" s="46"/>
      <c r="T382" s="46"/>
      <c r="U382" s="46"/>
      <c r="V382" s="46"/>
      <c r="W382" s="46"/>
      <c r="X382" s="46"/>
      <c r="Y382" s="46"/>
      <c r="Z382" s="45"/>
    </row>
    <row r="383" spans="2:30" ht="22.5" customHeight="1" x14ac:dyDescent="0.25">
      <c r="B383" s="252" t="s">
        <v>220</v>
      </c>
      <c r="C383" s="252"/>
      <c r="D383" s="252"/>
      <c r="E383" s="252"/>
    </row>
    <row r="384" spans="2:30" ht="12.75" customHeight="1" x14ac:dyDescent="0.25">
      <c r="B384" s="179"/>
      <c r="C384" s="179"/>
      <c r="D384" s="180"/>
      <c r="E384" s="179"/>
    </row>
    <row r="385" spans="2:26" hidden="1" x14ac:dyDescent="0.25">
      <c r="B385" s="57" t="s">
        <v>221</v>
      </c>
    </row>
    <row r="386" spans="2:26" ht="24" hidden="1" customHeight="1" x14ac:dyDescent="0.25">
      <c r="B386" s="255" t="str">
        <f>+B136</f>
        <v>Un detalle del Inversiones a corto plazo al 30 de junio del 2024 - 2023 es como se detalla a continuación:</v>
      </c>
      <c r="C386" s="255"/>
      <c r="D386" s="255"/>
      <c r="E386" s="255"/>
    </row>
    <row r="387" spans="2:26" ht="78" hidden="1" customHeight="1" x14ac:dyDescent="0.25">
      <c r="B387" s="255" t="str">
        <f>("Los Prestamos por Pagar está integrado por las deudas y compromisos de pago que tiene la institución con los bancos, para el "&amp;C389&amp;" el total era de RD$"&amp;C391&amp;" y para el "&amp;D389&amp;" el total fue de RD$"&amp;D391&amp;" , Según el siguiente detalle:")</f>
        <v>Los Prestamos por Pagar está integrado por las deudas y compromisos de pago que tiene la institución con los bancos, para el 2024 el total era de RD$0 y para el 2023 el total fue de RD$0 , Según el siguiente detalle:</v>
      </c>
      <c r="C387" s="255"/>
      <c r="D387" s="255"/>
      <c r="E387" s="255"/>
    </row>
    <row r="388" spans="2:26" hidden="1" x14ac:dyDescent="0.25">
      <c r="B388" s="10" t="s">
        <v>213</v>
      </c>
    </row>
    <row r="389" spans="2:26" hidden="1" x14ac:dyDescent="0.25">
      <c r="B389" s="174" t="s">
        <v>214</v>
      </c>
      <c r="C389" s="162">
        <f>+C139</f>
        <v>2024</v>
      </c>
      <c r="D389" s="181">
        <f>+D139</f>
        <v>2023</v>
      </c>
      <c r="E389" s="175" t="s">
        <v>215</v>
      </c>
    </row>
    <row r="390" spans="2:26" hidden="1" x14ac:dyDescent="0.25">
      <c r="B390" s="143" t="s">
        <v>222</v>
      </c>
      <c r="C390" s="82">
        <f>+'[1]BALANZA G'!C110</f>
        <v>0</v>
      </c>
      <c r="D390" s="74">
        <f>+'[1]BALANZA G'!D110</f>
        <v>0</v>
      </c>
      <c r="E390" s="40">
        <f>+C390-D390</f>
        <v>0</v>
      </c>
    </row>
    <row r="391" spans="2:26" hidden="1" x14ac:dyDescent="0.25">
      <c r="B391" s="174" t="s">
        <v>223</v>
      </c>
      <c r="C391" s="104">
        <f>SUM(C390:C390)</f>
        <v>0</v>
      </c>
      <c r="D391" s="176">
        <f>SUM(D390:D390)</f>
        <v>0</v>
      </c>
      <c r="E391" s="104">
        <f>SUM(E390:E390)</f>
        <v>0</v>
      </c>
    </row>
    <row r="392" spans="2:26" hidden="1" x14ac:dyDescent="0.25">
      <c r="B392" s="177"/>
      <c r="C392" s="107"/>
      <c r="D392" s="178"/>
    </row>
    <row r="393" spans="2:26" s="41" customFormat="1" hidden="1" x14ac:dyDescent="0.25">
      <c r="B393" s="264" t="s">
        <v>224</v>
      </c>
      <c r="C393" s="265"/>
      <c r="D393" s="50" t="e">
        <f>IF(E393&gt;=0,"Aumento","Disminución")</f>
        <v>#DIV/0!</v>
      </c>
      <c r="E393" s="81" t="e">
        <f>+E391/D391</f>
        <v>#DIV/0!</v>
      </c>
      <c r="J393" s="45"/>
      <c r="N393" s="45"/>
      <c r="R393" s="46"/>
      <c r="S393" s="46"/>
      <c r="T393" s="46"/>
      <c r="U393" s="46"/>
      <c r="V393" s="46"/>
      <c r="W393" s="46"/>
      <c r="X393" s="46"/>
      <c r="Y393" s="46"/>
      <c r="Z393" s="45"/>
    </row>
    <row r="394" spans="2:26" s="41" customFormat="1" ht="17.25" customHeight="1" x14ac:dyDescent="0.25">
      <c r="B394" s="55" t="s">
        <v>225</v>
      </c>
      <c r="C394" s="55"/>
      <c r="D394" s="53"/>
      <c r="E394" s="56"/>
      <c r="J394" s="45"/>
      <c r="N394" s="45"/>
      <c r="R394" s="46"/>
      <c r="S394" s="46"/>
      <c r="T394" s="46"/>
      <c r="U394" s="46"/>
      <c r="V394" s="46"/>
      <c r="W394" s="46"/>
      <c r="X394" s="46"/>
      <c r="Y394" s="46"/>
      <c r="Z394" s="45"/>
    </row>
    <row r="395" spans="2:26" x14ac:dyDescent="0.25">
      <c r="B395" s="57" t="s">
        <v>226</v>
      </c>
    </row>
    <row r="396" spans="2:26" ht="22.5" customHeight="1" x14ac:dyDescent="0.25">
      <c r="B396" s="254" t="str">
        <f>("Un detalle de las  "&amp;B395&amp;" al "&amp;[1]BALANZA!$B$3&amp;" "&amp;[1]BALANZA!$C$3&amp;" es como se detalla a continuación:")</f>
        <v>Un detalle de las  Acumulaciones por pagar al 30 de junio del 2024 - 2023 es como se detalla a continuación:</v>
      </c>
      <c r="C396" s="261"/>
      <c r="D396" s="261"/>
      <c r="E396" s="261"/>
    </row>
    <row r="397" spans="2:26" ht="36" customHeight="1" x14ac:dyDescent="0.25">
      <c r="B397" s="255" t="str">
        <f>("Las acumulaciones por pagar  disminuye para el "&amp;C399&amp;" el total era RD$ "&amp;R403&amp;" y para el "&amp;D399&amp;" el total fue de RD$ "&amp;R404&amp;" , Según el siguiente detalle:")</f>
        <v>Las acumulaciones por pagar  disminuye para el 2024 el total era RD$ 252,299.30 y para el 2023 el total fue de RD$ 252,299.30 , Según el siguiente detalle:</v>
      </c>
      <c r="C397" s="255"/>
      <c r="D397" s="255"/>
      <c r="E397" s="255"/>
    </row>
    <row r="398" spans="2:26" ht="9" customHeight="1" x14ac:dyDescent="0.25">
      <c r="B398" s="271"/>
      <c r="C398" s="271"/>
      <c r="D398" s="271"/>
      <c r="E398" s="271"/>
    </row>
    <row r="399" spans="2:26" x14ac:dyDescent="0.25">
      <c r="B399" s="174" t="s">
        <v>214</v>
      </c>
      <c r="C399" s="162">
        <f>+C139</f>
        <v>2024</v>
      </c>
      <c r="D399" s="162">
        <f>+D139</f>
        <v>2023</v>
      </c>
      <c r="E399" s="175" t="s">
        <v>215</v>
      </c>
    </row>
    <row r="400" spans="2:26" x14ac:dyDescent="0.25">
      <c r="B400" s="143" t="s">
        <v>227</v>
      </c>
      <c r="C400" s="82">
        <f>+'[1]BALANZA G'!C106+'[1]BALANZA G'!C107</f>
        <v>252299.3</v>
      </c>
      <c r="D400" s="74">
        <f>+'[1]BALANZA G'!D106+'[1]BALANZA G'!D107</f>
        <v>252299.3</v>
      </c>
      <c r="E400" s="40">
        <f>+C400-D400</f>
        <v>0</v>
      </c>
    </row>
    <row r="401" spans="2:26" ht="14.25" customHeight="1" x14ac:dyDescent="0.25">
      <c r="B401" s="143" t="s">
        <v>228</v>
      </c>
      <c r="C401" s="82">
        <f>+'[1]BALANZA G'!C96+'[1]BALANZA G'!C97</f>
        <v>0</v>
      </c>
      <c r="D401" s="74">
        <f>+'[1]BALANZA G'!D96+'[1]BALANZA G'!D97</f>
        <v>0</v>
      </c>
      <c r="E401" s="40">
        <f>+C401-D401</f>
        <v>0</v>
      </c>
    </row>
    <row r="402" spans="2:26" hidden="1" x14ac:dyDescent="0.25">
      <c r="B402" s="143"/>
      <c r="C402" s="82"/>
      <c r="D402" s="74"/>
      <c r="E402" s="40"/>
    </row>
    <row r="403" spans="2:26" x14ac:dyDescent="0.25">
      <c r="B403" s="174" t="s">
        <v>229</v>
      </c>
      <c r="C403" s="104">
        <f>SUM(C400:C402)</f>
        <v>252299.3</v>
      </c>
      <c r="D403" s="176">
        <f>SUM(D400:D402)</f>
        <v>252299.3</v>
      </c>
      <c r="E403" s="104">
        <f>SUM(E400:E402)</f>
        <v>0</v>
      </c>
      <c r="R403" s="3" t="str">
        <f>+CONCATENATE(T403,",",U403,"",V403,"0")</f>
        <v>252,299.30</v>
      </c>
      <c r="T403" s="3" t="str">
        <f>MID(C403,1,3)</f>
        <v>252</v>
      </c>
      <c r="U403" s="3" t="str">
        <f>MID(C403,4,3)</f>
        <v>299</v>
      </c>
      <c r="V403" s="3" t="str">
        <f>MID(C403,7,3)</f>
        <v>.3</v>
      </c>
    </row>
    <row r="404" spans="2:26" x14ac:dyDescent="0.25">
      <c r="B404" s="177"/>
      <c r="C404" s="182">
        <f>+C403-'[1]ES F '!B34+C426</f>
        <v>0</v>
      </c>
      <c r="D404" s="182">
        <f>+D403-'[1]ES F '!C34+D426</f>
        <v>0</v>
      </c>
      <c r="R404" s="3" t="str">
        <f>+CONCATENATE(S404,",",T404,U404,V404,AB404,"0")</f>
        <v>252,299.30</v>
      </c>
      <c r="S404" s="3" t="str">
        <f>MID(D403,1,3)</f>
        <v>252</v>
      </c>
      <c r="T404" s="3" t="str">
        <f>MID(D403,4,3)</f>
        <v>299</v>
      </c>
      <c r="U404" s="3" t="str">
        <f>MID(D403,7,3)</f>
        <v>.3</v>
      </c>
    </row>
    <row r="405" spans="2:26" s="41" customFormat="1" x14ac:dyDescent="0.25">
      <c r="B405" s="264" t="s">
        <v>101</v>
      </c>
      <c r="C405" s="265"/>
      <c r="D405" s="50"/>
      <c r="E405" s="81">
        <f>+E403/D403</f>
        <v>0</v>
      </c>
      <c r="J405" s="45"/>
      <c r="N405" s="45"/>
      <c r="R405" s="46"/>
      <c r="S405" s="46"/>
      <c r="T405" s="46"/>
      <c r="U405" s="46"/>
      <c r="V405" s="46"/>
      <c r="W405" s="46"/>
      <c r="X405" s="46"/>
      <c r="Y405" s="46"/>
      <c r="Z405" s="45"/>
    </row>
    <row r="406" spans="2:26" s="41" customFormat="1" x14ac:dyDescent="0.25">
      <c r="B406" s="55"/>
      <c r="C406" s="55"/>
      <c r="D406" s="53"/>
      <c r="E406" s="56"/>
      <c r="J406" s="45"/>
      <c r="N406" s="45"/>
      <c r="R406" s="46"/>
      <c r="S406" s="46"/>
      <c r="T406" s="46"/>
      <c r="U406" s="46"/>
      <c r="V406" s="46"/>
      <c r="W406" s="46"/>
      <c r="X406" s="46"/>
      <c r="Y406" s="46"/>
      <c r="Z406" s="45"/>
    </row>
    <row r="407" spans="2:26" s="41" customFormat="1" ht="14.25" customHeight="1" x14ac:dyDescent="0.25">
      <c r="B407" s="55"/>
      <c r="C407" s="55"/>
      <c r="D407" s="53"/>
      <c r="E407" s="56"/>
      <c r="J407" s="45"/>
      <c r="N407" s="45"/>
      <c r="R407" s="46"/>
      <c r="S407" s="46"/>
      <c r="T407" s="46"/>
      <c r="U407" s="46"/>
      <c r="V407" s="46"/>
      <c r="W407" s="46"/>
      <c r="X407" s="46"/>
      <c r="Y407" s="46"/>
      <c r="Z407" s="45"/>
    </row>
    <row r="408" spans="2:26" s="41" customFormat="1" ht="14.25" customHeight="1" x14ac:dyDescent="0.25">
      <c r="B408" s="55"/>
      <c r="C408" s="55"/>
      <c r="D408" s="53"/>
      <c r="E408" s="56"/>
      <c r="J408" s="45"/>
      <c r="N408" s="45"/>
      <c r="R408" s="46"/>
      <c r="S408" s="46"/>
      <c r="T408" s="46"/>
      <c r="U408" s="46"/>
      <c r="V408" s="46"/>
      <c r="W408" s="46"/>
      <c r="X408" s="46"/>
      <c r="Y408" s="46"/>
      <c r="Z408" s="45"/>
    </row>
    <row r="409" spans="2:26" s="41" customFormat="1" ht="14.25" customHeight="1" x14ac:dyDescent="0.25">
      <c r="B409" s="55"/>
      <c r="C409" s="55"/>
      <c r="D409" s="53"/>
      <c r="E409" s="56"/>
      <c r="J409" s="45"/>
      <c r="N409" s="45"/>
      <c r="R409" s="46"/>
      <c r="S409" s="46"/>
      <c r="T409" s="46"/>
      <c r="U409" s="46"/>
      <c r="V409" s="46"/>
      <c r="W409" s="46"/>
      <c r="X409" s="46"/>
      <c r="Y409" s="46"/>
      <c r="Z409" s="45"/>
    </row>
    <row r="410" spans="2:26" s="41" customFormat="1" ht="14.25" customHeight="1" x14ac:dyDescent="0.25">
      <c r="B410" s="55"/>
      <c r="C410" s="55"/>
      <c r="D410" s="53"/>
      <c r="E410" s="56"/>
      <c r="J410" s="45"/>
      <c r="N410" s="45"/>
      <c r="R410" s="46"/>
      <c r="S410" s="46"/>
      <c r="T410" s="46"/>
      <c r="U410" s="46"/>
      <c r="V410" s="46"/>
      <c r="W410" s="46"/>
      <c r="X410" s="46"/>
      <c r="Y410" s="46"/>
      <c r="Z410" s="45"/>
    </row>
    <row r="411" spans="2:26" ht="14.25" customHeight="1" x14ac:dyDescent="0.25">
      <c r="B411" s="252"/>
      <c r="C411" s="252"/>
      <c r="D411" s="252"/>
      <c r="E411" s="252"/>
    </row>
    <row r="412" spans="2:26" ht="14.25" customHeight="1" x14ac:dyDescent="0.25">
      <c r="B412" s="57" t="s">
        <v>230</v>
      </c>
      <c r="C412" s="179"/>
      <c r="D412" s="179"/>
      <c r="E412" s="179"/>
    </row>
    <row r="413" spans="2:26" ht="14.25" customHeight="1" x14ac:dyDescent="0.25">
      <c r="B413" s="57" t="s">
        <v>231</v>
      </c>
      <c r="C413" s="179"/>
      <c r="D413" s="179"/>
      <c r="E413" s="179"/>
    </row>
    <row r="414" spans="2:26" ht="36" customHeight="1" x14ac:dyDescent="0.25">
      <c r="B414" s="254" t="str">
        <f>("Un detalle de las "&amp;B413&amp;" al "&amp;[1]BALANZA!$B$3&amp;" "&amp;[1]BALANZA!$C$3&amp;" es como se detalla a continuación:")</f>
        <v>Un detalle de las Retenciones por pagar al 30 de junio del 2024 - 2023 es como se detalla a continuación:</v>
      </c>
      <c r="C414" s="261"/>
      <c r="D414" s="261"/>
      <c r="E414" s="261"/>
    </row>
    <row r="415" spans="2:26" ht="47.25" customHeight="1" x14ac:dyDescent="0.25">
      <c r="B415" s="255" t="str">
        <f>("Las  retenciones impositivas  por pagar disminiye para el "&amp;C418&amp;" el total era RD$ "&amp;R426&amp;" y para el "&amp;D418&amp;" el total fue de RD$ "&amp;R427&amp;"0 , Según el siguiente detalle:")</f>
        <v>Las  retenciones impositivas  por pagar disminiye para el 2024 el total era RD$ 272,262.91 y para el 2023 el total fue de RD$ 132,805.10 , Según el siguiente detalle:</v>
      </c>
      <c r="C415" s="255"/>
      <c r="D415" s="255"/>
      <c r="E415" s="255"/>
    </row>
    <row r="416" spans="2:26" ht="14.25" customHeight="1" x14ac:dyDescent="0.25">
      <c r="B416" s="57"/>
      <c r="C416" s="179"/>
      <c r="D416" s="179"/>
      <c r="E416" s="179"/>
    </row>
    <row r="417" spans="2:28" ht="14.25" customHeight="1" x14ac:dyDescent="0.25">
      <c r="B417" s="57"/>
      <c r="C417" s="179"/>
      <c r="D417" s="179"/>
      <c r="E417" s="179"/>
    </row>
    <row r="418" spans="2:28" ht="17.25" customHeight="1" x14ac:dyDescent="0.25">
      <c r="B418" s="174" t="s">
        <v>214</v>
      </c>
      <c r="C418" s="162">
        <f>+C399</f>
        <v>2024</v>
      </c>
      <c r="D418" s="162">
        <f>+D399</f>
        <v>2023</v>
      </c>
      <c r="E418" s="183" t="s">
        <v>215</v>
      </c>
    </row>
    <row r="419" spans="2:28" ht="17.25" hidden="1" customHeight="1" x14ac:dyDescent="0.25">
      <c r="B419" s="99" t="s">
        <v>232</v>
      </c>
      <c r="C419" s="82">
        <f>+'[1]BALANZA G'!C86</f>
        <v>0</v>
      </c>
      <c r="D419" s="74">
        <f>+'[1]BALANZA G'!D86</f>
        <v>0</v>
      </c>
      <c r="E419" s="40">
        <f>+C419-D419</f>
        <v>0</v>
      </c>
    </row>
    <row r="420" spans="2:28" ht="17.25" hidden="1" customHeight="1" x14ac:dyDescent="0.25">
      <c r="B420" s="99" t="s">
        <v>233</v>
      </c>
      <c r="C420" s="82">
        <f>+'[1]BALANZA G'!C88</f>
        <v>0</v>
      </c>
      <c r="D420" s="74">
        <f>+'[1]BALANZA G'!D88</f>
        <v>0</v>
      </c>
      <c r="E420" s="40">
        <f t="shared" ref="E420:E425" si="2">+C420-D420</f>
        <v>0</v>
      </c>
    </row>
    <row r="421" spans="2:28" ht="17.25" customHeight="1" x14ac:dyDescent="0.25">
      <c r="B421" s="99" t="s">
        <v>234</v>
      </c>
      <c r="C421" s="82">
        <f>+'[1]BALANZA G'!C89</f>
        <v>172.63</v>
      </c>
      <c r="D421" s="74">
        <f>+'[1]BALANZA G'!D89</f>
        <v>-243449.60000000001</v>
      </c>
      <c r="E421" s="40">
        <f t="shared" si="2"/>
        <v>243622.23</v>
      </c>
    </row>
    <row r="422" spans="2:28" ht="17.25" customHeight="1" x14ac:dyDescent="0.25">
      <c r="B422" s="99" t="s">
        <v>235</v>
      </c>
      <c r="C422" s="82">
        <f>+'[1]BALANZA G'!C90</f>
        <v>0</v>
      </c>
      <c r="D422" s="74">
        <f>+'[1]BALANZA G'!D90</f>
        <v>92405.93</v>
      </c>
      <c r="E422" s="40">
        <f t="shared" si="2"/>
        <v>-92405.93</v>
      </c>
    </row>
    <row r="423" spans="2:28" ht="17.25" customHeight="1" x14ac:dyDescent="0.25">
      <c r="B423" s="99" t="s">
        <v>236</v>
      </c>
      <c r="C423" s="82">
        <f>+'[1]BALANZA G'!C91</f>
        <v>0.01</v>
      </c>
      <c r="D423" s="74">
        <f>+'[1]BALANZA G'!D91</f>
        <v>24300</v>
      </c>
      <c r="E423" s="40">
        <f t="shared" si="2"/>
        <v>-24299.99</v>
      </c>
    </row>
    <row r="424" spans="2:28" ht="15" customHeight="1" x14ac:dyDescent="0.25">
      <c r="B424" s="99" t="s">
        <v>237</v>
      </c>
      <c r="C424" s="82">
        <f>+'[1]BALANZA G'!C92+'[1]BALANZA G'!C87</f>
        <v>3605.1</v>
      </c>
      <c r="D424" s="82">
        <f>+'[1]BALANZA G'!D92+'[1]BALANZA G'!D87</f>
        <v>2740.6</v>
      </c>
      <c r="E424" s="40">
        <f t="shared" si="2"/>
        <v>864.5</v>
      </c>
    </row>
    <row r="425" spans="2:28" ht="17.25" customHeight="1" x14ac:dyDescent="0.25">
      <c r="B425" s="99" t="s">
        <v>238</v>
      </c>
      <c r="C425" s="82">
        <f>+'[1]BALANZA G'!C93</f>
        <v>268485.17</v>
      </c>
      <c r="D425" s="74">
        <f>+'[1]BALANZA G'!D93</f>
        <v>256808.17</v>
      </c>
      <c r="E425" s="40">
        <f t="shared" si="2"/>
        <v>11676.999999999971</v>
      </c>
    </row>
    <row r="426" spans="2:28" ht="17.25" customHeight="1" x14ac:dyDescent="0.25">
      <c r="B426" s="174" t="s">
        <v>239</v>
      </c>
      <c r="C426" s="104">
        <f>SUM(C419:C425)</f>
        <v>272262.90999999997</v>
      </c>
      <c r="D426" s="176">
        <f>SUM(D419:D425)</f>
        <v>132805.1</v>
      </c>
      <c r="E426" s="104">
        <f>SUM(E419:E425)</f>
        <v>139457.81</v>
      </c>
      <c r="R426" s="3" t="str">
        <f>+CONCATENATE(T426,",",U426,"",V426,AB426,"")</f>
        <v>272,262.91</v>
      </c>
      <c r="T426" s="3" t="str">
        <f>MID(C426,1,3)</f>
        <v>272</v>
      </c>
      <c r="U426" s="3" t="str">
        <f>MID(C426,4,3)</f>
        <v>262</v>
      </c>
      <c r="V426" s="3" t="str">
        <f>MID(C426,7,3)</f>
        <v>.91</v>
      </c>
      <c r="Z426" s="1"/>
      <c r="AA426" s="1" t="str">
        <f>MID(H426,7,3)</f>
        <v/>
      </c>
      <c r="AB426" s="1" t="str">
        <f>MID(C426,10,3)</f>
        <v/>
      </c>
    </row>
    <row r="427" spans="2:28" ht="14.25" customHeight="1" x14ac:dyDescent="0.25">
      <c r="B427" s="177"/>
      <c r="C427" s="182">
        <f>+C426-'[1]ES F '!B34+C403</f>
        <v>0</v>
      </c>
      <c r="D427" s="182">
        <f>+D426-'[1]ES F '!C34+D403</f>
        <v>0</v>
      </c>
      <c r="R427" s="3" t="str">
        <f>+CONCATENATE(S427,,T427,",",U427,V427,AB427)</f>
        <v>132,805.1</v>
      </c>
      <c r="T427" s="3" t="str">
        <f>MID(D426,1,3)</f>
        <v>132</v>
      </c>
      <c r="U427" s="3" t="str">
        <f>MID(D426,4,3)</f>
        <v>805</v>
      </c>
      <c r="V427" s="3" t="str">
        <f>MID(D426,7,3)</f>
        <v>.1</v>
      </c>
      <c r="W427" s="3" t="str">
        <f>MID(H426,1,3)</f>
        <v/>
      </c>
      <c r="X427" s="3" t="str">
        <f>MID(I426,1,3)</f>
        <v/>
      </c>
      <c r="Y427" s="3" t="str">
        <f>MID(J426,1,3)</f>
        <v/>
      </c>
      <c r="Z427" s="1"/>
      <c r="AA427" s="1" t="str">
        <f>MID(L426,1,3)</f>
        <v/>
      </c>
      <c r="AB427" s="1" t="str">
        <f>MID(D426,11,3)</f>
        <v/>
      </c>
    </row>
    <row r="428" spans="2:28" ht="14.25" customHeight="1" x14ac:dyDescent="0.25">
      <c r="B428" s="264" t="s">
        <v>101</v>
      </c>
      <c r="C428" s="265"/>
      <c r="D428" s="50" t="str">
        <f>IF(E428&gt;=0,"Aumento","Disminución")</f>
        <v>Aumento</v>
      </c>
      <c r="E428" s="81">
        <f>+E426/D426</f>
        <v>1.0500937840489559</v>
      </c>
    </row>
    <row r="429" spans="2:28" ht="14.25" customHeight="1" x14ac:dyDescent="0.25">
      <c r="B429" s="179"/>
      <c r="C429" s="179"/>
      <c r="D429" s="179"/>
      <c r="E429" s="179"/>
    </row>
    <row r="430" spans="2:28" ht="14.25" customHeight="1" x14ac:dyDescent="0.25">
      <c r="B430" s="179"/>
      <c r="C430" s="179"/>
      <c r="D430" s="179"/>
      <c r="E430" s="179"/>
    </row>
    <row r="431" spans="2:28" ht="14.25" customHeight="1" x14ac:dyDescent="0.25">
      <c r="B431" s="57" t="s">
        <v>240</v>
      </c>
      <c r="C431" s="179"/>
      <c r="D431" s="179"/>
      <c r="E431" s="179"/>
    </row>
    <row r="432" spans="2:28" ht="19.5" customHeight="1" x14ac:dyDescent="0.25">
      <c r="B432" s="57" t="s">
        <v>241</v>
      </c>
      <c r="C432" s="179"/>
      <c r="D432" s="27"/>
      <c r="E432" s="179"/>
    </row>
    <row r="433" spans="2:27" ht="39.75" customHeight="1" x14ac:dyDescent="0.25">
      <c r="B433" s="254" t="str">
        <f>("Un detalle del "&amp;B432&amp;" al "&amp;[1]BALANZA!$B$3&amp;" "&amp;[1]BALANZA!$C$3&amp;" es como se detalla a continuación:")</f>
        <v>Un detalle del Activos Netos/Patrimonio al 30 de junio del 2024 - 2023 es como se detalla a continuación:</v>
      </c>
      <c r="C433" s="261"/>
      <c r="D433" s="261"/>
      <c r="E433" s="261"/>
    </row>
    <row r="434" spans="2:27" ht="47.25" customHeight="1" x14ac:dyDescent="0.25">
      <c r="B434" s="273" t="str">
        <f>("El patrimonio institucional  para el "&amp;C436&amp;" tenia monto por RD$ "&amp;R441&amp;" y para el "&amp;D436&amp;" el monto fue de RD$ "&amp;R442&amp;"0 y está conformado con las siguientes partidas: ")</f>
        <v xml:space="preserve">El patrimonio institucional  para el 2024 tenia monto por RD$ 1,054,444,044.24 y para el 2023 el monto fue de RD$ 109,130,3297.90 y está conformado con las siguientes partidas: </v>
      </c>
      <c r="C434" s="255"/>
      <c r="D434" s="255"/>
      <c r="E434" s="255"/>
    </row>
    <row r="435" spans="2:27" x14ac:dyDescent="0.25">
      <c r="B435" s="10"/>
    </row>
    <row r="436" spans="2:27" x14ac:dyDescent="0.25">
      <c r="B436" s="174" t="s">
        <v>214</v>
      </c>
      <c r="C436" s="28">
        <f>+C586</f>
        <v>2024</v>
      </c>
      <c r="D436" s="28">
        <f>+D586</f>
        <v>2023</v>
      </c>
      <c r="E436" s="183" t="s">
        <v>215</v>
      </c>
    </row>
    <row r="437" spans="2:27" x14ac:dyDescent="0.25">
      <c r="B437" s="184" t="s">
        <v>242</v>
      </c>
      <c r="C437" s="185">
        <v>808793054.60000002</v>
      </c>
      <c r="D437" s="185">
        <v>808793054.60000002</v>
      </c>
      <c r="E437" s="186">
        <f>+C437-D437</f>
        <v>0</v>
      </c>
      <c r="U437" s="187"/>
    </row>
    <row r="438" spans="2:27" x14ac:dyDescent="0.25">
      <c r="B438" s="184" t="s">
        <v>243</v>
      </c>
      <c r="C438" s="188">
        <f>+'[1]BALANZA G'!C122+'[1]BALANZA G'!C123+62886.7</f>
        <v>236147019.97999996</v>
      </c>
      <c r="D438" s="188">
        <f>+[1]EP2!E16</f>
        <v>324395677.64999998</v>
      </c>
      <c r="E438" s="186">
        <f>+C438-D438</f>
        <v>-88248657.670000017</v>
      </c>
      <c r="I438" s="83"/>
      <c r="U438" s="187"/>
    </row>
    <row r="439" spans="2:27" x14ac:dyDescent="0.25">
      <c r="B439" s="32" t="s">
        <v>244</v>
      </c>
      <c r="C439" s="188">
        <f>+[1]BALANZA!B6</f>
        <v>0</v>
      </c>
      <c r="D439" s="188">
        <v>0</v>
      </c>
      <c r="E439" s="186">
        <f>+C439-D439</f>
        <v>0</v>
      </c>
      <c r="I439" s="83"/>
      <c r="U439" s="187"/>
      <c r="Z439" s="1"/>
    </row>
    <row r="440" spans="2:27" x14ac:dyDescent="0.25">
      <c r="B440" s="32" t="s">
        <v>245</v>
      </c>
      <c r="C440" s="188">
        <f>+[1]ERF!B35</f>
        <v>9503969.6599999964</v>
      </c>
      <c r="D440" s="188">
        <f>+[1]ERF!C30</f>
        <v>-41885434.310000017</v>
      </c>
      <c r="E440" s="186">
        <f>+C440-D440</f>
        <v>51389403.970000014</v>
      </c>
      <c r="I440" s="83"/>
      <c r="U440" s="187"/>
      <c r="Z440" s="45"/>
    </row>
    <row r="441" spans="2:27" x14ac:dyDescent="0.25">
      <c r="B441" s="76" t="s">
        <v>246</v>
      </c>
      <c r="C441" s="189">
        <f>SUM(C437:C440)</f>
        <v>1054444044.2399999</v>
      </c>
      <c r="D441" s="190">
        <f>SUM(D437:D440)</f>
        <v>1091303297.9400001</v>
      </c>
      <c r="E441" s="189">
        <f>SUM(E437:E440)</f>
        <v>-36859253.700000003</v>
      </c>
      <c r="I441" s="83"/>
      <c r="R441" s="3" t="str">
        <f>+CONCATENATE(S441,",",T441,",",U441,",",V441,W441)</f>
        <v>1,054,444,044.24</v>
      </c>
      <c r="S441" s="3" t="str">
        <f>MID(C441,1,1)</f>
        <v>1</v>
      </c>
      <c r="T441" s="3" t="str">
        <f>MID(C441,2,3)</f>
        <v>054</v>
      </c>
      <c r="U441" s="3" t="str">
        <f>MID(C441,5,3)</f>
        <v>444</v>
      </c>
      <c r="V441" s="3" t="str">
        <f>MID(C441,8,3)</f>
        <v>044</v>
      </c>
      <c r="W441" s="3" t="str">
        <f>MID(C441,11,3)</f>
        <v>.24</v>
      </c>
      <c r="Z441" s="1"/>
      <c r="AA441" s="1" t="str">
        <f>MID(H441,7,3)</f>
        <v/>
      </c>
    </row>
    <row r="442" spans="2:27" x14ac:dyDescent="0.25">
      <c r="B442" s="191"/>
      <c r="C442" s="192">
        <f>+C441-'[1]ES F '!B56</f>
        <v>0</v>
      </c>
      <c r="D442" s="192">
        <f>+D441-'[1]ES F '!C56</f>
        <v>0</v>
      </c>
      <c r="E442" s="193"/>
      <c r="R442" s="3" t="str">
        <f>+CONCATENATE(S442,",",T442,",",U442,V442,W442)</f>
        <v>109,130,3297.9</v>
      </c>
      <c r="S442" s="3" t="str">
        <f>MID(D441,1,3)</f>
        <v>109</v>
      </c>
      <c r="T442" s="3" t="str">
        <f>MID(D441,4,3)</f>
        <v>130</v>
      </c>
      <c r="U442" s="3" t="str">
        <f>MID(D441,7,3)</f>
        <v>329</v>
      </c>
      <c r="V442" s="3" t="str">
        <f>MID(D441,10,3)</f>
        <v>7.9</v>
      </c>
      <c r="X442" s="3" t="str">
        <f>MID(I441,1,3)</f>
        <v/>
      </c>
      <c r="AA442" s="1" t="str">
        <f>MID(L441,1,3)</f>
        <v/>
      </c>
    </row>
    <row r="443" spans="2:27" s="41" customFormat="1" x14ac:dyDescent="0.25">
      <c r="B443" s="262" t="s">
        <v>101</v>
      </c>
      <c r="C443" s="263"/>
      <c r="D443" s="50" t="str">
        <f>IF(E443&gt;=0,"Aumento","Disminución")</f>
        <v>Disminución</v>
      </c>
      <c r="E443" s="81">
        <f>+E441/D441</f>
        <v>-3.3775444250537329E-2</v>
      </c>
      <c r="J443" s="45"/>
      <c r="N443" s="45"/>
      <c r="R443" s="46"/>
      <c r="S443" s="46"/>
      <c r="T443" s="46"/>
      <c r="U443" s="46"/>
      <c r="V443" s="46"/>
      <c r="W443" s="46"/>
      <c r="X443" s="46"/>
      <c r="Y443" s="46"/>
    </row>
    <row r="444" spans="2:27" ht="31.5" customHeight="1" x14ac:dyDescent="0.25">
      <c r="B444" s="272"/>
      <c r="C444" s="272"/>
      <c r="D444" s="272"/>
      <c r="E444" s="272"/>
    </row>
    <row r="445" spans="2:27" ht="19.5" customHeight="1" x14ac:dyDescent="0.25">
      <c r="B445" s="194"/>
      <c r="C445" s="194"/>
      <c r="D445" s="194"/>
      <c r="E445" s="194"/>
    </row>
    <row r="446" spans="2:27" ht="19.5" customHeight="1" x14ac:dyDescent="0.25">
      <c r="B446" s="194"/>
      <c r="C446" s="194"/>
      <c r="D446" s="194"/>
      <c r="E446" s="194"/>
    </row>
    <row r="447" spans="2:27" ht="19.5" customHeight="1" x14ac:dyDescent="0.25">
      <c r="B447" s="194"/>
      <c r="C447" s="194"/>
      <c r="D447" s="194"/>
      <c r="E447" s="194"/>
    </row>
    <row r="448" spans="2:27" ht="19.5" customHeight="1" x14ac:dyDescent="0.25">
      <c r="B448" s="194"/>
      <c r="C448" s="194"/>
      <c r="D448" s="194"/>
      <c r="E448" s="194"/>
    </row>
    <row r="449" spans="2:22" ht="13.5" customHeight="1" x14ac:dyDescent="0.25">
      <c r="B449" s="194"/>
      <c r="C449" s="194"/>
      <c r="D449" s="194"/>
      <c r="E449" s="194"/>
    </row>
    <row r="450" spans="2:22" ht="31.5" customHeight="1" x14ac:dyDescent="0.25">
      <c r="B450" s="194"/>
      <c r="C450" s="194"/>
      <c r="D450" s="194"/>
      <c r="E450" s="194"/>
    </row>
    <row r="451" spans="2:22" ht="12" customHeight="1" x14ac:dyDescent="0.25">
      <c r="B451" s="194"/>
      <c r="C451" s="194"/>
      <c r="D451" s="194"/>
      <c r="E451" s="194"/>
    </row>
    <row r="452" spans="2:22" ht="12" customHeight="1" x14ac:dyDescent="0.25">
      <c r="B452" s="194"/>
      <c r="C452" s="194"/>
      <c r="D452" s="194"/>
      <c r="E452" s="194"/>
    </row>
    <row r="453" spans="2:22" ht="12" customHeight="1" x14ac:dyDescent="0.25">
      <c r="B453" s="71"/>
    </row>
    <row r="454" spans="2:22" ht="13.5" customHeight="1" x14ac:dyDescent="0.25">
      <c r="B454" s="57" t="s">
        <v>247</v>
      </c>
    </row>
    <row r="455" spans="2:22" x14ac:dyDescent="0.25">
      <c r="B455" s="57" t="s">
        <v>248</v>
      </c>
    </row>
    <row r="456" spans="2:22" ht="32.25" customHeight="1" x14ac:dyDescent="0.25">
      <c r="B456" s="254" t="str">
        <f>("Un detalle del "&amp;B455&amp;" al "&amp;[1]BALANZA!$B$3&amp;" "&amp;[1]BALANZA!$C$3&amp;" es como se detalla a continuación:")</f>
        <v>Un detalle del Ingresos por transacciones con contraprestaciones al 30 de junio del 2024 - 2023 es como se detalla a continuación:</v>
      </c>
      <c r="C456" s="261"/>
      <c r="D456" s="261"/>
      <c r="E456" s="261"/>
    </row>
    <row r="457" spans="2:22" ht="48" customHeight="1" x14ac:dyDescent="0.25">
      <c r="B457" s="254" t="s">
        <v>345</v>
      </c>
      <c r="C457" s="254"/>
      <c r="D457" s="254"/>
      <c r="E457" s="254"/>
    </row>
    <row r="458" spans="2:22" ht="34.5" customHeight="1" x14ac:dyDescent="0.25">
      <c r="B458" s="273" t="str">
        <f>("Los ingresos recibidos por cobros de  servicios de aguas potable y saneamiento (APS) para en el  "&amp;C461&amp;" es RD$ "&amp;R464&amp;" y del "&amp;D461&amp;" es RD$ "&amp;R465&amp;" :")</f>
        <v>Los ingresos recibidos por cobros de  servicios de aguas potable y saneamiento (APS) para en el  2024 es RD$ 87,431,949.01 y del 2023 es RD$ 93,999,897.14 :</v>
      </c>
      <c r="C458" s="273"/>
      <c r="D458" s="273"/>
      <c r="E458" s="273"/>
    </row>
    <row r="459" spans="2:22" x14ac:dyDescent="0.25">
      <c r="B459" s="195"/>
    </row>
    <row r="460" spans="2:22" x14ac:dyDescent="0.25">
      <c r="B460" s="174"/>
      <c r="C460" s="274" t="s">
        <v>249</v>
      </c>
      <c r="D460" s="274"/>
      <c r="E460" s="196"/>
    </row>
    <row r="461" spans="2:22" x14ac:dyDescent="0.25">
      <c r="B461" s="174" t="s">
        <v>214</v>
      </c>
      <c r="C461" s="197">
        <f>+C139</f>
        <v>2024</v>
      </c>
      <c r="D461" s="197">
        <f>+D139</f>
        <v>2023</v>
      </c>
      <c r="E461" s="175" t="s">
        <v>215</v>
      </c>
    </row>
    <row r="462" spans="2:22" x14ac:dyDescent="0.25">
      <c r="B462" s="143" t="s">
        <v>250</v>
      </c>
      <c r="C462" s="198">
        <f>+'[1]BALANZA G'!C127-C463</f>
        <v>87422784.499999985</v>
      </c>
      <c r="D462" s="129">
        <f>93999897.14-D463</f>
        <v>93991420.320000008</v>
      </c>
      <c r="E462" s="40">
        <f>+C462-D462</f>
        <v>-6568635.8200000226</v>
      </c>
      <c r="H462" s="83"/>
    </row>
    <row r="463" spans="2:22" x14ac:dyDescent="0.25">
      <c r="B463" s="143" t="s">
        <v>251</v>
      </c>
      <c r="C463" s="198">
        <f>+(1936.06*4)+1420.27</f>
        <v>9164.51</v>
      </c>
      <c r="D463" s="129">
        <v>8476.82</v>
      </c>
      <c r="E463" s="40">
        <f>+C463-D463</f>
        <v>687.69000000000051</v>
      </c>
      <c r="H463" s="83"/>
    </row>
    <row r="464" spans="2:22" ht="28.5" x14ac:dyDescent="0.25">
      <c r="B464" s="199" t="s">
        <v>252</v>
      </c>
      <c r="C464" s="200">
        <f>SUM(C462:C463)</f>
        <v>87431949.00999999</v>
      </c>
      <c r="D464" s="200">
        <f>SUM(D462:D463)</f>
        <v>93999897.140000001</v>
      </c>
      <c r="E464" s="200">
        <f>SUM(E462:E462)</f>
        <v>-6568635.8200000226</v>
      </c>
      <c r="H464" s="83"/>
      <c r="R464" s="3" t="str">
        <f>+CONCATENATE(S464,",",T464,",",U464,V464,"")</f>
        <v>87,431,949.01</v>
      </c>
      <c r="S464" s="3" t="str">
        <f>MID(C464,1,2)</f>
        <v>87</v>
      </c>
      <c r="T464" s="3" t="str">
        <f>MID(C464,3,3)</f>
        <v>431</v>
      </c>
      <c r="U464" s="3" t="str">
        <f>MID(C464,6,3)</f>
        <v>949</v>
      </c>
      <c r="V464" s="3" t="str">
        <f>MID(C464,9,3)</f>
        <v>.01</v>
      </c>
    </row>
    <row r="465" spans="2:26" x14ac:dyDescent="0.25">
      <c r="B465" s="201"/>
      <c r="C465" s="202">
        <f>+C464-[1]ERF!B11-[1]ERF!B13</f>
        <v>0</v>
      </c>
      <c r="D465" s="202">
        <f>+D464-[1]ERF!C11-[1]ERF!C13</f>
        <v>0</v>
      </c>
      <c r="E465" s="203"/>
      <c r="H465" s="83"/>
      <c r="R465" s="3" t="str">
        <f>+CONCATENATE(S465,",",T465,",",U465,V465,AB465,"")</f>
        <v>93,999,897.14</v>
      </c>
      <c r="S465" s="3" t="str">
        <f>MID(D464,1,2)</f>
        <v>93</v>
      </c>
      <c r="T465" s="3" t="str">
        <f>MID(D464,3,3)</f>
        <v>999</v>
      </c>
      <c r="U465" s="3" t="str">
        <f>MID(D464,6,3)</f>
        <v>897</v>
      </c>
      <c r="V465" s="3" t="str">
        <f>MID(D464,9,3)</f>
        <v>.14</v>
      </c>
    </row>
    <row r="466" spans="2:26" s="41" customFormat="1" x14ac:dyDescent="0.25">
      <c r="B466" s="262" t="s">
        <v>101</v>
      </c>
      <c r="C466" s="263"/>
      <c r="D466" s="50" t="str">
        <f>IF(E466&gt;=0,"Aumento","Disminución")</f>
        <v>Disminución</v>
      </c>
      <c r="E466" s="81">
        <f>+E464/D464</f>
        <v>-6.9879180933750784E-2</v>
      </c>
      <c r="J466" s="45"/>
      <c r="N466" s="45"/>
      <c r="R466" s="46"/>
      <c r="S466" s="46"/>
      <c r="T466" s="46"/>
      <c r="U466" s="46"/>
      <c r="V466" s="46"/>
      <c r="W466" s="46"/>
      <c r="X466" s="46"/>
      <c r="Y466" s="46"/>
      <c r="Z466" s="45"/>
    </row>
    <row r="467" spans="2:26" x14ac:dyDescent="0.25">
      <c r="B467" s="71"/>
    </row>
    <row r="469" spans="2:26" x14ac:dyDescent="0.25">
      <c r="B469" s="57" t="s">
        <v>253</v>
      </c>
    </row>
    <row r="470" spans="2:26" x14ac:dyDescent="0.25">
      <c r="B470" s="57" t="s">
        <v>254</v>
      </c>
    </row>
    <row r="471" spans="2:26" ht="32.25" customHeight="1" x14ac:dyDescent="0.25">
      <c r="B471" s="254" t="str">
        <f>("Un detalle de las "&amp;B470&amp;" al "&amp;[1]BALANZA!$B$3&amp;" "&amp;[1]BALANZA!$C$3&amp;" es como se detalla a continuación:")</f>
        <v>Un detalle de las Transferencias y donaciones  al 30 de junio del 2024 - 2023 es como se detalla a continuación:</v>
      </c>
      <c r="C471" s="261"/>
      <c r="D471" s="261"/>
      <c r="E471" s="261"/>
    </row>
    <row r="472" spans="2:26" ht="61.5" customHeight="1" x14ac:dyDescent="0.25">
      <c r="B472" s="273" t="str">
        <f>("Los recursos recibidos por transferencias fueron por los montos según el siguiente detalle:  para el "&amp;C475&amp;" transferencia para Gasto  Corrientes RD$ "&amp;R476&amp;", para Gasto de  Capital RD$ "&amp;R477&amp;" y para Energia no cortable RD$ "&amp;R478&amp;" y para el "&amp;D475&amp;" Transferencia para Gasto  Corrientes RD$ "&amp;R481&amp;", para Gasto  de Capital RD$ "&amp;R482&amp;" y para Energia no cortable RD$ "&amp;R483&amp;" ")</f>
        <v xml:space="preserve">Los recursos recibidos por transferencias fueron por los montos según el siguiente detalle:  para el 2024 transferencia para Gasto  Corrientes RD$ 28,254,359.00, para Gasto de  Capital RD$ 41,370,000.00 y para Energia no cortable RD$ 27,771,916.02 y para el 2023 Transferencia para Gasto  Corrientes RD$ 11,795,171.06, para Gasto  de Capital RD$ 0,00 y para Energia no cortable RD$ 20,661,129,00 </v>
      </c>
      <c r="C472" s="273"/>
      <c r="D472" s="273"/>
      <c r="E472" s="273"/>
    </row>
    <row r="473" spans="2:26" x14ac:dyDescent="0.25">
      <c r="B473" s="10"/>
    </row>
    <row r="474" spans="2:26" x14ac:dyDescent="0.25">
      <c r="B474" s="161" t="str">
        <f>+B461</f>
        <v>Cuenta</v>
      </c>
      <c r="C474" s="274" t="s">
        <v>249</v>
      </c>
      <c r="D474" s="274"/>
      <c r="E474" s="196"/>
    </row>
    <row r="475" spans="2:26" x14ac:dyDescent="0.25">
      <c r="B475" s="161" t="s">
        <v>255</v>
      </c>
      <c r="C475" s="197">
        <f>+[1]BALANZA!B4</f>
        <v>2024</v>
      </c>
      <c r="D475" s="197">
        <f>+[1]BALANZA!C4</f>
        <v>2023</v>
      </c>
      <c r="E475" s="175" t="s">
        <v>215</v>
      </c>
    </row>
    <row r="476" spans="2:26" ht="15.75" customHeight="1" x14ac:dyDescent="0.25">
      <c r="B476" s="143" t="s">
        <v>256</v>
      </c>
      <c r="C476" s="198">
        <f>+'[1]BALANZA G'!C139+'[1]BALANZA G'!C143</f>
        <v>28254359</v>
      </c>
      <c r="D476" s="129">
        <f>+'[1]BALANZA G'!D143</f>
        <v>11795171.060000001</v>
      </c>
      <c r="E476" s="40">
        <f>+C476-D476</f>
        <v>16459187.939999999</v>
      </c>
      <c r="G476" s="204"/>
      <c r="R476" s="3" t="str">
        <f>+CONCATENATE(S476,",",T476,",",U476,V476,".00")</f>
        <v>28,254,359.00</v>
      </c>
      <c r="S476" s="3" t="str">
        <f>MID(C476,1,2)</f>
        <v>28</v>
      </c>
      <c r="T476" s="3" t="str">
        <f>MID(C476,3,3)</f>
        <v>254</v>
      </c>
      <c r="U476" s="3" t="str">
        <f>MID(C476,6,3)</f>
        <v>359</v>
      </c>
      <c r="V476" s="3" t="str">
        <f>MID(C476,10,3)</f>
        <v/>
      </c>
    </row>
    <row r="477" spans="2:26" ht="15.75" customHeight="1" x14ac:dyDescent="0.25">
      <c r="B477" s="143" t="s">
        <v>257</v>
      </c>
      <c r="C477" s="205">
        <f>+'[1]BALANZA G'!C144</f>
        <v>41370000</v>
      </c>
      <c r="D477" s="206">
        <f>+'[1]BALANZA G'!D144</f>
        <v>0</v>
      </c>
      <c r="E477" s="40">
        <f>+C477-D477</f>
        <v>41370000</v>
      </c>
      <c r="G477" s="204"/>
      <c r="R477" s="3" t="str">
        <f>+CONCATENATE(S477,",",T477,",",U477,V477,".00")</f>
        <v>41,370,000.00</v>
      </c>
      <c r="S477" s="3" t="str">
        <f>MID(C477,1,2)</f>
        <v>41</v>
      </c>
      <c r="T477" s="3" t="str">
        <f>MID(C477,3,3)</f>
        <v>370</v>
      </c>
      <c r="U477" s="3" t="str">
        <f>MID(C477,6,3)</f>
        <v>000</v>
      </c>
      <c r="V477" s="3" t="str">
        <f>MID(C477,9,3)</f>
        <v/>
      </c>
    </row>
    <row r="478" spans="2:26" ht="28.5" customHeight="1" x14ac:dyDescent="0.25">
      <c r="B478" s="207" t="s">
        <v>258</v>
      </c>
      <c r="C478" s="205">
        <f>+'[1]BALANZA G'!C145</f>
        <v>27771916.02</v>
      </c>
      <c r="D478" s="206">
        <f>+'[1]BALANZA G'!D145</f>
        <v>20661129</v>
      </c>
      <c r="E478" s="208">
        <f>+C478-D478</f>
        <v>7110787.0199999996</v>
      </c>
      <c r="G478" s="204"/>
      <c r="N478" s="2">
        <f>3106590.67*5</f>
        <v>15532953.35</v>
      </c>
      <c r="R478" s="3" t="str">
        <f>+CONCATENATE(S478,",",T478,",",U478,V478,"")</f>
        <v>27,771,916.02</v>
      </c>
      <c r="S478" s="3" t="str">
        <f>MID(C478,1,2)</f>
        <v>27</v>
      </c>
      <c r="T478" s="3" t="str">
        <f>MID(C478,3,3)</f>
        <v>771</v>
      </c>
      <c r="U478" s="3" t="str">
        <f>MID(C478,6,3)</f>
        <v>916</v>
      </c>
      <c r="V478" s="3" t="str">
        <f>MID(C478,9,3)</f>
        <v>.02</v>
      </c>
    </row>
    <row r="479" spans="2:26" x14ac:dyDescent="0.25">
      <c r="B479" s="161" t="s">
        <v>259</v>
      </c>
      <c r="C479" s="200">
        <f>SUM(C476:C478)</f>
        <v>97396275.019999996</v>
      </c>
      <c r="D479" s="209">
        <f>SUM(D476:D478)</f>
        <v>32456300.060000002</v>
      </c>
      <c r="E479" s="200">
        <f>SUM(E476:E478)</f>
        <v>64939974.959999993</v>
      </c>
      <c r="H479" s="83"/>
      <c r="N479" s="2">
        <v>2556519</v>
      </c>
      <c r="R479" s="3" t="str">
        <f>+CONCATENATE(S479,",",T479,",",U479,V479,AB479)</f>
        <v>97,396,275.02</v>
      </c>
      <c r="S479" s="3" t="str">
        <f>MID(C479,1,2)</f>
        <v>97</v>
      </c>
      <c r="T479" s="3" t="str">
        <f>MID(C479,3,3)</f>
        <v>396</v>
      </c>
      <c r="U479" s="3" t="str">
        <f>MID(C479,6,3)</f>
        <v>275</v>
      </c>
      <c r="V479" s="3" t="str">
        <f>MID(C479,9,3)</f>
        <v>.02</v>
      </c>
    </row>
    <row r="480" spans="2:26" x14ac:dyDescent="0.25">
      <c r="B480" s="201"/>
      <c r="C480" s="202">
        <f>+C479-[1]ERF!B12</f>
        <v>0</v>
      </c>
      <c r="D480" s="202">
        <f>+D479-[1]ERF!C12</f>
        <v>0</v>
      </c>
      <c r="E480" s="203"/>
      <c r="H480" s="83"/>
      <c r="N480" s="2">
        <f>+N478+N479</f>
        <v>18089472.350000001</v>
      </c>
      <c r="R480" s="3" t="str">
        <f>+CONCATENATE(S480,",",T480,",",U480,V480,AB480)</f>
        <v>324,563,00.06</v>
      </c>
      <c r="S480" s="3" t="str">
        <f>MID(D479,1,3)</f>
        <v>324</v>
      </c>
      <c r="T480" s="3" t="str">
        <f>MID(D479,4,3)</f>
        <v>563</v>
      </c>
      <c r="U480" s="3" t="str">
        <f>MID(D479,7,3)</f>
        <v>00.</v>
      </c>
      <c r="V480" s="3" t="str">
        <f>MID(D479,10,3)</f>
        <v>06</v>
      </c>
    </row>
    <row r="481" spans="2:26" s="41" customFormat="1" x14ac:dyDescent="0.25">
      <c r="B481" s="264" t="s">
        <v>101</v>
      </c>
      <c r="C481" s="265"/>
      <c r="D481" s="50" t="str">
        <f>IF(E481&gt;=0,"Aumento","Disminución")</f>
        <v>Aumento</v>
      </c>
      <c r="E481" s="81">
        <f>+E479/D479</f>
        <v>2.0008434368658592</v>
      </c>
      <c r="J481" s="45"/>
      <c r="N481" s="45"/>
      <c r="R481" s="3" t="str">
        <f>+CONCATENATE(S481,",",T481,",",U481,V481,AB481)</f>
        <v>11,795,171.06</v>
      </c>
      <c r="S481" s="3" t="str">
        <f>MID(D476,1,2)</f>
        <v>11</v>
      </c>
      <c r="T481" s="3" t="str">
        <f>MID(D476,3,3)</f>
        <v>795</v>
      </c>
      <c r="U481" s="3" t="str">
        <f>MID(D476,6,3)</f>
        <v>171</v>
      </c>
      <c r="V481" s="3" t="str">
        <f>MID(D476,9,3)</f>
        <v>.06</v>
      </c>
      <c r="W481" s="46"/>
      <c r="X481" s="46"/>
      <c r="Y481" s="46"/>
      <c r="Z481" s="45"/>
    </row>
    <row r="482" spans="2:26" x14ac:dyDescent="0.25">
      <c r="B482" s="10"/>
      <c r="H482" s="83"/>
      <c r="R482" s="3" t="str">
        <f>+CONCATENATE(S482,"",T482,"",U482,V482,",00")</f>
        <v>0,00</v>
      </c>
      <c r="S482" s="3" t="str">
        <f>MID(D477,1,2)</f>
        <v>0</v>
      </c>
      <c r="T482" s="3" t="str">
        <f>MID(D477,3,3)</f>
        <v/>
      </c>
      <c r="U482" s="3" t="str">
        <f>MID(D477,6,3)</f>
        <v/>
      </c>
      <c r="V482" s="3" t="str">
        <f>MID(D477,9,3)</f>
        <v/>
      </c>
    </row>
    <row r="483" spans="2:26" ht="28.5" customHeight="1" x14ac:dyDescent="0.25">
      <c r="B483" s="256" t="str">
        <f>("Nota: CORAAMOCA no tiene un presupuesto registrado en el SIGEF para el "&amp;C475&amp;" . ")</f>
        <v xml:space="preserve">Nota: CORAAMOCA no tiene un presupuesto registrado en el SIGEF para el 2024 . </v>
      </c>
      <c r="C483" s="256"/>
      <c r="D483" s="256"/>
      <c r="E483" s="256"/>
      <c r="R483" s="3" t="str">
        <f>+CONCATENATE(S483,",",T483,",",U483,V483,",00")</f>
        <v>20,661,129,00</v>
      </c>
      <c r="S483" s="3" t="str">
        <f>MID(D478,1,2)</f>
        <v>20</v>
      </c>
      <c r="T483" s="3" t="str">
        <f>MID(D478,3,3)</f>
        <v>661</v>
      </c>
      <c r="U483" s="3" t="str">
        <f>MID(D478,6,3)</f>
        <v>129</v>
      </c>
      <c r="V483" s="3" t="str">
        <f>MID(D478,9,3)</f>
        <v/>
      </c>
    </row>
    <row r="484" spans="2:26" ht="53.25" customHeight="1" x14ac:dyDescent="0.25">
      <c r="B484" s="256"/>
      <c r="C484" s="256"/>
      <c r="D484" s="256"/>
      <c r="E484" s="256"/>
      <c r="R484" s="3" t="str">
        <f>+CONCATENATE(T484,",",U484,",",V484,W484,".00")</f>
        <v>29,759,044.00</v>
      </c>
      <c r="S484" s="210">
        <f>+'[1]Pres A'!E289</f>
        <v>29759044</v>
      </c>
      <c r="T484" s="3" t="str">
        <f>MID(S484,1,2)</f>
        <v>29</v>
      </c>
      <c r="U484" s="3" t="str">
        <f>MID(S484,3,3)</f>
        <v>759</v>
      </c>
      <c r="V484" s="3" t="str">
        <f>MID(S484,6,3)</f>
        <v>044</v>
      </c>
    </row>
    <row r="485" spans="2:26" ht="15.75" customHeight="1" x14ac:dyDescent="0.25">
      <c r="B485" s="16"/>
      <c r="C485" s="16"/>
      <c r="D485" s="16"/>
      <c r="E485" s="16"/>
      <c r="R485" s="3" t="str">
        <f>+CONCATENATE(T485,",",U485,",",V485,W485,".00")</f>
        <v>41,322,258.00</v>
      </c>
      <c r="S485" s="210">
        <f>+'[1]Pres A'!E290</f>
        <v>41322258</v>
      </c>
      <c r="T485" s="3" t="str">
        <f>MID(S485,1,2)</f>
        <v>41</v>
      </c>
      <c r="U485" s="3" t="str">
        <f>MID(S485,3,3)</f>
        <v>322</v>
      </c>
      <c r="V485" s="3" t="str">
        <f>MID(S485,6,3)</f>
        <v>258</v>
      </c>
      <c r="W485" s="3" t="str">
        <f>MID(S485,9,3)</f>
        <v/>
      </c>
    </row>
    <row r="486" spans="2:26" ht="15.75" customHeight="1" x14ac:dyDescent="0.25">
      <c r="B486" s="16"/>
      <c r="C486" s="16"/>
      <c r="D486" s="16"/>
      <c r="E486" s="16"/>
      <c r="R486" s="3" t="str">
        <f>+CONCATENATE(T486,",",U486,",",V486,W486,".00")</f>
        <v>118,200,000.00</v>
      </c>
      <c r="S486" s="210">
        <f>+'[1]Pres A'!E291</f>
        <v>118200000</v>
      </c>
      <c r="T486" s="3" t="str">
        <f>MID(S486,1,3)</f>
        <v>118</v>
      </c>
      <c r="U486" s="3" t="str">
        <f>MID(S486,4,3)</f>
        <v>200</v>
      </c>
      <c r="V486" s="3" t="str">
        <f>MID(S486,7,3)</f>
        <v>000</v>
      </c>
      <c r="W486" s="3" t="str">
        <f>MID(S486,10,3)</f>
        <v/>
      </c>
    </row>
    <row r="487" spans="2:26" ht="15.75" customHeight="1" x14ac:dyDescent="0.25">
      <c r="B487" s="16"/>
      <c r="C487" s="16"/>
      <c r="D487" s="16"/>
      <c r="E487" s="16"/>
      <c r="R487" s="3" t="str">
        <f>+CONCATENATE(T487,",",U487,",",V487,W487,".00")</f>
        <v>222,257,238.00</v>
      </c>
      <c r="S487" s="210">
        <f>+'[1]Pres A'!E295</f>
        <v>222257238</v>
      </c>
      <c r="T487" s="3" t="str">
        <f>MID(S487,1,3)</f>
        <v>222</v>
      </c>
      <c r="U487" s="3" t="str">
        <f>MID(S487,4,3)</f>
        <v>257</v>
      </c>
      <c r="V487" s="3" t="str">
        <f>MID(S487,7,3)</f>
        <v>238</v>
      </c>
    </row>
    <row r="488" spans="2:26" ht="15.75" customHeight="1" x14ac:dyDescent="0.25">
      <c r="B488" s="16"/>
      <c r="C488" s="16"/>
      <c r="D488" s="16"/>
      <c r="E488" s="16"/>
      <c r="R488" s="3" t="str">
        <f>+CONCATENATE(T488,",",U488,",",V488,W488,".00")</f>
        <v>411,538,540.00</v>
      </c>
      <c r="S488" s="211">
        <f>SUM(S484:S487)</f>
        <v>411538540</v>
      </c>
      <c r="T488" s="3" t="str">
        <f>MID(S488,1,3)</f>
        <v>411</v>
      </c>
      <c r="U488" s="3" t="str">
        <f>MID(S488,4,3)</f>
        <v>538</v>
      </c>
      <c r="V488" s="3" t="str">
        <f>MID(S488,7,3)</f>
        <v>540</v>
      </c>
    </row>
    <row r="489" spans="2:26" ht="15.75" customHeight="1" x14ac:dyDescent="0.25">
      <c r="B489" s="16"/>
      <c r="C489" s="16"/>
      <c r="D489" s="16"/>
      <c r="E489" s="16"/>
    </row>
    <row r="490" spans="2:26" ht="15.75" customHeight="1" x14ac:dyDescent="0.25">
      <c r="B490" s="16"/>
      <c r="C490" s="16"/>
      <c r="D490" s="16"/>
      <c r="E490" s="16"/>
    </row>
    <row r="491" spans="2:26" ht="15.75" customHeight="1" x14ac:dyDescent="0.25">
      <c r="B491" s="16"/>
      <c r="C491" s="16"/>
      <c r="D491" s="16"/>
      <c r="E491" s="16"/>
    </row>
    <row r="492" spans="2:26" ht="15.75" customHeight="1" x14ac:dyDescent="0.25">
      <c r="B492" s="16"/>
      <c r="C492" s="16"/>
      <c r="D492" s="16"/>
      <c r="E492" s="16"/>
    </row>
    <row r="493" spans="2:26" ht="32.25" customHeight="1" x14ac:dyDescent="0.25">
      <c r="B493" s="161" t="s">
        <v>255</v>
      </c>
      <c r="C493" s="212" t="s">
        <v>260</v>
      </c>
      <c r="D493" s="212" t="s">
        <v>242</v>
      </c>
      <c r="E493" s="212" t="s">
        <v>261</v>
      </c>
    </row>
    <row r="494" spans="2:26" ht="15.75" customHeight="1" x14ac:dyDescent="0.25">
      <c r="B494" s="58" t="s">
        <v>262</v>
      </c>
      <c r="C494" s="213">
        <v>1598764</v>
      </c>
      <c r="D494" s="213">
        <v>0</v>
      </c>
      <c r="E494" s="213">
        <v>4628652.67</v>
      </c>
    </row>
    <row r="495" spans="2:26" ht="15.75" customHeight="1" x14ac:dyDescent="0.25">
      <c r="B495" s="58" t="s">
        <v>263</v>
      </c>
      <c r="C495" s="213">
        <v>1598764</v>
      </c>
      <c r="D495" s="213">
        <v>41370000</v>
      </c>
      <c r="E495" s="213">
        <v>4628652.67</v>
      </c>
    </row>
    <row r="496" spans="2:26" ht="15.75" customHeight="1" x14ac:dyDescent="0.25">
      <c r="B496" s="58" t="s">
        <v>264</v>
      </c>
      <c r="C496" s="213">
        <v>15225006</v>
      </c>
      <c r="D496" s="213">
        <v>0</v>
      </c>
      <c r="E496" s="213">
        <v>4628652.67</v>
      </c>
    </row>
    <row r="497" spans="2:12" ht="15.75" customHeight="1" x14ac:dyDescent="0.25">
      <c r="B497" s="58" t="s">
        <v>265</v>
      </c>
      <c r="C497" s="213">
        <v>3277275</v>
      </c>
      <c r="D497" s="213">
        <v>0</v>
      </c>
      <c r="E497" s="213">
        <v>4628652.67</v>
      </c>
    </row>
    <row r="498" spans="2:12" ht="15.75" customHeight="1" x14ac:dyDescent="0.25">
      <c r="B498" s="58" t="s">
        <v>266</v>
      </c>
      <c r="C498" s="213">
        <v>3277275</v>
      </c>
      <c r="D498" s="213">
        <v>0</v>
      </c>
      <c r="E498" s="213">
        <v>4628652.67</v>
      </c>
    </row>
    <row r="499" spans="2:12" ht="15.75" customHeight="1" x14ac:dyDescent="0.25">
      <c r="B499" s="58" t="s">
        <v>267</v>
      </c>
      <c r="C499" s="213">
        <v>3277275</v>
      </c>
      <c r="D499" s="213">
        <v>0</v>
      </c>
      <c r="E499" s="213">
        <v>4628652.67</v>
      </c>
    </row>
    <row r="500" spans="2:12" ht="15.75" customHeight="1" x14ac:dyDescent="0.25">
      <c r="B500" s="58" t="s">
        <v>268</v>
      </c>
      <c r="C500" s="213">
        <f>+'[1]19'!$J$25</f>
        <v>0</v>
      </c>
      <c r="D500" s="213">
        <f>+'[1]19'!$J$26</f>
        <v>0</v>
      </c>
      <c r="E500" s="213">
        <f>+'[1]19'!$J$27</f>
        <v>0</v>
      </c>
    </row>
    <row r="501" spans="2:12" ht="15.75" customHeight="1" x14ac:dyDescent="0.25">
      <c r="B501" s="58" t="s">
        <v>269</v>
      </c>
      <c r="C501" s="213">
        <f>+'[1]19'!$K$25</f>
        <v>0</v>
      </c>
      <c r="D501" s="213">
        <f>+'[1]19'!$K$26</f>
        <v>0</v>
      </c>
      <c r="E501" s="213">
        <f>+'[1]19'!$K$27</f>
        <v>0</v>
      </c>
    </row>
    <row r="502" spans="2:12" ht="15.75" customHeight="1" x14ac:dyDescent="0.25">
      <c r="B502" s="58" t="s">
        <v>270</v>
      </c>
      <c r="C502" s="213">
        <f>+'[1]19'!$L$25</f>
        <v>0</v>
      </c>
      <c r="D502" s="213">
        <f>+'[1]19'!$L$26</f>
        <v>0</v>
      </c>
      <c r="E502" s="213">
        <f>+'[1]19'!$L$27</f>
        <v>0</v>
      </c>
    </row>
    <row r="503" spans="2:12" ht="15.75" customHeight="1" x14ac:dyDescent="0.25">
      <c r="B503" s="58" t="s">
        <v>271</v>
      </c>
      <c r="C503" s="213">
        <f>+'[1]19'!$M$25</f>
        <v>0</v>
      </c>
      <c r="D503" s="213">
        <f>+'[1]19'!$M$26</f>
        <v>0</v>
      </c>
      <c r="E503" s="213">
        <f>+'[1]19'!$M$27</f>
        <v>0</v>
      </c>
    </row>
    <row r="504" spans="2:12" ht="15.75" customHeight="1" x14ac:dyDescent="0.25">
      <c r="B504" s="58" t="s">
        <v>272</v>
      </c>
      <c r="C504" s="213">
        <f>+'[1]19'!$N$25</f>
        <v>0</v>
      </c>
      <c r="D504" s="213">
        <f>+'[1]19'!$N$26</f>
        <v>0</v>
      </c>
      <c r="E504" s="213">
        <f>+'[1]19'!$N$27</f>
        <v>0</v>
      </c>
    </row>
    <row r="505" spans="2:12" ht="15.75" customHeight="1" x14ac:dyDescent="0.25">
      <c r="B505" s="58" t="s">
        <v>273</v>
      </c>
      <c r="C505" s="213">
        <f>+'[1]19'!$O$25</f>
        <v>0</v>
      </c>
      <c r="D505" s="213">
        <f>+'[1]19'!$O$26</f>
        <v>0</v>
      </c>
      <c r="E505" s="213">
        <f>+'[1]19'!$O$27</f>
        <v>0</v>
      </c>
    </row>
    <row r="506" spans="2:12" ht="15.75" customHeight="1" x14ac:dyDescent="0.25">
      <c r="B506" s="214" t="s">
        <v>209</v>
      </c>
      <c r="C506" s="215">
        <f>SUM(C494:C505)</f>
        <v>28254359</v>
      </c>
      <c r="D506" s="215">
        <f>SUM(D494:D505)</f>
        <v>41370000</v>
      </c>
      <c r="E506" s="215">
        <f>SUM(E494:E505)</f>
        <v>27771916.020000003</v>
      </c>
    </row>
    <row r="507" spans="2:12" ht="15.75" customHeight="1" x14ac:dyDescent="0.25">
      <c r="B507" s="16"/>
      <c r="C507" s="16"/>
      <c r="D507" s="16"/>
      <c r="E507" s="16"/>
    </row>
    <row r="508" spans="2:12" ht="23.25" customHeight="1" x14ac:dyDescent="0.25">
      <c r="B508" s="57" t="s">
        <v>274</v>
      </c>
      <c r="J508" s="2">
        <v>192000000</v>
      </c>
      <c r="K508" s="216">
        <f>J508/12</f>
        <v>16000000</v>
      </c>
    </row>
    <row r="509" spans="2:12" x14ac:dyDescent="0.25">
      <c r="B509" s="57" t="s">
        <v>275</v>
      </c>
      <c r="J509" s="2">
        <v>21106726</v>
      </c>
      <c r="K509" s="216">
        <f>J509/12</f>
        <v>1758893.8333333333</v>
      </c>
    </row>
    <row r="510" spans="2:12" ht="36.75" customHeight="1" x14ac:dyDescent="0.25">
      <c r="B510" s="254" t="str">
        <f>("Un detalle de los "&amp;B509&amp;" al "&amp;[1]BALANZA!$B$3&amp;" "&amp;[1]BALANZA!$C$3&amp;" es como se detalla a continuación:")</f>
        <v>Un detalle de los Sueldos, Salarios y beneficios a empleados al 30 de junio del 2024 - 2023 es como se detalla a continuación:</v>
      </c>
      <c r="C510" s="261"/>
      <c r="D510" s="261"/>
      <c r="E510" s="261"/>
      <c r="J510" s="2">
        <v>70000000</v>
      </c>
      <c r="K510" s="216">
        <f>J510/12</f>
        <v>5833333.333333333</v>
      </c>
      <c r="L510" s="2">
        <f>4666666*3</f>
        <v>13999998</v>
      </c>
    </row>
    <row r="511" spans="2:12" ht="16.5" customHeight="1" x14ac:dyDescent="0.25">
      <c r="B511" s="273"/>
      <c r="C511" s="255"/>
      <c r="D511" s="255"/>
      <c r="E511" s="255"/>
      <c r="J511" s="2">
        <v>37279088</v>
      </c>
      <c r="K511" s="216"/>
      <c r="L511" s="2">
        <f>1598764*5</f>
        <v>7993820</v>
      </c>
    </row>
    <row r="512" spans="2:12" x14ac:dyDescent="0.25">
      <c r="B512" s="161" t="str">
        <f>+B461</f>
        <v>Cuenta</v>
      </c>
      <c r="C512" s="162">
        <f>+[1]BALANZA!B4</f>
        <v>2024</v>
      </c>
      <c r="D512" s="162">
        <f>+[1]BALANZA!C4</f>
        <v>2023</v>
      </c>
      <c r="E512" s="175" t="s">
        <v>215</v>
      </c>
      <c r="K512" s="216">
        <f>J509+J510+J511</f>
        <v>128385814</v>
      </c>
      <c r="L512" s="2">
        <f>10296372.36+13618335.6</f>
        <v>23914707.960000001</v>
      </c>
    </row>
    <row r="513" spans="2:26" x14ac:dyDescent="0.25">
      <c r="B513" s="217" t="s">
        <v>276</v>
      </c>
      <c r="C513" s="98">
        <f>+'[1]BALANZA G'!C151</f>
        <v>74074164</v>
      </c>
      <c r="D513" s="218">
        <f>+'[1]BALANZA G'!D151</f>
        <v>74637564</v>
      </c>
      <c r="E513" s="40">
        <f t="shared" ref="E513:E518" si="3">+C513-D513</f>
        <v>-563400</v>
      </c>
      <c r="J513" s="2">
        <f>+J511+J508+J510+J509</f>
        <v>320385814</v>
      </c>
      <c r="U513" s="187"/>
    </row>
    <row r="514" spans="2:26" x14ac:dyDescent="0.25">
      <c r="B514" s="217" t="s">
        <v>277</v>
      </c>
      <c r="C514" s="98">
        <f>+'[1]BALANZA G'!C153+'[1]BALANZA G'!C154+'[1]BALANZA G'!C155+'[1]BALANZA G'!C156+'[1]BALANZA G'!C152</f>
        <v>0</v>
      </c>
      <c r="D514" s="218">
        <f>+'[1]BALANZA G'!D153+'[1]BALANZA G'!D154+'[1]BALANZA G'!D155+'[1]BALANZA G'!D156+'[1]BALANZA G'!D152</f>
        <v>0</v>
      </c>
      <c r="E514" s="40">
        <f t="shared" si="3"/>
        <v>0</v>
      </c>
      <c r="L514" s="216">
        <f>L512+L511+L510</f>
        <v>45908525.960000001</v>
      </c>
      <c r="U514" s="187"/>
    </row>
    <row r="515" spans="2:26" ht="45" x14ac:dyDescent="0.25">
      <c r="B515" s="217" t="s">
        <v>278</v>
      </c>
      <c r="C515" s="98">
        <f>+'[1]BALANZA G'!C159+'[1]BALANZA G'!C160+'[1]BALANZA G'!C157+'[1]BALANZA G'!C161+'[1]BALANZA G'!C163+'[1]BALANZA G'!C158</f>
        <v>3940581.31</v>
      </c>
      <c r="D515" s="218">
        <f>+'[1]BALANZA G'!D157+'[1]BALANZA G'!D159+'[1]BALANZA G'!D160+'[1]BALANZA G'!D161+'[1]BALANZA G'!D163+'[1]BALANZA G'!D158</f>
        <v>3889338.1999999997</v>
      </c>
      <c r="E515" s="40">
        <f t="shared" si="3"/>
        <v>51243.110000000335</v>
      </c>
      <c r="U515" s="187"/>
    </row>
    <row r="516" spans="2:26" x14ac:dyDescent="0.25">
      <c r="B516" s="217" t="s">
        <v>279</v>
      </c>
      <c r="C516" s="98">
        <f>+'[1]BALANZA G'!C165</f>
        <v>0</v>
      </c>
      <c r="D516" s="218">
        <f>+'[1]BALANZA G'!D165</f>
        <v>0</v>
      </c>
      <c r="E516" s="40">
        <f t="shared" si="3"/>
        <v>0</v>
      </c>
      <c r="U516" s="187"/>
    </row>
    <row r="517" spans="2:26" x14ac:dyDescent="0.25">
      <c r="B517" s="217" t="s">
        <v>280</v>
      </c>
      <c r="C517" s="98">
        <f>+'[1]BALANZA G'!C166+'[1]BALANZA G'!C167+'[1]BALANZA G'!C168+'[1]BALANZA G'!C170</f>
        <v>1465000</v>
      </c>
      <c r="D517" s="218">
        <f>+'[1]BALANZA G'!D166+'[1]BALANZA G'!D167+'[1]BALANZA G'!D168+'[1]BALANZA G'!D170</f>
        <v>1290000</v>
      </c>
      <c r="E517" s="40">
        <f t="shared" si="3"/>
        <v>175000</v>
      </c>
      <c r="U517" s="187"/>
    </row>
    <row r="518" spans="2:26" x14ac:dyDescent="0.25">
      <c r="B518" s="217" t="s">
        <v>281</v>
      </c>
      <c r="C518" s="98">
        <f>+'[1]BALANZA G'!C171+'[1]BALANZA G'!C173+'[1]BALANZA G'!C170+'[1]BALANZA G'!C172+'[1]BALANZA G'!C169+'[1]BALANZA G'!C162</f>
        <v>0</v>
      </c>
      <c r="D518" s="218">
        <f>+'[1]BALANZA G'!D170+'[1]BALANZA G'!D171+'[1]BALANZA G'!D172+'[1]BALANZA G'!D173+'[1]BALANZA G'!D169+'[1]BALANZA G'!D162</f>
        <v>0</v>
      </c>
      <c r="E518" s="40">
        <f t="shared" si="3"/>
        <v>0</v>
      </c>
      <c r="U518" s="187"/>
    </row>
    <row r="519" spans="2:26" x14ac:dyDescent="0.25">
      <c r="B519" s="217" t="s">
        <v>282</v>
      </c>
      <c r="C519" s="98">
        <f>+'[1]BALANZA G'!C288-C543</f>
        <v>0</v>
      </c>
      <c r="D519" s="218">
        <f>+'[1]BALANZA G'!D288</f>
        <v>2056762.66</v>
      </c>
      <c r="E519" s="40">
        <f>+C519-D519</f>
        <v>-2056762.66</v>
      </c>
      <c r="U519" s="187"/>
    </row>
    <row r="520" spans="2:26" x14ac:dyDescent="0.25">
      <c r="B520" s="217" t="s">
        <v>283</v>
      </c>
      <c r="C520" s="98">
        <f>+'[1]BALANZA G'!C176</f>
        <v>5286056.46</v>
      </c>
      <c r="D520" s="218">
        <f>+'[1]BALANZA G'!D176</f>
        <v>5289226.54</v>
      </c>
      <c r="E520" s="40">
        <f>+C520-D520</f>
        <v>-3170.0800000000745</v>
      </c>
      <c r="U520" s="187"/>
    </row>
    <row r="521" spans="2:26" x14ac:dyDescent="0.25">
      <c r="B521" s="217" t="s">
        <v>284</v>
      </c>
      <c r="C521" s="98">
        <f>+'[1]BALANZA G'!C177</f>
        <v>3913449.67</v>
      </c>
      <c r="D521" s="218">
        <f>+'[1]BALANZA G'!D177</f>
        <v>5307903.51</v>
      </c>
      <c r="E521" s="40">
        <f>+C521-D521</f>
        <v>-1394453.8399999999</v>
      </c>
      <c r="U521" s="187"/>
    </row>
    <row r="522" spans="2:26" x14ac:dyDescent="0.25">
      <c r="B522" s="217" t="s">
        <v>285</v>
      </c>
      <c r="C522" s="98">
        <f>+'[1]BALANZA G'!C178</f>
        <v>2263824.7400000002</v>
      </c>
      <c r="D522" s="218">
        <f>+'[1]BALANZA G'!D178</f>
        <v>886712.76</v>
      </c>
      <c r="E522" s="40">
        <f>+C522-D522</f>
        <v>1377111.9800000002</v>
      </c>
      <c r="U522" s="187"/>
    </row>
    <row r="523" spans="2:26" ht="28.5" x14ac:dyDescent="0.25">
      <c r="B523" s="219" t="s">
        <v>286</v>
      </c>
      <c r="C523" s="104">
        <f>SUM(C513:C522)</f>
        <v>90943076.179999992</v>
      </c>
      <c r="D523" s="176">
        <f>SUM(D513:D522)</f>
        <v>93357507.670000017</v>
      </c>
      <c r="E523" s="220">
        <f>SUM(E513:E522)</f>
        <v>-2414431.4899999993</v>
      </c>
    </row>
    <row r="524" spans="2:26" x14ac:dyDescent="0.25">
      <c r="B524" s="9"/>
      <c r="C524" s="221">
        <f>+C523+[1]ERF!B17</f>
        <v>0</v>
      </c>
      <c r="D524" s="221">
        <f>+D523+[1]ERF!C17</f>
        <v>0</v>
      </c>
      <c r="J524" s="45"/>
    </row>
    <row r="525" spans="2:26" s="41" customFormat="1" x14ac:dyDescent="0.25">
      <c r="B525" s="264" t="s">
        <v>101</v>
      </c>
      <c r="C525" s="265"/>
      <c r="D525" s="222" t="str">
        <f>IF(E525&gt;=0,"Aumento","Disminución")</f>
        <v>Aumento</v>
      </c>
      <c r="E525" s="223">
        <f>+C523/D523</f>
        <v>0.97413778976903975</v>
      </c>
      <c r="J525" s="2"/>
      <c r="N525" s="45"/>
      <c r="R525" s="46"/>
      <c r="S525" s="46"/>
      <c r="T525" s="46"/>
      <c r="U525" s="46"/>
      <c r="V525" s="46"/>
      <c r="W525" s="46"/>
      <c r="X525" s="46"/>
      <c r="Y525" s="46"/>
      <c r="Z525" s="45"/>
    </row>
    <row r="526" spans="2:26" x14ac:dyDescent="0.25">
      <c r="B526" s="9"/>
    </row>
    <row r="527" spans="2:26" x14ac:dyDescent="0.25">
      <c r="B527" s="9"/>
    </row>
    <row r="528" spans="2:26" x14ac:dyDescent="0.25">
      <c r="B528" s="9"/>
    </row>
    <row r="529" spans="2:11" x14ac:dyDescent="0.25">
      <c r="B529" s="9"/>
    </row>
    <row r="530" spans="2:11" x14ac:dyDescent="0.25">
      <c r="B530" s="9"/>
    </row>
    <row r="531" spans="2:11" x14ac:dyDescent="0.25">
      <c r="B531" s="9"/>
    </row>
    <row r="532" spans="2:11" x14ac:dyDescent="0.25">
      <c r="B532" s="9"/>
    </row>
    <row r="533" spans="2:11" x14ac:dyDescent="0.25">
      <c r="B533" s="9"/>
    </row>
    <row r="534" spans="2:11" x14ac:dyDescent="0.25">
      <c r="B534" s="9"/>
    </row>
    <row r="535" spans="2:11" x14ac:dyDescent="0.25">
      <c r="B535" s="9"/>
    </row>
    <row r="536" spans="2:11" x14ac:dyDescent="0.25">
      <c r="B536" s="9"/>
    </row>
    <row r="537" spans="2:11" ht="9.75" customHeight="1" x14ac:dyDescent="0.25">
      <c r="B537" s="9"/>
    </row>
    <row r="538" spans="2:11" x14ac:dyDescent="0.25">
      <c r="B538" s="57" t="s">
        <v>287</v>
      </c>
    </row>
    <row r="539" spans="2:11" x14ac:dyDescent="0.25">
      <c r="B539" s="57" t="s">
        <v>288</v>
      </c>
    </row>
    <row r="540" spans="2:11" ht="38.25" customHeight="1" x14ac:dyDescent="0.25">
      <c r="B540" s="254" t="str">
        <f>("Un detalle de  "&amp;B539&amp;" al "&amp;[1]BALANZA!$B$3&amp;" "&amp;[1]BALANZA!$C$3&amp;" es como se detalla a continuación:")</f>
        <v>Un detalle de  Subvenciones y otros pagos por transferencias al 30 de junio del 2024 - 2023 es como se detalla a continuación:</v>
      </c>
      <c r="C540" s="261"/>
      <c r="D540" s="261"/>
      <c r="E540" s="261"/>
    </row>
    <row r="541" spans="2:11" ht="9" customHeight="1" x14ac:dyDescent="0.25">
      <c r="B541" s="10"/>
    </row>
    <row r="542" spans="2:11" x14ac:dyDescent="0.25">
      <c r="B542" s="161" t="s">
        <v>289</v>
      </c>
      <c r="C542" s="162">
        <f>+C555</f>
        <v>2024</v>
      </c>
      <c r="D542" s="162">
        <f>+D555</f>
        <v>2023</v>
      </c>
      <c r="E542" s="183" t="s">
        <v>215</v>
      </c>
    </row>
    <row r="543" spans="2:11" ht="16.5" customHeight="1" x14ac:dyDescent="0.25">
      <c r="B543" s="224" t="s">
        <v>290</v>
      </c>
      <c r="C543" s="98">
        <v>473568.28</v>
      </c>
      <c r="D543" s="218">
        <f>+'[1]BALANZA G'!D289+'[1]BALANZA G'!D290</f>
        <v>199000</v>
      </c>
      <c r="E543" s="40">
        <f>+C543-D543</f>
        <v>274568.28000000003</v>
      </c>
    </row>
    <row r="544" spans="2:11" ht="23.25" hidden="1" customHeight="1" x14ac:dyDescent="0.25">
      <c r="B544" s="225"/>
      <c r="C544" s="226"/>
      <c r="D544" s="227"/>
      <c r="E544" s="228"/>
      <c r="I544" s="156"/>
      <c r="J544" s="157"/>
      <c r="K544" s="156"/>
    </row>
    <row r="545" spans="2:27" ht="28.5" x14ac:dyDescent="0.25">
      <c r="B545" s="219" t="s">
        <v>291</v>
      </c>
      <c r="C545" s="104">
        <f>SUM(C543+C544)</f>
        <v>473568.28</v>
      </c>
      <c r="D545" s="176">
        <f>SUM(D543)</f>
        <v>199000</v>
      </c>
      <c r="E545" s="229">
        <f>+C545-D545</f>
        <v>274568.28000000003</v>
      </c>
    </row>
    <row r="546" spans="2:27" x14ac:dyDescent="0.25">
      <c r="B546" s="90"/>
      <c r="C546" s="221">
        <f>+C545+[1]ERF!B18</f>
        <v>0</v>
      </c>
      <c r="D546" s="221">
        <f>+D545+[1]ERF!C18</f>
        <v>0</v>
      </c>
      <c r="J546" s="45"/>
    </row>
    <row r="547" spans="2:27" s="41" customFormat="1" x14ac:dyDescent="0.25">
      <c r="B547" s="264" t="s">
        <v>101</v>
      </c>
      <c r="C547" s="265"/>
      <c r="D547" s="50" t="str">
        <f>IF(E547&gt;=0,"Aumento","Disminución")</f>
        <v>Aumento</v>
      </c>
      <c r="E547" s="81">
        <f>+E545/D545</f>
        <v>1.3797401005025127</v>
      </c>
      <c r="J547" s="45"/>
      <c r="N547" s="45"/>
      <c r="R547" s="46"/>
      <c r="S547" s="46"/>
      <c r="T547" s="46"/>
      <c r="U547" s="46"/>
      <c r="V547" s="46"/>
      <c r="W547" s="46"/>
      <c r="X547" s="46"/>
      <c r="Y547" s="46"/>
      <c r="Z547" s="45"/>
    </row>
    <row r="548" spans="2:27" s="41" customFormat="1" x14ac:dyDescent="0.25">
      <c r="B548" s="55"/>
      <c r="C548" s="55"/>
      <c r="D548" s="53"/>
      <c r="E548" s="56"/>
      <c r="J548" s="45"/>
      <c r="N548" s="45"/>
      <c r="R548" s="46"/>
      <c r="S548" s="46"/>
      <c r="T548" s="46"/>
      <c r="U548" s="46"/>
      <c r="V548" s="46"/>
      <c r="W548" s="46"/>
      <c r="X548" s="46"/>
      <c r="Y548" s="46"/>
      <c r="Z548" s="45"/>
    </row>
    <row r="549" spans="2:27" s="41" customFormat="1" ht="17.25" customHeight="1" x14ac:dyDescent="0.25">
      <c r="B549" s="55" t="s">
        <v>292</v>
      </c>
      <c r="C549" s="55"/>
      <c r="D549" s="53"/>
      <c r="E549" s="56"/>
      <c r="J549" s="45"/>
      <c r="N549" s="45"/>
      <c r="R549" s="46"/>
      <c r="S549" s="46"/>
      <c r="T549" s="46"/>
      <c r="U549" s="46"/>
      <c r="V549" s="46"/>
      <c r="W549" s="46"/>
      <c r="X549" s="46"/>
      <c r="Y549" s="46"/>
      <c r="Z549" s="45"/>
    </row>
    <row r="550" spans="2:27" s="41" customFormat="1" ht="36.75" customHeight="1" x14ac:dyDescent="0.25">
      <c r="B550" s="55"/>
      <c r="C550" s="55"/>
      <c r="D550" s="53"/>
      <c r="E550" s="56"/>
      <c r="J550" s="2"/>
      <c r="N550" s="45"/>
      <c r="R550" s="46"/>
      <c r="S550" s="46"/>
      <c r="T550" s="46"/>
      <c r="U550" s="46"/>
      <c r="V550" s="46"/>
      <c r="W550" s="46"/>
      <c r="X550" s="46"/>
      <c r="Y550" s="46"/>
      <c r="Z550" s="45"/>
    </row>
    <row r="551" spans="2:27" x14ac:dyDescent="0.25">
      <c r="B551" s="57" t="s">
        <v>293</v>
      </c>
    </row>
    <row r="552" spans="2:27" x14ac:dyDescent="0.25">
      <c r="B552" s="57" t="s">
        <v>294</v>
      </c>
    </row>
    <row r="553" spans="2:27" ht="36.75" customHeight="1" x14ac:dyDescent="0.25">
      <c r="B553" s="254" t="str">
        <f>("Un detalle del "&amp;B552&amp;" al "&amp;[1]BALANZA!$B$3&amp;" "&amp;[1]BALANZA!$C$3&amp;" es como se detalla a continuación:")</f>
        <v>Un detalle del Suministro y materiales para consumo al 30 de junio del 2024 - 2023 es como se detalla a continuación:</v>
      </c>
      <c r="C553" s="261"/>
      <c r="D553" s="261"/>
      <c r="E553" s="261"/>
    </row>
    <row r="554" spans="2:27" ht="8.25" customHeight="1" x14ac:dyDescent="0.25">
      <c r="B554" s="10"/>
    </row>
    <row r="555" spans="2:27" x14ac:dyDescent="0.25">
      <c r="B555" s="161" t="s">
        <v>289</v>
      </c>
      <c r="C555" s="162">
        <f>+[1]BALANZA!B4</f>
        <v>2024</v>
      </c>
      <c r="D555" s="162">
        <f>+[1]BALANZA!C4</f>
        <v>2023</v>
      </c>
      <c r="E555" s="183" t="s">
        <v>215</v>
      </c>
    </row>
    <row r="556" spans="2:27" x14ac:dyDescent="0.25">
      <c r="B556" s="143" t="s">
        <v>295</v>
      </c>
      <c r="C556" s="33">
        <f>+'[1]BALANZA G'!C242+'[1]BALANZA G'!C244+'[1]BALANZA G'!C243+'[1]BALANZA G'!C279</f>
        <v>370485.98000000004</v>
      </c>
      <c r="D556" s="36">
        <v>832083.2</v>
      </c>
      <c r="E556" s="40">
        <f t="shared" ref="E556:E562" si="4">+C556-D556</f>
        <v>-461597.21999999991</v>
      </c>
      <c r="T556" s="87"/>
      <c r="AA556" s="216"/>
    </row>
    <row r="557" spans="2:27" x14ac:dyDescent="0.25">
      <c r="B557" s="143" t="s">
        <v>296</v>
      </c>
      <c r="C557" s="33">
        <f>+'[1]BALANZA G'!C245+'[1]BALANZA G'!C246</f>
        <v>0</v>
      </c>
      <c r="D557" s="36">
        <f>+'[1]BALANZA G'!D245+'[1]BALANZA G'!D246</f>
        <v>9856.9500000000007</v>
      </c>
      <c r="E557" s="40">
        <f t="shared" si="4"/>
        <v>-9856.9500000000007</v>
      </c>
      <c r="T557" s="87"/>
      <c r="AA557" s="216"/>
    </row>
    <row r="558" spans="2:27" x14ac:dyDescent="0.25">
      <c r="B558" s="143" t="s">
        <v>297</v>
      </c>
      <c r="C558" s="33">
        <f>+'[1]BALANZA G'!C248+'[1]BALANZA G'!C249+'[1]BALANZA G'!C250</f>
        <v>380037</v>
      </c>
      <c r="D558" s="36">
        <f>+'[1]BALANZA G'!D248+'[1]BALANZA G'!D249+'[1]BALANZA G'!D250</f>
        <v>826492</v>
      </c>
      <c r="E558" s="40">
        <f t="shared" si="4"/>
        <v>-446455</v>
      </c>
      <c r="T558" s="87"/>
      <c r="AA558" s="216"/>
    </row>
    <row r="559" spans="2:27" x14ac:dyDescent="0.25">
      <c r="B559" s="143" t="s">
        <v>298</v>
      </c>
      <c r="C559" s="33">
        <f>+'[1]BALANZA G'!C252+'[1]BALANZA G'!C254+'[1]BALANZA G'!C258+'[1]BALANZA G'!C253</f>
        <v>4318595</v>
      </c>
      <c r="D559" s="36">
        <f>+'[1]BALANZA G'!D252+'[1]BALANZA G'!D254+'[1]BALANZA G'!D258+'[1]BALANZA G'!D253</f>
        <v>4862781</v>
      </c>
      <c r="E559" s="40">
        <f t="shared" si="4"/>
        <v>-544186</v>
      </c>
      <c r="T559" s="87"/>
      <c r="AA559" s="216"/>
    </row>
    <row r="560" spans="2:27" x14ac:dyDescent="0.25">
      <c r="B560" s="143" t="s">
        <v>299</v>
      </c>
      <c r="C560" s="33">
        <f>+'[1]BALANZA G'!C255+'[1]BALANZA G'!C259+'[1]BALANZA G'!C257+'[1]BALANZA G'!C256+'[1]BALANZA G'!C261</f>
        <v>1475311.94</v>
      </c>
      <c r="D560" s="36">
        <v>5803681.6099999994</v>
      </c>
      <c r="E560" s="40">
        <f t="shared" si="4"/>
        <v>-4328369.67</v>
      </c>
      <c r="T560" s="87"/>
      <c r="AA560" s="216"/>
    </row>
    <row r="561" spans="2:30" x14ac:dyDescent="0.25">
      <c r="B561" s="143" t="s">
        <v>300</v>
      </c>
      <c r="C561" s="33">
        <f>+'[1]BALANZA G'!C262+'[1]BALANZA G'!C263+'[1]BALANZA G'!C264+'[1]BALANZA G'!C265+'[1]BALANZA G'!C266+'[1]BALANZA G'!C267+'[1]BALANZA G'!C284+'[1]BALANZA G'!C274+'[1]BALANZA G'!C275+'[1]BALANZA G'!C272+'[1]BALANZA G'!C273+'[1]BALANZA G'!C269+'[1]BALANZA G'!C270+'[1]BALANZA G'!C271+'[1]BALANZA G'!C276+'[1]BALANZA G'!C277+'[1]BALANZA G'!C278+'[1]BALANZA G'!C280+'[1]BALANZA G'!C282+'[1]BALANZA G'!C281+'[1]BALANZA G'!C224</f>
        <v>3490695.91</v>
      </c>
      <c r="D561" s="36">
        <v>15682360.639999997</v>
      </c>
      <c r="E561" s="40">
        <f t="shared" si="4"/>
        <v>-12191664.729999997</v>
      </c>
      <c r="T561" s="87"/>
      <c r="AA561" s="216"/>
    </row>
    <row r="562" spans="2:30" hidden="1" x14ac:dyDescent="0.25">
      <c r="B562" s="143" t="s">
        <v>301</v>
      </c>
      <c r="C562" s="33">
        <f>+'[1]BALANZA G'!C285</f>
        <v>0</v>
      </c>
      <c r="D562" s="36">
        <f>+'[1]BALANZA G'!D285</f>
        <v>0</v>
      </c>
      <c r="E562" s="40">
        <f t="shared" si="4"/>
        <v>0</v>
      </c>
    </row>
    <row r="563" spans="2:30" x14ac:dyDescent="0.25">
      <c r="B563" s="219" t="s">
        <v>302</v>
      </c>
      <c r="C563" s="43">
        <f>SUM(C556:C562)</f>
        <v>10035125.83</v>
      </c>
      <c r="D563" s="77">
        <f>SUM(D556:D562)</f>
        <v>28017255.399999999</v>
      </c>
      <c r="E563" s="43">
        <f>SUM(E556:E562)</f>
        <v>-17982129.569999997</v>
      </c>
      <c r="AD563" s="83"/>
    </row>
    <row r="564" spans="2:30" x14ac:dyDescent="0.25">
      <c r="B564" s="230"/>
      <c r="C564" s="182">
        <f>+C563+[1]ERF!B19</f>
        <v>0</v>
      </c>
      <c r="D564" s="182">
        <f>+D563+[1]ERF!C19</f>
        <v>0</v>
      </c>
      <c r="E564" s="231"/>
      <c r="J564" s="45"/>
    </row>
    <row r="565" spans="2:30" s="41" customFormat="1" x14ac:dyDescent="0.25">
      <c r="B565" s="264" t="s">
        <v>101</v>
      </c>
      <c r="C565" s="265"/>
      <c r="D565" s="50" t="str">
        <f>IF(E565&gt;=0,"Aumento","Disminución")</f>
        <v>Disminución</v>
      </c>
      <c r="E565" s="81">
        <f>+E563/D563</f>
        <v>-0.64182338038721654</v>
      </c>
      <c r="J565" s="2"/>
      <c r="N565" s="45"/>
      <c r="R565" s="46"/>
      <c r="S565" s="46"/>
      <c r="T565" s="46"/>
      <c r="U565" s="46"/>
      <c r="V565" s="46"/>
      <c r="W565" s="46"/>
      <c r="X565" s="46"/>
      <c r="Y565" s="46"/>
      <c r="Z565" s="45"/>
    </row>
    <row r="566" spans="2:30" x14ac:dyDescent="0.25">
      <c r="B566" s="55"/>
      <c r="C566" s="55"/>
      <c r="D566" s="232"/>
      <c r="E566" s="56"/>
    </row>
    <row r="567" spans="2:30" ht="44.25" customHeight="1" x14ac:dyDescent="0.25">
      <c r="B567" s="55"/>
      <c r="C567" s="55"/>
      <c r="D567" s="232"/>
      <c r="E567" s="56"/>
    </row>
    <row r="568" spans="2:30" x14ac:dyDescent="0.25">
      <c r="B568" s="57" t="s">
        <v>303</v>
      </c>
    </row>
    <row r="569" spans="2:30" x14ac:dyDescent="0.25">
      <c r="B569" s="57" t="s">
        <v>304</v>
      </c>
    </row>
    <row r="570" spans="2:30" x14ac:dyDescent="0.25">
      <c r="B570" s="254" t="str">
        <f>("Un detalle del "&amp;B569&amp;" al "&amp;[1]BALANZA!$B$3&amp;" "&amp;[1]BALANZA!$C$3&amp;" es como se detalla a continuación:")</f>
        <v>Un detalle del Gasto de Depreciación y Amortización al 30 de junio del 2024 - 2023 es como se detalla a continuación:</v>
      </c>
      <c r="C570" s="261"/>
      <c r="D570" s="261"/>
      <c r="E570" s="261"/>
    </row>
    <row r="571" spans="2:30" x14ac:dyDescent="0.25">
      <c r="B571" s="10"/>
    </row>
    <row r="572" spans="2:30" x14ac:dyDescent="0.25">
      <c r="B572" s="161" t="s">
        <v>289</v>
      </c>
      <c r="C572" s="162" t="str">
        <f>+[1]BALANZA!B21</f>
        <v>CUENTA  9604127870</v>
      </c>
      <c r="D572" s="162">
        <f>+[1]BALANZA!C21</f>
        <v>937623.2</v>
      </c>
      <c r="E572" s="183" t="s">
        <v>215</v>
      </c>
    </row>
    <row r="573" spans="2:30" x14ac:dyDescent="0.25">
      <c r="B573" s="143" t="s">
        <v>305</v>
      </c>
      <c r="C573" s="36">
        <f>+[1]nota13!K29</f>
        <v>28046103.980000004</v>
      </c>
      <c r="D573" s="36">
        <f>+[1]nota13!K14</f>
        <v>23515520.119999997</v>
      </c>
      <c r="E573" s="40">
        <f>+C573-D573</f>
        <v>4530583.8600000069</v>
      </c>
    </row>
    <row r="574" spans="2:30" x14ac:dyDescent="0.25">
      <c r="B574" s="143" t="s">
        <v>306</v>
      </c>
      <c r="C574" s="36">
        <f>-+C364-14597.08</f>
        <v>87582.75</v>
      </c>
      <c r="D574" s="36">
        <f>-+D364-20309</f>
        <v>121854</v>
      </c>
      <c r="E574" s="40">
        <f>+C574-D574</f>
        <v>-34271.25</v>
      </c>
    </row>
    <row r="575" spans="2:30" x14ac:dyDescent="0.25">
      <c r="B575" s="143"/>
      <c r="C575" s="36"/>
      <c r="D575" s="36"/>
      <c r="E575" s="40">
        <f>+C575-D575</f>
        <v>0</v>
      </c>
    </row>
    <row r="576" spans="2:30" x14ac:dyDescent="0.25">
      <c r="B576" s="219" t="s">
        <v>302</v>
      </c>
      <c r="C576" s="77">
        <f>SUM(C573:C575)</f>
        <v>28133686.730000004</v>
      </c>
      <c r="D576" s="77">
        <f>SUM(D573:D575)</f>
        <v>23637374.119999997</v>
      </c>
      <c r="E576" s="43">
        <f>SUM(E573:E575)</f>
        <v>4496312.6100000069</v>
      </c>
    </row>
    <row r="577" spans="2:31" x14ac:dyDescent="0.25">
      <c r="B577" s="230"/>
      <c r="C577" s="182">
        <f>+C576+[1]ERF!B20</f>
        <v>0</v>
      </c>
      <c r="D577" s="182">
        <f>+D576+[1]ERF!C20</f>
        <v>0</v>
      </c>
      <c r="E577" s="231"/>
    </row>
    <row r="578" spans="2:31" x14ac:dyDescent="0.25">
      <c r="B578" s="264" t="s">
        <v>101</v>
      </c>
      <c r="C578" s="265"/>
      <c r="D578" s="50" t="str">
        <f>IF(E578&gt;=0,"Aumento","Disminución")</f>
        <v>Aumento</v>
      </c>
      <c r="E578" s="81">
        <f>+E576/D576</f>
        <v>0.19022047826351396</v>
      </c>
    </row>
    <row r="579" spans="2:31" x14ac:dyDescent="0.25">
      <c r="B579" s="55"/>
      <c r="C579" s="55"/>
      <c r="D579" s="232"/>
      <c r="E579" s="56"/>
    </row>
    <row r="580" spans="2:31" ht="9.75" customHeight="1" x14ac:dyDescent="0.25">
      <c r="B580" s="55"/>
      <c r="C580" s="55"/>
      <c r="D580" s="232"/>
      <c r="E580" s="56"/>
    </row>
    <row r="581" spans="2:31" ht="60" customHeight="1" x14ac:dyDescent="0.25">
      <c r="B581" s="55"/>
      <c r="C581" s="55"/>
      <c r="D581" s="232"/>
      <c r="E581" s="56"/>
    </row>
    <row r="582" spans="2:31" ht="16.5" customHeight="1" x14ac:dyDescent="0.25">
      <c r="B582" s="233" t="s">
        <v>307</v>
      </c>
    </row>
    <row r="583" spans="2:31" x14ac:dyDescent="0.25">
      <c r="B583" s="233" t="s">
        <v>308</v>
      </c>
    </row>
    <row r="584" spans="2:31" ht="18.75" customHeight="1" x14ac:dyDescent="0.25">
      <c r="B584" s="254" t="str">
        <f>("Un detalle de "&amp;B583&amp;" al "&amp;[1]BALANZA!$B$3&amp;" "&amp;[1]BALANZA!$C$3&amp;" es como se detalla a continuación:")</f>
        <v>Un detalle de Otros gastos  al 30 de junio del 2024 - 2023 es como se detalla a continuación:</v>
      </c>
      <c r="C584" s="261"/>
      <c r="D584" s="261"/>
      <c r="E584" s="261"/>
    </row>
    <row r="585" spans="2:31" ht="8.25" customHeight="1" x14ac:dyDescent="0.25">
      <c r="B585" s="10"/>
      <c r="G585" s="8"/>
    </row>
    <row r="586" spans="2:31" ht="18.75" customHeight="1" x14ac:dyDescent="0.25">
      <c r="B586" s="28" t="s">
        <v>309</v>
      </c>
      <c r="C586" s="29">
        <f>+[1]BALANZA!B4</f>
        <v>2024</v>
      </c>
      <c r="D586" s="29">
        <f>+[1]BALANZA!C4</f>
        <v>2023</v>
      </c>
      <c r="E586" s="183" t="s">
        <v>215</v>
      </c>
    </row>
    <row r="587" spans="2:31" x14ac:dyDescent="0.25">
      <c r="B587" s="99" t="s">
        <v>310</v>
      </c>
      <c r="C587" s="234">
        <f>+'[1]BALANZA G'!C190+'[1]BALANZA G'!C191+'[1]BALANZA G'!C192+'[1]BALANZA G'!C193</f>
        <v>1392338.81</v>
      </c>
      <c r="D587" s="234">
        <f>+'[1]BALANZA G'!D190+'[1]BALANZA G'!D191+'[1]BALANZA G'!D192+'[1]BALANZA G'!D193</f>
        <v>1512623.1600000001</v>
      </c>
      <c r="E587" s="40">
        <f>+C587-D587</f>
        <v>-120284.35000000009</v>
      </c>
      <c r="I587" s="83"/>
      <c r="U587" s="187"/>
      <c r="AE587" s="216"/>
    </row>
    <row r="588" spans="2:31" x14ac:dyDescent="0.25">
      <c r="B588" s="99" t="s">
        <v>311</v>
      </c>
      <c r="C588" s="234">
        <f>+'[1]BALANZA G'!C194</f>
        <v>31698102.710000001</v>
      </c>
      <c r="D588" s="234">
        <f>+'[1]BALANZA G'!D194</f>
        <v>26183712.109999999</v>
      </c>
      <c r="E588" s="40">
        <f>+C588-D588</f>
        <v>5514390.6000000015</v>
      </c>
      <c r="I588" s="83"/>
      <c r="U588" s="187"/>
      <c r="AE588" s="216"/>
    </row>
    <row r="589" spans="2:31" x14ac:dyDescent="0.25">
      <c r="B589" s="143" t="s">
        <v>312</v>
      </c>
      <c r="C589" s="234">
        <f>+'[1]BALANZA G'!C197+'[1]BALANZA G'!C195</f>
        <v>412807.13</v>
      </c>
      <c r="D589" s="234">
        <f>+'[1]BALANZA G'!D197+'[1]BALANZA G'!D195</f>
        <v>430770.98000000004</v>
      </c>
      <c r="E589" s="40">
        <f t="shared" ref="E589:E595" si="5">+C589-D589</f>
        <v>-17963.850000000035</v>
      </c>
      <c r="I589" s="83"/>
      <c r="U589" s="187"/>
      <c r="AE589" s="216"/>
    </row>
    <row r="590" spans="2:31" x14ac:dyDescent="0.25">
      <c r="B590" s="143" t="s">
        <v>313</v>
      </c>
      <c r="C590" s="234">
        <f>+'[1]BALANZA G'!C199+'[1]BALANZA G'!C198+'[1]BALANZA G'!C196</f>
        <v>287800</v>
      </c>
      <c r="D590" s="234">
        <f>+'[1]BALANZA G'!D196+'[1]BALANZA G'!D198+'[1]BALANZA G'!D199</f>
        <v>722427.5</v>
      </c>
      <c r="E590" s="40">
        <f t="shared" si="5"/>
        <v>-434627.5</v>
      </c>
      <c r="I590" s="83"/>
      <c r="U590" s="187"/>
      <c r="AE590" s="216"/>
    </row>
    <row r="591" spans="2:31" x14ac:dyDescent="0.25">
      <c r="B591" s="143" t="s">
        <v>314</v>
      </c>
      <c r="C591" s="234">
        <f>+'[1]BALANZA G'!C201+'[1]BALANZA G'!C200</f>
        <v>175</v>
      </c>
      <c r="D591" s="234">
        <f>+'[1]BALANZA G'!D201+'[1]BALANZA G'!D200</f>
        <v>0</v>
      </c>
      <c r="E591" s="40">
        <f t="shared" si="5"/>
        <v>175</v>
      </c>
      <c r="I591" s="83"/>
      <c r="U591" s="187"/>
      <c r="AE591" s="216"/>
    </row>
    <row r="592" spans="2:31" x14ac:dyDescent="0.25">
      <c r="B592" s="99" t="s">
        <v>315</v>
      </c>
      <c r="C592" s="234">
        <f>+'[1]BALANZA G'!C203+'[1]BALANZA G'!C204+'[1]BALANZA G'!C206+'[1]BALANZA G'!C207+'[1]BALANZA G'!C208+'[1]BALANZA G'!C205+'[1]BALANZA G'!C209</f>
        <v>757992.67999999993</v>
      </c>
      <c r="D592" s="234">
        <f>+'[1]BALANZA G'!D203+'[1]BALANZA G'!D204+'[1]BALANZA G'!D206+'[1]BALANZA G'!D207+'[1]BALANZA G'!D208+'[1]BALANZA G'!D205+'[1]BALANZA G'!D209</f>
        <v>1044880.53</v>
      </c>
      <c r="E592" s="40">
        <f t="shared" si="5"/>
        <v>-286887.85000000009</v>
      </c>
      <c r="I592" s="83"/>
      <c r="U592" s="187"/>
      <c r="AE592" s="216"/>
    </row>
    <row r="593" spans="2:31" x14ac:dyDescent="0.25">
      <c r="B593" s="99" t="s">
        <v>316</v>
      </c>
      <c r="C593" s="234">
        <f>+'[1]BALANZA G'!C210+'[1]BALANZA G'!C211</f>
        <v>314024.15999999997</v>
      </c>
      <c r="D593" s="234">
        <f>+'[1]BALANZA G'!D211+'[1]BALANZA G'!D210</f>
        <v>312123.5</v>
      </c>
      <c r="E593" s="40">
        <f t="shared" si="5"/>
        <v>1900.6599999999744</v>
      </c>
      <c r="I593" s="83"/>
      <c r="U593" s="187"/>
      <c r="AE593" s="216"/>
    </row>
    <row r="594" spans="2:31" ht="30" x14ac:dyDescent="0.25">
      <c r="B594" s="143" t="s">
        <v>317</v>
      </c>
      <c r="C594" s="234">
        <f>+'[1]BALANZA G'!C213+'[1]BALANZA G'!C214+'[1]BALANZA G'!C215+'[1]BALANZA G'!C216+'[1]BALANZA G'!C217+'[1]BALANZA G'!C219+'[1]BALANZA G'!C220+'[1]BALANZA G'!C221+'[1]BALANZA G'!C222+'[1]BALANZA G'!C223+'[1]BALANZA G'!C225+'[1]BALANZA G'!C226+'[1]BALANZA G'!C227+'[1]BALANZA G'!C218-0.06</f>
        <v>8114402.1700000009</v>
      </c>
      <c r="D594" s="234">
        <f>+'[1]BALANZA G'!D213+'[1]BALANZA G'!D214+'[1]BALANZA G'!D215+'[1]BALANZA G'!D216+'[1]BALANZA G'!D217+'[1]BALANZA G'!D219+'[1]BALANZA G'!D220+'[1]BALANZA G'!D221+'[1]BALANZA G'!D222+'[1]BALANZA G'!D223+'[1]BALANZA G'!D225+'[1]BALANZA G'!D226+'[1]BALANZA G'!D227+'[1]BALANZA G'!D218</f>
        <v>-13983875.629999999</v>
      </c>
      <c r="E594" s="40">
        <f t="shared" si="5"/>
        <v>22098277.800000001</v>
      </c>
      <c r="I594" s="83"/>
      <c r="U594" s="187"/>
      <c r="AE594" s="216"/>
    </row>
    <row r="595" spans="2:31" ht="21.75" customHeight="1" x14ac:dyDescent="0.25">
      <c r="B595" s="143" t="s">
        <v>318</v>
      </c>
      <c r="C595" s="234">
        <f>+'[1]BALANZA G'!C229+'[1]BALANZA G'!C230+'[1]BALANZA G'!C232+'[1]BALANZA G'!C233+'[1]BALANZA G'!C234+'[1]BALANZA G'!C236+'[1]BALANZA G'!C184+'[1]BALANZA G'!C185+'[1]BALANZA G'!C189+'[1]BALANZA G'!C235</f>
        <v>2406770.15</v>
      </c>
      <c r="D595" s="234">
        <f>+'[1]BALANZA G'!D184+'[1]BALANZA G'!D185+'[1]BALANZA G'!D229+'[1]BALANZA G'!D232+'[1]BALANZA G'!D233+'[1]BALANZA G'!D234+'[1]BALANZA G'!D236+'[1]BALANZA G'!D230+'[1]BALANZA G'!D189+'[1]BALANZA G'!D235</f>
        <v>6550088.3300000001</v>
      </c>
      <c r="E595" s="235">
        <f t="shared" si="5"/>
        <v>-4143318.18</v>
      </c>
      <c r="I595" s="83"/>
      <c r="U595" s="187"/>
      <c r="AE595" s="216"/>
    </row>
    <row r="596" spans="2:31" ht="18.75" customHeight="1" x14ac:dyDescent="0.25">
      <c r="B596" s="76" t="s">
        <v>319</v>
      </c>
      <c r="C596" s="43">
        <f>SUM(C587:C595)</f>
        <v>45384412.809999995</v>
      </c>
      <c r="D596" s="92">
        <f>SUM(D587:D595)</f>
        <v>22772750.480000004</v>
      </c>
      <c r="E596" s="236">
        <f>SUM(E587:E595)</f>
        <v>22611662.330000006</v>
      </c>
    </row>
    <row r="597" spans="2:31" ht="12.75" customHeight="1" x14ac:dyDescent="0.25">
      <c r="B597" s="10" t="s">
        <v>166</v>
      </c>
      <c r="C597" s="221">
        <f>+C596+[1]ERF!B22</f>
        <v>0</v>
      </c>
      <c r="D597" s="221">
        <f>+D596+[1]ERF!C22</f>
        <v>0</v>
      </c>
      <c r="J597" s="45"/>
    </row>
    <row r="598" spans="2:31" s="41" customFormat="1" x14ac:dyDescent="0.25">
      <c r="B598" s="264" t="s">
        <v>101</v>
      </c>
      <c r="C598" s="265"/>
      <c r="D598" s="50" t="str">
        <f>IF(E598&gt;=0,"Aumento","Disminución")</f>
        <v>Aumento</v>
      </c>
      <c r="E598" s="81">
        <f>+E596/D596</f>
        <v>0.99292627607097905</v>
      </c>
      <c r="J598" s="2"/>
      <c r="N598" s="45"/>
      <c r="R598" s="46"/>
      <c r="S598" s="46"/>
      <c r="T598" s="46"/>
      <c r="U598" s="46"/>
      <c r="V598" s="46"/>
      <c r="W598" s="46"/>
      <c r="X598" s="46"/>
      <c r="Y598" s="46"/>
      <c r="Z598" s="45"/>
    </row>
    <row r="599" spans="2:31" s="41" customFormat="1" x14ac:dyDescent="0.25">
      <c r="B599" s="55"/>
      <c r="C599" s="55"/>
      <c r="D599" s="53"/>
      <c r="E599" s="56"/>
      <c r="J599" s="2"/>
      <c r="N599" s="45"/>
      <c r="R599" s="46"/>
      <c r="S599" s="46"/>
      <c r="T599" s="46"/>
      <c r="U599" s="46"/>
      <c r="V599" s="46"/>
      <c r="W599" s="46"/>
      <c r="X599" s="46"/>
      <c r="Y599" s="46"/>
      <c r="Z599" s="45"/>
    </row>
    <row r="600" spans="2:31" ht="10.5" customHeight="1" x14ac:dyDescent="0.25">
      <c r="B600" s="55"/>
      <c r="C600" s="55"/>
      <c r="D600" s="232"/>
      <c r="E600" s="56"/>
    </row>
    <row r="601" spans="2:31" x14ac:dyDescent="0.25">
      <c r="B601" s="57" t="s">
        <v>320</v>
      </c>
    </row>
    <row r="602" spans="2:31" ht="21" customHeight="1" x14ac:dyDescent="0.25">
      <c r="B602" s="57" t="s">
        <v>321</v>
      </c>
    </row>
    <row r="603" spans="2:31" ht="22.5" customHeight="1" x14ac:dyDescent="0.25">
      <c r="B603" s="254" t="str">
        <f>("Un detalle del "&amp;B602&amp;" al "&amp;[1]BALANZA!$B$3&amp;" "&amp;[1]BALANZA!$C$3&amp;" es como se detalla a continuación:")</f>
        <v>Un detalle del Gastos Financieros  al 30 de junio del 2024 - 2023 es como se detalla a continuación:</v>
      </c>
      <c r="C603" s="261"/>
      <c r="D603" s="261"/>
      <c r="E603" s="261"/>
    </row>
    <row r="604" spans="2:31" ht="6.75" customHeight="1" x14ac:dyDescent="0.25">
      <c r="B604" s="1"/>
    </row>
    <row r="605" spans="2:31" ht="13.5" customHeight="1" x14ac:dyDescent="0.25">
      <c r="B605" s="1"/>
    </row>
    <row r="606" spans="2:31" x14ac:dyDescent="0.25">
      <c r="B606" s="31" t="str">
        <f>+B586</f>
        <v>PARTIDA</v>
      </c>
      <c r="C606" s="237">
        <f>+C586</f>
        <v>2024</v>
      </c>
      <c r="D606" s="237">
        <f>+D586</f>
        <v>2023</v>
      </c>
      <c r="E606" s="183" t="s">
        <v>215</v>
      </c>
    </row>
    <row r="607" spans="2:31" x14ac:dyDescent="0.25">
      <c r="B607" s="143" t="s">
        <v>322</v>
      </c>
      <c r="C607" s="33">
        <f>+'[1]BALANZA G'!C231</f>
        <v>354384.54</v>
      </c>
      <c r="D607" s="36">
        <f>+'[1]BALANZA G'!D231</f>
        <v>357743.84</v>
      </c>
      <c r="E607" s="40">
        <f>+C607-D607</f>
        <v>-3359.3000000000466</v>
      </c>
    </row>
    <row r="608" spans="2:31" x14ac:dyDescent="0.25">
      <c r="B608" s="143" t="s">
        <v>323</v>
      </c>
      <c r="C608" s="33">
        <f>+'[1]BALANZA G'!C237</f>
        <v>0</v>
      </c>
      <c r="D608" s="36">
        <f>+'[1]BALANZA G'!D237</f>
        <v>0</v>
      </c>
      <c r="E608" s="40">
        <f>+C608-D608</f>
        <v>0</v>
      </c>
    </row>
    <row r="609" spans="2:26" x14ac:dyDescent="0.25">
      <c r="B609" s="219" t="s">
        <v>324</v>
      </c>
      <c r="C609" s="43">
        <f>SUM(C607:C608)</f>
        <v>354384.54</v>
      </c>
      <c r="D609" s="77">
        <f>SUM(D607:D608)</f>
        <v>357743.84</v>
      </c>
      <c r="E609" s="43">
        <f>SUM(E607:E608)</f>
        <v>-3359.3000000000466</v>
      </c>
    </row>
    <row r="610" spans="2:26" x14ac:dyDescent="0.25">
      <c r="B610" s="238"/>
      <c r="C610" s="85">
        <f>+C609+[1]ERF!B23</f>
        <v>0</v>
      </c>
      <c r="D610" s="85">
        <f>+D609+[1]ERF!C23</f>
        <v>0</v>
      </c>
      <c r="E610" s="80"/>
      <c r="J610" s="45"/>
    </row>
    <row r="611" spans="2:26" s="41" customFormat="1" x14ac:dyDescent="0.25">
      <c r="B611" s="264" t="s">
        <v>101</v>
      </c>
      <c r="C611" s="265"/>
      <c r="D611" s="50" t="str">
        <f>IF(E611&gt;=0,"Aumento","Disminución")</f>
        <v>Disminución</v>
      </c>
      <c r="E611" s="81">
        <f>+E609/D609</f>
        <v>-9.3902385572873781E-3</v>
      </c>
      <c r="J611" s="2"/>
      <c r="N611" s="45"/>
      <c r="R611" s="46"/>
      <c r="S611" s="46"/>
      <c r="T611" s="46"/>
      <c r="U611" s="46"/>
      <c r="V611" s="46"/>
      <c r="W611" s="46"/>
      <c r="X611" s="46"/>
      <c r="Y611" s="46"/>
      <c r="Z611" s="45"/>
    </row>
    <row r="612" spans="2:26" x14ac:dyDescent="0.25">
      <c r="B612" s="55"/>
      <c r="C612" s="55"/>
      <c r="D612" s="232"/>
      <c r="E612" s="56"/>
    </row>
    <row r="613" spans="2:26" x14ac:dyDescent="0.25">
      <c r="B613" s="55"/>
      <c r="C613" s="55"/>
      <c r="D613" s="232"/>
      <c r="E613" s="56"/>
    </row>
    <row r="614" spans="2:26" x14ac:dyDescent="0.25">
      <c r="B614" s="57" t="s">
        <v>325</v>
      </c>
      <c r="C614" s="55"/>
      <c r="D614" s="232"/>
      <c r="E614" s="56"/>
    </row>
    <row r="615" spans="2:26" x14ac:dyDescent="0.25">
      <c r="B615" s="57" t="s">
        <v>326</v>
      </c>
      <c r="C615" s="55"/>
      <c r="D615" s="232"/>
      <c r="E615" s="56"/>
    </row>
    <row r="616" spans="2:26" ht="15" customHeight="1" x14ac:dyDescent="0.25">
      <c r="B616" s="254" t="str">
        <f>("Un detalle de "&amp;B615&amp;" al "&amp;[1]BALANZA!$B$3&amp;" "&amp;[1]BALANZA!$C$3&amp;" es como se detalla a continuación:")</f>
        <v>Un detalle de Compromisos y contingencias al 30 de junio del 2024 - 2023 es como se detalla a continuación:</v>
      </c>
      <c r="C616" s="261"/>
      <c r="D616" s="261"/>
      <c r="E616" s="261"/>
    </row>
    <row r="617" spans="2:26" ht="41.25" customHeight="1" x14ac:dyDescent="0.25">
      <c r="B617" s="255" t="str">
        <f>("La facturación historica no cobrada a la fecha de corte, para el "&amp;C619&amp;" presenta un monto de RD$"&amp;R622&amp;" y para el "&amp;D619&amp;" presenta un monto de RD$"&amp;R623&amp;"." )</f>
        <v>La facturación historica no cobrada a la fecha de corte, para el 2024 presenta un monto de RD$538,943,497.59 y para el 2023 presenta un monto de RD$453,841,689.00.</v>
      </c>
      <c r="C617" s="255"/>
      <c r="D617" s="255"/>
      <c r="E617" s="255"/>
    </row>
    <row r="618" spans="2:26" ht="13.5" customHeight="1" x14ac:dyDescent="0.25">
      <c r="B618" s="255"/>
      <c r="C618" s="255"/>
      <c r="D618" s="255"/>
      <c r="E618" s="255"/>
    </row>
    <row r="619" spans="2:26" x14ac:dyDescent="0.25">
      <c r="B619" s="237" t="str">
        <f>+B606</f>
        <v>PARTIDA</v>
      </c>
      <c r="C619" s="237">
        <f>+C606</f>
        <v>2024</v>
      </c>
      <c r="D619" s="237">
        <f>+D606</f>
        <v>2023</v>
      </c>
      <c r="E619" s="183" t="s">
        <v>215</v>
      </c>
    </row>
    <row r="620" spans="2:26" x14ac:dyDescent="0.25">
      <c r="B620" s="143" t="s">
        <v>327</v>
      </c>
      <c r="C620" s="33">
        <f>+C635</f>
        <v>2683912</v>
      </c>
      <c r="D620" s="33">
        <f>+D635</f>
        <v>7909235</v>
      </c>
      <c r="E620" s="40">
        <f>+C620-D620</f>
        <v>-5225323</v>
      </c>
    </row>
    <row r="621" spans="2:26" x14ac:dyDescent="0.25">
      <c r="B621" s="143" t="s">
        <v>328</v>
      </c>
      <c r="C621" s="33">
        <f>+C646-C620</f>
        <v>536259585.59000003</v>
      </c>
      <c r="D621" s="33">
        <f>+D646-D620</f>
        <v>445932454</v>
      </c>
      <c r="E621" s="40">
        <f>+C621-D621</f>
        <v>90327131.590000033</v>
      </c>
    </row>
    <row r="622" spans="2:26" x14ac:dyDescent="0.25">
      <c r="B622" s="219" t="s">
        <v>329</v>
      </c>
      <c r="C622" s="43">
        <f>SUM(C620:C621)</f>
        <v>538943497.59000003</v>
      </c>
      <c r="D622" s="43">
        <f>SUM(D620:D621)</f>
        <v>453841689</v>
      </c>
      <c r="E622" s="43">
        <f>SUM(E620:E621)</f>
        <v>85101808.590000033</v>
      </c>
      <c r="R622" s="3" t="str">
        <f>+CONCATENATE(S622,",",T622,",",U622,V622,AB622)</f>
        <v>538,943,497.59</v>
      </c>
      <c r="S622" s="3" t="str">
        <f>MID(C622,1,3)</f>
        <v>538</v>
      </c>
      <c r="T622" s="3" t="str">
        <f>MID(C622,4,3)</f>
        <v>943</v>
      </c>
      <c r="U622" s="3" t="str">
        <f>MID(C622,7,3)</f>
        <v>497</v>
      </c>
      <c r="V622" s="3" t="str">
        <f>MID(C622,10,3)</f>
        <v>.59</v>
      </c>
    </row>
    <row r="623" spans="2:26" x14ac:dyDescent="0.25">
      <c r="B623" s="238"/>
      <c r="C623" s="239"/>
      <c r="D623" s="79"/>
      <c r="E623" s="80"/>
      <c r="J623" s="45"/>
      <c r="R623" s="3" t="str">
        <f>+CONCATENATE(S623,",",T623,",",U623,V623,AB623,".00")</f>
        <v>453,841,689.00</v>
      </c>
      <c r="S623" s="3" t="str">
        <f>MID(D622,1,3)</f>
        <v>453</v>
      </c>
      <c r="T623" s="3" t="str">
        <f>MID(D622,4,3)</f>
        <v>841</v>
      </c>
      <c r="U623" s="3" t="str">
        <f>MID(D622,7,3)</f>
        <v>689</v>
      </c>
      <c r="V623" s="3" t="str">
        <f>MID(D622,10,3)</f>
        <v/>
      </c>
    </row>
    <row r="624" spans="2:26" s="41" customFormat="1" x14ac:dyDescent="0.25">
      <c r="B624" s="264" t="s">
        <v>101</v>
      </c>
      <c r="C624" s="265"/>
      <c r="D624" s="240" t="str">
        <f>IF(E624&gt;=0,"Aumento","Disminución")</f>
        <v>Aumento</v>
      </c>
      <c r="E624" s="241">
        <f>IFERROR((+E622/D622),0)</f>
        <v>0.18751430433267235</v>
      </c>
      <c r="J624" s="2"/>
      <c r="N624" s="45"/>
      <c r="R624" s="46"/>
      <c r="S624" s="46"/>
      <c r="T624" s="46"/>
      <c r="U624" s="46"/>
      <c r="V624" s="46"/>
      <c r="W624" s="46"/>
      <c r="X624" s="46"/>
      <c r="Y624" s="46"/>
      <c r="Z624" s="45"/>
    </row>
    <row r="625" spans="2:26" ht="13.5" customHeight="1" x14ac:dyDescent="0.25">
      <c r="B625" s="12"/>
      <c r="C625" s="12"/>
      <c r="D625" s="12"/>
      <c r="E625" s="12"/>
    </row>
    <row r="626" spans="2:26" ht="13.5" customHeight="1" x14ac:dyDescent="0.25">
      <c r="B626" s="12"/>
      <c r="C626" s="12"/>
      <c r="D626" s="12"/>
      <c r="E626" s="12"/>
    </row>
    <row r="627" spans="2:26" ht="14.25" customHeight="1" x14ac:dyDescent="0.25"/>
    <row r="628" spans="2:26" ht="14.25" customHeight="1" x14ac:dyDescent="0.25"/>
    <row r="629" spans="2:26" ht="70.5" customHeight="1" x14ac:dyDescent="0.25">
      <c r="B629" s="275" t="s">
        <v>330</v>
      </c>
      <c r="C629" s="275"/>
      <c r="D629" s="275"/>
      <c r="E629" s="275"/>
    </row>
    <row r="630" spans="2:26" s="4" customFormat="1" ht="42.75" customHeight="1" x14ac:dyDescent="0.2">
      <c r="B630" s="276" t="str">
        <f>("La informacion de  Cuentas por Cobrar según el Sistema Comercial al "&amp;[1]BALANZA!B3&amp;" "&amp;[1]BALANZA!C3&amp;" se detalla a continuación")</f>
        <v>La informacion de  Cuentas por Cobrar según el Sistema Comercial al 30 de junio del 2024 - 2023 se detalla a continuación</v>
      </c>
      <c r="C630" s="276"/>
      <c r="D630" s="276"/>
      <c r="E630" s="276"/>
      <c r="J630" s="5"/>
      <c r="N630" s="5"/>
      <c r="R630" s="242"/>
      <c r="S630" s="242"/>
      <c r="T630" s="242"/>
      <c r="U630" s="242"/>
      <c r="V630" s="242"/>
      <c r="W630" s="242"/>
      <c r="X630" s="242"/>
      <c r="Y630" s="242"/>
      <c r="Z630" s="5"/>
    </row>
    <row r="631" spans="2:26" x14ac:dyDescent="0.25">
      <c r="B631" s="183" t="str">
        <f>+B619</f>
        <v>PARTIDA</v>
      </c>
      <c r="C631" s="183">
        <f>+C619</f>
        <v>2024</v>
      </c>
      <c r="D631" s="183">
        <f>+D619</f>
        <v>2023</v>
      </c>
      <c r="E631" s="243"/>
    </row>
    <row r="632" spans="2:26" x14ac:dyDescent="0.25">
      <c r="B632" s="196" t="s">
        <v>331</v>
      </c>
      <c r="C632" s="186"/>
      <c r="D632" s="244"/>
    </row>
    <row r="633" spans="2:26" x14ac:dyDescent="0.25">
      <c r="B633" s="196" t="s">
        <v>332</v>
      </c>
      <c r="C633" s="186">
        <v>244077</v>
      </c>
      <c r="D633" s="245">
        <v>235712</v>
      </c>
    </row>
    <row r="634" spans="2:26" x14ac:dyDescent="0.25">
      <c r="B634" s="196" t="s">
        <v>333</v>
      </c>
      <c r="C634" s="186">
        <v>2000</v>
      </c>
      <c r="D634" s="245">
        <v>1210</v>
      </c>
    </row>
    <row r="635" spans="2:26" x14ac:dyDescent="0.25">
      <c r="B635" s="196" t="s">
        <v>334</v>
      </c>
      <c r="C635" s="186">
        <f>1824271+859641</f>
        <v>2683912</v>
      </c>
      <c r="D635" s="245">
        <f>7130810+778425</f>
        <v>7909235</v>
      </c>
    </row>
    <row r="636" spans="2:26" x14ac:dyDescent="0.25">
      <c r="B636" s="196" t="s">
        <v>335</v>
      </c>
      <c r="C636" s="186">
        <v>751769</v>
      </c>
      <c r="D636" s="245">
        <v>869044</v>
      </c>
    </row>
    <row r="637" spans="2:26" x14ac:dyDescent="0.25">
      <c r="B637" s="196" t="s">
        <v>336</v>
      </c>
      <c r="C637" s="186">
        <v>635899</v>
      </c>
      <c r="D637" s="245">
        <v>920884</v>
      </c>
    </row>
    <row r="638" spans="2:26" x14ac:dyDescent="0.25">
      <c r="B638" s="246" t="s">
        <v>337</v>
      </c>
      <c r="C638" s="247">
        <f>SUM(C633:C637)</f>
        <v>4317657</v>
      </c>
      <c r="D638" s="247">
        <f>SUM(D633:D637)</f>
        <v>9936085</v>
      </c>
    </row>
    <row r="639" spans="2:26" x14ac:dyDescent="0.25">
      <c r="B639" s="196" t="s">
        <v>332</v>
      </c>
      <c r="C639" s="186">
        <v>27549182</v>
      </c>
      <c r="D639" s="245">
        <f>14368305</f>
        <v>14368305</v>
      </c>
    </row>
    <row r="640" spans="2:26" x14ac:dyDescent="0.25">
      <c r="B640" s="196" t="s">
        <v>333</v>
      </c>
      <c r="C640" s="186">
        <v>74458</v>
      </c>
      <c r="D640" s="245">
        <v>68295</v>
      </c>
    </row>
    <row r="641" spans="2:5" x14ac:dyDescent="0.25">
      <c r="B641" s="196" t="s">
        <v>338</v>
      </c>
      <c r="C641" s="186">
        <v>549136</v>
      </c>
      <c r="D641" s="245">
        <v>63646</v>
      </c>
    </row>
    <row r="642" spans="2:5" x14ac:dyDescent="0.25">
      <c r="B642" s="196" t="s">
        <v>339</v>
      </c>
      <c r="C642" s="186">
        <v>3898647</v>
      </c>
      <c r="D642" s="245">
        <v>3352009</v>
      </c>
    </row>
    <row r="643" spans="2:5" x14ac:dyDescent="0.25">
      <c r="B643" s="196" t="s">
        <v>335</v>
      </c>
      <c r="C643" s="186">
        <v>218891999.40000001</v>
      </c>
      <c r="D643" s="245">
        <v>133132858</v>
      </c>
    </row>
    <row r="644" spans="2:5" x14ac:dyDescent="0.25">
      <c r="B644" s="196" t="s">
        <v>336</v>
      </c>
      <c r="C644" s="186">
        <v>283662418.19</v>
      </c>
      <c r="D644" s="245">
        <v>292920491</v>
      </c>
    </row>
    <row r="645" spans="2:5" x14ac:dyDescent="0.25">
      <c r="B645" s="246" t="s">
        <v>340</v>
      </c>
      <c r="C645" s="247">
        <f>SUM(C639:C644)</f>
        <v>534625840.59000003</v>
      </c>
      <c r="D645" s="247">
        <f>SUM(D639:D644)</f>
        <v>443905604</v>
      </c>
    </row>
    <row r="646" spans="2:5" x14ac:dyDescent="0.25">
      <c r="B646" s="246" t="s">
        <v>341</v>
      </c>
      <c r="C646" s="247">
        <f>+C638+C645</f>
        <v>538943497.59000003</v>
      </c>
      <c r="D646" s="247">
        <f>+D638+D645</f>
        <v>453841689</v>
      </c>
    </row>
    <row r="647" spans="2:5" x14ac:dyDescent="0.25">
      <c r="B647" s="248"/>
      <c r="E647" s="243"/>
    </row>
    <row r="648" spans="2:5" x14ac:dyDescent="0.25">
      <c r="B648" s="248"/>
      <c r="C648" s="249"/>
      <c r="E648" s="250"/>
    </row>
    <row r="649" spans="2:5" x14ac:dyDescent="0.25">
      <c r="B649" s="248"/>
      <c r="E649" s="250"/>
    </row>
    <row r="650" spans="2:5" x14ac:dyDescent="0.25">
      <c r="B650" s="248"/>
      <c r="E650" s="243"/>
    </row>
    <row r="651" spans="2:5" x14ac:dyDescent="0.25">
      <c r="B651" s="248"/>
      <c r="E651" s="243"/>
    </row>
    <row r="652" spans="2:5" x14ac:dyDescent="0.25">
      <c r="B652" s="248"/>
      <c r="E652" s="250"/>
    </row>
    <row r="653" spans="2:5" x14ac:dyDescent="0.25">
      <c r="B653" s="248"/>
      <c r="E653" s="243"/>
    </row>
    <row r="654" spans="2:5" x14ac:dyDescent="0.25">
      <c r="B654" s="248"/>
      <c r="E654" s="243"/>
    </row>
    <row r="655" spans="2:5" x14ac:dyDescent="0.25">
      <c r="B655" s="248"/>
      <c r="E655" s="243"/>
    </row>
    <row r="656" spans="2:5" x14ac:dyDescent="0.25">
      <c r="B656" s="248"/>
      <c r="E656" s="243"/>
    </row>
    <row r="657" spans="2:5" x14ac:dyDescent="0.25">
      <c r="B657" s="248"/>
      <c r="E657" s="243"/>
    </row>
    <row r="658" spans="2:5" x14ac:dyDescent="0.25">
      <c r="B658" s="248"/>
      <c r="E658" s="243"/>
    </row>
    <row r="659" spans="2:5" x14ac:dyDescent="0.25">
      <c r="B659" s="248"/>
      <c r="E659" s="243"/>
    </row>
    <row r="660" spans="2:5" x14ac:dyDescent="0.25">
      <c r="B660" s="248"/>
      <c r="E660" s="243"/>
    </row>
    <row r="661" spans="2:5" x14ac:dyDescent="0.25">
      <c r="B661" s="248"/>
      <c r="E661" s="243"/>
    </row>
    <row r="662" spans="2:5" x14ac:dyDescent="0.25">
      <c r="B662" s="248"/>
      <c r="E662" s="243"/>
    </row>
    <row r="663" spans="2:5" x14ac:dyDescent="0.25">
      <c r="B663" s="248"/>
      <c r="E663" s="243"/>
    </row>
    <row r="664" spans="2:5" x14ac:dyDescent="0.25">
      <c r="B664" s="248"/>
      <c r="E664" s="243"/>
    </row>
    <row r="665" spans="2:5" x14ac:dyDescent="0.25">
      <c r="B665" s="248"/>
      <c r="E665" s="243"/>
    </row>
    <row r="666" spans="2:5" x14ac:dyDescent="0.25">
      <c r="B666" s="248"/>
      <c r="E666" s="243"/>
    </row>
    <row r="667" spans="2:5" x14ac:dyDescent="0.25">
      <c r="B667" s="248"/>
      <c r="E667" s="243"/>
    </row>
    <row r="668" spans="2:5" x14ac:dyDescent="0.25">
      <c r="B668" s="248"/>
      <c r="E668" s="243"/>
    </row>
    <row r="669" spans="2:5" x14ac:dyDescent="0.25">
      <c r="B669" s="248"/>
      <c r="E669" s="243"/>
    </row>
    <row r="670" spans="2:5" x14ac:dyDescent="0.25">
      <c r="B670" s="248"/>
      <c r="E670" s="243"/>
    </row>
    <row r="671" spans="2:5" x14ac:dyDescent="0.25">
      <c r="B671" s="248"/>
      <c r="E671" s="243"/>
    </row>
  </sheetData>
  <mergeCells count="140">
    <mergeCell ref="B629:E629"/>
    <mergeCell ref="B630:E630"/>
    <mergeCell ref="B603:E603"/>
    <mergeCell ref="B611:C611"/>
    <mergeCell ref="B616:E616"/>
    <mergeCell ref="B617:E617"/>
    <mergeCell ref="B618:E618"/>
    <mergeCell ref="B624:C624"/>
    <mergeCell ref="B553:E553"/>
    <mergeCell ref="B565:C565"/>
    <mergeCell ref="B570:E570"/>
    <mergeCell ref="B578:C578"/>
    <mergeCell ref="B584:E584"/>
    <mergeCell ref="B598:C598"/>
    <mergeCell ref="B484:E484"/>
    <mergeCell ref="B510:E510"/>
    <mergeCell ref="B511:E511"/>
    <mergeCell ref="B525:C525"/>
    <mergeCell ref="B540:E540"/>
    <mergeCell ref="B547:C547"/>
    <mergeCell ref="B466:C466"/>
    <mergeCell ref="B471:E471"/>
    <mergeCell ref="B472:E472"/>
    <mergeCell ref="C474:D474"/>
    <mergeCell ref="B481:C481"/>
    <mergeCell ref="B483:E483"/>
    <mergeCell ref="B443:C443"/>
    <mergeCell ref="B444:E444"/>
    <mergeCell ref="B456:E456"/>
    <mergeCell ref="B457:E457"/>
    <mergeCell ref="B458:E458"/>
    <mergeCell ref="C460:D460"/>
    <mergeCell ref="B411:E411"/>
    <mergeCell ref="B414:E414"/>
    <mergeCell ref="B415:E415"/>
    <mergeCell ref="B428:C428"/>
    <mergeCell ref="B433:E433"/>
    <mergeCell ref="B434:E434"/>
    <mergeCell ref="B387:E387"/>
    <mergeCell ref="B393:C393"/>
    <mergeCell ref="B396:E396"/>
    <mergeCell ref="B397:E397"/>
    <mergeCell ref="B398:E398"/>
    <mergeCell ref="B405:C405"/>
    <mergeCell ref="B372:E372"/>
    <mergeCell ref="B373:E373"/>
    <mergeCell ref="B374:E374"/>
    <mergeCell ref="B382:C382"/>
    <mergeCell ref="B383:E383"/>
    <mergeCell ref="B386:E386"/>
    <mergeCell ref="B238:E238"/>
    <mergeCell ref="B317:C317"/>
    <mergeCell ref="B359:E359"/>
    <mergeCell ref="B360:E360"/>
    <mergeCell ref="B367:C367"/>
    <mergeCell ref="B371:E371"/>
    <mergeCell ref="B194:E194"/>
    <mergeCell ref="B195:E195"/>
    <mergeCell ref="B214:C214"/>
    <mergeCell ref="B235:E235"/>
    <mergeCell ref="B236:E236"/>
    <mergeCell ref="B237:E237"/>
    <mergeCell ref="B163:E163"/>
    <mergeCell ref="B170:C170"/>
    <mergeCell ref="B172:E172"/>
    <mergeCell ref="B178:E178"/>
    <mergeCell ref="B179:E179"/>
    <mergeCell ref="B189:C189"/>
    <mergeCell ref="B149:E149"/>
    <mergeCell ref="B156:C156"/>
    <mergeCell ref="B158:E158"/>
    <mergeCell ref="B160:E160"/>
    <mergeCell ref="B161:E161"/>
    <mergeCell ref="B162:E162"/>
    <mergeCell ref="B135:E135"/>
    <mergeCell ref="B136:E136"/>
    <mergeCell ref="B137:E137"/>
    <mergeCell ref="B144:C144"/>
    <mergeCell ref="B147:E147"/>
    <mergeCell ref="B148:E148"/>
    <mergeCell ref="B110:E110"/>
    <mergeCell ref="B111:E111"/>
    <mergeCell ref="B112:E112"/>
    <mergeCell ref="B113:E113"/>
    <mergeCell ref="B114:E114"/>
    <mergeCell ref="B127:C127"/>
    <mergeCell ref="B101:E101"/>
    <mergeCell ref="B104:E104"/>
    <mergeCell ref="B105:E105"/>
    <mergeCell ref="B106:E106"/>
    <mergeCell ref="B107:E107"/>
    <mergeCell ref="B108:E108"/>
    <mergeCell ref="B93:E93"/>
    <mergeCell ref="B94:E94"/>
    <mergeCell ref="B95:E95"/>
    <mergeCell ref="B96:E96"/>
    <mergeCell ref="B97:E97"/>
    <mergeCell ref="B100:E100"/>
    <mergeCell ref="B87:E87"/>
    <mergeCell ref="B88:E88"/>
    <mergeCell ref="B89:E89"/>
    <mergeCell ref="B90:E90"/>
    <mergeCell ref="B91:E91"/>
    <mergeCell ref="B92:E92"/>
    <mergeCell ref="B81:E81"/>
    <mergeCell ref="B82:E82"/>
    <mergeCell ref="B83:E83"/>
    <mergeCell ref="B84:E84"/>
    <mergeCell ref="B85:E85"/>
    <mergeCell ref="B86:E86"/>
    <mergeCell ref="B72:E72"/>
    <mergeCell ref="B73:E73"/>
    <mergeCell ref="B74:E74"/>
    <mergeCell ref="B75:E75"/>
    <mergeCell ref="B77:E77"/>
    <mergeCell ref="B78:E78"/>
    <mergeCell ref="B66:E66"/>
    <mergeCell ref="B67:E67"/>
    <mergeCell ref="B68:E68"/>
    <mergeCell ref="B69:E69"/>
    <mergeCell ref="B70:E70"/>
    <mergeCell ref="B71:E71"/>
    <mergeCell ref="B62:E62"/>
    <mergeCell ref="B63:E63"/>
    <mergeCell ref="B64:E64"/>
    <mergeCell ref="B46:E46"/>
    <mergeCell ref="B47:E47"/>
    <mergeCell ref="B48:E48"/>
    <mergeCell ref="B51:E51"/>
    <mergeCell ref="B52:E52"/>
    <mergeCell ref="B54:E54"/>
    <mergeCell ref="A4:E4"/>
    <mergeCell ref="B6:E6"/>
    <mergeCell ref="B10:E10"/>
    <mergeCell ref="B12:E12"/>
    <mergeCell ref="B14:E14"/>
    <mergeCell ref="B45:E45"/>
    <mergeCell ref="B59:E59"/>
    <mergeCell ref="B60:E60"/>
    <mergeCell ref="B61:E61"/>
  </mergeCells>
  <conditionalFormatting sqref="D598:D599 D565 D525 D481 D443 D382 D317 D214:D215 D393:D394 D466 D170 D156 D428 D144:D145 D127:D133 D547:D550 D405:D410 D367:D369">
    <cfRule type="expression" priority="2" stopIfTrue="1">
      <formula>"$E$165&gt;=1,¨Aumento¨"</formula>
    </cfRule>
  </conditionalFormatting>
  <conditionalFormatting sqref="D578">
    <cfRule type="expression" priority="1" stopIfTrue="1">
      <formula>"$E$165&gt;=1,¨Aumento¨"</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2024-07-11T15:31:03Z</dcterms:created>
  <dcterms:modified xsi:type="dcterms:W3CDTF">2024-07-12T18:15:44Z</dcterms:modified>
</cp:coreProperties>
</file>