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3.xml" ContentType="application/vnd.openxmlformats-officedocument.spreadsheetml.comments+xml"/>
  <Override PartName="/xl/drawings/drawing2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amosp\Downloads\"/>
    </mc:Choice>
  </mc:AlternateContent>
  <bookViews>
    <workbookView xWindow="0" yWindow="0" windowWidth="14250" windowHeight="11910" tabRatio="817" firstSheet="4" activeTab="19"/>
  </bookViews>
  <sheets>
    <sheet name="Pres" sheetId="7" r:id="rId1"/>
    <sheet name="indce" sheetId="89" r:id="rId2"/>
    <sheet name="ajustes R" sheetId="91" r:id="rId3"/>
    <sheet name="Au" sheetId="92" r:id="rId4"/>
    <sheet name="Hoja3" sheetId="93" r:id="rId5"/>
    <sheet name="Hoja5" sheetId="94" r:id="rId6"/>
    <sheet name="Mat" sheetId="66" r:id="rId7"/>
    <sheet name="BALANZA" sheetId="2" r:id="rId8"/>
    <sheet name="BALANZA G" sheetId="27" r:id="rId9"/>
    <sheet name="DE" sheetId="65" r:id="rId10"/>
    <sheet name="Pres A" sheetId="64" r:id="rId11"/>
    <sheet name="25A" sheetId="77" r:id="rId12"/>
    <sheet name="Notas NF" sheetId="68" r:id="rId13"/>
    <sheet name="nota12" sheetId="75" r:id="rId14"/>
    <sheet name="ESF  (2)" sheetId="87" state="hidden" r:id="rId15"/>
    <sheet name="ES F " sheetId="72" r:id="rId16"/>
    <sheet name="ERF" sheetId="71" r:id="rId17"/>
    <sheet name="EFE2" sheetId="70" r:id="rId18"/>
    <sheet name="EP2" sheetId="69" r:id="rId19"/>
    <sheet name="EEP2" sheetId="73" r:id="rId20"/>
    <sheet name="A" sheetId="74" r:id="rId21"/>
    <sheet name="Hoja8" sheetId="88" r:id="rId22"/>
    <sheet name="nota10inventario" sheetId="80" state="hidden" r:id="rId23"/>
    <sheet name="Rt" sheetId="79" state="hidden" r:id="rId24"/>
    <sheet name="I" sheetId="84" state="hidden" r:id="rId25"/>
    <sheet name="G" sheetId="83" state="hidden" r:id="rId26"/>
    <sheet name="V" sheetId="85" state="hidden" r:id="rId27"/>
    <sheet name="ELAI" sheetId="78" r:id="rId28"/>
    <sheet name="IPT" sheetId="49" r:id="rId29"/>
    <sheet name="PEP" sheetId="81" r:id="rId30"/>
    <sheet name="Notas" sheetId="31" state="hidden" r:id="rId31"/>
    <sheet name="Hoja1" sheetId="32" state="hidden" r:id="rId32"/>
    <sheet name="RESULTADO" sheetId="28" state="hidden" r:id="rId33"/>
    <sheet name="EST.Ej.PREs." sheetId="67" state="hidden" r:id="rId34"/>
    <sheet name="FLUJO" sheetId="29" state="hidden" r:id="rId35"/>
    <sheet name="PATRIMONIO" sheetId="30" state="hidden" r:id="rId36"/>
    <sheet name="Rf" sheetId="33" r:id="rId37"/>
    <sheet name="m" sheetId="63" state="hidden" r:id="rId38"/>
    <sheet name="1" sheetId="34" r:id="rId39"/>
    <sheet name="2" sheetId="35" r:id="rId40"/>
    <sheet name="3" sheetId="36" r:id="rId41"/>
    <sheet name="4" sheetId="37" r:id="rId42"/>
    <sheet name="5" sheetId="38" r:id="rId43"/>
    <sheet name="6" sheetId="39" r:id="rId44"/>
    <sheet name="7" sheetId="40" r:id="rId45"/>
    <sheet name="8" sheetId="41" r:id="rId46"/>
    <sheet name="9" sheetId="42" state="hidden" r:id="rId47"/>
    <sheet name="10" sheetId="45" r:id="rId48"/>
    <sheet name="11" sheetId="44" r:id="rId49"/>
    <sheet name="12" sheetId="43" r:id="rId50"/>
    <sheet name="13" sheetId="46" state="hidden" r:id="rId51"/>
    <sheet name="14" sheetId="47" r:id="rId52"/>
    <sheet name="15" sheetId="48" state="hidden" r:id="rId53"/>
    <sheet name="16" sheetId="50" r:id="rId54"/>
    <sheet name="17" sheetId="51" r:id="rId55"/>
    <sheet name="18" sheetId="52" state="hidden" r:id="rId56"/>
    <sheet name="19" sheetId="53" r:id="rId57"/>
    <sheet name="20" sheetId="54" r:id="rId58"/>
    <sheet name="21" sheetId="55" r:id="rId59"/>
    <sheet name="22" sheetId="56" r:id="rId60"/>
    <sheet name="23" sheetId="57" r:id="rId61"/>
    <sheet name="24" sheetId="58" r:id="rId62"/>
    <sheet name="25" sheetId="59" state="hidden" r:id="rId63"/>
    <sheet name="26" sheetId="60" state="hidden" r:id="rId64"/>
    <sheet name="27" sheetId="61" state="hidden" r:id="rId65"/>
    <sheet name="28" sheetId="62" state="hidden" r:id="rId66"/>
    <sheet name="Hoja2" sheetId="90" r:id="rId67"/>
  </sheets>
  <externalReferences>
    <externalReference r:id="rId68"/>
    <externalReference r:id="rId69"/>
    <externalReference r:id="rId70"/>
    <externalReference r:id="rId71"/>
  </externalReferences>
  <definedNames>
    <definedName name="_Toc155686848" localSheetId="30">Notas!$B$69</definedName>
    <definedName name="_Toc155686848" localSheetId="12">'Notas NF'!#REF!</definedName>
    <definedName name="_Toc155686850" localSheetId="30">Notas!$B$76</definedName>
    <definedName name="_Toc155686850" localSheetId="12">'Notas NF'!#REF!</definedName>
    <definedName name="_Toc155686868" localSheetId="30">Notas!$B$149</definedName>
    <definedName name="_Toc155686868" localSheetId="12">'Notas NF'!#REF!</definedName>
    <definedName name="_Toc155686869" localSheetId="30">Notas!$B$150</definedName>
    <definedName name="_Toc155686869" localSheetId="12">'Notas NF'!#REF!</definedName>
    <definedName name="_Toc155686882" localSheetId="30">Notas!$B$190</definedName>
    <definedName name="_Toc155686882" localSheetId="12">'Notas NF'!#REF!</definedName>
    <definedName name="_Toc155686886" localSheetId="30">Notas!$B$304</definedName>
    <definedName name="_Toc155686886" localSheetId="12">'Notas NF'!$B$386</definedName>
    <definedName name="_Toc155686911" localSheetId="30">Notas!$B$347</definedName>
    <definedName name="_Toc155686911" localSheetId="12">'Notas NF'!#REF!</definedName>
    <definedName name="_Toc155686915" localSheetId="30">Notas!#REF!</definedName>
    <definedName name="_Toc155686915" localSheetId="12">'Notas NF'!#REF!</definedName>
    <definedName name="_Toc155686917" localSheetId="30">Notas!#REF!</definedName>
    <definedName name="_Toc155686917" localSheetId="12">'Notas NF'!#REF!</definedName>
    <definedName name="_Toc180760083" localSheetId="30">Notas!$B$27</definedName>
    <definedName name="_Toc180760083" localSheetId="12">'Notas NF'!#REF!</definedName>
    <definedName name="_Toc180760096" localSheetId="30">Notas!$B$75</definedName>
    <definedName name="_Toc180760096" localSheetId="12">'Notas NF'!#REF!</definedName>
    <definedName name="_Toc180760098" localSheetId="30">Notas!$B$110</definedName>
    <definedName name="_Toc180760098" localSheetId="12">'Notas NF'!#REF!</definedName>
    <definedName name="_Toc191191204" localSheetId="30">Notas!$B$21</definedName>
    <definedName name="_Toc191191204" localSheetId="12">'Notas NF'!#REF!</definedName>
    <definedName name="_Toc191191207" localSheetId="30">Notas!$B$33</definedName>
    <definedName name="_Toc191191207" localSheetId="12">'Notas NF'!#REF!</definedName>
    <definedName name="_Toc191191208" localSheetId="30">Notas!#REF!</definedName>
    <definedName name="_Toc191191208" localSheetId="12">'Notas NF'!#REF!</definedName>
    <definedName name="_Toc191191210" localSheetId="30">Notas!$B$48</definedName>
    <definedName name="_Toc191191210" localSheetId="12">'Notas NF'!#REF!</definedName>
    <definedName name="_Toc191191212" localSheetId="30">Notas!$B$55</definedName>
    <definedName name="_Toc191191212" localSheetId="12">'Notas NF'!#REF!</definedName>
    <definedName name="_Toc191191217" localSheetId="30">Notas!$B$71</definedName>
    <definedName name="_Toc191191217" localSheetId="12">'Notas NF'!#REF!</definedName>
    <definedName name="_Toc191191231" localSheetId="30">Notas!$B$128</definedName>
    <definedName name="_Toc191191231" localSheetId="12">'Notas NF'!#REF!</definedName>
    <definedName name="_Toc207181362" localSheetId="30">Notas!$B$41</definedName>
    <definedName name="_Toc207181362" localSheetId="12">'Notas NF'!#REF!</definedName>
    <definedName name="_Toc207181378" localSheetId="30">Notas!$B$96</definedName>
    <definedName name="_Toc207181378" localSheetId="12">'Notas NF'!#REF!</definedName>
    <definedName name="_Toc207181386" localSheetId="30">Notas!$B$139</definedName>
    <definedName name="_Toc207181386" localSheetId="12">'Notas NF'!#REF!</definedName>
    <definedName name="_Toc207181413" localSheetId="30">Notas!$B$317</definedName>
    <definedName name="_Toc207181413" localSheetId="12">'Notas NF'!$B$398</definedName>
    <definedName name="_Toc207181418" localSheetId="30">Notas!$B$334</definedName>
    <definedName name="_Toc207181418" localSheetId="12">'Notas NF'!$B$471</definedName>
    <definedName name="_Toc208202775" localSheetId="30">Notas!$B$4</definedName>
    <definedName name="_Toc208202775" localSheetId="12">'Notas NF'!$B$7</definedName>
    <definedName name="_Toc208202778" localSheetId="30">Notas!$B$18</definedName>
    <definedName name="_Toc208202778" localSheetId="12">'Notas NF'!#REF!</definedName>
    <definedName name="_Toc208202779" localSheetId="30">Notas!$B$23</definedName>
    <definedName name="_Toc208202779" localSheetId="12">'Notas NF'!#REF!</definedName>
    <definedName name="_Toc208202780" localSheetId="30">Notas!$B$28</definedName>
    <definedName name="_Toc208202780" localSheetId="12">'Notas NF'!#REF!</definedName>
    <definedName name="_Toc208202782" localSheetId="30">Notas!$B$35</definedName>
    <definedName name="_Toc208202782" localSheetId="12">'Notas NF'!#REF!</definedName>
    <definedName name="_Toc208202783" localSheetId="30">Notas!$B$39</definedName>
    <definedName name="_Toc208202783" localSheetId="12">'Notas NF'!#REF!</definedName>
    <definedName name="_Toc208202784" localSheetId="30">Notas!$B$43</definedName>
    <definedName name="_Toc208202784" localSheetId="12">'Notas NF'!#REF!</definedName>
    <definedName name="_Toc208202785" localSheetId="30">Notas!$B$49</definedName>
    <definedName name="_Toc208202785" localSheetId="12">'Notas NF'!#REF!</definedName>
    <definedName name="_Toc208202786" localSheetId="30">Notas!$B$53</definedName>
    <definedName name="_Toc208202786" localSheetId="12">'Notas NF'!#REF!</definedName>
    <definedName name="_Toc208202787" localSheetId="30">Notas!$B$56</definedName>
    <definedName name="_Toc208202787" localSheetId="12">'Notas NF'!#REF!</definedName>
    <definedName name="_Toc208202788" localSheetId="30">Notas!$B$59</definedName>
    <definedName name="_Toc208202788" localSheetId="12">'Notas NF'!#REF!</definedName>
    <definedName name="_Toc208202789" localSheetId="30">Notas!$B$62</definedName>
    <definedName name="_Toc208202789" localSheetId="12">'Notas NF'!#REF!</definedName>
    <definedName name="_Toc208202790" localSheetId="30">Notas!$B$64</definedName>
    <definedName name="_Toc208202790" localSheetId="12">'Notas NF'!#REF!</definedName>
    <definedName name="_Toc208202791" localSheetId="30">Notas!$B$68</definedName>
    <definedName name="_Toc208202791" localSheetId="12">'Notas NF'!#REF!</definedName>
    <definedName name="_Toc208202792" localSheetId="30">Notas!$B$72</definedName>
    <definedName name="_Toc208202792" localSheetId="12">'Notas NF'!#REF!</definedName>
    <definedName name="_Toc208202794" localSheetId="30">Notas!$B$77</definedName>
    <definedName name="_Toc208202794" localSheetId="12">'Notas NF'!#REF!</definedName>
    <definedName name="_Toc208202795" localSheetId="30">Notas!$B$79</definedName>
    <definedName name="_Toc208202795" localSheetId="12">'Notas NF'!#REF!</definedName>
    <definedName name="_Toc208202799" localSheetId="30">Notas!$B$83</definedName>
    <definedName name="_Toc208202799" localSheetId="12">'Notas NF'!#REF!</definedName>
    <definedName name="_Toc208202800" localSheetId="30">Notas!$B$97</definedName>
    <definedName name="_Toc208202800" localSheetId="12">'Notas NF'!#REF!</definedName>
    <definedName name="_Toc208202801" localSheetId="30">Notas!#REF!</definedName>
    <definedName name="_Toc208202801" localSheetId="12">'Notas NF'!#REF!</definedName>
    <definedName name="_Toc208202803" localSheetId="30">Notas!$B$113</definedName>
    <definedName name="_Toc208202803" localSheetId="12">'Notas NF'!#REF!</definedName>
    <definedName name="_Toc208202804" localSheetId="30">Notas!$B$120</definedName>
    <definedName name="_Toc208202804" localSheetId="12">'Notas NF'!#REF!</definedName>
    <definedName name="_Toc208202805" localSheetId="30">Notas!$B$125</definedName>
    <definedName name="_Toc208202805" localSheetId="12">'Notas NF'!#REF!</definedName>
    <definedName name="_Toc208202807" localSheetId="30">Notas!$B$136</definedName>
    <definedName name="_Toc208202807" localSheetId="12">'Notas NF'!#REF!</definedName>
    <definedName name="_Toc208202813" localSheetId="30">Notas!$B$152</definedName>
    <definedName name="_Toc208202813" localSheetId="12">'Notas NF'!$B$112</definedName>
    <definedName name="_Toc208202824" localSheetId="30">Notas!$B$298</definedName>
    <definedName name="_Toc208202824" localSheetId="12">'Notas NF'!$B$329</definedName>
    <definedName name="_Toc208202839" localSheetId="30">Notas!$B$345</definedName>
    <definedName name="_Toc208202839" localSheetId="12">'Notas NF'!#REF!</definedName>
    <definedName name="_Toc208202846" localSheetId="30">Notas!$B$348</definedName>
    <definedName name="_Toc208202846" localSheetId="12">'Notas NF'!#REF!</definedName>
    <definedName name="_Toc208202853" localSheetId="30">Notas!$B$367</definedName>
    <definedName name="_Toc208202853" localSheetId="12">'Notas NF'!#REF!</definedName>
    <definedName name="_Toc208202858" localSheetId="30">Notas!$B$385</definedName>
    <definedName name="_Toc208202858" localSheetId="12">'Notas NF'!#REF!</definedName>
    <definedName name="_Toc208202859" localSheetId="30">Notas!$B$406</definedName>
    <definedName name="_Toc208202859" localSheetId="12">'Notas NF'!$B$633</definedName>
    <definedName name="_Toc208202860" localSheetId="30">Notas!$B$410</definedName>
    <definedName name="_Toc208202860" localSheetId="12">'Notas NF'!$B$570</definedName>
    <definedName name="_xlnm.Print_Area" localSheetId="11">'25A'!$B$66:$L$197</definedName>
    <definedName name="_xlnm.Print_Area" localSheetId="13">nota12!$B$167:$H$190</definedName>
    <definedName name="STATUS">[1]SB!$H$12:$H$14</definedName>
  </definedNames>
  <calcPr calcId="152511"/>
</workbook>
</file>

<file path=xl/calcChain.xml><?xml version="1.0" encoding="utf-8"?>
<calcChain xmlns="http://schemas.openxmlformats.org/spreadsheetml/2006/main">
  <c r="G656" i="64" l="1"/>
  <c r="B82" i="77"/>
  <c r="B88" i="77"/>
  <c r="B73" i="77"/>
  <c r="B519" i="64"/>
  <c r="N359" i="2"/>
  <c r="O359" i="2"/>
  <c r="P359" i="2"/>
  <c r="Q359" i="2"/>
  <c r="R359" i="2"/>
  <c r="S359" i="2"/>
  <c r="T359" i="2"/>
  <c r="U359" i="2"/>
  <c r="V359" i="2"/>
  <c r="W359" i="2"/>
  <c r="X359" i="2"/>
  <c r="Y359" i="2"/>
  <c r="C165" i="27"/>
  <c r="L17" i="71"/>
  <c r="C154" i="68"/>
  <c r="E16" i="69"/>
  <c r="E19" i="69"/>
  <c r="E28" i="75"/>
  <c r="F28" i="75"/>
  <c r="G28" i="75"/>
  <c r="E317" i="75"/>
  <c r="H28" i="75"/>
  <c r="I28" i="75"/>
  <c r="C22" i="73"/>
  <c r="F19" i="2"/>
  <c r="F92" i="2"/>
  <c r="C393" i="68"/>
  <c r="E393" i="68"/>
  <c r="G648" i="64"/>
  <c r="G649" i="64"/>
  <c r="F26" i="75"/>
  <c r="U493" i="68"/>
  <c r="T493" i="68"/>
  <c r="V493" i="68"/>
  <c r="W493" i="68"/>
  <c r="S493" i="68"/>
  <c r="N304" i="2"/>
  <c r="O304" i="2"/>
  <c r="P304" i="2"/>
  <c r="Q304" i="2"/>
  <c r="R304" i="2"/>
  <c r="S304" i="2"/>
  <c r="T304" i="2"/>
  <c r="Z304" i="2" s="1"/>
  <c r="U304" i="2"/>
  <c r="V304" i="2"/>
  <c r="W304" i="2"/>
  <c r="X304" i="2"/>
  <c r="Y304" i="2"/>
  <c r="D573" i="68"/>
  <c r="C267" i="27"/>
  <c r="D445" i="68"/>
  <c r="N73" i="2"/>
  <c r="O73" i="2"/>
  <c r="P73" i="2"/>
  <c r="Q73" i="2"/>
  <c r="R73" i="2"/>
  <c r="S73" i="2"/>
  <c r="T73" i="2"/>
  <c r="U73" i="2"/>
  <c r="V73" i="2"/>
  <c r="W73" i="2"/>
  <c r="X73" i="2"/>
  <c r="Y73" i="2"/>
  <c r="C80" i="27"/>
  <c r="B80" i="27" s="1"/>
  <c r="G711" i="64"/>
  <c r="H393" i="75"/>
  <c r="BM4" i="2"/>
  <c r="D375" i="75"/>
  <c r="M378" i="75"/>
  <c r="E346" i="75"/>
  <c r="G399" i="75"/>
  <c r="G403" i="75" s="1"/>
  <c r="F399" i="75"/>
  <c r="E399" i="75"/>
  <c r="E400" i="75"/>
  <c r="F402" i="75"/>
  <c r="G402" i="75"/>
  <c r="E402" i="75"/>
  <c r="F400" i="75"/>
  <c r="C346" i="75"/>
  <c r="F394" i="75"/>
  <c r="F339" i="75"/>
  <c r="E338" i="75"/>
  <c r="G394" i="75"/>
  <c r="E394" i="75"/>
  <c r="C339" i="75"/>
  <c r="B386" i="75"/>
  <c r="B385" i="75"/>
  <c r="B383" i="75"/>
  <c r="B384" i="75"/>
  <c r="B382" i="75"/>
  <c r="F370" i="75"/>
  <c r="E370" i="75"/>
  <c r="G359" i="75"/>
  <c r="H359" i="75"/>
  <c r="G358" i="75"/>
  <c r="H358" i="75" s="1"/>
  <c r="G357" i="75"/>
  <c r="H357" i="75"/>
  <c r="F360" i="75"/>
  <c r="E360" i="75"/>
  <c r="G355" i="75"/>
  <c r="H355" i="75"/>
  <c r="D360" i="75"/>
  <c r="H354" i="75"/>
  <c r="C360" i="75"/>
  <c r="B341" i="75"/>
  <c r="E339" i="75"/>
  <c r="G520" i="64"/>
  <c r="C168" i="27"/>
  <c r="C461" i="68"/>
  <c r="F77" i="2"/>
  <c r="F93" i="2"/>
  <c r="F68" i="2"/>
  <c r="C172" i="27"/>
  <c r="C163" i="27"/>
  <c r="BE4" i="2"/>
  <c r="D154" i="68"/>
  <c r="B60" i="27"/>
  <c r="B62" i="27"/>
  <c r="E24" i="71"/>
  <c r="K394" i="68"/>
  <c r="C70" i="27"/>
  <c r="B70" i="27" s="1"/>
  <c r="C69" i="27"/>
  <c r="B69" i="27"/>
  <c r="C78" i="27"/>
  <c r="B78" i="27" s="1"/>
  <c r="C26" i="73"/>
  <c r="C27" i="73"/>
  <c r="C28" i="73"/>
  <c r="C29" i="73"/>
  <c r="C25" i="73"/>
  <c r="C24" i="73"/>
  <c r="D609" i="68"/>
  <c r="G609" i="68" s="1"/>
  <c r="D17" i="56"/>
  <c r="D589" i="68"/>
  <c r="S506" i="68"/>
  <c r="T506" i="68" s="1"/>
  <c r="E497" i="68"/>
  <c r="C21" i="73"/>
  <c r="C20" i="73"/>
  <c r="E20" i="73" s="1"/>
  <c r="B323" i="64"/>
  <c r="N55" i="87"/>
  <c r="B135" i="77"/>
  <c r="B136" i="77"/>
  <c r="B137" i="77"/>
  <c r="B138" i="77"/>
  <c r="B139" i="77"/>
  <c r="B140" i="77"/>
  <c r="B141" i="77"/>
  <c r="B142" i="77"/>
  <c r="B143" i="77"/>
  <c r="B144" i="77"/>
  <c r="B145" i="77"/>
  <c r="B146" i="77"/>
  <c r="B147" i="77"/>
  <c r="B148" i="77"/>
  <c r="B149" i="77"/>
  <c r="B150" i="77"/>
  <c r="B151" i="77"/>
  <c r="B152" i="77"/>
  <c r="B153" i="77"/>
  <c r="B154" i="77"/>
  <c r="B155" i="77"/>
  <c r="B156" i="77"/>
  <c r="B157" i="77"/>
  <c r="B158" i="77"/>
  <c r="B159" i="77"/>
  <c r="B160" i="77"/>
  <c r="B161" i="77"/>
  <c r="B162" i="77"/>
  <c r="B163" i="77"/>
  <c r="B164" i="77"/>
  <c r="B165" i="77"/>
  <c r="B166" i="77"/>
  <c r="B167" i="77"/>
  <c r="B168" i="77"/>
  <c r="B169" i="77"/>
  <c r="B134" i="77"/>
  <c r="B124" i="77"/>
  <c r="B94" i="77"/>
  <c r="B95" i="77"/>
  <c r="B96" i="77"/>
  <c r="B97" i="77"/>
  <c r="B98" i="77"/>
  <c r="B99" i="77"/>
  <c r="B100" i="77"/>
  <c r="B101" i="77"/>
  <c r="B102" i="77"/>
  <c r="B103" i="77"/>
  <c r="B104" i="77"/>
  <c r="B105" i="77"/>
  <c r="B106" i="77"/>
  <c r="B107" i="77"/>
  <c r="B108" i="77"/>
  <c r="B109" i="77"/>
  <c r="B110" i="77"/>
  <c r="B111" i="77"/>
  <c r="B112" i="77"/>
  <c r="B113" i="77"/>
  <c r="B114" i="77"/>
  <c r="B115" i="77"/>
  <c r="B116" i="77"/>
  <c r="B117" i="77"/>
  <c r="B118" i="77"/>
  <c r="B119" i="77"/>
  <c r="B120" i="77"/>
  <c r="B121" i="77"/>
  <c r="B122" i="77"/>
  <c r="B123" i="77"/>
  <c r="B93" i="77"/>
  <c r="D43" i="65"/>
  <c r="B69" i="77"/>
  <c r="B70" i="77"/>
  <c r="B71" i="77"/>
  <c r="B72" i="77"/>
  <c r="B74" i="77"/>
  <c r="B75" i="77"/>
  <c r="B76" i="77"/>
  <c r="B77" i="77"/>
  <c r="B78" i="77"/>
  <c r="B79" i="77"/>
  <c r="B80" i="77"/>
  <c r="B81" i="77"/>
  <c r="B83" i="77"/>
  <c r="B84" i="77"/>
  <c r="B85" i="77"/>
  <c r="B86" i="77"/>
  <c r="B87" i="77"/>
  <c r="H314" i="75"/>
  <c r="E331" i="75"/>
  <c r="D331" i="75"/>
  <c r="F331" i="75" s="1"/>
  <c r="E330" i="75"/>
  <c r="D330" i="75"/>
  <c r="F330" i="75"/>
  <c r="E329" i="75"/>
  <c r="D329" i="75"/>
  <c r="F329" i="75"/>
  <c r="E328" i="75"/>
  <c r="D328" i="75"/>
  <c r="F328" i="75" s="1"/>
  <c r="E327" i="75"/>
  <c r="D327" i="75"/>
  <c r="F327" i="75" s="1"/>
  <c r="E326" i="75"/>
  <c r="D326" i="75"/>
  <c r="F326" i="75"/>
  <c r="E325" i="75"/>
  <c r="D325" i="75"/>
  <c r="F325" i="75"/>
  <c r="E324" i="75"/>
  <c r="D324" i="75"/>
  <c r="F324" i="75" s="1"/>
  <c r="F323" i="75"/>
  <c r="E323" i="75"/>
  <c r="D323" i="75"/>
  <c r="E305" i="75"/>
  <c r="E304" i="75"/>
  <c r="E303" i="75"/>
  <c r="E302" i="75"/>
  <c r="E301" i="75"/>
  <c r="E300" i="75"/>
  <c r="E299" i="75"/>
  <c r="E298" i="75"/>
  <c r="F297" i="75"/>
  <c r="E297" i="75"/>
  <c r="D297" i="75"/>
  <c r="E289" i="75"/>
  <c r="C289" i="75"/>
  <c r="D277" i="75"/>
  <c r="E282" i="75"/>
  <c r="E277" i="75"/>
  <c r="C277" i="75"/>
  <c r="C282" i="75"/>
  <c r="G609" i="64"/>
  <c r="C652" i="68"/>
  <c r="C655" i="68" s="1"/>
  <c r="B284" i="75"/>
  <c r="E35" i="91"/>
  <c r="D29" i="91"/>
  <c r="C29" i="91"/>
  <c r="B29" i="91"/>
  <c r="D27" i="91"/>
  <c r="C27" i="91"/>
  <c r="B27" i="91"/>
  <c r="E31" i="91"/>
  <c r="E32" i="91"/>
  <c r="E33" i="91"/>
  <c r="E34" i="91"/>
  <c r="E30" i="91"/>
  <c r="E37" i="91" s="1"/>
  <c r="C30" i="91"/>
  <c r="C31" i="91"/>
  <c r="C32" i="91"/>
  <c r="C33" i="91"/>
  <c r="C34" i="91"/>
  <c r="B31" i="91"/>
  <c r="B32" i="91"/>
  <c r="B33" i="91"/>
  <c r="B34" i="91"/>
  <c r="B30" i="91"/>
  <c r="D28" i="91"/>
  <c r="C26" i="91"/>
  <c r="C28" i="91"/>
  <c r="B28" i="91"/>
  <c r="D26" i="91"/>
  <c r="D37" i="91"/>
  <c r="E38" i="91" s="1"/>
  <c r="B26" i="91"/>
  <c r="N358" i="2"/>
  <c r="O358" i="2"/>
  <c r="P358" i="2"/>
  <c r="Q358" i="2"/>
  <c r="R358" i="2"/>
  <c r="S358" i="2"/>
  <c r="T358" i="2"/>
  <c r="U358" i="2"/>
  <c r="V358" i="2"/>
  <c r="W358" i="2"/>
  <c r="X358" i="2"/>
  <c r="Y358" i="2"/>
  <c r="C76" i="27"/>
  <c r="B76" i="27"/>
  <c r="A3" i="78"/>
  <c r="A4" i="79" s="1"/>
  <c r="D606" i="68"/>
  <c r="D11" i="55"/>
  <c r="C211" i="27"/>
  <c r="C155" i="27"/>
  <c r="C157" i="27"/>
  <c r="B163" i="68"/>
  <c r="G591" i="64"/>
  <c r="C226" i="27"/>
  <c r="C75" i="27"/>
  <c r="B75" i="27"/>
  <c r="V501" i="68"/>
  <c r="U501" i="68"/>
  <c r="T501" i="68"/>
  <c r="S501" i="68"/>
  <c r="C38" i="65"/>
  <c r="D576" i="68"/>
  <c r="D575" i="68"/>
  <c r="D15" i="56"/>
  <c r="D571" i="68"/>
  <c r="D10" i="56"/>
  <c r="D572" i="68"/>
  <c r="D11" i="56"/>
  <c r="D13" i="56"/>
  <c r="D574" i="68"/>
  <c r="D14" i="56"/>
  <c r="Q315" i="64"/>
  <c r="D91" i="90"/>
  <c r="D85" i="90"/>
  <c r="D89" i="90"/>
  <c r="D88" i="90"/>
  <c r="D87" i="90"/>
  <c r="D86" i="90"/>
  <c r="D84" i="90"/>
  <c r="D81" i="90"/>
  <c r="D80" i="90"/>
  <c r="D77" i="90"/>
  <c r="D76" i="90"/>
  <c r="D75" i="90"/>
  <c r="D73" i="90"/>
  <c r="D63" i="90"/>
  <c r="D62" i="90"/>
  <c r="D55" i="90"/>
  <c r="D59" i="90"/>
  <c r="D58" i="90"/>
  <c r="D56" i="90"/>
  <c r="D51" i="90"/>
  <c r="D33" i="90"/>
  <c r="D19" i="90"/>
  <c r="D61" i="90"/>
  <c r="D49" i="90"/>
  <c r="D18" i="90"/>
  <c r="D480" i="68"/>
  <c r="D271" i="75"/>
  <c r="B1" i="62"/>
  <c r="J6" i="62"/>
  <c r="J9" i="62"/>
  <c r="B1" i="61"/>
  <c r="B2" i="61"/>
  <c r="J8" i="61"/>
  <c r="D12" i="61"/>
  <c r="E12" i="61"/>
  <c r="F12" i="61"/>
  <c r="G12" i="61"/>
  <c r="H12" i="61"/>
  <c r="J12" i="61"/>
  <c r="K12" i="61"/>
  <c r="C13" i="61"/>
  <c r="D13" i="61"/>
  <c r="E13" i="61"/>
  <c r="F13" i="61"/>
  <c r="G13" i="61"/>
  <c r="H13" i="61"/>
  <c r="J13" i="61"/>
  <c r="M12" i="61" s="1"/>
  <c r="C14" i="61"/>
  <c r="D18" i="61"/>
  <c r="E18" i="61"/>
  <c r="F18" i="61"/>
  <c r="G18" i="61"/>
  <c r="H18" i="61"/>
  <c r="J18" i="61"/>
  <c r="K18" i="61"/>
  <c r="C19" i="61"/>
  <c r="D19" i="61"/>
  <c r="E19" i="61"/>
  <c r="F19" i="61"/>
  <c r="G19" i="61"/>
  <c r="H19" i="61"/>
  <c r="J19" i="61"/>
  <c r="M18" i="61"/>
  <c r="C20" i="61"/>
  <c r="D24" i="61"/>
  <c r="E24" i="61"/>
  <c r="F24" i="61"/>
  <c r="G24" i="61"/>
  <c r="H24" i="61"/>
  <c r="J24" i="61"/>
  <c r="K24" i="61"/>
  <c r="C25" i="61"/>
  <c r="D25" i="61"/>
  <c r="E25" i="61"/>
  <c r="F25" i="61"/>
  <c r="G25" i="61"/>
  <c r="H25" i="61"/>
  <c r="J25" i="61"/>
  <c r="M24" i="61"/>
  <c r="C26" i="61"/>
  <c r="D30" i="61"/>
  <c r="E30" i="61"/>
  <c r="F30" i="61"/>
  <c r="G30" i="61"/>
  <c r="H30" i="61"/>
  <c r="J30" i="61"/>
  <c r="K30" i="61"/>
  <c r="C31" i="61"/>
  <c r="D31" i="61"/>
  <c r="E31" i="61"/>
  <c r="F31" i="61"/>
  <c r="G31" i="61"/>
  <c r="H31" i="61"/>
  <c r="J31" i="61"/>
  <c r="M30" i="61" s="1"/>
  <c r="C32" i="61"/>
  <c r="D36" i="61"/>
  <c r="E36" i="61"/>
  <c r="F36" i="61"/>
  <c r="G36" i="61"/>
  <c r="H36" i="61"/>
  <c r="K36" i="61"/>
  <c r="C37" i="61"/>
  <c r="D37" i="61"/>
  <c r="F37" i="61"/>
  <c r="G37" i="61"/>
  <c r="H37" i="61"/>
  <c r="J37" i="61"/>
  <c r="C38" i="61"/>
  <c r="D42" i="61"/>
  <c r="E42" i="61"/>
  <c r="F42" i="61"/>
  <c r="G42" i="61"/>
  <c r="H42" i="61"/>
  <c r="J42" i="61"/>
  <c r="M42" i="61" s="1"/>
  <c r="K42" i="61"/>
  <c r="C43" i="61"/>
  <c r="D43" i="61"/>
  <c r="E43" i="61"/>
  <c r="F43" i="61"/>
  <c r="G43" i="61"/>
  <c r="H43" i="61"/>
  <c r="J43" i="61"/>
  <c r="C44" i="61"/>
  <c r="D48" i="61"/>
  <c r="E48" i="61"/>
  <c r="F48" i="61"/>
  <c r="G48" i="61"/>
  <c r="H48" i="61"/>
  <c r="J48" i="61"/>
  <c r="K48" i="61"/>
  <c r="C49" i="61"/>
  <c r="D49" i="61"/>
  <c r="E49" i="61"/>
  <c r="F49" i="61"/>
  <c r="G49" i="61"/>
  <c r="H49" i="61"/>
  <c r="J49" i="61"/>
  <c r="C50" i="61"/>
  <c r="D54" i="61"/>
  <c r="E54" i="61"/>
  <c r="F54" i="61"/>
  <c r="G54" i="61"/>
  <c r="H54" i="61"/>
  <c r="J54" i="61"/>
  <c r="K54" i="61"/>
  <c r="C55" i="61"/>
  <c r="D55" i="61"/>
  <c r="E55" i="61"/>
  <c r="F55" i="61"/>
  <c r="G55" i="61"/>
  <c r="H55" i="61"/>
  <c r="J55" i="61"/>
  <c r="C56" i="61"/>
  <c r="D60" i="61"/>
  <c r="E60" i="61"/>
  <c r="F60" i="61"/>
  <c r="G60" i="61"/>
  <c r="H60" i="61"/>
  <c r="J60" i="61"/>
  <c r="K60" i="61"/>
  <c r="C61" i="61"/>
  <c r="D61" i="61"/>
  <c r="E61" i="61"/>
  <c r="F61" i="61"/>
  <c r="G61" i="61"/>
  <c r="H61" i="61"/>
  <c r="J61" i="61"/>
  <c r="C62" i="61"/>
  <c r="D66" i="61"/>
  <c r="E66" i="61"/>
  <c r="F66" i="61"/>
  <c r="G66" i="61"/>
  <c r="H66" i="61"/>
  <c r="J66" i="61"/>
  <c r="K66" i="61"/>
  <c r="C67" i="61"/>
  <c r="D67" i="61"/>
  <c r="E67" i="61"/>
  <c r="F67" i="61"/>
  <c r="G67" i="61"/>
  <c r="H67" i="61"/>
  <c r="J67" i="61"/>
  <c r="M66" i="61" s="1"/>
  <c r="C68" i="61"/>
  <c r="D72" i="61"/>
  <c r="E72" i="61"/>
  <c r="F72" i="61"/>
  <c r="G72" i="61"/>
  <c r="H72" i="61"/>
  <c r="J72" i="61"/>
  <c r="K72" i="61"/>
  <c r="C73" i="61"/>
  <c r="D73" i="61"/>
  <c r="E73" i="61"/>
  <c r="F73" i="61"/>
  <c r="G73" i="61"/>
  <c r="H73" i="61"/>
  <c r="J73" i="61"/>
  <c r="C74" i="61"/>
  <c r="D78" i="61"/>
  <c r="E78" i="61"/>
  <c r="F78" i="61"/>
  <c r="G78" i="61"/>
  <c r="H78" i="61"/>
  <c r="J78" i="61"/>
  <c r="K78" i="61"/>
  <c r="C79" i="61"/>
  <c r="D79" i="61"/>
  <c r="E79" i="61"/>
  <c r="F79" i="61"/>
  <c r="G79" i="61"/>
  <c r="H79" i="61"/>
  <c r="J79" i="61"/>
  <c r="C80" i="61"/>
  <c r="D84" i="61"/>
  <c r="E84" i="61"/>
  <c r="F84" i="61"/>
  <c r="G84" i="61"/>
  <c r="H84" i="61"/>
  <c r="J84" i="61"/>
  <c r="K84" i="61"/>
  <c r="C85" i="61"/>
  <c r="D85" i="61"/>
  <c r="E85" i="61"/>
  <c r="F85" i="61"/>
  <c r="G85" i="61"/>
  <c r="H85" i="61"/>
  <c r="J85" i="61"/>
  <c r="C86" i="61"/>
  <c r="D90" i="61"/>
  <c r="E90" i="61"/>
  <c r="F90" i="61"/>
  <c r="G90" i="61"/>
  <c r="H90" i="61"/>
  <c r="J90" i="61"/>
  <c r="K90" i="61"/>
  <c r="C91" i="61"/>
  <c r="D91" i="61"/>
  <c r="E91" i="61"/>
  <c r="F91" i="61"/>
  <c r="G91" i="61"/>
  <c r="H91" i="61"/>
  <c r="J91" i="61"/>
  <c r="M90" i="61" s="1"/>
  <c r="C92" i="61"/>
  <c r="D96" i="61"/>
  <c r="E96" i="61"/>
  <c r="F96" i="61"/>
  <c r="G96" i="61"/>
  <c r="H96" i="61"/>
  <c r="J96" i="61"/>
  <c r="K96" i="61"/>
  <c r="C97" i="61"/>
  <c r="D97" i="61"/>
  <c r="E97" i="61"/>
  <c r="F97" i="61"/>
  <c r="G97" i="61"/>
  <c r="H97" i="61"/>
  <c r="J97" i="61"/>
  <c r="C98" i="61"/>
  <c r="D102" i="61"/>
  <c r="E102" i="61"/>
  <c r="F102" i="61"/>
  <c r="G102" i="61"/>
  <c r="H102" i="61"/>
  <c r="J102" i="61"/>
  <c r="K102" i="61"/>
  <c r="C103" i="61"/>
  <c r="D103" i="61"/>
  <c r="E103" i="61"/>
  <c r="F103" i="61"/>
  <c r="G103" i="61"/>
  <c r="H103" i="61"/>
  <c r="J103" i="61"/>
  <c r="C104" i="61"/>
  <c r="D108" i="61"/>
  <c r="E108" i="61"/>
  <c r="F108" i="61"/>
  <c r="G108" i="61"/>
  <c r="H108" i="61"/>
  <c r="J108" i="61"/>
  <c r="K108" i="61"/>
  <c r="C109" i="61"/>
  <c r="D109" i="61"/>
  <c r="E109" i="61"/>
  <c r="F109" i="61"/>
  <c r="G109" i="61"/>
  <c r="H109" i="61"/>
  <c r="J109" i="61"/>
  <c r="C110" i="61"/>
  <c r="D114" i="61"/>
  <c r="E114" i="61"/>
  <c r="F114" i="61"/>
  <c r="G114" i="61"/>
  <c r="H114" i="61"/>
  <c r="J114" i="61"/>
  <c r="K114" i="61"/>
  <c r="M115" i="61" s="1"/>
  <c r="C115" i="61"/>
  <c r="D115" i="61"/>
  <c r="E115" i="61"/>
  <c r="F115" i="61"/>
  <c r="G115" i="61"/>
  <c r="H115" i="61"/>
  <c r="J115" i="61"/>
  <c r="M114" i="61"/>
  <c r="C116" i="61"/>
  <c r="M118" i="61"/>
  <c r="M119" i="61"/>
  <c r="D120" i="61"/>
  <c r="E120" i="61"/>
  <c r="F120" i="61"/>
  <c r="G120" i="61"/>
  <c r="H120" i="61"/>
  <c r="J120" i="61"/>
  <c r="K120" i="61"/>
  <c r="C121" i="61"/>
  <c r="D121" i="61"/>
  <c r="E121" i="61"/>
  <c r="F121" i="61"/>
  <c r="G121" i="61"/>
  <c r="H121" i="61"/>
  <c r="J121" i="61"/>
  <c r="M120" i="61" s="1"/>
  <c r="C122" i="61"/>
  <c r="B1" i="60"/>
  <c r="B2" i="60"/>
  <c r="J8" i="60"/>
  <c r="D12" i="60"/>
  <c r="E12" i="60"/>
  <c r="J12" i="60"/>
  <c r="M12" i="60" s="1"/>
  <c r="K12" i="60"/>
  <c r="D13" i="60"/>
  <c r="E13" i="60"/>
  <c r="J13" i="60"/>
  <c r="C14" i="60"/>
  <c r="D18" i="60"/>
  <c r="E18" i="60"/>
  <c r="F18" i="60"/>
  <c r="G18" i="60"/>
  <c r="H18" i="60"/>
  <c r="J18" i="60"/>
  <c r="M18" i="60" s="1"/>
  <c r="K18" i="60"/>
  <c r="D19" i="60"/>
  <c r="E19" i="60"/>
  <c r="J19" i="60"/>
  <c r="C20" i="60"/>
  <c r="D24" i="60"/>
  <c r="E24" i="60"/>
  <c r="F24" i="60"/>
  <c r="G24" i="60"/>
  <c r="H24" i="60"/>
  <c r="J24" i="60"/>
  <c r="M24" i="60" s="1"/>
  <c r="K24" i="60"/>
  <c r="D25" i="60"/>
  <c r="E25" i="60"/>
  <c r="J25" i="60"/>
  <c r="C26" i="60"/>
  <c r="D30" i="60"/>
  <c r="E30" i="60"/>
  <c r="F30" i="60"/>
  <c r="G30" i="60"/>
  <c r="H30" i="60"/>
  <c r="J30" i="60"/>
  <c r="M30" i="60" s="1"/>
  <c r="K30" i="60"/>
  <c r="D31" i="60"/>
  <c r="E31" i="60"/>
  <c r="F31" i="60"/>
  <c r="G31" i="60"/>
  <c r="H31" i="60"/>
  <c r="J31" i="60"/>
  <c r="C32" i="60"/>
  <c r="D36" i="60"/>
  <c r="E36" i="60"/>
  <c r="F36" i="60"/>
  <c r="G36" i="60"/>
  <c r="H36" i="60"/>
  <c r="J36" i="60"/>
  <c r="M36" i="60" s="1"/>
  <c r="K36" i="60"/>
  <c r="D37" i="60"/>
  <c r="E37" i="60"/>
  <c r="F37" i="60"/>
  <c r="G37" i="60"/>
  <c r="H37" i="60"/>
  <c r="J37" i="60"/>
  <c r="C38" i="60"/>
  <c r="D42" i="60"/>
  <c r="E42" i="60"/>
  <c r="F42" i="60"/>
  <c r="G42" i="60"/>
  <c r="H42" i="60"/>
  <c r="J42" i="60"/>
  <c r="M42" i="60"/>
  <c r="K42" i="60"/>
  <c r="D43" i="60"/>
  <c r="E43" i="60"/>
  <c r="F43" i="60"/>
  <c r="G43" i="60"/>
  <c r="H43" i="60"/>
  <c r="J43" i="60"/>
  <c r="C44" i="60"/>
  <c r="D48" i="60"/>
  <c r="E48" i="60"/>
  <c r="F48" i="60"/>
  <c r="G48" i="60"/>
  <c r="H48" i="60"/>
  <c r="J48" i="60"/>
  <c r="M48" i="60"/>
  <c r="K48" i="60"/>
  <c r="D49" i="60"/>
  <c r="E49" i="60"/>
  <c r="F49" i="60"/>
  <c r="G49" i="60"/>
  <c r="H49" i="60"/>
  <c r="J49" i="60"/>
  <c r="C50" i="60"/>
  <c r="D54" i="60"/>
  <c r="E54" i="60"/>
  <c r="F54" i="60"/>
  <c r="G54" i="60"/>
  <c r="H54" i="60"/>
  <c r="J54" i="60"/>
  <c r="K54" i="60"/>
  <c r="C55" i="60"/>
  <c r="D55" i="60"/>
  <c r="E55" i="60"/>
  <c r="F55" i="60"/>
  <c r="G55" i="60"/>
  <c r="H55" i="60"/>
  <c r="J55" i="60"/>
  <c r="C56" i="60"/>
  <c r="D60" i="60"/>
  <c r="E60" i="60"/>
  <c r="F60" i="60"/>
  <c r="G60" i="60"/>
  <c r="H60" i="60"/>
  <c r="J60" i="60"/>
  <c r="M60" i="60" s="1"/>
  <c r="K60" i="60"/>
  <c r="C61" i="60"/>
  <c r="D61" i="60"/>
  <c r="E61" i="60"/>
  <c r="F61" i="60"/>
  <c r="G61" i="60"/>
  <c r="H61" i="60"/>
  <c r="J61" i="60"/>
  <c r="C62" i="60"/>
  <c r="D66" i="60"/>
  <c r="E66" i="60"/>
  <c r="F66" i="60"/>
  <c r="G66" i="60"/>
  <c r="H66" i="60"/>
  <c r="J66" i="60"/>
  <c r="K66" i="60"/>
  <c r="C67" i="60"/>
  <c r="D67" i="60"/>
  <c r="E67" i="60"/>
  <c r="F67" i="60"/>
  <c r="G67" i="60"/>
  <c r="H67" i="60"/>
  <c r="J67" i="60"/>
  <c r="C68" i="60"/>
  <c r="D72" i="60"/>
  <c r="E72" i="60"/>
  <c r="F72" i="60"/>
  <c r="G72" i="60"/>
  <c r="H72" i="60"/>
  <c r="J72" i="60"/>
  <c r="K72" i="60"/>
  <c r="C73" i="60"/>
  <c r="D73" i="60"/>
  <c r="E73" i="60"/>
  <c r="F73" i="60"/>
  <c r="G73" i="60"/>
  <c r="H73" i="60"/>
  <c r="J73" i="60"/>
  <c r="C74" i="60"/>
  <c r="D78" i="60"/>
  <c r="E78" i="60"/>
  <c r="F78" i="60"/>
  <c r="G78" i="60"/>
  <c r="H78" i="60"/>
  <c r="J78" i="60"/>
  <c r="K78" i="60"/>
  <c r="C79" i="60"/>
  <c r="D79" i="60"/>
  <c r="E79" i="60"/>
  <c r="F79" i="60"/>
  <c r="G79" i="60"/>
  <c r="H79" i="60"/>
  <c r="J79" i="60"/>
  <c r="M78" i="60"/>
  <c r="C80" i="60"/>
  <c r="D84" i="60"/>
  <c r="E84" i="60"/>
  <c r="F84" i="60"/>
  <c r="G84" i="60"/>
  <c r="H84" i="60"/>
  <c r="J84" i="60"/>
  <c r="K84" i="60"/>
  <c r="C85" i="60"/>
  <c r="D85" i="60"/>
  <c r="E85" i="60"/>
  <c r="F85" i="60"/>
  <c r="G85" i="60"/>
  <c r="H85" i="60"/>
  <c r="J85" i="60"/>
  <c r="C86" i="60"/>
  <c r="D90" i="60"/>
  <c r="E90" i="60"/>
  <c r="F90" i="60"/>
  <c r="G90" i="60"/>
  <c r="H90" i="60"/>
  <c r="J90" i="60"/>
  <c r="K90" i="60"/>
  <c r="C91" i="60"/>
  <c r="D91" i="60"/>
  <c r="E91" i="60"/>
  <c r="F91" i="60"/>
  <c r="G91" i="60"/>
  <c r="H91" i="60"/>
  <c r="J91" i="60"/>
  <c r="C92" i="60"/>
  <c r="D96" i="60"/>
  <c r="E96" i="60"/>
  <c r="F96" i="60"/>
  <c r="G96" i="60"/>
  <c r="H96" i="60"/>
  <c r="J96" i="60"/>
  <c r="K96" i="60"/>
  <c r="C97" i="60"/>
  <c r="D97" i="60"/>
  <c r="E97" i="60"/>
  <c r="F97" i="60"/>
  <c r="G97" i="60"/>
  <c r="H97" i="60"/>
  <c r="J97" i="60"/>
  <c r="C98" i="60"/>
  <c r="D102" i="60"/>
  <c r="E102" i="60"/>
  <c r="F102" i="60"/>
  <c r="G102" i="60"/>
  <c r="H102" i="60"/>
  <c r="J102" i="60"/>
  <c r="K102" i="60"/>
  <c r="C103" i="60"/>
  <c r="D103" i="60"/>
  <c r="E103" i="60"/>
  <c r="F103" i="60"/>
  <c r="G103" i="60"/>
  <c r="H103" i="60"/>
  <c r="J103" i="60"/>
  <c r="C104" i="60"/>
  <c r="D108" i="60"/>
  <c r="E108" i="60"/>
  <c r="F108" i="60"/>
  <c r="G108" i="60"/>
  <c r="H108" i="60"/>
  <c r="J108" i="60"/>
  <c r="K108" i="60"/>
  <c r="C109" i="60"/>
  <c r="D109" i="60"/>
  <c r="E109" i="60"/>
  <c r="F109" i="60"/>
  <c r="G109" i="60"/>
  <c r="H109" i="60"/>
  <c r="J109" i="60"/>
  <c r="C110" i="60"/>
  <c r="D114" i="60"/>
  <c r="E114" i="60"/>
  <c r="F114" i="60"/>
  <c r="G114" i="60"/>
  <c r="H114" i="60"/>
  <c r="J114" i="60"/>
  <c r="K114" i="60"/>
  <c r="C115" i="60"/>
  <c r="D115" i="60"/>
  <c r="E115" i="60"/>
  <c r="F115" i="60"/>
  <c r="G115" i="60"/>
  <c r="H115" i="60"/>
  <c r="J115" i="60"/>
  <c r="C116" i="60"/>
  <c r="D120" i="60"/>
  <c r="E120" i="60"/>
  <c r="F120" i="60"/>
  <c r="G120" i="60"/>
  <c r="H120" i="60"/>
  <c r="J120" i="60"/>
  <c r="K120" i="60"/>
  <c r="C121" i="60"/>
  <c r="D121" i="60"/>
  <c r="E121" i="60"/>
  <c r="F121" i="60"/>
  <c r="G121" i="60"/>
  <c r="H121" i="60"/>
  <c r="J121" i="60"/>
  <c r="C122" i="60"/>
  <c r="B1" i="58"/>
  <c r="O1" i="58"/>
  <c r="B2" i="58"/>
  <c r="F10" i="58"/>
  <c r="D35" i="58"/>
  <c r="D43" i="58"/>
  <c r="C11" i="58"/>
  <c r="C22" i="58" s="1"/>
  <c r="B12" i="58"/>
  <c r="B24" i="58"/>
  <c r="B13" i="58"/>
  <c r="B25" i="58" s="1"/>
  <c r="F13" i="58"/>
  <c r="C25" i="58"/>
  <c r="P26" i="58"/>
  <c r="L36" i="58"/>
  <c r="C43" i="58"/>
  <c r="L44" i="58"/>
  <c r="B1" i="57"/>
  <c r="N1" i="57"/>
  <c r="B2" i="57"/>
  <c r="F8" i="57"/>
  <c r="D30" i="57"/>
  <c r="C9" i="57"/>
  <c r="C18" i="57"/>
  <c r="B10" i="57"/>
  <c r="B20" i="57"/>
  <c r="L31" i="57"/>
  <c r="K121" i="60"/>
  <c r="M121" i="60"/>
  <c r="C38" i="57"/>
  <c r="L39" i="57"/>
  <c r="K121" i="61"/>
  <c r="B1" i="56"/>
  <c r="N1" i="56"/>
  <c r="B2" i="56"/>
  <c r="F8" i="56"/>
  <c r="D44" i="56"/>
  <c r="C9" i="56"/>
  <c r="C25" i="56" s="1"/>
  <c r="B10" i="56"/>
  <c r="B27" i="56"/>
  <c r="B11" i="56"/>
  <c r="B28" i="56" s="1"/>
  <c r="E12" i="56"/>
  <c r="F12" i="56"/>
  <c r="B13" i="56"/>
  <c r="B30" i="56" s="1"/>
  <c r="B14" i="56"/>
  <c r="B31" i="56"/>
  <c r="B15" i="56"/>
  <c r="B32" i="56" s="1"/>
  <c r="B16" i="56"/>
  <c r="B33" i="56"/>
  <c r="B17" i="56"/>
  <c r="B34" i="56" s="1"/>
  <c r="L45" i="56"/>
  <c r="K115" i="60"/>
  <c r="C52" i="56"/>
  <c r="L53" i="56"/>
  <c r="K115" i="61"/>
  <c r="B1" i="55"/>
  <c r="N1" i="55"/>
  <c r="B2" i="55"/>
  <c r="F8" i="55"/>
  <c r="D44" i="55"/>
  <c r="C108" i="60" s="1"/>
  <c r="B9" i="55"/>
  <c r="C9" i="55"/>
  <c r="C25" i="55"/>
  <c r="B10" i="55"/>
  <c r="B27" i="55"/>
  <c r="B11" i="55"/>
  <c r="B28" i="55"/>
  <c r="B12" i="55"/>
  <c r="B29" i="55"/>
  <c r="B13" i="55"/>
  <c r="B30" i="55"/>
  <c r="B14" i="55"/>
  <c r="B31" i="55"/>
  <c r="B15" i="55"/>
  <c r="B32" i="55"/>
  <c r="B16" i="55"/>
  <c r="B33" i="55" s="1"/>
  <c r="B17" i="55"/>
  <c r="B34" i="55"/>
  <c r="M38" i="55"/>
  <c r="L45" i="55"/>
  <c r="K109" i="60"/>
  <c r="C52" i="55"/>
  <c r="L53" i="55"/>
  <c r="K109" i="61" s="1"/>
  <c r="M109" i="61" s="1"/>
  <c r="B1" i="54"/>
  <c r="M1" i="54"/>
  <c r="B2" i="54"/>
  <c r="F10" i="54"/>
  <c r="D46" i="54"/>
  <c r="C102" i="60" s="1"/>
  <c r="C11" i="54"/>
  <c r="C29" i="54"/>
  <c r="B12" i="54"/>
  <c r="B31" i="54" s="1"/>
  <c r="B13" i="54"/>
  <c r="B32" i="54"/>
  <c r="B14" i="54"/>
  <c r="B33" i="54" s="1"/>
  <c r="B15" i="54"/>
  <c r="B34" i="54"/>
  <c r="B16" i="54"/>
  <c r="B35" i="54" s="1"/>
  <c r="B17" i="54"/>
  <c r="B36" i="54"/>
  <c r="B18" i="54"/>
  <c r="B19" i="54"/>
  <c r="B20" i="54"/>
  <c r="B37" i="54"/>
  <c r="L47" i="54"/>
  <c r="K103" i="60" s="1"/>
  <c r="C54" i="54"/>
  <c r="L55" i="54"/>
  <c r="K103" i="61"/>
  <c r="M103" i="61" s="1"/>
  <c r="B1" i="53"/>
  <c r="N1" i="53"/>
  <c r="B2" i="53"/>
  <c r="F9" i="53"/>
  <c r="D38" i="53"/>
  <c r="C96" i="60"/>
  <c r="C11" i="53"/>
  <c r="B12" i="53"/>
  <c r="B25" i="53" s="1"/>
  <c r="B13" i="53"/>
  <c r="B26" i="53"/>
  <c r="D13" i="53"/>
  <c r="B14" i="53"/>
  <c r="B27" i="53"/>
  <c r="L39" i="53"/>
  <c r="K97" i="60" s="1"/>
  <c r="M97" i="60" s="1"/>
  <c r="C46" i="53"/>
  <c r="L47" i="53"/>
  <c r="K97" i="61" s="1"/>
  <c r="B1" i="51"/>
  <c r="O1" i="51"/>
  <c r="B2" i="51"/>
  <c r="F10" i="51"/>
  <c r="D37" i="51"/>
  <c r="C90" i="60"/>
  <c r="C11" i="51"/>
  <c r="C23" i="51" s="1"/>
  <c r="B12" i="51"/>
  <c r="B25" i="51"/>
  <c r="B13" i="51"/>
  <c r="B26" i="51" s="1"/>
  <c r="B14" i="51"/>
  <c r="B27" i="51"/>
  <c r="L38" i="51"/>
  <c r="K91" i="60" s="1"/>
  <c r="C45" i="51"/>
  <c r="L46" i="51"/>
  <c r="K91" i="61"/>
  <c r="B1" i="50"/>
  <c r="O1" i="50"/>
  <c r="B2" i="50"/>
  <c r="F11" i="50"/>
  <c r="D39" i="50"/>
  <c r="C84" i="60"/>
  <c r="C12" i="50"/>
  <c r="C25" i="50" s="1"/>
  <c r="B13" i="50"/>
  <c r="B27" i="50"/>
  <c r="B14" i="50"/>
  <c r="B28" i="50" s="1"/>
  <c r="D14" i="50"/>
  <c r="D12" i="51"/>
  <c r="P25" i="51"/>
  <c r="B15" i="50"/>
  <c r="B29" i="50"/>
  <c r="D15" i="50"/>
  <c r="B16" i="50"/>
  <c r="B30" i="50" s="1"/>
  <c r="L40" i="50"/>
  <c r="K85" i="60"/>
  <c r="C47" i="50"/>
  <c r="L48" i="50"/>
  <c r="K85" i="61"/>
  <c r="B1" i="47"/>
  <c r="O1" i="47"/>
  <c r="B2" i="47"/>
  <c r="F10" i="47"/>
  <c r="D46" i="47"/>
  <c r="C78" i="60"/>
  <c r="C11" i="47"/>
  <c r="C27" i="47"/>
  <c r="B12" i="47"/>
  <c r="B29" i="47"/>
  <c r="D12" i="47"/>
  <c r="P29" i="47"/>
  <c r="B13" i="47"/>
  <c r="B30" i="47"/>
  <c r="D13" i="47"/>
  <c r="F13" i="47"/>
  <c r="B14" i="47"/>
  <c r="B31" i="47"/>
  <c r="D14" i="47"/>
  <c r="P31" i="47"/>
  <c r="B15" i="47"/>
  <c r="B32" i="47"/>
  <c r="D15" i="47"/>
  <c r="P32" i="47"/>
  <c r="B16" i="47"/>
  <c r="B33" i="47"/>
  <c r="D16" i="47"/>
  <c r="P33" i="47"/>
  <c r="B17" i="47"/>
  <c r="B34" i="47"/>
  <c r="D17" i="47"/>
  <c r="P34" i="47"/>
  <c r="D18" i="47"/>
  <c r="P35" i="47"/>
  <c r="B19" i="47"/>
  <c r="B36" i="47" s="1"/>
  <c r="D19" i="47"/>
  <c r="P36" i="47"/>
  <c r="B35" i="47"/>
  <c r="L47" i="47"/>
  <c r="K79" i="60"/>
  <c r="C54" i="47"/>
  <c r="L55" i="47"/>
  <c r="K79" i="61" s="1"/>
  <c r="B1" i="43"/>
  <c r="O1" i="43"/>
  <c r="B2" i="43"/>
  <c r="F10" i="43"/>
  <c r="D35" i="43"/>
  <c r="C72" i="60"/>
  <c r="C11" i="43"/>
  <c r="C22" i="43"/>
  <c r="B12" i="43"/>
  <c r="B24" i="43"/>
  <c r="F12" i="43"/>
  <c r="B13" i="43"/>
  <c r="B25" i="43"/>
  <c r="P24" i="43"/>
  <c r="C24" i="43" s="1"/>
  <c r="L36" i="43"/>
  <c r="K73" i="60"/>
  <c r="C43" i="43"/>
  <c r="L44" i="43"/>
  <c r="K73" i="61" s="1"/>
  <c r="B1" i="44"/>
  <c r="O1" i="44"/>
  <c r="B2" i="44"/>
  <c r="H10" i="44"/>
  <c r="D42" i="44"/>
  <c r="I10" i="44"/>
  <c r="F20" i="49" s="1"/>
  <c r="C11" i="44"/>
  <c r="C25" i="44"/>
  <c r="B12" i="44"/>
  <c r="B27" i="44" s="1"/>
  <c r="D12" i="44"/>
  <c r="P27" i="44"/>
  <c r="B13" i="44"/>
  <c r="B28" i="44" s="1"/>
  <c r="D13" i="44"/>
  <c r="P28" i="44"/>
  <c r="B14" i="44"/>
  <c r="B29" i="44" s="1"/>
  <c r="D14" i="44"/>
  <c r="P29" i="44"/>
  <c r="B15" i="44"/>
  <c r="B30" i="44" s="1"/>
  <c r="D15" i="44"/>
  <c r="P30" i="44"/>
  <c r="B16" i="44"/>
  <c r="B31" i="44" s="1"/>
  <c r="D16" i="44"/>
  <c r="P31" i="44"/>
  <c r="C17" i="44"/>
  <c r="D17" i="44"/>
  <c r="P32" i="44"/>
  <c r="C32" i="44"/>
  <c r="H18" i="44"/>
  <c r="B32" i="44"/>
  <c r="L43" i="44"/>
  <c r="K67" i="60"/>
  <c r="C50" i="44"/>
  <c r="L51" i="44"/>
  <c r="K67" i="61" s="1"/>
  <c r="M67" i="61" s="1"/>
  <c r="B1" i="45"/>
  <c r="O1" i="45"/>
  <c r="B2" i="45"/>
  <c r="F11" i="45"/>
  <c r="D45" i="45"/>
  <c r="C12" i="45"/>
  <c r="C27" i="45" s="1"/>
  <c r="B13" i="45"/>
  <c r="B29" i="45"/>
  <c r="E13" i="45"/>
  <c r="B14" i="45"/>
  <c r="B30" i="45"/>
  <c r="B15" i="45"/>
  <c r="B31" i="45" s="1"/>
  <c r="B16" i="45"/>
  <c r="B32" i="45"/>
  <c r="B18" i="45"/>
  <c r="B34" i="45" s="1"/>
  <c r="B19" i="45"/>
  <c r="B35" i="45"/>
  <c r="P29" i="45"/>
  <c r="B33" i="45"/>
  <c r="D38" i="45"/>
  <c r="L46" i="45"/>
  <c r="K61" i="60"/>
  <c r="C53" i="45"/>
  <c r="L54" i="45"/>
  <c r="K61" i="61"/>
  <c r="B6" i="42"/>
  <c r="C6" i="42"/>
  <c r="D6" i="42"/>
  <c r="E6" i="42"/>
  <c r="F6" i="42"/>
  <c r="G6" i="42"/>
  <c r="H6" i="42"/>
  <c r="I6" i="42"/>
  <c r="J6" i="42"/>
  <c r="K6" i="42"/>
  <c r="L6" i="42"/>
  <c r="M6" i="42"/>
  <c r="B12" i="42"/>
  <c r="C12" i="42"/>
  <c r="D12" i="42"/>
  <c r="E12" i="42"/>
  <c r="F12" i="42"/>
  <c r="G12" i="42"/>
  <c r="H12" i="42"/>
  <c r="I12" i="42"/>
  <c r="J12" i="42"/>
  <c r="K12" i="42"/>
  <c r="L12" i="42"/>
  <c r="M12" i="42"/>
  <c r="B17" i="42"/>
  <c r="C17" i="42"/>
  <c r="D17" i="42"/>
  <c r="E17" i="42"/>
  <c r="F17" i="42"/>
  <c r="G17" i="42"/>
  <c r="H17" i="42"/>
  <c r="I17" i="42"/>
  <c r="J17" i="42"/>
  <c r="K17" i="42"/>
  <c r="L17" i="42"/>
  <c r="M17" i="42"/>
  <c r="B21" i="42"/>
  <c r="C21" i="42"/>
  <c r="D21" i="42"/>
  <c r="E21" i="42"/>
  <c r="F21" i="42"/>
  <c r="G21" i="42"/>
  <c r="H21" i="42"/>
  <c r="I21" i="42"/>
  <c r="J21" i="42"/>
  <c r="K21" i="42"/>
  <c r="L21" i="42"/>
  <c r="M21" i="42"/>
  <c r="B23" i="42"/>
  <c r="C23" i="42"/>
  <c r="D23" i="42"/>
  <c r="E23" i="42"/>
  <c r="F23" i="42"/>
  <c r="G23" i="42"/>
  <c r="H23" i="42"/>
  <c r="I23" i="42"/>
  <c r="J23" i="42"/>
  <c r="K23" i="42"/>
  <c r="L23" i="42"/>
  <c r="M23" i="42"/>
  <c r="B1" i="41"/>
  <c r="O1" i="41"/>
  <c r="B2" i="41"/>
  <c r="F10" i="41"/>
  <c r="D44" i="41"/>
  <c r="C54" i="60" s="1"/>
  <c r="C11" i="41"/>
  <c r="C27" i="41"/>
  <c r="B12" i="41"/>
  <c r="B29" i="41" s="1"/>
  <c r="C12" i="41"/>
  <c r="D12" i="41"/>
  <c r="B13" i="41"/>
  <c r="B30" i="41"/>
  <c r="C13" i="41"/>
  <c r="D13" i="41"/>
  <c r="P30" i="41"/>
  <c r="C30" i="41"/>
  <c r="B14" i="41"/>
  <c r="B31" i="41" s="1"/>
  <c r="C14" i="41"/>
  <c r="D14" i="41"/>
  <c r="P31" i="41"/>
  <c r="C31" i="41" s="1"/>
  <c r="B15" i="41"/>
  <c r="B32" i="41"/>
  <c r="C15" i="41"/>
  <c r="E15" i="41" s="1"/>
  <c r="F15" i="41" s="1"/>
  <c r="D15" i="41"/>
  <c r="P32" i="41"/>
  <c r="C32" i="41" s="1"/>
  <c r="C16" i="41"/>
  <c r="D16" i="41"/>
  <c r="P33" i="41"/>
  <c r="C33" i="41" s="1"/>
  <c r="B17" i="41"/>
  <c r="B34" i="41"/>
  <c r="B18" i="41"/>
  <c r="B35" i="41" s="1"/>
  <c r="B33" i="41"/>
  <c r="L45" i="41"/>
  <c r="K55" i="60"/>
  <c r="C52" i="41"/>
  <c r="L53" i="41"/>
  <c r="K55" i="61"/>
  <c r="B1" i="40"/>
  <c r="O1" i="40"/>
  <c r="B2" i="40"/>
  <c r="H10" i="40"/>
  <c r="D32" i="40"/>
  <c r="I10" i="40"/>
  <c r="C11" i="40"/>
  <c r="C21" i="40"/>
  <c r="B12" i="40"/>
  <c r="B23" i="40" s="1"/>
  <c r="H13" i="40"/>
  <c r="L33" i="40"/>
  <c r="K49" i="60"/>
  <c r="C40" i="40"/>
  <c r="L41" i="40"/>
  <c r="K49" i="61"/>
  <c r="M49" i="61"/>
  <c r="B1" i="39"/>
  <c r="O1" i="39"/>
  <c r="B2" i="39"/>
  <c r="F10" i="39"/>
  <c r="D32" i="39" s="1"/>
  <c r="C42" i="60" s="1"/>
  <c r="C11" i="39"/>
  <c r="C21" i="39"/>
  <c r="B12" i="39"/>
  <c r="B23" i="39" s="1"/>
  <c r="L33" i="39"/>
  <c r="K43" i="60"/>
  <c r="C40" i="39"/>
  <c r="L41" i="39"/>
  <c r="K43" i="61"/>
  <c r="B1" i="38"/>
  <c r="O1" i="38"/>
  <c r="B2" i="38"/>
  <c r="F10" i="38"/>
  <c r="D53" i="38"/>
  <c r="C11" i="38"/>
  <c r="C26" i="38" s="1"/>
  <c r="B12" i="38"/>
  <c r="B28" i="38"/>
  <c r="B13" i="38"/>
  <c r="B29" i="38" s="1"/>
  <c r="S29" i="38" s="1"/>
  <c r="B14" i="38"/>
  <c r="B30" i="38" s="1"/>
  <c r="S30" i="38" s="1"/>
  <c r="B15" i="38"/>
  <c r="B31" i="38"/>
  <c r="S31" i="38" s="1"/>
  <c r="B16" i="38"/>
  <c r="B32" i="38"/>
  <c r="S32" i="38"/>
  <c r="B17" i="38"/>
  <c r="B33" i="38" s="1"/>
  <c r="S33" i="38" s="1"/>
  <c r="P34" i="38"/>
  <c r="E238" i="75" s="1"/>
  <c r="P35" i="38"/>
  <c r="E239" i="75"/>
  <c r="P36" i="38"/>
  <c r="E240" i="75" s="1"/>
  <c r="P37" i="38"/>
  <c r="E241" i="75"/>
  <c r="G241" i="75"/>
  <c r="P38" i="38"/>
  <c r="E242" i="75" s="1"/>
  <c r="G242" i="75" s="1"/>
  <c r="P39" i="38"/>
  <c r="E243" i="75" s="1"/>
  <c r="G243" i="75" s="1"/>
  <c r="P40" i="38"/>
  <c r="E244" i="75"/>
  <c r="P41" i="38"/>
  <c r="E245" i="75" s="1"/>
  <c r="G245" i="75" s="1"/>
  <c r="P42" i="38"/>
  <c r="B43" i="38"/>
  <c r="P43" i="38"/>
  <c r="Q44" i="38"/>
  <c r="L54" i="38"/>
  <c r="K37" i="60" s="1"/>
  <c r="C61" i="38"/>
  <c r="B1" i="37"/>
  <c r="O1" i="37"/>
  <c r="B2" i="37"/>
  <c r="F10" i="37"/>
  <c r="D36" i="37"/>
  <c r="C11" i="37"/>
  <c r="C21" i="37" s="1"/>
  <c r="B12" i="37"/>
  <c r="B23" i="37"/>
  <c r="L37" i="37"/>
  <c r="K31" i="60" s="1"/>
  <c r="O38" i="37"/>
  <c r="C44" i="37"/>
  <c r="L45" i="37"/>
  <c r="K31" i="61" s="1"/>
  <c r="B1" i="36"/>
  <c r="O1" i="36"/>
  <c r="B2" i="36"/>
  <c r="B4" i="36"/>
  <c r="B5" i="36"/>
  <c r="H11" i="36"/>
  <c r="I11" i="36"/>
  <c r="F9" i="49" s="1"/>
  <c r="C12" i="36"/>
  <c r="C22" i="36" s="1"/>
  <c r="B13" i="36"/>
  <c r="B24" i="36"/>
  <c r="H14" i="36"/>
  <c r="C30" i="36"/>
  <c r="D37" i="36"/>
  <c r="C24" i="60"/>
  <c r="L38" i="36"/>
  <c r="K25" i="60" s="1"/>
  <c r="C45" i="36"/>
  <c r="L46" i="36"/>
  <c r="K25" i="61" s="1"/>
  <c r="B1" i="35"/>
  <c r="O1" i="35"/>
  <c r="B2" i="35"/>
  <c r="F10" i="35"/>
  <c r="D37" i="35"/>
  <c r="C18" i="60"/>
  <c r="C11" i="35"/>
  <c r="C23" i="35"/>
  <c r="B12" i="35"/>
  <c r="B25" i="35"/>
  <c r="B13" i="35"/>
  <c r="B26" i="35" s="1"/>
  <c r="B14" i="35"/>
  <c r="L38" i="35"/>
  <c r="K19" i="60" s="1"/>
  <c r="C45" i="35"/>
  <c r="L46" i="35"/>
  <c r="K19" i="61"/>
  <c r="B63" i="35"/>
  <c r="B1" i="34"/>
  <c r="O1" i="34"/>
  <c r="B2" i="34"/>
  <c r="F9" i="34"/>
  <c r="D46" i="34" s="1"/>
  <c r="C12" i="60" s="1"/>
  <c r="C10" i="34"/>
  <c r="C27" i="34" s="1"/>
  <c r="B29" i="34"/>
  <c r="B30" i="34"/>
  <c r="B33" i="34"/>
  <c r="B34" i="34"/>
  <c r="B35" i="34"/>
  <c r="B36" i="34"/>
  <c r="D39" i="34"/>
  <c r="L47" i="34"/>
  <c r="K13" i="60"/>
  <c r="C54" i="34"/>
  <c r="L55" i="34"/>
  <c r="K13" i="61" s="1"/>
  <c r="A1" i="33"/>
  <c r="A14" i="33"/>
  <c r="A15" i="33"/>
  <c r="C25" i="33"/>
  <c r="C26" i="33"/>
  <c r="B30" i="33"/>
  <c r="C30" i="33"/>
  <c r="D30" i="33"/>
  <c r="D31" i="33"/>
  <c r="B37" i="33"/>
  <c r="B13" i="33"/>
  <c r="A3" i="30"/>
  <c r="B10" i="30"/>
  <c r="M10" i="30"/>
  <c r="M19" i="30"/>
  <c r="M28" i="30" s="1"/>
  <c r="M11" i="30"/>
  <c r="M12" i="30"/>
  <c r="M13" i="30"/>
  <c r="M14" i="30"/>
  <c r="M15" i="30"/>
  <c r="M16" i="30"/>
  <c r="J17" i="30"/>
  <c r="M17" i="30" s="1"/>
  <c r="K18" i="30"/>
  <c r="K19" i="30"/>
  <c r="K28" i="30"/>
  <c r="D19" i="30"/>
  <c r="D28" i="30"/>
  <c r="F19" i="30"/>
  <c r="F28" i="30"/>
  <c r="H19" i="30"/>
  <c r="H28" i="30"/>
  <c r="M20" i="30"/>
  <c r="M21" i="30"/>
  <c r="M22" i="30"/>
  <c r="M23" i="30"/>
  <c r="M24" i="30"/>
  <c r="K25" i="30"/>
  <c r="K27" i="30"/>
  <c r="M27" i="30" s="1"/>
  <c r="A1" i="29"/>
  <c r="A2" i="29"/>
  <c r="A3" i="29"/>
  <c r="A4" i="29"/>
  <c r="A5" i="29"/>
  <c r="B8" i="29"/>
  <c r="B26" i="29"/>
  <c r="B35" i="29"/>
  <c r="B27" i="29"/>
  <c r="D30" i="29"/>
  <c r="D35" i="29" s="1"/>
  <c r="B31" i="29"/>
  <c r="B42" i="29"/>
  <c r="D44" i="29"/>
  <c r="D55" i="29" s="1"/>
  <c r="B46" i="29"/>
  <c r="B54" i="29" s="1"/>
  <c r="D54" i="29"/>
  <c r="B62" i="29"/>
  <c r="D62" i="29"/>
  <c r="B66" i="29"/>
  <c r="B68" i="29" s="1"/>
  <c r="B69" i="29" s="1"/>
  <c r="D66" i="29"/>
  <c r="D68" i="29"/>
  <c r="B73" i="29"/>
  <c r="A1" i="67"/>
  <c r="E11" i="67"/>
  <c r="E14" i="67"/>
  <c r="E15" i="67" s="1"/>
  <c r="E25" i="67" s="1"/>
  <c r="E35" i="67" s="1"/>
  <c r="E19" i="67"/>
  <c r="E23" i="67"/>
  <c r="L32" i="67"/>
  <c r="E33" i="67"/>
  <c r="G195" i="67"/>
  <c r="G199" i="67"/>
  <c r="G203" i="67"/>
  <c r="G207" i="67"/>
  <c r="G253" i="67"/>
  <c r="G257" i="67"/>
  <c r="G261" i="67"/>
  <c r="G265" i="67"/>
  <c r="G269" i="67"/>
  <c r="G273" i="67"/>
  <c r="G277" i="67"/>
  <c r="G310" i="67"/>
  <c r="M310" i="67" s="1"/>
  <c r="G314" i="67"/>
  <c r="M314" i="67" s="1"/>
  <c r="G318" i="67"/>
  <c r="M318" i="67" s="1"/>
  <c r="G322" i="67"/>
  <c r="M322" i="67" s="1"/>
  <c r="G342" i="67"/>
  <c r="G346" i="67"/>
  <c r="A467" i="67"/>
  <c r="A521" i="67" s="1"/>
  <c r="A579" i="67" s="1"/>
  <c r="A468" i="67"/>
  <c r="A522" i="67"/>
  <c r="A580" i="67" s="1"/>
  <c r="A1" i="28"/>
  <c r="A2" i="28"/>
  <c r="A4" i="28"/>
  <c r="A6" i="30" s="1"/>
  <c r="C6" i="28"/>
  <c r="E10" i="28"/>
  <c r="D15" i="29"/>
  <c r="A1" i="31"/>
  <c r="B153" i="31"/>
  <c r="C156" i="31"/>
  <c r="C165" i="31"/>
  <c r="D157" i="31"/>
  <c r="B158" i="31"/>
  <c r="B13" i="34"/>
  <c r="B31" i="34"/>
  <c r="D158" i="31"/>
  <c r="D13" i="34"/>
  <c r="P31" i="34"/>
  <c r="B159" i="31"/>
  <c r="D159" i="31"/>
  <c r="D308" i="31"/>
  <c r="B160" i="31"/>
  <c r="B14" i="34"/>
  <c r="B32" i="34"/>
  <c r="D160" i="31"/>
  <c r="B172" i="31"/>
  <c r="C176" i="31"/>
  <c r="D176" i="31"/>
  <c r="E176" i="31"/>
  <c r="E179" i="31" s="1"/>
  <c r="D177" i="31"/>
  <c r="D178" i="31"/>
  <c r="D13" i="36"/>
  <c r="D14" i="36" s="1"/>
  <c r="B191" i="31"/>
  <c r="D195" i="31"/>
  <c r="D196" i="31"/>
  <c r="D12" i="37" s="1"/>
  <c r="P23" i="37" s="1"/>
  <c r="B206" i="31"/>
  <c r="E210" i="31"/>
  <c r="E211" i="31"/>
  <c r="E212" i="31"/>
  <c r="E213" i="31"/>
  <c r="E214" i="31"/>
  <c r="E215" i="31"/>
  <c r="E216" i="31"/>
  <c r="E217" i="31"/>
  <c r="E218" i="31"/>
  <c r="B232" i="31"/>
  <c r="C236" i="31"/>
  <c r="D239" i="31"/>
  <c r="D12" i="40"/>
  <c r="P23" i="40" s="1"/>
  <c r="P24" i="40" s="1"/>
  <c r="E240" i="31"/>
  <c r="E241" i="31"/>
  <c r="E243" i="31"/>
  <c r="D246" i="31"/>
  <c r="D249" i="31" s="1"/>
  <c r="D251" i="31"/>
  <c r="E247" i="31"/>
  <c r="E248" i="31"/>
  <c r="E250" i="31"/>
  <c r="D253" i="31"/>
  <c r="D254" i="31" s="1"/>
  <c r="D256" i="31" s="1"/>
  <c r="E255" i="31"/>
  <c r="D258" i="31"/>
  <c r="E259" i="31"/>
  <c r="E260" i="31"/>
  <c r="E261" i="31"/>
  <c r="E262" i="31"/>
  <c r="E263" i="31"/>
  <c r="E264" i="31"/>
  <c r="D265" i="31"/>
  <c r="E269" i="31"/>
  <c r="E270" i="31"/>
  <c r="E272" i="31" s="1"/>
  <c r="E271" i="31"/>
  <c r="C272" i="31"/>
  <c r="C274" i="31" s="1"/>
  <c r="D272" i="31"/>
  <c r="D274" i="31" s="1"/>
  <c r="E273" i="31"/>
  <c r="D276" i="31"/>
  <c r="D12" i="39" s="1"/>
  <c r="D13" i="39" s="1"/>
  <c r="D277" i="31"/>
  <c r="E279" i="31"/>
  <c r="E281" i="31"/>
  <c r="E282" i="31"/>
  <c r="E283" i="31"/>
  <c r="C283" i="31"/>
  <c r="C285" i="31" s="1"/>
  <c r="D283" i="31"/>
  <c r="D285" i="31" s="1"/>
  <c r="E284" i="31"/>
  <c r="E285" i="31" s="1"/>
  <c r="E287" i="31"/>
  <c r="E288" i="31"/>
  <c r="E289" i="31"/>
  <c r="C290" i="31"/>
  <c r="C292" i="31" s="1"/>
  <c r="D290" i="31"/>
  <c r="D292" i="31" s="1"/>
  <c r="E291" i="31"/>
  <c r="C294" i="31"/>
  <c r="D294" i="31"/>
  <c r="C307" i="31"/>
  <c r="D309" i="31"/>
  <c r="D13" i="43" s="1"/>
  <c r="D310" i="31"/>
  <c r="D311" i="31"/>
  <c r="D314" i="31" s="1"/>
  <c r="D312" i="31"/>
  <c r="D313" i="31"/>
  <c r="B322" i="31"/>
  <c r="B349" i="31"/>
  <c r="B369" i="31" s="1"/>
  <c r="B386" i="31" s="1"/>
  <c r="B407" i="31" s="1"/>
  <c r="C326" i="31"/>
  <c r="D326" i="31"/>
  <c r="D330" i="31" s="1"/>
  <c r="C327" i="31"/>
  <c r="D327" i="31"/>
  <c r="C329" i="31"/>
  <c r="D329" i="31"/>
  <c r="C353" i="31"/>
  <c r="C355" i="31"/>
  <c r="D355" i="31"/>
  <c r="H360" i="31"/>
  <c r="C371" i="31"/>
  <c r="D372" i="31"/>
  <c r="D378" i="31" s="1"/>
  <c r="E19" i="28" s="1"/>
  <c r="D373" i="31"/>
  <c r="D374" i="31"/>
  <c r="D375" i="31"/>
  <c r="D376" i="31"/>
  <c r="D377" i="31"/>
  <c r="C389" i="31"/>
  <c r="C325" i="31" s="1"/>
  <c r="D390" i="31"/>
  <c r="D398" i="31" s="1"/>
  <c r="E20" i="28" s="1"/>
  <c r="D391" i="31"/>
  <c r="D392" i="31"/>
  <c r="D393" i="31"/>
  <c r="D394" i="31"/>
  <c r="D395" i="31"/>
  <c r="D396" i="31"/>
  <c r="D397" i="31"/>
  <c r="C410" i="31"/>
  <c r="C428" i="31" s="1"/>
  <c r="C440" i="31"/>
  <c r="D411" i="31"/>
  <c r="D419" i="31" s="1"/>
  <c r="E21" i="28" s="1"/>
  <c r="D412" i="31"/>
  <c r="D414" i="31"/>
  <c r="D415" i="31"/>
  <c r="D416" i="31"/>
  <c r="D417" i="31"/>
  <c r="D418" i="31"/>
  <c r="D429" i="31"/>
  <c r="D430" i="31" s="1"/>
  <c r="E22" i="28" s="1"/>
  <c r="C441" i="31"/>
  <c r="D441" i="31"/>
  <c r="D443" i="31" s="1"/>
  <c r="E442" i="31"/>
  <c r="D445" i="31"/>
  <c r="C447" i="31"/>
  <c r="C449" i="31" s="1"/>
  <c r="D447" i="31"/>
  <c r="D449" i="31" s="1"/>
  <c r="E448" i="31"/>
  <c r="F13" i="49"/>
  <c r="F42" i="49"/>
  <c r="F43" i="49"/>
  <c r="F44" i="49"/>
  <c r="A1" i="78"/>
  <c r="B6" i="78"/>
  <c r="B38" i="78"/>
  <c r="B39" i="78" s="1"/>
  <c r="B13" i="85"/>
  <c r="B15" i="85"/>
  <c r="B24" i="85"/>
  <c r="B26" i="85" s="1"/>
  <c r="D10" i="83"/>
  <c r="E10" i="83"/>
  <c r="F10" i="83"/>
  <c r="G10" i="83"/>
  <c r="H10" i="83"/>
  <c r="I10" i="83"/>
  <c r="J10" i="83"/>
  <c r="K10" i="83"/>
  <c r="L10" i="83"/>
  <c r="M10" i="83"/>
  <c r="N10" i="83"/>
  <c r="O10" i="83"/>
  <c r="D17" i="83"/>
  <c r="E17" i="83"/>
  <c r="F17" i="83"/>
  <c r="G17" i="83"/>
  <c r="H17" i="83"/>
  <c r="I17" i="83"/>
  <c r="J17" i="83"/>
  <c r="K17" i="83"/>
  <c r="L17" i="83"/>
  <c r="M17" i="83"/>
  <c r="N17" i="83"/>
  <c r="O17" i="83"/>
  <c r="D28" i="83"/>
  <c r="E28" i="83"/>
  <c r="F28" i="83"/>
  <c r="G28" i="83"/>
  <c r="H28" i="83"/>
  <c r="I28" i="83"/>
  <c r="J28" i="83"/>
  <c r="K28" i="83"/>
  <c r="L28" i="83"/>
  <c r="M28" i="83"/>
  <c r="N28" i="83"/>
  <c r="O28" i="83"/>
  <c r="D39" i="83"/>
  <c r="E39" i="83"/>
  <c r="F39" i="83"/>
  <c r="G39" i="83"/>
  <c r="H39" i="83"/>
  <c r="I39" i="83"/>
  <c r="J39" i="83"/>
  <c r="K39" i="83"/>
  <c r="L39" i="83"/>
  <c r="M39" i="83"/>
  <c r="N39" i="83"/>
  <c r="O39" i="83"/>
  <c r="D62" i="83"/>
  <c r="E62" i="83"/>
  <c r="F62" i="83"/>
  <c r="G62" i="83"/>
  <c r="H62" i="83"/>
  <c r="I62" i="83"/>
  <c r="J62" i="83"/>
  <c r="K62" i="83"/>
  <c r="L62" i="83"/>
  <c r="M62" i="83"/>
  <c r="N62" i="83"/>
  <c r="O62" i="83"/>
  <c r="D71" i="83"/>
  <c r="E71" i="83"/>
  <c r="F71" i="83"/>
  <c r="G71" i="83"/>
  <c r="H71" i="83"/>
  <c r="I71" i="83"/>
  <c r="J71" i="83"/>
  <c r="K71" i="83"/>
  <c r="L71" i="83"/>
  <c r="M71" i="83"/>
  <c r="N71" i="83"/>
  <c r="O71" i="83"/>
  <c r="D82" i="83"/>
  <c r="E82" i="83"/>
  <c r="F82" i="83"/>
  <c r="G82" i="83"/>
  <c r="H82" i="83"/>
  <c r="I82" i="83"/>
  <c r="J82" i="83"/>
  <c r="K82" i="83"/>
  <c r="L82" i="83"/>
  <c r="M82" i="83"/>
  <c r="N82" i="83"/>
  <c r="O82" i="83"/>
  <c r="D87" i="83"/>
  <c r="D96" i="83" s="1"/>
  <c r="D8" i="83" s="1"/>
  <c r="E87" i="83"/>
  <c r="F87" i="83"/>
  <c r="G87" i="83"/>
  <c r="H87" i="83"/>
  <c r="I87" i="83"/>
  <c r="J87" i="83"/>
  <c r="J96" i="83" s="1"/>
  <c r="K87" i="83"/>
  <c r="L87" i="83"/>
  <c r="M87" i="83"/>
  <c r="N87" i="83"/>
  <c r="O87" i="83"/>
  <c r="D91" i="83"/>
  <c r="E91" i="83"/>
  <c r="F91" i="83"/>
  <c r="G91" i="83"/>
  <c r="H91" i="83"/>
  <c r="I91" i="83"/>
  <c r="I96" i="83" s="1"/>
  <c r="I8" i="83" s="1"/>
  <c r="J91" i="83"/>
  <c r="K91" i="83"/>
  <c r="L91" i="83"/>
  <c r="M91" i="83"/>
  <c r="N91" i="83"/>
  <c r="N96" i="83"/>
  <c r="O91" i="83"/>
  <c r="D99" i="83"/>
  <c r="F99" i="83"/>
  <c r="G99" i="83"/>
  <c r="H99" i="83"/>
  <c r="I99" i="83"/>
  <c r="J99" i="83"/>
  <c r="K99" i="83"/>
  <c r="L99" i="83"/>
  <c r="M99" i="83"/>
  <c r="N99" i="83"/>
  <c r="N109" i="83" s="1"/>
  <c r="N98" i="83" s="1"/>
  <c r="O99" i="83"/>
  <c r="D103" i="83"/>
  <c r="E103" i="83"/>
  <c r="E101" i="83"/>
  <c r="E100" i="83" s="1"/>
  <c r="E99" i="83" s="1"/>
  <c r="F103" i="83"/>
  <c r="G103" i="83"/>
  <c r="H103" i="83"/>
  <c r="I103" i="83"/>
  <c r="J103" i="83"/>
  <c r="K103" i="83"/>
  <c r="K109" i="83"/>
  <c r="L103" i="83"/>
  <c r="M103" i="83"/>
  <c r="N103" i="83"/>
  <c r="O103" i="83"/>
  <c r="D107" i="83"/>
  <c r="E107" i="83"/>
  <c r="F107" i="83"/>
  <c r="F109" i="83"/>
  <c r="F98" i="83" s="1"/>
  <c r="G107" i="83"/>
  <c r="H107" i="83"/>
  <c r="H109" i="83" s="1"/>
  <c r="H98" i="83" s="1"/>
  <c r="I107" i="83"/>
  <c r="I109" i="83" s="1"/>
  <c r="J107" i="83"/>
  <c r="K107" i="83"/>
  <c r="L107" i="83"/>
  <c r="L109" i="83" s="1"/>
  <c r="L98" i="83"/>
  <c r="M107" i="83"/>
  <c r="M109" i="83" s="1"/>
  <c r="N107" i="83"/>
  <c r="O107" i="83"/>
  <c r="F7" i="84"/>
  <c r="F13" i="84"/>
  <c r="H7" i="84"/>
  <c r="H13" i="84" s="1"/>
  <c r="J7" i="84"/>
  <c r="J13" i="84"/>
  <c r="K7" i="84"/>
  <c r="K13" i="84" s="1"/>
  <c r="L7" i="84"/>
  <c r="L13" i="84" s="1"/>
  <c r="F8" i="84"/>
  <c r="I8" i="84"/>
  <c r="I13" i="84"/>
  <c r="D13" i="84"/>
  <c r="E13" i="84"/>
  <c r="G13" i="84"/>
  <c r="M13" i="84"/>
  <c r="N13" i="84"/>
  <c r="O13" i="84"/>
  <c r="A2" i="79"/>
  <c r="P11" i="79"/>
  <c r="E14" i="79"/>
  <c r="E18" i="79"/>
  <c r="M20" i="79"/>
  <c r="O20" i="79" s="1"/>
  <c r="O21" i="79"/>
  <c r="E22" i="79"/>
  <c r="G22" i="79"/>
  <c r="I22" i="79"/>
  <c r="K22" i="79"/>
  <c r="M22" i="79"/>
  <c r="P22" i="79"/>
  <c r="O23" i="79"/>
  <c r="O24" i="79"/>
  <c r="O25" i="79"/>
  <c r="E26" i="79"/>
  <c r="E28" i="79" s="1"/>
  <c r="E38" i="79" s="1"/>
  <c r="G26" i="79"/>
  <c r="I26" i="79"/>
  <c r="K26" i="79"/>
  <c r="M26" i="79"/>
  <c r="P26" i="79"/>
  <c r="M27" i="79"/>
  <c r="O27" i="79"/>
  <c r="E36" i="79"/>
  <c r="A41" i="79"/>
  <c r="A42" i="79"/>
  <c r="A43" i="79"/>
  <c r="O43" i="79"/>
  <c r="P43" i="79"/>
  <c r="A44" i="79"/>
  <c r="A45" i="79"/>
  <c r="A46" i="79"/>
  <c r="O46" i="79"/>
  <c r="P46" i="79"/>
  <c r="A47" i="79"/>
  <c r="G47" i="79"/>
  <c r="I47" i="79"/>
  <c r="K47" i="79"/>
  <c r="M47" i="79"/>
  <c r="P47" i="79"/>
  <c r="A48" i="79"/>
  <c r="O48" i="79"/>
  <c r="P48" i="79"/>
  <c r="A49" i="79"/>
  <c r="A50" i="79"/>
  <c r="A51" i="79"/>
  <c r="I617" i="80"/>
  <c r="A3" i="74"/>
  <c r="B5" i="74"/>
  <c r="B100" i="74"/>
  <c r="A8" i="74"/>
  <c r="A9" i="74"/>
  <c r="A10" i="74"/>
  <c r="B10" i="74"/>
  <c r="D10" i="74"/>
  <c r="H10" i="74"/>
  <c r="C10" i="74"/>
  <c r="A11" i="74"/>
  <c r="A12" i="74"/>
  <c r="A13" i="74"/>
  <c r="A14" i="74"/>
  <c r="A15" i="74"/>
  <c r="A17" i="74"/>
  <c r="B17" i="74"/>
  <c r="C17" i="74"/>
  <c r="A18" i="74"/>
  <c r="B18" i="74"/>
  <c r="C18" i="74"/>
  <c r="D18" i="74"/>
  <c r="H18" i="74"/>
  <c r="A19" i="74"/>
  <c r="B19" i="74"/>
  <c r="C19" i="74"/>
  <c r="A20" i="74"/>
  <c r="B20" i="74"/>
  <c r="C20" i="74"/>
  <c r="D20" i="74"/>
  <c r="H20" i="74"/>
  <c r="A21" i="74"/>
  <c r="B21" i="74"/>
  <c r="C21" i="74"/>
  <c r="A22" i="74"/>
  <c r="J23" i="74"/>
  <c r="A24" i="74"/>
  <c r="A25" i="74"/>
  <c r="A26" i="74"/>
  <c r="B26" i="74"/>
  <c r="C26" i="74"/>
  <c r="D26" i="74"/>
  <c r="A27" i="74"/>
  <c r="A28" i="74"/>
  <c r="B28" i="74"/>
  <c r="C28" i="74"/>
  <c r="D28" i="74" s="1"/>
  <c r="A29" i="74"/>
  <c r="A31" i="74"/>
  <c r="B31" i="74"/>
  <c r="C31" i="74"/>
  <c r="A32" i="74"/>
  <c r="B32" i="74"/>
  <c r="C32" i="74"/>
  <c r="A33" i="74"/>
  <c r="B33" i="74"/>
  <c r="C33" i="74"/>
  <c r="A34" i="74"/>
  <c r="A35" i="74"/>
  <c r="A36" i="74"/>
  <c r="B36" i="74"/>
  <c r="C36" i="74"/>
  <c r="A37" i="74"/>
  <c r="A38" i="74"/>
  <c r="B38" i="74"/>
  <c r="C38" i="74"/>
  <c r="D38" i="74" s="1"/>
  <c r="A39" i="74"/>
  <c r="B39" i="74"/>
  <c r="C39" i="74"/>
  <c r="D39" i="74" s="1"/>
  <c r="A40" i="74"/>
  <c r="B40" i="74"/>
  <c r="C40" i="74"/>
  <c r="D40" i="74"/>
  <c r="H40" i="74" s="1"/>
  <c r="A41" i="74"/>
  <c r="B41" i="74"/>
  <c r="C41" i="74"/>
  <c r="A42" i="74"/>
  <c r="A43" i="74"/>
  <c r="B43" i="74"/>
  <c r="C43" i="74"/>
  <c r="A44" i="74"/>
  <c r="B44" i="74"/>
  <c r="D44" i="74" s="1"/>
  <c r="C44" i="74"/>
  <c r="A45" i="74"/>
  <c r="B45" i="74"/>
  <c r="C45" i="74"/>
  <c r="A46" i="74"/>
  <c r="B46" i="74"/>
  <c r="D46" i="74"/>
  <c r="C46" i="74"/>
  <c r="A47" i="74"/>
  <c r="B47" i="74"/>
  <c r="C47" i="74"/>
  <c r="A48" i="74"/>
  <c r="B48" i="74"/>
  <c r="C48" i="74"/>
  <c r="D48" i="74" s="1"/>
  <c r="A49" i="74"/>
  <c r="B49" i="74"/>
  <c r="C49" i="74"/>
  <c r="D49" i="74" s="1"/>
  <c r="A50" i="74"/>
  <c r="B50" i="74"/>
  <c r="C50" i="74"/>
  <c r="D50" i="74" s="1"/>
  <c r="A51" i="74"/>
  <c r="B51" i="74"/>
  <c r="C51" i="74"/>
  <c r="A52" i="74"/>
  <c r="B52" i="74"/>
  <c r="C52" i="74"/>
  <c r="A53" i="74"/>
  <c r="B53" i="74"/>
  <c r="C53" i="74"/>
  <c r="A54" i="74"/>
  <c r="B54" i="74"/>
  <c r="D54" i="74"/>
  <c r="C54" i="74"/>
  <c r="A55" i="74"/>
  <c r="B55" i="74"/>
  <c r="C55" i="74"/>
  <c r="A56" i="74"/>
  <c r="A57" i="74"/>
  <c r="B57" i="74"/>
  <c r="D57" i="74"/>
  <c r="C57" i="74"/>
  <c r="A58" i="74"/>
  <c r="A59" i="74"/>
  <c r="B59" i="74"/>
  <c r="C59" i="74"/>
  <c r="A60" i="74"/>
  <c r="B60" i="74"/>
  <c r="C60" i="74"/>
  <c r="A61" i="74"/>
  <c r="A62" i="74"/>
  <c r="B62" i="74"/>
  <c r="C62" i="74"/>
  <c r="A63" i="74"/>
  <c r="A64" i="74"/>
  <c r="B64" i="74"/>
  <c r="C64" i="74"/>
  <c r="A65" i="74"/>
  <c r="B71" i="74"/>
  <c r="C71" i="74"/>
  <c r="A72" i="74"/>
  <c r="A73" i="74"/>
  <c r="A74" i="74"/>
  <c r="C74" i="74"/>
  <c r="A75" i="74"/>
  <c r="A76" i="74"/>
  <c r="B76" i="74"/>
  <c r="H76" i="74" s="1"/>
  <c r="C76" i="74"/>
  <c r="A77" i="74"/>
  <c r="B77" i="74"/>
  <c r="H77" i="74" s="1"/>
  <c r="C77" i="74"/>
  <c r="A78" i="74"/>
  <c r="A79" i="74"/>
  <c r="A80" i="74"/>
  <c r="A81" i="74"/>
  <c r="A82" i="74"/>
  <c r="B82" i="74"/>
  <c r="H82" i="74" s="1"/>
  <c r="C82" i="74"/>
  <c r="A83" i="74"/>
  <c r="A84" i="74"/>
  <c r="A85" i="74"/>
  <c r="A86" i="74"/>
  <c r="B86" i="74"/>
  <c r="H86" i="74"/>
  <c r="C86" i="74"/>
  <c r="A87" i="74"/>
  <c r="B87" i="74"/>
  <c r="H87" i="74"/>
  <c r="C87" i="74"/>
  <c r="A88" i="74"/>
  <c r="B88" i="74"/>
  <c r="H88" i="74"/>
  <c r="C88" i="74"/>
  <c r="A89" i="74"/>
  <c r="B89" i="74"/>
  <c r="H89" i="74"/>
  <c r="C89" i="74"/>
  <c r="A90" i="74"/>
  <c r="C90" i="74"/>
  <c r="H90" i="74"/>
  <c r="A91" i="74"/>
  <c r="A92" i="74"/>
  <c r="B92" i="74"/>
  <c r="H92" i="74"/>
  <c r="C92" i="74"/>
  <c r="A93" i="74"/>
  <c r="B93" i="74"/>
  <c r="H93" i="74"/>
  <c r="C93" i="74"/>
  <c r="A94" i="74"/>
  <c r="A95" i="74"/>
  <c r="B95" i="74"/>
  <c r="H95" i="74" s="1"/>
  <c r="C95" i="74"/>
  <c r="B6" i="73"/>
  <c r="A8" i="73"/>
  <c r="E14" i="73"/>
  <c r="F14" i="73"/>
  <c r="E15" i="73"/>
  <c r="F15" i="73"/>
  <c r="E16" i="73"/>
  <c r="F16" i="73"/>
  <c r="E18" i="73"/>
  <c r="F18" i="73"/>
  <c r="E19" i="73"/>
  <c r="F19" i="73"/>
  <c r="J30" i="73"/>
  <c r="A7" i="69"/>
  <c r="A9" i="69"/>
  <c r="F17" i="69"/>
  <c r="F18" i="69"/>
  <c r="F19" i="69"/>
  <c r="C21" i="69"/>
  <c r="D21" i="69"/>
  <c r="F26" i="69"/>
  <c r="F27" i="69"/>
  <c r="F28" i="69"/>
  <c r="C31" i="69"/>
  <c r="D31" i="69"/>
  <c r="A4" i="70"/>
  <c r="A6" i="70"/>
  <c r="B11" i="70"/>
  <c r="C29" i="70"/>
  <c r="C45" i="70"/>
  <c r="B49" i="70"/>
  <c r="C59" i="70"/>
  <c r="A68" i="70"/>
  <c r="A75" i="70"/>
  <c r="A4" i="71"/>
  <c r="A6" i="71"/>
  <c r="B8" i="71"/>
  <c r="G13" i="71"/>
  <c r="G15" i="71"/>
  <c r="G16" i="71"/>
  <c r="G21" i="71"/>
  <c r="G25" i="71"/>
  <c r="G26" i="71"/>
  <c r="G27" i="71"/>
  <c r="G28" i="71"/>
  <c r="G29" i="71"/>
  <c r="G31" i="71"/>
  <c r="G32" i="71"/>
  <c r="G34" i="71"/>
  <c r="A41" i="71"/>
  <c r="B41" i="71"/>
  <c r="B68" i="70"/>
  <c r="B42" i="71"/>
  <c r="B69" i="70" s="1"/>
  <c r="A4" i="72"/>
  <c r="B8" i="72"/>
  <c r="E13" i="72"/>
  <c r="I13" i="72"/>
  <c r="E19" i="72"/>
  <c r="E20" i="72"/>
  <c r="E21" i="72"/>
  <c r="E22" i="72"/>
  <c r="E23" i="72"/>
  <c r="E26" i="72"/>
  <c r="I26" i="72"/>
  <c r="J26" i="72"/>
  <c r="E28" i="72"/>
  <c r="I28" i="72"/>
  <c r="G29" i="72"/>
  <c r="F32" i="72"/>
  <c r="B50" i="72"/>
  <c r="C50" i="72"/>
  <c r="C55" i="72"/>
  <c r="C61" i="74" s="1"/>
  <c r="L60" i="72"/>
  <c r="A4" i="87"/>
  <c r="A6" i="87"/>
  <c r="B8" i="87"/>
  <c r="E13" i="87"/>
  <c r="I13" i="87"/>
  <c r="E19" i="87"/>
  <c r="E20" i="87"/>
  <c r="E21" i="87"/>
  <c r="E22" i="87"/>
  <c r="E23" i="87"/>
  <c r="E24" i="87"/>
  <c r="E26" i="87"/>
  <c r="I26" i="87"/>
  <c r="J26" i="87"/>
  <c r="E27" i="87"/>
  <c r="I27" i="87"/>
  <c r="J27" i="87"/>
  <c r="E29" i="87"/>
  <c r="I29" i="87"/>
  <c r="G30" i="87"/>
  <c r="B51" i="87"/>
  <c r="C51" i="87"/>
  <c r="C55" i="87"/>
  <c r="N56" i="87"/>
  <c r="O56" i="87"/>
  <c r="N57" i="87"/>
  <c r="N58" i="87"/>
  <c r="L60" i="87"/>
  <c r="K7" i="75"/>
  <c r="K8" i="75"/>
  <c r="K9" i="75"/>
  <c r="K10" i="75"/>
  <c r="K11" i="75"/>
  <c r="E12" i="75"/>
  <c r="F12" i="75"/>
  <c r="F22" i="75" s="1"/>
  <c r="G12" i="75"/>
  <c r="H12" i="75"/>
  <c r="I12" i="75"/>
  <c r="I22" i="75" s="1"/>
  <c r="J12" i="75"/>
  <c r="K13" i="75"/>
  <c r="K14" i="75"/>
  <c r="C20" i="71" s="1"/>
  <c r="K15" i="75"/>
  <c r="E16" i="75"/>
  <c r="F16" i="75"/>
  <c r="G16" i="75"/>
  <c r="H16" i="75"/>
  <c r="I16" i="75"/>
  <c r="J16" i="75"/>
  <c r="C22" i="75"/>
  <c r="C313" i="75"/>
  <c r="C24" i="75"/>
  <c r="E24" i="75"/>
  <c r="F24" i="75"/>
  <c r="G24" i="75"/>
  <c r="H24" i="75"/>
  <c r="I24" i="75"/>
  <c r="K25" i="75"/>
  <c r="K26" i="75"/>
  <c r="D27" i="75"/>
  <c r="J27" i="75"/>
  <c r="K30" i="75"/>
  <c r="C31" i="75"/>
  <c r="D31" i="75"/>
  <c r="J31" i="75"/>
  <c r="F50" i="75"/>
  <c r="G50" i="75"/>
  <c r="H50" i="75"/>
  <c r="F51" i="75"/>
  <c r="F97" i="75"/>
  <c r="G51" i="75"/>
  <c r="H51" i="75"/>
  <c r="F52" i="75"/>
  <c r="E72" i="75"/>
  <c r="G52" i="75"/>
  <c r="H52" i="75"/>
  <c r="F53" i="75"/>
  <c r="G53" i="75"/>
  <c r="H53" i="75"/>
  <c r="F54" i="75"/>
  <c r="F92" i="75" s="1"/>
  <c r="G54" i="75"/>
  <c r="H54" i="75"/>
  <c r="F55" i="75"/>
  <c r="F93" i="75" s="1"/>
  <c r="G93" i="75" s="1"/>
  <c r="G55" i="75"/>
  <c r="H55" i="75"/>
  <c r="F56" i="75"/>
  <c r="E76" i="75"/>
  <c r="G56" i="75"/>
  <c r="H56" i="75"/>
  <c r="F57" i="75"/>
  <c r="F91" i="75"/>
  <c r="G57" i="75"/>
  <c r="H57" i="75"/>
  <c r="F58" i="75"/>
  <c r="F90" i="75"/>
  <c r="G58" i="75"/>
  <c r="H58" i="75"/>
  <c r="C59" i="75"/>
  <c r="D59" i="75"/>
  <c r="C65" i="75" s="1"/>
  <c r="D67" i="75" s="1"/>
  <c r="E59" i="75"/>
  <c r="C66" i="75" s="1"/>
  <c r="B71" i="75"/>
  <c r="B72" i="75"/>
  <c r="B73" i="75"/>
  <c r="B74" i="75"/>
  <c r="B75" i="75"/>
  <c r="B76" i="75"/>
  <c r="B77" i="75"/>
  <c r="B78" i="75"/>
  <c r="B79" i="75"/>
  <c r="H95" i="75"/>
  <c r="I95" i="75"/>
  <c r="E98" i="75"/>
  <c r="F119" i="75"/>
  <c r="F120" i="75"/>
  <c r="F121" i="75"/>
  <c r="I122" i="75"/>
  <c r="F122" i="75" s="1"/>
  <c r="I123" i="75"/>
  <c r="F123" i="75" s="1"/>
  <c r="F126" i="75"/>
  <c r="F127" i="75"/>
  <c r="E129" i="75"/>
  <c r="F129" i="75"/>
  <c r="G129" i="75"/>
  <c r="H129" i="75"/>
  <c r="I129" i="75"/>
  <c r="D152" i="75"/>
  <c r="E152" i="75"/>
  <c r="I152" i="75"/>
  <c r="J152" i="75"/>
  <c r="M152" i="75"/>
  <c r="M153" i="75"/>
  <c r="M154" i="75"/>
  <c r="G157" i="75"/>
  <c r="G182" i="75" s="1"/>
  <c r="G159" i="75"/>
  <c r="G184" i="75"/>
  <c r="G162" i="75"/>
  <c r="G187" i="75" s="1"/>
  <c r="C171" i="75"/>
  <c r="D177" i="75"/>
  <c r="E177" i="75"/>
  <c r="D193" i="75"/>
  <c r="D200" i="75"/>
  <c r="F193" i="75"/>
  <c r="F200" i="75"/>
  <c r="C195" i="75"/>
  <c r="E195" i="75"/>
  <c r="E208" i="75" s="1"/>
  <c r="B197" i="75"/>
  <c r="B200" i="75"/>
  <c r="G202" i="75"/>
  <c r="H208" i="75"/>
  <c r="H209" i="75"/>
  <c r="D213" i="75"/>
  <c r="G219" i="75"/>
  <c r="K219" i="75"/>
  <c r="G222" i="75"/>
  <c r="H222" i="75"/>
  <c r="K222" i="75"/>
  <c r="I223" i="75"/>
  <c r="K226" i="75"/>
  <c r="D237" i="75"/>
  <c r="E237" i="75"/>
  <c r="F237" i="75"/>
  <c r="D250" i="75"/>
  <c r="D257" i="75" s="1"/>
  <c r="F250" i="75"/>
  <c r="F257" i="75" s="1"/>
  <c r="B254" i="75"/>
  <c r="B257" i="75"/>
  <c r="B287" i="75"/>
  <c r="B344" i="75" s="1"/>
  <c r="E259" i="75"/>
  <c r="B14" i="68"/>
  <c r="B113" i="68"/>
  <c r="C118" i="68"/>
  <c r="D119" i="68"/>
  <c r="D11" i="34" s="1"/>
  <c r="D120" i="68"/>
  <c r="D12" i="34"/>
  <c r="P30" i="34" s="1"/>
  <c r="D121" i="68"/>
  <c r="D122" i="68"/>
  <c r="D15" i="34"/>
  <c r="D123" i="68"/>
  <c r="D14" i="34" s="1"/>
  <c r="D124" i="68"/>
  <c r="D16" i="34"/>
  <c r="O16" i="34"/>
  <c r="D126" i="68"/>
  <c r="D18" i="34"/>
  <c r="P36" i="34"/>
  <c r="X128" i="68"/>
  <c r="B138" i="68"/>
  <c r="B401" i="68"/>
  <c r="C141" i="68"/>
  <c r="C426" i="68"/>
  <c r="C439" i="68" s="1"/>
  <c r="D142" i="68"/>
  <c r="D143" i="68"/>
  <c r="U144" i="68"/>
  <c r="B150" i="68"/>
  <c r="B14" i="87"/>
  <c r="D167" i="68"/>
  <c r="D168" i="68"/>
  <c r="B192" i="68"/>
  <c r="D197" i="68"/>
  <c r="D200" i="68"/>
  <c r="D17" i="41" s="1"/>
  <c r="B208" i="68"/>
  <c r="E213" i="68"/>
  <c r="E214" i="68"/>
  <c r="E215" i="68"/>
  <c r="E216" i="68"/>
  <c r="E217" i="68"/>
  <c r="E218" i="68"/>
  <c r="E219" i="68"/>
  <c r="E221" i="68"/>
  <c r="E225" i="68"/>
  <c r="B247" i="68"/>
  <c r="B250" i="68"/>
  <c r="C251" i="68"/>
  <c r="D254" i="68"/>
  <c r="C254" i="68" s="1"/>
  <c r="E254" i="68" s="1"/>
  <c r="E256" i="68"/>
  <c r="E260" i="68"/>
  <c r="B263" i="68"/>
  <c r="B272" i="68" s="1"/>
  <c r="B281" i="68" s="1"/>
  <c r="B296" i="68" s="1"/>
  <c r="B303" i="68" s="1"/>
  <c r="D263" i="68"/>
  <c r="B264" i="68"/>
  <c r="B273" i="68"/>
  <c r="B282" i="68"/>
  <c r="B297" i="68" s="1"/>
  <c r="B304" i="68" s="1"/>
  <c r="D264" i="68"/>
  <c r="B265" i="68"/>
  <c r="B274" i="68" s="1"/>
  <c r="B283" i="68"/>
  <c r="B298" i="68" s="1"/>
  <c r="B305" i="68" s="1"/>
  <c r="E265" i="68"/>
  <c r="B266" i="68"/>
  <c r="B275" i="68" s="1"/>
  <c r="B284" i="68" s="1"/>
  <c r="B299" i="68" s="1"/>
  <c r="B306" i="68" s="1"/>
  <c r="B267" i="68"/>
  <c r="B276" i="68" s="1"/>
  <c r="B285" i="68" s="1"/>
  <c r="B300" i="68" s="1"/>
  <c r="B307" i="68" s="1"/>
  <c r="E269" i="68"/>
  <c r="D273" i="68"/>
  <c r="D272" i="68"/>
  <c r="D277" i="68"/>
  <c r="D279" i="68"/>
  <c r="E274" i="68"/>
  <c r="E278" i="68"/>
  <c r="D282" i="68"/>
  <c r="D281" i="68"/>
  <c r="D286" i="68" s="1"/>
  <c r="D288" i="68" s="1"/>
  <c r="E283" i="68"/>
  <c r="E289" i="68"/>
  <c r="E290" i="68"/>
  <c r="E291" i="68"/>
  <c r="C292" i="68"/>
  <c r="C294" i="68"/>
  <c r="D292" i="68"/>
  <c r="D294" i="68"/>
  <c r="E293" i="68"/>
  <c r="C296" i="68"/>
  <c r="D296" i="68"/>
  <c r="D297" i="68"/>
  <c r="E298" i="68"/>
  <c r="C303" i="68"/>
  <c r="D303" i="68"/>
  <c r="D304" i="68"/>
  <c r="D308" i="68" s="1"/>
  <c r="F309" i="68"/>
  <c r="E310" i="68"/>
  <c r="E312" i="68"/>
  <c r="E313" i="68"/>
  <c r="E314" i="68"/>
  <c r="C314" i="68"/>
  <c r="C316" i="68"/>
  <c r="D314" i="68"/>
  <c r="D316" i="68"/>
  <c r="E315" i="68"/>
  <c r="E318" i="68"/>
  <c r="E319" i="68"/>
  <c r="E320" i="68"/>
  <c r="C321" i="68"/>
  <c r="C323" i="68"/>
  <c r="D321" i="68"/>
  <c r="D323" i="68"/>
  <c r="E322" i="68"/>
  <c r="C325" i="68"/>
  <c r="D325" i="68"/>
  <c r="B369" i="68"/>
  <c r="C372" i="68"/>
  <c r="C152" i="68"/>
  <c r="C224" i="68" s="1"/>
  <c r="B387" i="68"/>
  <c r="C391" i="68"/>
  <c r="D392" i="68"/>
  <c r="K391" i="68" s="1"/>
  <c r="D394" i="68"/>
  <c r="D405" i="68"/>
  <c r="D18" i="45"/>
  <c r="P34" i="45" s="1"/>
  <c r="B423" i="68"/>
  <c r="D427" i="68"/>
  <c r="D430" i="68"/>
  <c r="D428" i="68"/>
  <c r="D17" i="45"/>
  <c r="P33" i="45" s="1"/>
  <c r="B435" i="68"/>
  <c r="D440" i="68"/>
  <c r="D441" i="68"/>
  <c r="D442" i="68"/>
  <c r="D443" i="68"/>
  <c r="D444" i="68"/>
  <c r="D446" i="68"/>
  <c r="AA447" i="68"/>
  <c r="W448" i="68"/>
  <c r="X448" i="68"/>
  <c r="Y448" i="68"/>
  <c r="AA448" i="68"/>
  <c r="B455" i="68"/>
  <c r="D459" i="68"/>
  <c r="AA463" i="68"/>
  <c r="X464" i="68"/>
  <c r="AA464" i="68"/>
  <c r="B474" i="68"/>
  <c r="B488" i="68"/>
  <c r="B492" i="68"/>
  <c r="C493" i="68"/>
  <c r="N496" i="68"/>
  <c r="N499" i="68" s="1"/>
  <c r="S502" i="68"/>
  <c r="T502" i="68"/>
  <c r="U502" i="68"/>
  <c r="V502" i="68"/>
  <c r="S505" i="68"/>
  <c r="W505" i="68"/>
  <c r="K531" i="68"/>
  <c r="K532" i="68"/>
  <c r="B533" i="68"/>
  <c r="K533" i="68"/>
  <c r="L533" i="68"/>
  <c r="L534" i="68"/>
  <c r="B535" i="68"/>
  <c r="C535" i="68"/>
  <c r="K535" i="68"/>
  <c r="L535" i="68"/>
  <c r="D12" i="54"/>
  <c r="J536" i="68"/>
  <c r="D13" i="54"/>
  <c r="D14" i="54"/>
  <c r="D15" i="54"/>
  <c r="D16" i="54"/>
  <c r="D17" i="54"/>
  <c r="D21" i="54"/>
  <c r="B556" i="68"/>
  <c r="D559" i="68"/>
  <c r="D561" i="68" s="1"/>
  <c r="B568" i="68"/>
  <c r="C570" i="68"/>
  <c r="C558" i="68"/>
  <c r="B585" i="68"/>
  <c r="C587" i="68"/>
  <c r="D587" i="68"/>
  <c r="E590" i="68"/>
  <c r="B601" i="68"/>
  <c r="C603" i="68"/>
  <c r="C458" i="68" s="1"/>
  <c r="D604" i="68"/>
  <c r="D605" i="68"/>
  <c r="D607" i="68"/>
  <c r="D12" i="55" s="1"/>
  <c r="D608" i="68"/>
  <c r="D13" i="55"/>
  <c r="D610" i="68"/>
  <c r="D15" i="55" s="1"/>
  <c r="D611" i="68"/>
  <c r="D16" i="55" s="1"/>
  <c r="D612" i="68"/>
  <c r="D17" i="55" s="1"/>
  <c r="B621" i="68"/>
  <c r="B623" i="68"/>
  <c r="B635" i="68" s="1"/>
  <c r="B648" i="68" s="1"/>
  <c r="D624" i="68"/>
  <c r="D625" i="68"/>
  <c r="D626" i="68" s="1"/>
  <c r="B632" i="68"/>
  <c r="B647" i="68"/>
  <c r="D652" i="68"/>
  <c r="D655" i="68" s="1"/>
  <c r="D656" i="68"/>
  <c r="D662" i="68"/>
  <c r="C662" i="68"/>
  <c r="B1" i="66"/>
  <c r="E70" i="66"/>
  <c r="E79" i="66"/>
  <c r="B1" i="77"/>
  <c r="N1" i="77"/>
  <c r="B2" i="77"/>
  <c r="F9" i="77"/>
  <c r="C11" i="77"/>
  <c r="C23" i="77" s="1"/>
  <c r="B12" i="77"/>
  <c r="B25" i="77"/>
  <c r="B13" i="77"/>
  <c r="B26" i="77" s="1"/>
  <c r="D13" i="77"/>
  <c r="B14" i="77"/>
  <c r="B27" i="77"/>
  <c r="B15" i="77"/>
  <c r="B28" i="77" s="1"/>
  <c r="F38" i="77"/>
  <c r="C40" i="77"/>
  <c r="B41" i="77"/>
  <c r="B53" i="77" s="1"/>
  <c r="B42" i="77"/>
  <c r="B54" i="77" s="1"/>
  <c r="B43" i="77"/>
  <c r="B55" i="77" s="1"/>
  <c r="B44" i="77"/>
  <c r="B56" i="77" s="1"/>
  <c r="B45" i="77"/>
  <c r="B57" i="77"/>
  <c r="D46" i="77"/>
  <c r="C51" i="77"/>
  <c r="B66" i="77"/>
  <c r="C66" i="77"/>
  <c r="D66" i="77"/>
  <c r="E66" i="77"/>
  <c r="F66" i="77"/>
  <c r="G66" i="77"/>
  <c r="H66" i="77"/>
  <c r="I66" i="77"/>
  <c r="J66" i="77"/>
  <c r="K66" i="77"/>
  <c r="L66" i="77"/>
  <c r="M66" i="77"/>
  <c r="N66" i="77"/>
  <c r="O66" i="77"/>
  <c r="B67" i="77"/>
  <c r="B68" i="77"/>
  <c r="B92" i="77"/>
  <c r="B133" i="77"/>
  <c r="B174" i="77"/>
  <c r="B176" i="77"/>
  <c r="B177" i="77"/>
  <c r="B180" i="77"/>
  <c r="B181" i="77"/>
  <c r="B182" i="77"/>
  <c r="B183" i="77"/>
  <c r="B184" i="77"/>
  <c r="B185" i="77"/>
  <c r="B186" i="77"/>
  <c r="B187" i="77"/>
  <c r="B188" i="77"/>
  <c r="B189" i="77"/>
  <c r="B190" i="77"/>
  <c r="B191" i="77"/>
  <c r="B192" i="77"/>
  <c r="I199" i="77"/>
  <c r="D205" i="77"/>
  <c r="D213" i="77" s="1"/>
  <c r="L206" i="77"/>
  <c r="C213" i="77"/>
  <c r="L214" i="77"/>
  <c r="A44" i="64"/>
  <c r="A45" i="64"/>
  <c r="A47" i="64"/>
  <c r="A93" i="64"/>
  <c r="A130" i="64" s="1"/>
  <c r="A281" i="64"/>
  <c r="A283" i="64"/>
  <c r="E296" i="64"/>
  <c r="E300" i="64"/>
  <c r="E304" i="64"/>
  <c r="L314" i="64"/>
  <c r="G517" i="64"/>
  <c r="G522" i="64"/>
  <c r="P522" i="64" s="1"/>
  <c r="G526" i="64"/>
  <c r="P526" i="64" s="1"/>
  <c r="G531" i="64"/>
  <c r="P531" i="64" s="1"/>
  <c r="G535" i="64"/>
  <c r="P535" i="64" s="1"/>
  <c r="G539" i="64"/>
  <c r="P539" i="64" s="1"/>
  <c r="G579" i="64"/>
  <c r="G583" i="64"/>
  <c r="G587" i="64"/>
  <c r="G593" i="64"/>
  <c r="G597" i="64"/>
  <c r="G601" i="64"/>
  <c r="G605" i="64"/>
  <c r="G643" i="64"/>
  <c r="G647" i="64"/>
  <c r="G653" i="64"/>
  <c r="M652" i="64" s="1"/>
  <c r="G659" i="64"/>
  <c r="M657" i="64" s="1"/>
  <c r="G663" i="64"/>
  <c r="M662" i="64" s="1"/>
  <c r="G667" i="64"/>
  <c r="G671" i="64"/>
  <c r="G675" i="64"/>
  <c r="G689" i="64"/>
  <c r="G640" i="64"/>
  <c r="G576" i="64"/>
  <c r="G702" i="64"/>
  <c r="G707" i="64"/>
  <c r="G712" i="64"/>
  <c r="A832" i="64"/>
  <c r="A886" i="64" s="1"/>
  <c r="A944" i="64" s="1"/>
  <c r="A833" i="64"/>
  <c r="A887" i="64"/>
  <c r="A945" i="64" s="1"/>
  <c r="E1" i="65"/>
  <c r="R1" i="65"/>
  <c r="E2" i="65"/>
  <c r="E3" i="65" s="1"/>
  <c r="BC3" i="65"/>
  <c r="BG3" i="65"/>
  <c r="BK3" i="65"/>
  <c r="BS3" i="65"/>
  <c r="BW3" i="65"/>
  <c r="CA3" i="65"/>
  <c r="CE3" i="65"/>
  <c r="CI3" i="65"/>
  <c r="CM3" i="65"/>
  <c r="CQ3" i="65"/>
  <c r="CU3" i="65"/>
  <c r="B4" i="65"/>
  <c r="C6" i="65" s="1"/>
  <c r="D7" i="65"/>
  <c r="D8" i="65"/>
  <c r="T8" i="65"/>
  <c r="U8" i="65"/>
  <c r="V8" i="65"/>
  <c r="X8" i="65"/>
  <c r="Y8" i="65"/>
  <c r="Z8" i="65"/>
  <c r="AA8" i="65"/>
  <c r="AB8" i="65"/>
  <c r="AC8" i="65"/>
  <c r="AD8" i="65"/>
  <c r="AE8" i="65"/>
  <c r="D9" i="65"/>
  <c r="T9" i="65"/>
  <c r="U9" i="65"/>
  <c r="V9" i="65"/>
  <c r="X9" i="65"/>
  <c r="Y9" i="65"/>
  <c r="Z9" i="65"/>
  <c r="AA9" i="65"/>
  <c r="AB9" i="65"/>
  <c r="AC9" i="65"/>
  <c r="AD9" i="65"/>
  <c r="AE9" i="65"/>
  <c r="D10" i="65"/>
  <c r="T10" i="65"/>
  <c r="U10" i="65"/>
  <c r="V10" i="65"/>
  <c r="X10" i="65"/>
  <c r="Y10" i="65"/>
  <c r="Z10" i="65"/>
  <c r="AA10" i="65"/>
  <c r="AB10" i="65"/>
  <c r="AC10" i="65"/>
  <c r="AD10" i="65"/>
  <c r="AE10" i="65"/>
  <c r="T11" i="65"/>
  <c r="U11" i="65"/>
  <c r="V11" i="65"/>
  <c r="X11" i="65"/>
  <c r="Y11" i="65"/>
  <c r="Z11" i="65"/>
  <c r="AA11" i="65"/>
  <c r="AB11" i="65"/>
  <c r="AC11" i="65"/>
  <c r="AD11" i="65"/>
  <c r="AE11" i="65"/>
  <c r="W50" i="65"/>
  <c r="T12" i="65"/>
  <c r="U12" i="65"/>
  <c r="V12" i="65"/>
  <c r="X12" i="65"/>
  <c r="Y12" i="65"/>
  <c r="Z12" i="65"/>
  <c r="AA12" i="65"/>
  <c r="AB12" i="65"/>
  <c r="AC12" i="65"/>
  <c r="AD12" i="65"/>
  <c r="AE12" i="65"/>
  <c r="T13" i="65"/>
  <c r="U13" i="65"/>
  <c r="V13" i="65"/>
  <c r="X13" i="65"/>
  <c r="Y13" i="65"/>
  <c r="Z13" i="65"/>
  <c r="AA13" i="65"/>
  <c r="AB13" i="65"/>
  <c r="AC13" i="65"/>
  <c r="AD13" i="65"/>
  <c r="AE13" i="65"/>
  <c r="T14" i="65"/>
  <c r="U14" i="65"/>
  <c r="V14" i="65"/>
  <c r="X14" i="65"/>
  <c r="Y14" i="65"/>
  <c r="Z14" i="65"/>
  <c r="AA14" i="65"/>
  <c r="AB14" i="65"/>
  <c r="AC14" i="65"/>
  <c r="AD14" i="65"/>
  <c r="AE14" i="65"/>
  <c r="T15" i="65"/>
  <c r="U15" i="65"/>
  <c r="V15" i="65"/>
  <c r="X15" i="65"/>
  <c r="Y15" i="65"/>
  <c r="Z15" i="65"/>
  <c r="AA15" i="65"/>
  <c r="AB15" i="65"/>
  <c r="AC15" i="65"/>
  <c r="AD15" i="65"/>
  <c r="AE15" i="65"/>
  <c r="T16" i="65"/>
  <c r="U16" i="65"/>
  <c r="V16" i="65"/>
  <c r="X16" i="65"/>
  <c r="Y16" i="65"/>
  <c r="Z16" i="65"/>
  <c r="AA16" i="65"/>
  <c r="AB16" i="65"/>
  <c r="AC16" i="65"/>
  <c r="AD16" i="65"/>
  <c r="AE16" i="65"/>
  <c r="T17" i="65"/>
  <c r="U17" i="65"/>
  <c r="V17" i="65"/>
  <c r="X17" i="65"/>
  <c r="Y17" i="65"/>
  <c r="Z17" i="65"/>
  <c r="AA17" i="65"/>
  <c r="AB17" i="65"/>
  <c r="AC17" i="65"/>
  <c r="AD17" i="65"/>
  <c r="AE17" i="65"/>
  <c r="T18" i="65"/>
  <c r="U18" i="65"/>
  <c r="V18" i="65"/>
  <c r="X18" i="65"/>
  <c r="Y18" i="65"/>
  <c r="Z18" i="65"/>
  <c r="AA18" i="65"/>
  <c r="AB18" i="65"/>
  <c r="AC18" i="65"/>
  <c r="AD18" i="65"/>
  <c r="AE18" i="65"/>
  <c r="T19" i="65"/>
  <c r="U19" i="65"/>
  <c r="V19" i="65"/>
  <c r="X19" i="65"/>
  <c r="Y19" i="65"/>
  <c r="Z19" i="65"/>
  <c r="AA19" i="65"/>
  <c r="AB19" i="65"/>
  <c r="AC19" i="65"/>
  <c r="AD19" i="65"/>
  <c r="AE19" i="65"/>
  <c r="T20" i="65"/>
  <c r="U20" i="65"/>
  <c r="V20" i="65"/>
  <c r="X20" i="65"/>
  <c r="Y20" i="65"/>
  <c r="Z20" i="65"/>
  <c r="AA20" i="65"/>
  <c r="AB20" i="65"/>
  <c r="AC20" i="65"/>
  <c r="AD20" i="65"/>
  <c r="AE20" i="65"/>
  <c r="T21" i="65"/>
  <c r="U21" i="65"/>
  <c r="V21" i="65"/>
  <c r="X21" i="65"/>
  <c r="Y21" i="65"/>
  <c r="Z21" i="65"/>
  <c r="AA21" i="65"/>
  <c r="AB21" i="65"/>
  <c r="AC21" i="65"/>
  <c r="AD21" i="65"/>
  <c r="AE21" i="65"/>
  <c r="T22" i="65"/>
  <c r="U22" i="65"/>
  <c r="V22" i="65"/>
  <c r="X22" i="65"/>
  <c r="Y22" i="65"/>
  <c r="Z22" i="65"/>
  <c r="AA22" i="65"/>
  <c r="AB22" i="65"/>
  <c r="AC22" i="65"/>
  <c r="AD22" i="65"/>
  <c r="AE22" i="65"/>
  <c r="T23" i="65"/>
  <c r="U23" i="65"/>
  <c r="V23" i="65"/>
  <c r="X23" i="65"/>
  <c r="Y23" i="65"/>
  <c r="Z23" i="65"/>
  <c r="AA23" i="65"/>
  <c r="AB23" i="65"/>
  <c r="AC23" i="65"/>
  <c r="AD23" i="65"/>
  <c r="AE23" i="65"/>
  <c r="T24" i="65"/>
  <c r="U24" i="65"/>
  <c r="V24" i="65"/>
  <c r="X24" i="65"/>
  <c r="Y24" i="65"/>
  <c r="Z24" i="65"/>
  <c r="AA24" i="65"/>
  <c r="AB24" i="65"/>
  <c r="AC24" i="65"/>
  <c r="AD24" i="65"/>
  <c r="AE24" i="65"/>
  <c r="C25" i="65"/>
  <c r="T25" i="65"/>
  <c r="U25" i="65"/>
  <c r="V25" i="65"/>
  <c r="X25" i="65"/>
  <c r="Y25" i="65"/>
  <c r="Z25" i="65"/>
  <c r="AA25" i="65"/>
  <c r="AB25" i="65"/>
  <c r="AC25" i="65"/>
  <c r="AD25" i="65"/>
  <c r="AE25" i="65"/>
  <c r="T26" i="65"/>
  <c r="U26" i="65"/>
  <c r="V26" i="65"/>
  <c r="X26" i="65"/>
  <c r="Y26" i="65"/>
  <c r="Z26" i="65"/>
  <c r="AA26" i="65"/>
  <c r="AB26" i="65"/>
  <c r="AC26" i="65"/>
  <c r="AD26" i="65"/>
  <c r="AE26" i="65"/>
  <c r="T27" i="65"/>
  <c r="U27" i="65"/>
  <c r="V27" i="65"/>
  <c r="X27" i="65"/>
  <c r="Y27" i="65"/>
  <c r="Z27" i="65"/>
  <c r="AA27" i="65"/>
  <c r="AB27" i="65"/>
  <c r="AC27" i="65"/>
  <c r="AD27" i="65"/>
  <c r="AE27" i="65"/>
  <c r="T28" i="65"/>
  <c r="U28" i="65"/>
  <c r="V28" i="65"/>
  <c r="X28" i="65"/>
  <c r="Y28" i="65"/>
  <c r="Z28" i="65"/>
  <c r="AA28" i="65"/>
  <c r="AB28" i="65"/>
  <c r="AC28" i="65"/>
  <c r="AD28" i="65"/>
  <c r="AE28" i="65"/>
  <c r="T29" i="65"/>
  <c r="U29" i="65"/>
  <c r="V29" i="65"/>
  <c r="X29" i="65"/>
  <c r="Y29" i="65"/>
  <c r="Z29" i="65"/>
  <c r="AA29" i="65"/>
  <c r="AB29" i="65"/>
  <c r="AC29" i="65"/>
  <c r="AD29" i="65"/>
  <c r="AE29" i="65"/>
  <c r="T30" i="65"/>
  <c r="U30" i="65"/>
  <c r="V30" i="65"/>
  <c r="X30" i="65"/>
  <c r="Y30" i="65"/>
  <c r="Z30" i="65"/>
  <c r="AA30" i="65"/>
  <c r="AB30" i="65"/>
  <c r="AC30" i="65"/>
  <c r="AD30" i="65"/>
  <c r="AE30" i="65"/>
  <c r="T31" i="65"/>
  <c r="U31" i="65"/>
  <c r="V31" i="65"/>
  <c r="X31" i="65"/>
  <c r="Y31" i="65"/>
  <c r="Z31" i="65"/>
  <c r="AA31" i="65"/>
  <c r="AB31" i="65"/>
  <c r="AC31" i="65"/>
  <c r="AD31" i="65"/>
  <c r="AE31" i="65"/>
  <c r="W81" i="65"/>
  <c r="T32" i="65"/>
  <c r="U32" i="65"/>
  <c r="V32" i="65"/>
  <c r="X32" i="65"/>
  <c r="Y32" i="65"/>
  <c r="Z32" i="65"/>
  <c r="AA32" i="65"/>
  <c r="AB32" i="65"/>
  <c r="AC32" i="65"/>
  <c r="AD32" i="65"/>
  <c r="AE32" i="65"/>
  <c r="T33" i="65"/>
  <c r="U33" i="65"/>
  <c r="V33" i="65"/>
  <c r="X33" i="65"/>
  <c r="Y33" i="65"/>
  <c r="Z33" i="65"/>
  <c r="AA33" i="65"/>
  <c r="AB33" i="65"/>
  <c r="AC33" i="65"/>
  <c r="AD33" i="65"/>
  <c r="AE33" i="65"/>
  <c r="T34" i="65"/>
  <c r="U34" i="65"/>
  <c r="V34" i="65"/>
  <c r="X34" i="65"/>
  <c r="Y34" i="65"/>
  <c r="Z34" i="65"/>
  <c r="AA34" i="65"/>
  <c r="AB34" i="65"/>
  <c r="AC34" i="65"/>
  <c r="AD34" i="65"/>
  <c r="AE34" i="65"/>
  <c r="W35" i="65"/>
  <c r="E35" i="65"/>
  <c r="T35" i="65"/>
  <c r="U35" i="65"/>
  <c r="V35" i="65"/>
  <c r="X35" i="65"/>
  <c r="Y35" i="65"/>
  <c r="Z35" i="65"/>
  <c r="AA35" i="65"/>
  <c r="AB35" i="65"/>
  <c r="AC35" i="65"/>
  <c r="AD35" i="65"/>
  <c r="AE35" i="65"/>
  <c r="T36" i="65"/>
  <c r="U36" i="65"/>
  <c r="V36" i="65"/>
  <c r="X36" i="65"/>
  <c r="Y36" i="65"/>
  <c r="Z36" i="65"/>
  <c r="AA36" i="65"/>
  <c r="AB36" i="65"/>
  <c r="AC36" i="65"/>
  <c r="AD36" i="65"/>
  <c r="AE36" i="65"/>
  <c r="T37" i="65"/>
  <c r="U37" i="65"/>
  <c r="V37" i="65"/>
  <c r="X37" i="65"/>
  <c r="Y37" i="65"/>
  <c r="Z37" i="65"/>
  <c r="AA37" i="65"/>
  <c r="AB37" i="65"/>
  <c r="AC37" i="65"/>
  <c r="AD37" i="65"/>
  <c r="AE37" i="65"/>
  <c r="T38" i="65"/>
  <c r="U38" i="65"/>
  <c r="V38" i="65"/>
  <c r="X38" i="65"/>
  <c r="Y38" i="65"/>
  <c r="Z38" i="65"/>
  <c r="AA38" i="65"/>
  <c r="AB38" i="65"/>
  <c r="AC38" i="65"/>
  <c r="AD38" i="65"/>
  <c r="AE38" i="65"/>
  <c r="T39" i="65"/>
  <c r="U39" i="65"/>
  <c r="V39" i="65"/>
  <c r="X39" i="65"/>
  <c r="Y39" i="65"/>
  <c r="Z39" i="65"/>
  <c r="AA39" i="65"/>
  <c r="AB39" i="65"/>
  <c r="AC39" i="65"/>
  <c r="AD39" i="65"/>
  <c r="AE39" i="65"/>
  <c r="T40" i="65"/>
  <c r="U40" i="65"/>
  <c r="V40" i="65"/>
  <c r="X40" i="65"/>
  <c r="Y40" i="65"/>
  <c r="Z40" i="65"/>
  <c r="AA40" i="65"/>
  <c r="AB40" i="65"/>
  <c r="AC40" i="65"/>
  <c r="AD40" i="65"/>
  <c r="AE40" i="65"/>
  <c r="T41" i="65"/>
  <c r="U41" i="65"/>
  <c r="V41" i="65"/>
  <c r="X41" i="65"/>
  <c r="Y41" i="65"/>
  <c r="Z41" i="65"/>
  <c r="AA41" i="65"/>
  <c r="AB41" i="65"/>
  <c r="AC41" i="65"/>
  <c r="AD41" i="65"/>
  <c r="AE41" i="65"/>
  <c r="T42" i="65"/>
  <c r="U42" i="65"/>
  <c r="V42" i="65"/>
  <c r="X42" i="65"/>
  <c r="Y42" i="65"/>
  <c r="Z42" i="65"/>
  <c r="AA42" i="65"/>
  <c r="AB42" i="65"/>
  <c r="AC42" i="65"/>
  <c r="AD42" i="65"/>
  <c r="AE42" i="65"/>
  <c r="T43" i="65"/>
  <c r="U43" i="65"/>
  <c r="V43" i="65"/>
  <c r="X43" i="65"/>
  <c r="Y43" i="65"/>
  <c r="Z43" i="65"/>
  <c r="AA43" i="65"/>
  <c r="AB43" i="65"/>
  <c r="AC43" i="65"/>
  <c r="AD43" i="65"/>
  <c r="AE43" i="65"/>
  <c r="T44" i="65"/>
  <c r="U44" i="65"/>
  <c r="V44" i="65"/>
  <c r="X44" i="65"/>
  <c r="Y44" i="65"/>
  <c r="Z44" i="65"/>
  <c r="AA44" i="65"/>
  <c r="AB44" i="65"/>
  <c r="AC44" i="65"/>
  <c r="AD44" i="65"/>
  <c r="AE44" i="65"/>
  <c r="T45" i="65"/>
  <c r="U45" i="65"/>
  <c r="V45" i="65"/>
  <c r="X45" i="65"/>
  <c r="Y45" i="65"/>
  <c r="Z45" i="65"/>
  <c r="AA45" i="65"/>
  <c r="AB45" i="65"/>
  <c r="AC45" i="65"/>
  <c r="AD45" i="65"/>
  <c r="AE45" i="65"/>
  <c r="T46" i="65"/>
  <c r="U46" i="65"/>
  <c r="V46" i="65"/>
  <c r="X46" i="65"/>
  <c r="Y46" i="65"/>
  <c r="Z46" i="65"/>
  <c r="AA46" i="65"/>
  <c r="AB46" i="65"/>
  <c r="AC46" i="65"/>
  <c r="AD46" i="65"/>
  <c r="AE46" i="65"/>
  <c r="T47" i="65"/>
  <c r="U47" i="65"/>
  <c r="V47" i="65"/>
  <c r="X47" i="65"/>
  <c r="Y47" i="65"/>
  <c r="Z47" i="65"/>
  <c r="AA47" i="65"/>
  <c r="AB47" i="65"/>
  <c r="AC47" i="65"/>
  <c r="AD47" i="65"/>
  <c r="AE47" i="65"/>
  <c r="T48" i="65"/>
  <c r="U48" i="65"/>
  <c r="V48" i="65"/>
  <c r="X48" i="65"/>
  <c r="Y48" i="65"/>
  <c r="Z48" i="65"/>
  <c r="AA48" i="65"/>
  <c r="AB48" i="65"/>
  <c r="AC48" i="65"/>
  <c r="AD48" i="65"/>
  <c r="AE48" i="65"/>
  <c r="T49" i="65"/>
  <c r="U49" i="65"/>
  <c r="V49" i="65"/>
  <c r="X49" i="65"/>
  <c r="Y49" i="65"/>
  <c r="Z49" i="65"/>
  <c r="AA49" i="65"/>
  <c r="AB49" i="65"/>
  <c r="AC49" i="65"/>
  <c r="AD49" i="65"/>
  <c r="AE49" i="65"/>
  <c r="E50" i="65"/>
  <c r="T50" i="65"/>
  <c r="U50" i="65"/>
  <c r="V50" i="65"/>
  <c r="X50" i="65"/>
  <c r="Y50" i="65"/>
  <c r="Z50" i="65"/>
  <c r="AA50" i="65"/>
  <c r="AB50" i="65"/>
  <c r="AC50" i="65"/>
  <c r="AD50" i="65"/>
  <c r="AE50" i="65"/>
  <c r="T51" i="65"/>
  <c r="U51" i="65"/>
  <c r="V51" i="65"/>
  <c r="X51" i="65"/>
  <c r="Y51" i="65"/>
  <c r="Z51" i="65"/>
  <c r="AA51" i="65"/>
  <c r="AB51" i="65"/>
  <c r="AC51" i="65"/>
  <c r="AD51" i="65"/>
  <c r="AE51" i="65"/>
  <c r="D52" i="65"/>
  <c r="T52" i="65"/>
  <c r="U52" i="65"/>
  <c r="V52" i="65"/>
  <c r="X52" i="65"/>
  <c r="Y52" i="65"/>
  <c r="Z52" i="65"/>
  <c r="AA52" i="65"/>
  <c r="AB52" i="65"/>
  <c r="AC52" i="65"/>
  <c r="AD52" i="65"/>
  <c r="AE52" i="65"/>
  <c r="T53" i="65"/>
  <c r="U53" i="65"/>
  <c r="V53" i="65"/>
  <c r="X53" i="65"/>
  <c r="Y53" i="65"/>
  <c r="Z53" i="65"/>
  <c r="AA53" i="65"/>
  <c r="AB53" i="65"/>
  <c r="AC53" i="65"/>
  <c r="AD53" i="65"/>
  <c r="AE53" i="65"/>
  <c r="T54" i="65"/>
  <c r="U54" i="65"/>
  <c r="V54" i="65"/>
  <c r="X54" i="65"/>
  <c r="Y54" i="65"/>
  <c r="Z54" i="65"/>
  <c r="AA54" i="65"/>
  <c r="AB54" i="65"/>
  <c r="AC54" i="65"/>
  <c r="AD54" i="65"/>
  <c r="AE54" i="65"/>
  <c r="T55" i="65"/>
  <c r="U55" i="65"/>
  <c r="V55" i="65"/>
  <c r="X55" i="65"/>
  <c r="Y55" i="65"/>
  <c r="Z55" i="65"/>
  <c r="AA55" i="65"/>
  <c r="AB55" i="65"/>
  <c r="AC55" i="65"/>
  <c r="AD55" i="65"/>
  <c r="AE55" i="65"/>
  <c r="T56" i="65"/>
  <c r="U56" i="65"/>
  <c r="V56" i="65"/>
  <c r="X56" i="65"/>
  <c r="Y56" i="65"/>
  <c r="Z56" i="65"/>
  <c r="AA56" i="65"/>
  <c r="AB56" i="65"/>
  <c r="AC56" i="65"/>
  <c r="AD56" i="65"/>
  <c r="AE56" i="65"/>
  <c r="T57" i="65"/>
  <c r="U57" i="65"/>
  <c r="V57" i="65"/>
  <c r="X57" i="65"/>
  <c r="Y57" i="65"/>
  <c r="Z57" i="65"/>
  <c r="AA57" i="65"/>
  <c r="AB57" i="65"/>
  <c r="AC57" i="65"/>
  <c r="AD57" i="65"/>
  <c r="AE57" i="65"/>
  <c r="H58" i="65"/>
  <c r="H68" i="65" s="1"/>
  <c r="T58" i="65"/>
  <c r="U58" i="65"/>
  <c r="V58" i="65"/>
  <c r="W58" i="65"/>
  <c r="X58" i="65"/>
  <c r="Y58" i="65"/>
  <c r="Z58" i="65"/>
  <c r="AA58" i="65"/>
  <c r="AB58" i="65"/>
  <c r="AC58" i="65"/>
  <c r="AD58" i="65"/>
  <c r="AE58" i="65"/>
  <c r="T59" i="65"/>
  <c r="U59" i="65"/>
  <c r="V59" i="65"/>
  <c r="W59" i="65"/>
  <c r="X59" i="65"/>
  <c r="Y59" i="65"/>
  <c r="Z59" i="65"/>
  <c r="AA59" i="65"/>
  <c r="AB59" i="65"/>
  <c r="AC59" i="65"/>
  <c r="AD59" i="65"/>
  <c r="AE59" i="65"/>
  <c r="T60" i="65"/>
  <c r="U60" i="65"/>
  <c r="V60" i="65"/>
  <c r="W60" i="65"/>
  <c r="X60" i="65"/>
  <c r="Y60" i="65"/>
  <c r="Z60" i="65"/>
  <c r="AA60" i="65"/>
  <c r="AB60" i="65"/>
  <c r="AC60" i="65"/>
  <c r="AD60" i="65"/>
  <c r="AE60" i="65"/>
  <c r="T61" i="65"/>
  <c r="U61" i="65"/>
  <c r="V61" i="65"/>
  <c r="W61" i="65"/>
  <c r="X61" i="65"/>
  <c r="Y61" i="65"/>
  <c r="Z61" i="65"/>
  <c r="AA61" i="65"/>
  <c r="AB61" i="65"/>
  <c r="AC61" i="65"/>
  <c r="AD61" i="65"/>
  <c r="AE61" i="65"/>
  <c r="T62" i="65"/>
  <c r="U62" i="65"/>
  <c r="V62" i="65"/>
  <c r="W62" i="65"/>
  <c r="X62" i="65"/>
  <c r="Y62" i="65"/>
  <c r="Z62" i="65"/>
  <c r="AA62" i="65"/>
  <c r="AB62" i="65"/>
  <c r="AC62" i="65"/>
  <c r="AD62" i="65"/>
  <c r="AE62" i="65"/>
  <c r="T63" i="65"/>
  <c r="U63" i="65"/>
  <c r="V63" i="65"/>
  <c r="W63" i="65"/>
  <c r="X63" i="65"/>
  <c r="Y63" i="65"/>
  <c r="Z63" i="65"/>
  <c r="AA63" i="65"/>
  <c r="AB63" i="65"/>
  <c r="AC63" i="65"/>
  <c r="AD63" i="65"/>
  <c r="AE63" i="65"/>
  <c r="T64" i="65"/>
  <c r="U64" i="65"/>
  <c r="V64" i="65"/>
  <c r="W64" i="65"/>
  <c r="X64" i="65"/>
  <c r="Y64" i="65"/>
  <c r="Z64" i="65"/>
  <c r="AA64" i="65"/>
  <c r="AB64" i="65"/>
  <c r="AC64" i="65"/>
  <c r="AD64" i="65"/>
  <c r="AE64" i="65"/>
  <c r="T65" i="65"/>
  <c r="U65" i="65"/>
  <c r="V65" i="65"/>
  <c r="W65" i="65"/>
  <c r="X65" i="65"/>
  <c r="Y65" i="65"/>
  <c r="Z65" i="65"/>
  <c r="AA65" i="65"/>
  <c r="AB65" i="65"/>
  <c r="AC65" i="65"/>
  <c r="AD65" i="65"/>
  <c r="AE65" i="65"/>
  <c r="T66" i="65"/>
  <c r="U66" i="65"/>
  <c r="V66" i="65"/>
  <c r="W66" i="65"/>
  <c r="X66" i="65"/>
  <c r="Y66" i="65"/>
  <c r="Z66" i="65"/>
  <c r="AA66" i="65"/>
  <c r="AB66" i="65"/>
  <c r="AC66" i="65"/>
  <c r="AD66" i="65"/>
  <c r="AE66" i="65"/>
  <c r="T67" i="65"/>
  <c r="U67" i="65"/>
  <c r="V67" i="65"/>
  <c r="W67" i="65"/>
  <c r="X67" i="65"/>
  <c r="Y67" i="65"/>
  <c r="Z67" i="65"/>
  <c r="AA67" i="65"/>
  <c r="AB67" i="65"/>
  <c r="AC67" i="65"/>
  <c r="AD67" i="65"/>
  <c r="AE67" i="65"/>
  <c r="G68" i="65"/>
  <c r="I68" i="65"/>
  <c r="J68" i="65"/>
  <c r="I69" i="65"/>
  <c r="K68" i="65"/>
  <c r="J74" i="65"/>
  <c r="T68" i="65"/>
  <c r="U68" i="65"/>
  <c r="V68" i="65"/>
  <c r="X68" i="65"/>
  <c r="Y68" i="65"/>
  <c r="Z68" i="65"/>
  <c r="AA68" i="65"/>
  <c r="AB68" i="65"/>
  <c r="AC68" i="65"/>
  <c r="AD68" i="65"/>
  <c r="AE68" i="65"/>
  <c r="T69" i="65"/>
  <c r="U69" i="65"/>
  <c r="V69" i="65"/>
  <c r="X69" i="65"/>
  <c r="Y69" i="65"/>
  <c r="Z69" i="65"/>
  <c r="AA69" i="65"/>
  <c r="AB69" i="65"/>
  <c r="AC69" i="65"/>
  <c r="AD69" i="65"/>
  <c r="AE69" i="65"/>
  <c r="T70" i="65"/>
  <c r="U70" i="65"/>
  <c r="V70" i="65"/>
  <c r="X70" i="65"/>
  <c r="Y70" i="65"/>
  <c r="Z70" i="65"/>
  <c r="AA70" i="65"/>
  <c r="AB70" i="65"/>
  <c r="AC70" i="65"/>
  <c r="AD70" i="65"/>
  <c r="AE70" i="65"/>
  <c r="T71" i="65"/>
  <c r="U71" i="65"/>
  <c r="V71" i="65"/>
  <c r="X71" i="65"/>
  <c r="Y71" i="65"/>
  <c r="Z71" i="65"/>
  <c r="AA71" i="65"/>
  <c r="AB71" i="65"/>
  <c r="AC71" i="65"/>
  <c r="AD71" i="65"/>
  <c r="AE71" i="65"/>
  <c r="T72" i="65"/>
  <c r="U72" i="65"/>
  <c r="V72" i="65"/>
  <c r="X72" i="65"/>
  <c r="Y72" i="65"/>
  <c r="Z72" i="65"/>
  <c r="AA72" i="65"/>
  <c r="AB72" i="65"/>
  <c r="AC72" i="65"/>
  <c r="AD72" i="65"/>
  <c r="AE72" i="65"/>
  <c r="T73" i="65"/>
  <c r="U73" i="65"/>
  <c r="V73" i="65"/>
  <c r="W73" i="65"/>
  <c r="X73" i="65"/>
  <c r="Y73" i="65"/>
  <c r="Z73" i="65"/>
  <c r="AA73" i="65"/>
  <c r="AB73" i="65"/>
  <c r="AC73" i="65"/>
  <c r="AD73" i="65"/>
  <c r="AE73" i="65"/>
  <c r="T74" i="65"/>
  <c r="U74" i="65"/>
  <c r="V74" i="65"/>
  <c r="X74" i="65"/>
  <c r="Y74" i="65"/>
  <c r="Z74" i="65"/>
  <c r="AA74" i="65"/>
  <c r="AB74" i="65"/>
  <c r="AC74" i="65"/>
  <c r="AD74" i="65"/>
  <c r="AE74" i="65"/>
  <c r="T75" i="65"/>
  <c r="U75" i="65"/>
  <c r="V75" i="65"/>
  <c r="X75" i="65"/>
  <c r="Y75" i="65"/>
  <c r="Z75" i="65"/>
  <c r="AA75" i="65"/>
  <c r="AB75" i="65"/>
  <c r="AC75" i="65"/>
  <c r="AD75" i="65"/>
  <c r="AE75" i="65"/>
  <c r="T76" i="65"/>
  <c r="U76" i="65"/>
  <c r="V76" i="65"/>
  <c r="X76" i="65"/>
  <c r="Y76" i="65"/>
  <c r="Z76" i="65"/>
  <c r="AA76" i="65"/>
  <c r="AB76" i="65"/>
  <c r="AC76" i="65"/>
  <c r="AD76" i="65"/>
  <c r="AE76" i="65"/>
  <c r="T77" i="65"/>
  <c r="U77" i="65"/>
  <c r="V77" i="65"/>
  <c r="X77" i="65"/>
  <c r="Y77" i="65"/>
  <c r="Z77" i="65"/>
  <c r="AA77" i="65"/>
  <c r="AB77" i="65"/>
  <c r="AC77" i="65"/>
  <c r="AD77" i="65"/>
  <c r="AE77" i="65"/>
  <c r="T78" i="65"/>
  <c r="U78" i="65"/>
  <c r="V78" i="65"/>
  <c r="X78" i="65"/>
  <c r="Y78" i="65"/>
  <c r="Z78" i="65"/>
  <c r="AA78" i="65"/>
  <c r="AB78" i="65"/>
  <c r="AC78" i="65"/>
  <c r="AD78" i="65"/>
  <c r="AE78" i="65"/>
  <c r="T79" i="65"/>
  <c r="U79" i="65"/>
  <c r="V79" i="65"/>
  <c r="X79" i="65"/>
  <c r="Y79" i="65"/>
  <c r="Z79" i="65"/>
  <c r="AA79" i="65"/>
  <c r="AB79" i="65"/>
  <c r="AC79" i="65"/>
  <c r="AD79" i="65"/>
  <c r="AE79" i="65"/>
  <c r="T80" i="65"/>
  <c r="U80" i="65"/>
  <c r="V80" i="65"/>
  <c r="X80" i="65"/>
  <c r="Y80" i="65"/>
  <c r="Z80" i="65"/>
  <c r="AA80" i="65"/>
  <c r="AB80" i="65"/>
  <c r="AC80" i="65"/>
  <c r="AD80" i="65"/>
  <c r="AE80" i="65"/>
  <c r="I81" i="65"/>
  <c r="T81" i="65"/>
  <c r="U81" i="65"/>
  <c r="V81" i="65"/>
  <c r="X81" i="65"/>
  <c r="Y81" i="65"/>
  <c r="Z81" i="65"/>
  <c r="AA81" i="65"/>
  <c r="AB81" i="65"/>
  <c r="AC81" i="65"/>
  <c r="AD81" i="65"/>
  <c r="AE81" i="65"/>
  <c r="T82" i="65"/>
  <c r="U82" i="65"/>
  <c r="V82" i="65"/>
  <c r="X82" i="65"/>
  <c r="Y82" i="65"/>
  <c r="Z82" i="65"/>
  <c r="AA82" i="65"/>
  <c r="AB82" i="65"/>
  <c r="AC82" i="65"/>
  <c r="AD82" i="65"/>
  <c r="AE82" i="65"/>
  <c r="H83" i="65"/>
  <c r="H86" i="65"/>
  <c r="H50" i="65"/>
  <c r="K83" i="65"/>
  <c r="T83" i="65"/>
  <c r="U83" i="65"/>
  <c r="V83" i="65"/>
  <c r="W83" i="65"/>
  <c r="X83" i="65"/>
  <c r="Y83" i="65"/>
  <c r="Z83" i="65"/>
  <c r="AA83" i="65"/>
  <c r="AB83" i="65"/>
  <c r="AC83" i="65"/>
  <c r="AD83" i="65"/>
  <c r="AE83" i="65"/>
  <c r="T84" i="65"/>
  <c r="U84" i="65"/>
  <c r="V84" i="65"/>
  <c r="W84" i="65"/>
  <c r="X84" i="65"/>
  <c r="Y84" i="65"/>
  <c r="Z84" i="65"/>
  <c r="AA84" i="65"/>
  <c r="AB84" i="65"/>
  <c r="AC84" i="65"/>
  <c r="AD84" i="65"/>
  <c r="AE84" i="65"/>
  <c r="T85" i="65"/>
  <c r="U85" i="65"/>
  <c r="V85" i="65"/>
  <c r="W85" i="65"/>
  <c r="X85" i="65"/>
  <c r="Y85" i="65"/>
  <c r="Z85" i="65"/>
  <c r="AA85" i="65"/>
  <c r="AB85" i="65"/>
  <c r="AC85" i="65"/>
  <c r="AD85" i="65"/>
  <c r="AE85" i="65"/>
  <c r="T86" i="65"/>
  <c r="U86" i="65"/>
  <c r="V86" i="65"/>
  <c r="W86" i="65"/>
  <c r="X86" i="65"/>
  <c r="Y86" i="65"/>
  <c r="Z86" i="65"/>
  <c r="AA86" i="65"/>
  <c r="AB86" i="65"/>
  <c r="AC86" i="65"/>
  <c r="AD86" i="65"/>
  <c r="AE86" i="65"/>
  <c r="K87" i="65"/>
  <c r="T87" i="65"/>
  <c r="U87" i="65"/>
  <c r="V87" i="65"/>
  <c r="X87" i="65"/>
  <c r="Y87" i="65"/>
  <c r="Z87" i="65"/>
  <c r="AA87" i="65"/>
  <c r="AB87" i="65"/>
  <c r="AC87" i="65"/>
  <c r="AD87" i="65"/>
  <c r="AE87" i="65"/>
  <c r="T88" i="65"/>
  <c r="U88" i="65"/>
  <c r="V88" i="65"/>
  <c r="X88" i="65"/>
  <c r="Y88" i="65"/>
  <c r="Z88" i="65"/>
  <c r="AA88" i="65"/>
  <c r="AB88" i="65"/>
  <c r="AC88" i="65"/>
  <c r="AD88" i="65"/>
  <c r="AE88" i="65"/>
  <c r="T89" i="65"/>
  <c r="U89" i="65"/>
  <c r="V89" i="65"/>
  <c r="X89" i="65"/>
  <c r="Y89" i="65"/>
  <c r="Z89" i="65"/>
  <c r="AA89" i="65"/>
  <c r="AB89" i="65"/>
  <c r="AC89" i="65"/>
  <c r="AD89" i="65"/>
  <c r="AE89" i="65"/>
  <c r="T90" i="65"/>
  <c r="U90" i="65"/>
  <c r="V90" i="65"/>
  <c r="X90" i="65"/>
  <c r="Y90" i="65"/>
  <c r="Z90" i="65"/>
  <c r="AA90" i="65"/>
  <c r="AB90" i="65"/>
  <c r="AC90" i="65"/>
  <c r="AD90" i="65"/>
  <c r="AE90" i="65"/>
  <c r="T91" i="65"/>
  <c r="U91" i="65"/>
  <c r="V91" i="65"/>
  <c r="X91" i="65"/>
  <c r="Y91" i="65"/>
  <c r="Z91" i="65"/>
  <c r="AA91" i="65"/>
  <c r="AB91" i="65"/>
  <c r="AC91" i="65"/>
  <c r="AD91" i="65"/>
  <c r="AE91" i="65"/>
  <c r="T92" i="65"/>
  <c r="U92" i="65"/>
  <c r="V92" i="65"/>
  <c r="X92" i="65"/>
  <c r="Y92" i="65"/>
  <c r="Z92" i="65"/>
  <c r="AA92" i="65"/>
  <c r="AB92" i="65"/>
  <c r="AC92" i="65"/>
  <c r="AD92" i="65"/>
  <c r="AE92" i="65"/>
  <c r="T93" i="65"/>
  <c r="U93" i="65"/>
  <c r="V93" i="65"/>
  <c r="X93" i="65"/>
  <c r="Y93" i="65"/>
  <c r="Z93" i="65"/>
  <c r="AA93" i="65"/>
  <c r="AB93" i="65"/>
  <c r="AC93" i="65"/>
  <c r="AD93" i="65"/>
  <c r="AE93" i="65"/>
  <c r="T94" i="65"/>
  <c r="U94" i="65"/>
  <c r="V94" i="65"/>
  <c r="X94" i="65"/>
  <c r="Y94" i="65"/>
  <c r="Z94" i="65"/>
  <c r="AA94" i="65"/>
  <c r="AB94" i="65"/>
  <c r="AC94" i="65"/>
  <c r="AD94" i="65"/>
  <c r="AE94" i="65"/>
  <c r="T95" i="65"/>
  <c r="U95" i="65"/>
  <c r="V95" i="65"/>
  <c r="X95" i="65"/>
  <c r="Y95" i="65"/>
  <c r="Z95" i="65"/>
  <c r="AA95" i="65"/>
  <c r="AB95" i="65"/>
  <c r="AC95" i="65"/>
  <c r="AD95" i="65"/>
  <c r="AE95" i="65"/>
  <c r="T96" i="65"/>
  <c r="U96" i="65"/>
  <c r="V96" i="65"/>
  <c r="X96" i="65"/>
  <c r="Y96" i="65"/>
  <c r="Z96" i="65"/>
  <c r="AA96" i="65"/>
  <c r="AB96" i="65"/>
  <c r="AC96" i="65"/>
  <c r="AD96" i="65"/>
  <c r="AE96" i="65"/>
  <c r="T97" i="65"/>
  <c r="U97" i="65"/>
  <c r="V97" i="65"/>
  <c r="X97" i="65"/>
  <c r="Y97" i="65"/>
  <c r="Z97" i="65"/>
  <c r="AA97" i="65"/>
  <c r="AB97" i="65"/>
  <c r="AC97" i="65"/>
  <c r="AD97" i="65"/>
  <c r="AE97" i="65"/>
  <c r="T98" i="65"/>
  <c r="U98" i="65"/>
  <c r="V98" i="65"/>
  <c r="X98" i="65"/>
  <c r="Y98" i="65"/>
  <c r="Z98" i="65"/>
  <c r="AA98" i="65"/>
  <c r="AB98" i="65"/>
  <c r="AC98" i="65"/>
  <c r="AD98" i="65"/>
  <c r="AE98" i="65"/>
  <c r="T99" i="65"/>
  <c r="U99" i="65"/>
  <c r="V99" i="65"/>
  <c r="X99" i="65"/>
  <c r="Y99" i="65"/>
  <c r="Z99" i="65"/>
  <c r="AA99" i="65"/>
  <c r="AB99" i="65"/>
  <c r="AC99" i="65"/>
  <c r="AD99" i="65"/>
  <c r="AE99" i="65"/>
  <c r="E100" i="65"/>
  <c r="T100" i="65"/>
  <c r="U100" i="65"/>
  <c r="V100" i="65"/>
  <c r="W100" i="65"/>
  <c r="X100" i="65"/>
  <c r="Y100" i="65"/>
  <c r="Z100" i="65"/>
  <c r="AA100" i="65"/>
  <c r="AB100" i="65"/>
  <c r="AC100" i="65"/>
  <c r="AD100" i="65"/>
  <c r="AE100" i="65"/>
  <c r="T101" i="65"/>
  <c r="U101" i="65"/>
  <c r="V101" i="65"/>
  <c r="W101" i="65"/>
  <c r="X101" i="65"/>
  <c r="Y101" i="65"/>
  <c r="Z101" i="65"/>
  <c r="AA101" i="65"/>
  <c r="AB101" i="65"/>
  <c r="AC101" i="65"/>
  <c r="AD101" i="65"/>
  <c r="AE101" i="65"/>
  <c r="T102" i="65"/>
  <c r="U102" i="65"/>
  <c r="V102" i="65"/>
  <c r="W102" i="65"/>
  <c r="X102" i="65"/>
  <c r="Y102" i="65"/>
  <c r="Z102" i="65"/>
  <c r="AA102" i="65"/>
  <c r="AB102" i="65"/>
  <c r="AC102" i="65"/>
  <c r="AD102" i="65"/>
  <c r="AE102" i="65"/>
  <c r="T103" i="65"/>
  <c r="U103" i="65"/>
  <c r="V103" i="65"/>
  <c r="W103" i="65"/>
  <c r="X103" i="65"/>
  <c r="Y103" i="65"/>
  <c r="Z103" i="65"/>
  <c r="AA103" i="65"/>
  <c r="AB103" i="65"/>
  <c r="AC103" i="65"/>
  <c r="AD103" i="65"/>
  <c r="AE103" i="65"/>
  <c r="T104" i="65"/>
  <c r="U104" i="65"/>
  <c r="V104" i="65"/>
  <c r="W104" i="65"/>
  <c r="X104" i="65"/>
  <c r="Y104" i="65"/>
  <c r="Z104" i="65"/>
  <c r="AA104" i="65"/>
  <c r="AB104" i="65"/>
  <c r="AC104" i="65"/>
  <c r="AD104" i="65"/>
  <c r="AE104" i="65"/>
  <c r="T105" i="65"/>
  <c r="U105" i="65"/>
  <c r="V105" i="65"/>
  <c r="W105" i="65"/>
  <c r="X105" i="65"/>
  <c r="Y105" i="65"/>
  <c r="Z105" i="65"/>
  <c r="AA105" i="65"/>
  <c r="AB105" i="65"/>
  <c r="AC105" i="65"/>
  <c r="AD105" i="65"/>
  <c r="AE105" i="65"/>
  <c r="T106" i="65"/>
  <c r="U106" i="65"/>
  <c r="V106" i="65"/>
  <c r="W106" i="65"/>
  <c r="X106" i="65"/>
  <c r="Y106" i="65"/>
  <c r="Z106" i="65"/>
  <c r="AA106" i="65"/>
  <c r="AB106" i="65"/>
  <c r="AC106" i="65"/>
  <c r="AD106" i="65"/>
  <c r="AE106" i="65"/>
  <c r="T107" i="65"/>
  <c r="U107" i="65"/>
  <c r="V107" i="65"/>
  <c r="W107" i="65"/>
  <c r="X107" i="65"/>
  <c r="Y107" i="65"/>
  <c r="Z107" i="65"/>
  <c r="AA107" i="65"/>
  <c r="AB107" i="65"/>
  <c r="AC107" i="65"/>
  <c r="AD107" i="65"/>
  <c r="AE107" i="65"/>
  <c r="T108" i="65"/>
  <c r="U108" i="65"/>
  <c r="V108" i="65"/>
  <c r="W108" i="65"/>
  <c r="X108" i="65"/>
  <c r="Y108" i="65"/>
  <c r="Z108" i="65"/>
  <c r="AA108" i="65"/>
  <c r="AB108" i="65"/>
  <c r="AC108" i="65"/>
  <c r="AD108" i="65"/>
  <c r="AE108" i="65"/>
  <c r="T109" i="65"/>
  <c r="U109" i="65"/>
  <c r="V109" i="65"/>
  <c r="W109" i="65"/>
  <c r="X109" i="65"/>
  <c r="Y109" i="65"/>
  <c r="Z109" i="65"/>
  <c r="AA109" i="65"/>
  <c r="AB109" i="65"/>
  <c r="AC109" i="65"/>
  <c r="AD109" i="65"/>
  <c r="AE109" i="65"/>
  <c r="T110" i="65"/>
  <c r="U110" i="65"/>
  <c r="V110" i="65"/>
  <c r="W110" i="65"/>
  <c r="X110" i="65"/>
  <c r="Y110" i="65"/>
  <c r="Z110" i="65"/>
  <c r="AA110" i="65"/>
  <c r="AB110" i="65"/>
  <c r="AC110" i="65"/>
  <c r="AD110" i="65"/>
  <c r="AE110" i="65"/>
  <c r="T111" i="65"/>
  <c r="U111" i="65"/>
  <c r="V111" i="65"/>
  <c r="W111" i="65"/>
  <c r="X111" i="65"/>
  <c r="Y111" i="65"/>
  <c r="Z111" i="65"/>
  <c r="AA111" i="65"/>
  <c r="AB111" i="65"/>
  <c r="AC111" i="65"/>
  <c r="AD111" i="65"/>
  <c r="AE111" i="65"/>
  <c r="T112" i="65"/>
  <c r="U112" i="65"/>
  <c r="V112" i="65"/>
  <c r="W112" i="65"/>
  <c r="X112" i="65"/>
  <c r="Y112" i="65"/>
  <c r="Z112" i="65"/>
  <c r="AA112" i="65"/>
  <c r="AB112" i="65"/>
  <c r="AC112" i="65"/>
  <c r="AD112" i="65"/>
  <c r="AE112" i="65"/>
  <c r="T113" i="65"/>
  <c r="U113" i="65"/>
  <c r="V113" i="65"/>
  <c r="W113" i="65"/>
  <c r="X113" i="65"/>
  <c r="Y113" i="65"/>
  <c r="Z113" i="65"/>
  <c r="AA113" i="65"/>
  <c r="AB113" i="65"/>
  <c r="AC113" i="65"/>
  <c r="AD113" i="65"/>
  <c r="AE113" i="65"/>
  <c r="T114" i="65"/>
  <c r="U114" i="65"/>
  <c r="V114" i="65"/>
  <c r="W114" i="65"/>
  <c r="X114" i="65"/>
  <c r="Y114" i="65"/>
  <c r="Z114" i="65"/>
  <c r="AA114" i="65"/>
  <c r="AB114" i="65"/>
  <c r="AC114" i="65"/>
  <c r="AD114" i="65"/>
  <c r="AE114" i="65"/>
  <c r="T115" i="65"/>
  <c r="U115" i="65"/>
  <c r="V115" i="65"/>
  <c r="W115" i="65"/>
  <c r="X115" i="65"/>
  <c r="Y115" i="65"/>
  <c r="Z115" i="65"/>
  <c r="AA115" i="65"/>
  <c r="AB115" i="65"/>
  <c r="AC115" i="65"/>
  <c r="AD115" i="65"/>
  <c r="AE115" i="65"/>
  <c r="T116" i="65"/>
  <c r="U116" i="65"/>
  <c r="V116" i="65"/>
  <c r="W116" i="65"/>
  <c r="X116" i="65"/>
  <c r="Y116" i="65"/>
  <c r="Z116" i="65"/>
  <c r="AA116" i="65"/>
  <c r="AB116" i="65"/>
  <c r="AC116" i="65"/>
  <c r="AD116" i="65"/>
  <c r="AE116" i="65"/>
  <c r="T117" i="65"/>
  <c r="U117" i="65"/>
  <c r="V117" i="65"/>
  <c r="W117" i="65"/>
  <c r="X117" i="65"/>
  <c r="Y117" i="65"/>
  <c r="Z117" i="65"/>
  <c r="AA117" i="65"/>
  <c r="AB117" i="65"/>
  <c r="AC117" i="65"/>
  <c r="AD117" i="65"/>
  <c r="AE117" i="65"/>
  <c r="T118" i="65"/>
  <c r="U118" i="65"/>
  <c r="V118" i="65"/>
  <c r="W118" i="65"/>
  <c r="X118" i="65"/>
  <c r="Y118" i="65"/>
  <c r="Z118" i="65"/>
  <c r="AA118" i="65"/>
  <c r="AB118" i="65"/>
  <c r="AC118" i="65"/>
  <c r="AD118" i="65"/>
  <c r="AE118" i="65"/>
  <c r="T119" i="65"/>
  <c r="U119" i="65"/>
  <c r="V119" i="65"/>
  <c r="W119" i="65"/>
  <c r="X119" i="65"/>
  <c r="Y119" i="65"/>
  <c r="Z119" i="65"/>
  <c r="AA119" i="65"/>
  <c r="AB119" i="65"/>
  <c r="AC119" i="65"/>
  <c r="AD119" i="65"/>
  <c r="AE119" i="65"/>
  <c r="T120" i="65"/>
  <c r="U120" i="65"/>
  <c r="V120" i="65"/>
  <c r="W120" i="65"/>
  <c r="X120" i="65"/>
  <c r="Y120" i="65"/>
  <c r="Z120" i="65"/>
  <c r="AA120" i="65"/>
  <c r="AB120" i="65"/>
  <c r="AC120" i="65"/>
  <c r="AD120" i="65"/>
  <c r="AE120" i="65"/>
  <c r="T121" i="65"/>
  <c r="U121" i="65"/>
  <c r="V121" i="65"/>
  <c r="W121" i="65"/>
  <c r="X121" i="65"/>
  <c r="Y121" i="65"/>
  <c r="Z121" i="65"/>
  <c r="AA121" i="65"/>
  <c r="AB121" i="65"/>
  <c r="AC121" i="65"/>
  <c r="AD121" i="65"/>
  <c r="AE121" i="65"/>
  <c r="T122" i="65"/>
  <c r="U122" i="65"/>
  <c r="V122" i="65"/>
  <c r="W122" i="65"/>
  <c r="X122" i="65"/>
  <c r="Y122" i="65"/>
  <c r="Z122" i="65"/>
  <c r="AA122" i="65"/>
  <c r="AB122" i="65"/>
  <c r="AC122" i="65"/>
  <c r="AD122" i="65"/>
  <c r="AE122" i="65"/>
  <c r="T123" i="65"/>
  <c r="U123" i="65"/>
  <c r="V123" i="65"/>
  <c r="W123" i="65"/>
  <c r="X123" i="65"/>
  <c r="Y123" i="65"/>
  <c r="Z123" i="65"/>
  <c r="AA123" i="65"/>
  <c r="AB123" i="65"/>
  <c r="AC123" i="65"/>
  <c r="AD123" i="65"/>
  <c r="AE123" i="65"/>
  <c r="T124" i="65"/>
  <c r="U124" i="65"/>
  <c r="V124" i="65"/>
  <c r="W124" i="65"/>
  <c r="X124" i="65"/>
  <c r="Y124" i="65"/>
  <c r="Z124" i="65"/>
  <c r="AA124" i="65"/>
  <c r="AB124" i="65"/>
  <c r="AC124" i="65"/>
  <c r="AD124" i="65"/>
  <c r="AE124" i="65"/>
  <c r="T125" i="65"/>
  <c r="U125" i="65"/>
  <c r="V125" i="65"/>
  <c r="W125" i="65"/>
  <c r="X125" i="65"/>
  <c r="Y125" i="65"/>
  <c r="Z125" i="65"/>
  <c r="AA125" i="65"/>
  <c r="AB125" i="65"/>
  <c r="AC125" i="65"/>
  <c r="AD125" i="65"/>
  <c r="AE125" i="65"/>
  <c r="T126" i="65"/>
  <c r="U126" i="65"/>
  <c r="V126" i="65"/>
  <c r="W126" i="65"/>
  <c r="X126" i="65"/>
  <c r="Y126" i="65"/>
  <c r="Z126" i="65"/>
  <c r="AA126" i="65"/>
  <c r="AB126" i="65"/>
  <c r="AC126" i="65"/>
  <c r="AD126" i="65"/>
  <c r="AE126" i="65"/>
  <c r="T127" i="65"/>
  <c r="U127" i="65"/>
  <c r="V127" i="65"/>
  <c r="W127" i="65"/>
  <c r="X127" i="65"/>
  <c r="Y127" i="65"/>
  <c r="Z127" i="65"/>
  <c r="AA127" i="65"/>
  <c r="AB127" i="65"/>
  <c r="AC127" i="65"/>
  <c r="AD127" i="65"/>
  <c r="AE127" i="65"/>
  <c r="T128" i="65"/>
  <c r="U128" i="65"/>
  <c r="V128" i="65"/>
  <c r="W128" i="65"/>
  <c r="X128" i="65"/>
  <c r="Y128" i="65"/>
  <c r="Z128" i="65"/>
  <c r="AA128" i="65"/>
  <c r="AB128" i="65"/>
  <c r="AC128" i="65"/>
  <c r="AD128" i="65"/>
  <c r="AE128" i="65"/>
  <c r="T129" i="65"/>
  <c r="U129" i="65"/>
  <c r="V129" i="65"/>
  <c r="W129" i="65"/>
  <c r="X129" i="65"/>
  <c r="Y129" i="65"/>
  <c r="Z129" i="65"/>
  <c r="AA129" i="65"/>
  <c r="AB129" i="65"/>
  <c r="AC129" i="65"/>
  <c r="AD129" i="65"/>
  <c r="AE129" i="65"/>
  <c r="T130" i="65"/>
  <c r="U130" i="65"/>
  <c r="V130" i="65"/>
  <c r="W130" i="65"/>
  <c r="X130" i="65"/>
  <c r="Y130" i="65"/>
  <c r="Z130" i="65"/>
  <c r="AA130" i="65"/>
  <c r="AB130" i="65"/>
  <c r="AC130" i="65"/>
  <c r="AD130" i="65"/>
  <c r="AE130" i="65"/>
  <c r="T131" i="65"/>
  <c r="U131" i="65"/>
  <c r="V131" i="65"/>
  <c r="W131" i="65"/>
  <c r="X131" i="65"/>
  <c r="Y131" i="65"/>
  <c r="Z131" i="65"/>
  <c r="AA131" i="65"/>
  <c r="AB131" i="65"/>
  <c r="AC131" i="65"/>
  <c r="AD131" i="65"/>
  <c r="AE131" i="65"/>
  <c r="T132" i="65"/>
  <c r="U132" i="65"/>
  <c r="V132" i="65"/>
  <c r="W132" i="65"/>
  <c r="X132" i="65"/>
  <c r="Y132" i="65"/>
  <c r="Z132" i="65"/>
  <c r="AA132" i="65"/>
  <c r="AB132" i="65"/>
  <c r="AC132" i="65"/>
  <c r="AD132" i="65"/>
  <c r="AE132" i="65"/>
  <c r="T133" i="65"/>
  <c r="U133" i="65"/>
  <c r="V133" i="65"/>
  <c r="W133" i="65"/>
  <c r="X133" i="65"/>
  <c r="Y133" i="65"/>
  <c r="Z133" i="65"/>
  <c r="AA133" i="65"/>
  <c r="AB133" i="65"/>
  <c r="AC133" i="65"/>
  <c r="AD133" i="65"/>
  <c r="AE133" i="65"/>
  <c r="T134" i="65"/>
  <c r="U134" i="65"/>
  <c r="V134" i="65"/>
  <c r="W134" i="65"/>
  <c r="X134" i="65"/>
  <c r="Y134" i="65"/>
  <c r="Z134" i="65"/>
  <c r="AA134" i="65"/>
  <c r="AB134" i="65"/>
  <c r="AC134" i="65"/>
  <c r="AD134" i="65"/>
  <c r="AE134" i="65"/>
  <c r="T135" i="65"/>
  <c r="U135" i="65"/>
  <c r="V135" i="65"/>
  <c r="W135" i="65"/>
  <c r="X135" i="65"/>
  <c r="Y135" i="65"/>
  <c r="Z135" i="65"/>
  <c r="AA135" i="65"/>
  <c r="AB135" i="65"/>
  <c r="AC135" i="65"/>
  <c r="AD135" i="65"/>
  <c r="AE135" i="65"/>
  <c r="T136" i="65"/>
  <c r="U136" i="65"/>
  <c r="V136" i="65"/>
  <c r="W136" i="65"/>
  <c r="X136" i="65"/>
  <c r="Y136" i="65"/>
  <c r="Z136" i="65"/>
  <c r="AA136" i="65"/>
  <c r="AB136" i="65"/>
  <c r="AC136" i="65"/>
  <c r="AD136" i="65"/>
  <c r="AE136" i="65"/>
  <c r="T137" i="65"/>
  <c r="U137" i="65"/>
  <c r="V137" i="65"/>
  <c r="W137" i="65"/>
  <c r="X137" i="65"/>
  <c r="Y137" i="65"/>
  <c r="Z137" i="65"/>
  <c r="AA137" i="65"/>
  <c r="AB137" i="65"/>
  <c r="AC137" i="65"/>
  <c r="AD137" i="65"/>
  <c r="AE137" i="65"/>
  <c r="T138" i="65"/>
  <c r="U138" i="65"/>
  <c r="V138" i="65"/>
  <c r="W138" i="65"/>
  <c r="X138" i="65"/>
  <c r="Y138" i="65"/>
  <c r="Z138" i="65"/>
  <c r="AA138" i="65"/>
  <c r="AB138" i="65"/>
  <c r="AC138" i="65"/>
  <c r="AD138" i="65"/>
  <c r="AE138" i="65"/>
  <c r="T139" i="65"/>
  <c r="U139" i="65"/>
  <c r="V139" i="65"/>
  <c r="W139" i="65"/>
  <c r="X139" i="65"/>
  <c r="Y139" i="65"/>
  <c r="Z139" i="65"/>
  <c r="AA139" i="65"/>
  <c r="AB139" i="65"/>
  <c r="AC139" i="65"/>
  <c r="AD139" i="65"/>
  <c r="AE139" i="65"/>
  <c r="T140" i="65"/>
  <c r="U140" i="65"/>
  <c r="V140" i="65"/>
  <c r="W140" i="65"/>
  <c r="X140" i="65"/>
  <c r="Y140" i="65"/>
  <c r="Z140" i="65"/>
  <c r="AA140" i="65"/>
  <c r="AB140" i="65"/>
  <c r="AC140" i="65"/>
  <c r="AD140" i="65"/>
  <c r="AE140" i="65"/>
  <c r="T141" i="65"/>
  <c r="U141" i="65"/>
  <c r="V141" i="65"/>
  <c r="W141" i="65"/>
  <c r="X141" i="65"/>
  <c r="Y141" i="65"/>
  <c r="Z141" i="65"/>
  <c r="AA141" i="65"/>
  <c r="AB141" i="65"/>
  <c r="AC141" i="65"/>
  <c r="AD141" i="65"/>
  <c r="AE141" i="65"/>
  <c r="T142" i="65"/>
  <c r="U142" i="65"/>
  <c r="V142" i="65"/>
  <c r="W142" i="65"/>
  <c r="X142" i="65"/>
  <c r="Y142" i="65"/>
  <c r="Z142" i="65"/>
  <c r="AA142" i="65"/>
  <c r="AB142" i="65"/>
  <c r="AC142" i="65"/>
  <c r="AD142" i="65"/>
  <c r="AE142" i="65"/>
  <c r="T143" i="65"/>
  <c r="U143" i="65"/>
  <c r="V143" i="65"/>
  <c r="W143" i="65"/>
  <c r="X143" i="65"/>
  <c r="Y143" i="65"/>
  <c r="Z143" i="65"/>
  <c r="AA143" i="65"/>
  <c r="AB143" i="65"/>
  <c r="AC143" i="65"/>
  <c r="AD143" i="65"/>
  <c r="AE143" i="65"/>
  <c r="T144" i="65"/>
  <c r="U144" i="65"/>
  <c r="V144" i="65"/>
  <c r="W144" i="65"/>
  <c r="X144" i="65"/>
  <c r="Y144" i="65"/>
  <c r="Z144" i="65"/>
  <c r="AA144" i="65"/>
  <c r="AB144" i="65"/>
  <c r="AC144" i="65"/>
  <c r="AD144" i="65"/>
  <c r="AE144" i="65"/>
  <c r="T145" i="65"/>
  <c r="U145" i="65"/>
  <c r="V145" i="65"/>
  <c r="W145" i="65"/>
  <c r="X145" i="65"/>
  <c r="Y145" i="65"/>
  <c r="Z145" i="65"/>
  <c r="AA145" i="65"/>
  <c r="AB145" i="65"/>
  <c r="AC145" i="65"/>
  <c r="AD145" i="65"/>
  <c r="AE145" i="65"/>
  <c r="T146" i="65"/>
  <c r="U146" i="65"/>
  <c r="V146" i="65"/>
  <c r="W146" i="65"/>
  <c r="X146" i="65"/>
  <c r="Y146" i="65"/>
  <c r="Z146" i="65"/>
  <c r="AA146" i="65"/>
  <c r="AB146" i="65"/>
  <c r="AC146" i="65"/>
  <c r="AD146" i="65"/>
  <c r="AE146" i="65"/>
  <c r="T147" i="65"/>
  <c r="U147" i="65"/>
  <c r="V147" i="65"/>
  <c r="W147" i="65"/>
  <c r="X147" i="65"/>
  <c r="Y147" i="65"/>
  <c r="Z147" i="65"/>
  <c r="AA147" i="65"/>
  <c r="AB147" i="65"/>
  <c r="AC147" i="65"/>
  <c r="AD147" i="65"/>
  <c r="AE147" i="65"/>
  <c r="T148" i="65"/>
  <c r="U148" i="65"/>
  <c r="V148" i="65"/>
  <c r="W148" i="65"/>
  <c r="X148" i="65"/>
  <c r="Y148" i="65"/>
  <c r="Z148" i="65"/>
  <c r="AA148" i="65"/>
  <c r="AB148" i="65"/>
  <c r="AC148" i="65"/>
  <c r="AD148" i="65"/>
  <c r="AE148" i="65"/>
  <c r="T149" i="65"/>
  <c r="U149" i="65"/>
  <c r="V149" i="65"/>
  <c r="W149" i="65"/>
  <c r="X149" i="65"/>
  <c r="Y149" i="65"/>
  <c r="Z149" i="65"/>
  <c r="AA149" i="65"/>
  <c r="AB149" i="65"/>
  <c r="AC149" i="65"/>
  <c r="AD149" i="65"/>
  <c r="AE149" i="65"/>
  <c r="T150" i="65"/>
  <c r="U150" i="65"/>
  <c r="V150" i="65"/>
  <c r="W150" i="65"/>
  <c r="X150" i="65"/>
  <c r="Y150" i="65"/>
  <c r="Z150" i="65"/>
  <c r="AA150" i="65"/>
  <c r="AB150" i="65"/>
  <c r="AC150" i="65"/>
  <c r="AD150" i="65"/>
  <c r="AE150" i="65"/>
  <c r="T151" i="65"/>
  <c r="U151" i="65"/>
  <c r="V151" i="65"/>
  <c r="W151" i="65"/>
  <c r="X151" i="65"/>
  <c r="Y151" i="65"/>
  <c r="Z151" i="65"/>
  <c r="AA151" i="65"/>
  <c r="AB151" i="65"/>
  <c r="AC151" i="65"/>
  <c r="AD151" i="65"/>
  <c r="AE151" i="65"/>
  <c r="T152" i="65"/>
  <c r="U152" i="65"/>
  <c r="V152" i="65"/>
  <c r="W152" i="65"/>
  <c r="X152" i="65"/>
  <c r="Y152" i="65"/>
  <c r="Z152" i="65"/>
  <c r="AA152" i="65"/>
  <c r="AB152" i="65"/>
  <c r="AC152" i="65"/>
  <c r="AD152" i="65"/>
  <c r="AE152" i="65"/>
  <c r="T153" i="65"/>
  <c r="U153" i="65"/>
  <c r="V153" i="65"/>
  <c r="W153" i="65"/>
  <c r="X153" i="65"/>
  <c r="Y153" i="65"/>
  <c r="Z153" i="65"/>
  <c r="AA153" i="65"/>
  <c r="AB153" i="65"/>
  <c r="AC153" i="65"/>
  <c r="AD153" i="65"/>
  <c r="AE153" i="65"/>
  <c r="T154" i="65"/>
  <c r="U154" i="65"/>
  <c r="V154" i="65"/>
  <c r="W154" i="65"/>
  <c r="X154" i="65"/>
  <c r="Y154" i="65"/>
  <c r="Z154" i="65"/>
  <c r="AA154" i="65"/>
  <c r="AB154" i="65"/>
  <c r="AC154" i="65"/>
  <c r="AD154" i="65"/>
  <c r="AE154" i="65"/>
  <c r="T155" i="65"/>
  <c r="U155" i="65"/>
  <c r="V155" i="65"/>
  <c r="W155" i="65"/>
  <c r="X155" i="65"/>
  <c r="Y155" i="65"/>
  <c r="Z155" i="65"/>
  <c r="AA155" i="65"/>
  <c r="AB155" i="65"/>
  <c r="AC155" i="65"/>
  <c r="AD155" i="65"/>
  <c r="AE155" i="65"/>
  <c r="T156" i="65"/>
  <c r="U156" i="65"/>
  <c r="V156" i="65"/>
  <c r="W156" i="65"/>
  <c r="X156" i="65"/>
  <c r="Y156" i="65"/>
  <c r="Z156" i="65"/>
  <c r="AA156" i="65"/>
  <c r="AB156" i="65"/>
  <c r="AC156" i="65"/>
  <c r="AD156" i="65"/>
  <c r="AE156" i="65"/>
  <c r="T157" i="65"/>
  <c r="U157" i="65"/>
  <c r="V157" i="65"/>
  <c r="W157" i="65"/>
  <c r="X157" i="65"/>
  <c r="Y157" i="65"/>
  <c r="Z157" i="65"/>
  <c r="AA157" i="65"/>
  <c r="AB157" i="65"/>
  <c r="AC157" i="65"/>
  <c r="AD157" i="65"/>
  <c r="AE157" i="65"/>
  <c r="T158" i="65"/>
  <c r="U158" i="65"/>
  <c r="V158" i="65"/>
  <c r="W158" i="65"/>
  <c r="X158" i="65"/>
  <c r="Y158" i="65"/>
  <c r="Z158" i="65"/>
  <c r="AA158" i="65"/>
  <c r="AB158" i="65"/>
  <c r="AC158" i="65"/>
  <c r="AD158" i="65"/>
  <c r="AE158" i="65"/>
  <c r="T159" i="65"/>
  <c r="U159" i="65"/>
  <c r="V159" i="65"/>
  <c r="W159" i="65"/>
  <c r="X159" i="65"/>
  <c r="Y159" i="65"/>
  <c r="Z159" i="65"/>
  <c r="AA159" i="65"/>
  <c r="AB159" i="65"/>
  <c r="AC159" i="65"/>
  <c r="AD159" i="65"/>
  <c r="AE159" i="65"/>
  <c r="T160" i="65"/>
  <c r="U160" i="65"/>
  <c r="V160" i="65"/>
  <c r="W160" i="65"/>
  <c r="X160" i="65"/>
  <c r="Y160" i="65"/>
  <c r="Z160" i="65"/>
  <c r="AA160" i="65"/>
  <c r="AB160" i="65"/>
  <c r="AC160" i="65"/>
  <c r="AD160" i="65"/>
  <c r="AE160" i="65"/>
  <c r="T161" i="65"/>
  <c r="U161" i="65"/>
  <c r="V161" i="65"/>
  <c r="W161" i="65"/>
  <c r="X161" i="65"/>
  <c r="Y161" i="65"/>
  <c r="Z161" i="65"/>
  <c r="AA161" i="65"/>
  <c r="AB161" i="65"/>
  <c r="AC161" i="65"/>
  <c r="AD161" i="65"/>
  <c r="AE161" i="65"/>
  <c r="T162" i="65"/>
  <c r="U162" i="65"/>
  <c r="V162" i="65"/>
  <c r="W162" i="65"/>
  <c r="X162" i="65"/>
  <c r="Y162" i="65"/>
  <c r="Z162" i="65"/>
  <c r="AA162" i="65"/>
  <c r="AB162" i="65"/>
  <c r="AC162" i="65"/>
  <c r="AD162" i="65"/>
  <c r="AE162" i="65"/>
  <c r="T163" i="65"/>
  <c r="U163" i="65"/>
  <c r="V163" i="65"/>
  <c r="W163" i="65"/>
  <c r="X163" i="65"/>
  <c r="Y163" i="65"/>
  <c r="Z163" i="65"/>
  <c r="AA163" i="65"/>
  <c r="AB163" i="65"/>
  <c r="AC163" i="65"/>
  <c r="AD163" i="65"/>
  <c r="AE163" i="65"/>
  <c r="T164" i="65"/>
  <c r="U164" i="65"/>
  <c r="V164" i="65"/>
  <c r="W164" i="65"/>
  <c r="X164" i="65"/>
  <c r="Y164" i="65"/>
  <c r="Z164" i="65"/>
  <c r="AA164" i="65"/>
  <c r="AB164" i="65"/>
  <c r="AC164" i="65"/>
  <c r="AD164" i="65"/>
  <c r="AE164" i="65"/>
  <c r="T165" i="65"/>
  <c r="U165" i="65"/>
  <c r="V165" i="65"/>
  <c r="W165" i="65"/>
  <c r="X165" i="65"/>
  <c r="Y165" i="65"/>
  <c r="Z165" i="65"/>
  <c r="AA165" i="65"/>
  <c r="AB165" i="65"/>
  <c r="AC165" i="65"/>
  <c r="AD165" i="65"/>
  <c r="AE165" i="65"/>
  <c r="T166" i="65"/>
  <c r="U166" i="65"/>
  <c r="V166" i="65"/>
  <c r="W166" i="65"/>
  <c r="X166" i="65"/>
  <c r="Y166" i="65"/>
  <c r="Z166" i="65"/>
  <c r="AA166" i="65"/>
  <c r="AB166" i="65"/>
  <c r="AC166" i="65"/>
  <c r="AD166" i="65"/>
  <c r="AE166" i="65"/>
  <c r="T167" i="65"/>
  <c r="U167" i="65"/>
  <c r="V167" i="65"/>
  <c r="W167" i="65"/>
  <c r="X167" i="65"/>
  <c r="Y167" i="65"/>
  <c r="Z167" i="65"/>
  <c r="AA167" i="65"/>
  <c r="AB167" i="65"/>
  <c r="AC167" i="65"/>
  <c r="AD167" i="65"/>
  <c r="AE167" i="65"/>
  <c r="T168" i="65"/>
  <c r="U168" i="65"/>
  <c r="V168" i="65"/>
  <c r="W168" i="65"/>
  <c r="X168" i="65"/>
  <c r="Y168" i="65"/>
  <c r="Z168" i="65"/>
  <c r="AA168" i="65"/>
  <c r="AB168" i="65"/>
  <c r="AC168" i="65"/>
  <c r="AD168" i="65"/>
  <c r="AE168" i="65"/>
  <c r="T169" i="65"/>
  <c r="U169" i="65"/>
  <c r="V169" i="65"/>
  <c r="W169" i="65"/>
  <c r="X169" i="65"/>
  <c r="Y169" i="65"/>
  <c r="Z169" i="65"/>
  <c r="AA169" i="65"/>
  <c r="AB169" i="65"/>
  <c r="AC169" i="65"/>
  <c r="AD169" i="65"/>
  <c r="AE169" i="65"/>
  <c r="T170" i="65"/>
  <c r="U170" i="65"/>
  <c r="V170" i="65"/>
  <c r="W170" i="65"/>
  <c r="X170" i="65"/>
  <c r="Y170" i="65"/>
  <c r="Z170" i="65"/>
  <c r="AA170" i="65"/>
  <c r="AB170" i="65"/>
  <c r="AC170" i="65"/>
  <c r="AD170" i="65"/>
  <c r="AE170" i="65"/>
  <c r="T171" i="65"/>
  <c r="U171" i="65"/>
  <c r="V171" i="65"/>
  <c r="W171" i="65"/>
  <c r="X171" i="65"/>
  <c r="Y171" i="65"/>
  <c r="Z171" i="65"/>
  <c r="AA171" i="65"/>
  <c r="AB171" i="65"/>
  <c r="AC171" i="65"/>
  <c r="AD171" i="65"/>
  <c r="AE171" i="65"/>
  <c r="T172" i="65"/>
  <c r="U172" i="65"/>
  <c r="V172" i="65"/>
  <c r="W172" i="65"/>
  <c r="X172" i="65"/>
  <c r="Y172" i="65"/>
  <c r="Z172" i="65"/>
  <c r="AA172" i="65"/>
  <c r="AB172" i="65"/>
  <c r="AC172" i="65"/>
  <c r="AD172" i="65"/>
  <c r="AE172" i="65"/>
  <c r="T173" i="65"/>
  <c r="U173" i="65"/>
  <c r="V173" i="65"/>
  <c r="W173" i="65"/>
  <c r="X173" i="65"/>
  <c r="Y173" i="65"/>
  <c r="Z173" i="65"/>
  <c r="AA173" i="65"/>
  <c r="AB173" i="65"/>
  <c r="AC173" i="65"/>
  <c r="AD173" i="65"/>
  <c r="AE173" i="65"/>
  <c r="T174" i="65"/>
  <c r="U174" i="65"/>
  <c r="V174" i="65"/>
  <c r="W174" i="65"/>
  <c r="X174" i="65"/>
  <c r="Y174" i="65"/>
  <c r="Z174" i="65"/>
  <c r="AA174" i="65"/>
  <c r="AB174" i="65"/>
  <c r="AC174" i="65"/>
  <c r="AD174" i="65"/>
  <c r="AE174" i="65"/>
  <c r="T175" i="65"/>
  <c r="U175" i="65"/>
  <c r="V175" i="65"/>
  <c r="W175" i="65"/>
  <c r="X175" i="65"/>
  <c r="Y175" i="65"/>
  <c r="Z175" i="65"/>
  <c r="AA175" i="65"/>
  <c r="AB175" i="65"/>
  <c r="AC175" i="65"/>
  <c r="AD175" i="65"/>
  <c r="AE175" i="65"/>
  <c r="T176" i="65"/>
  <c r="U176" i="65"/>
  <c r="V176" i="65"/>
  <c r="W176" i="65"/>
  <c r="X176" i="65"/>
  <c r="Y176" i="65"/>
  <c r="Z176" i="65"/>
  <c r="AA176" i="65"/>
  <c r="AB176" i="65"/>
  <c r="AC176" i="65"/>
  <c r="AD176" i="65"/>
  <c r="AE176" i="65"/>
  <c r="T177" i="65"/>
  <c r="U177" i="65"/>
  <c r="V177" i="65"/>
  <c r="W177" i="65"/>
  <c r="X177" i="65"/>
  <c r="Y177" i="65"/>
  <c r="Z177" i="65"/>
  <c r="AA177" i="65"/>
  <c r="AB177" i="65"/>
  <c r="AC177" i="65"/>
  <c r="AD177" i="65"/>
  <c r="AE177" i="65"/>
  <c r="T178" i="65"/>
  <c r="U178" i="65"/>
  <c r="V178" i="65"/>
  <c r="W178" i="65"/>
  <c r="X178" i="65"/>
  <c r="Y178" i="65"/>
  <c r="Z178" i="65"/>
  <c r="AA178" i="65"/>
  <c r="AB178" i="65"/>
  <c r="AC178" i="65"/>
  <c r="AD178" i="65"/>
  <c r="AE178" i="65"/>
  <c r="T179" i="65"/>
  <c r="U179" i="65"/>
  <c r="V179" i="65"/>
  <c r="W179" i="65"/>
  <c r="X179" i="65"/>
  <c r="Y179" i="65"/>
  <c r="Z179" i="65"/>
  <c r="AA179" i="65"/>
  <c r="AB179" i="65"/>
  <c r="AC179" i="65"/>
  <c r="AD179" i="65"/>
  <c r="AE179" i="65"/>
  <c r="T180" i="65"/>
  <c r="U180" i="65"/>
  <c r="V180" i="65"/>
  <c r="W180" i="65"/>
  <c r="X180" i="65"/>
  <c r="Y180" i="65"/>
  <c r="Z180" i="65"/>
  <c r="AA180" i="65"/>
  <c r="AB180" i="65"/>
  <c r="AC180" i="65"/>
  <c r="AD180" i="65"/>
  <c r="AE180" i="65"/>
  <c r="T181" i="65"/>
  <c r="U181" i="65"/>
  <c r="V181" i="65"/>
  <c r="W181" i="65"/>
  <c r="X181" i="65"/>
  <c r="Y181" i="65"/>
  <c r="Z181" i="65"/>
  <c r="AA181" i="65"/>
  <c r="AB181" i="65"/>
  <c r="AC181" i="65"/>
  <c r="AD181" i="65"/>
  <c r="AE181" i="65"/>
  <c r="T182" i="65"/>
  <c r="U182" i="65"/>
  <c r="V182" i="65"/>
  <c r="W182" i="65"/>
  <c r="X182" i="65"/>
  <c r="Y182" i="65"/>
  <c r="Z182" i="65"/>
  <c r="AA182" i="65"/>
  <c r="AB182" i="65"/>
  <c r="AC182" i="65"/>
  <c r="AD182" i="65"/>
  <c r="AE182" i="65"/>
  <c r="T183" i="65"/>
  <c r="U183" i="65"/>
  <c r="V183" i="65"/>
  <c r="W183" i="65"/>
  <c r="X183" i="65"/>
  <c r="Y183" i="65"/>
  <c r="Z183" i="65"/>
  <c r="AA183" i="65"/>
  <c r="AB183" i="65"/>
  <c r="AC183" i="65"/>
  <c r="AD183" i="65"/>
  <c r="AE183" i="65"/>
  <c r="T184" i="65"/>
  <c r="U184" i="65"/>
  <c r="V184" i="65"/>
  <c r="W184" i="65"/>
  <c r="X184" i="65"/>
  <c r="Y184" i="65"/>
  <c r="Z184" i="65"/>
  <c r="AA184" i="65"/>
  <c r="AB184" i="65"/>
  <c r="AC184" i="65"/>
  <c r="AD184" i="65"/>
  <c r="AE184" i="65"/>
  <c r="T185" i="65"/>
  <c r="U185" i="65"/>
  <c r="V185" i="65"/>
  <c r="W185" i="65"/>
  <c r="X185" i="65"/>
  <c r="Y185" i="65"/>
  <c r="Z185" i="65"/>
  <c r="AA185" i="65"/>
  <c r="AB185" i="65"/>
  <c r="AC185" i="65"/>
  <c r="AD185" i="65"/>
  <c r="AE185" i="65"/>
  <c r="T186" i="65"/>
  <c r="U186" i="65"/>
  <c r="V186" i="65"/>
  <c r="W186" i="65"/>
  <c r="X186" i="65"/>
  <c r="Y186" i="65"/>
  <c r="Z186" i="65"/>
  <c r="AA186" i="65"/>
  <c r="AB186" i="65"/>
  <c r="AC186" i="65"/>
  <c r="AD186" i="65"/>
  <c r="AE186" i="65"/>
  <c r="T187" i="65"/>
  <c r="U187" i="65"/>
  <c r="V187" i="65"/>
  <c r="W187" i="65"/>
  <c r="X187" i="65"/>
  <c r="Y187" i="65"/>
  <c r="Z187" i="65"/>
  <c r="AA187" i="65"/>
  <c r="AB187" i="65"/>
  <c r="AC187" i="65"/>
  <c r="AD187" i="65"/>
  <c r="AE187" i="65"/>
  <c r="T188" i="65"/>
  <c r="U188" i="65"/>
  <c r="V188" i="65"/>
  <c r="W188" i="65"/>
  <c r="X188" i="65"/>
  <c r="Y188" i="65"/>
  <c r="Z188" i="65"/>
  <c r="AA188" i="65"/>
  <c r="AB188" i="65"/>
  <c r="AC188" i="65"/>
  <c r="AD188" i="65"/>
  <c r="AE188" i="65"/>
  <c r="T189" i="65"/>
  <c r="U189" i="65"/>
  <c r="V189" i="65"/>
  <c r="W189" i="65"/>
  <c r="X189" i="65"/>
  <c r="Y189" i="65"/>
  <c r="Z189" i="65"/>
  <c r="AA189" i="65"/>
  <c r="AB189" i="65"/>
  <c r="AC189" i="65"/>
  <c r="AD189" i="65"/>
  <c r="AE189" i="65"/>
  <c r="T190" i="65"/>
  <c r="U190" i="65"/>
  <c r="V190" i="65"/>
  <c r="W190" i="65"/>
  <c r="X190" i="65"/>
  <c r="Y190" i="65"/>
  <c r="Z190" i="65"/>
  <c r="AA190" i="65"/>
  <c r="AB190" i="65"/>
  <c r="AC190" i="65"/>
  <c r="AD190" i="65"/>
  <c r="AE190" i="65"/>
  <c r="T191" i="65"/>
  <c r="U191" i="65"/>
  <c r="V191" i="65"/>
  <c r="W191" i="65"/>
  <c r="X191" i="65"/>
  <c r="Y191" i="65"/>
  <c r="Z191" i="65"/>
  <c r="AA191" i="65"/>
  <c r="AB191" i="65"/>
  <c r="AC191" i="65"/>
  <c r="AD191" i="65"/>
  <c r="AE191" i="65"/>
  <c r="T192" i="65"/>
  <c r="U192" i="65"/>
  <c r="V192" i="65"/>
  <c r="W192" i="65"/>
  <c r="X192" i="65"/>
  <c r="Y192" i="65"/>
  <c r="Z192" i="65"/>
  <c r="AA192" i="65"/>
  <c r="AB192" i="65"/>
  <c r="AC192" i="65"/>
  <c r="AD192" i="65"/>
  <c r="AE192" i="65"/>
  <c r="T193" i="65"/>
  <c r="U193" i="65"/>
  <c r="V193" i="65"/>
  <c r="W193" i="65"/>
  <c r="X193" i="65"/>
  <c r="Y193" i="65"/>
  <c r="Z193" i="65"/>
  <c r="AA193" i="65"/>
  <c r="AB193" i="65"/>
  <c r="AC193" i="65"/>
  <c r="AD193" i="65"/>
  <c r="AE193" i="65"/>
  <c r="T194" i="65"/>
  <c r="U194" i="65"/>
  <c r="V194" i="65"/>
  <c r="W194" i="65"/>
  <c r="X194" i="65"/>
  <c r="Y194" i="65"/>
  <c r="Z194" i="65"/>
  <c r="AA194" i="65"/>
  <c r="AB194" i="65"/>
  <c r="AC194" i="65"/>
  <c r="AD194" i="65"/>
  <c r="AE194" i="65"/>
  <c r="T195" i="65"/>
  <c r="U195" i="65"/>
  <c r="V195" i="65"/>
  <c r="W195" i="65"/>
  <c r="X195" i="65"/>
  <c r="Y195" i="65"/>
  <c r="Z195" i="65"/>
  <c r="AA195" i="65"/>
  <c r="AB195" i="65"/>
  <c r="AC195" i="65"/>
  <c r="AD195" i="65"/>
  <c r="AE195" i="65"/>
  <c r="T196" i="65"/>
  <c r="U196" i="65"/>
  <c r="V196" i="65"/>
  <c r="W196" i="65"/>
  <c r="X196" i="65"/>
  <c r="Y196" i="65"/>
  <c r="Z196" i="65"/>
  <c r="AA196" i="65"/>
  <c r="AB196" i="65"/>
  <c r="AC196" i="65"/>
  <c r="AD196" i="65"/>
  <c r="AE196" i="65"/>
  <c r="T197" i="65"/>
  <c r="U197" i="65"/>
  <c r="V197" i="65"/>
  <c r="W197" i="65"/>
  <c r="X197" i="65"/>
  <c r="Y197" i="65"/>
  <c r="Z197" i="65"/>
  <c r="AA197" i="65"/>
  <c r="AB197" i="65"/>
  <c r="AC197" i="65"/>
  <c r="AD197" i="65"/>
  <c r="AE197" i="65"/>
  <c r="T198" i="65"/>
  <c r="U198" i="65"/>
  <c r="V198" i="65"/>
  <c r="W198" i="65"/>
  <c r="X198" i="65"/>
  <c r="Y198" i="65"/>
  <c r="Z198" i="65"/>
  <c r="AA198" i="65"/>
  <c r="AB198" i="65"/>
  <c r="AC198" i="65"/>
  <c r="AD198" i="65"/>
  <c r="AE198" i="65"/>
  <c r="T199" i="65"/>
  <c r="U199" i="65"/>
  <c r="V199" i="65"/>
  <c r="W199" i="65"/>
  <c r="X199" i="65"/>
  <c r="Y199" i="65"/>
  <c r="Z199" i="65"/>
  <c r="AA199" i="65"/>
  <c r="AB199" i="65"/>
  <c r="AC199" i="65"/>
  <c r="AD199" i="65"/>
  <c r="AE199" i="65"/>
  <c r="T200" i="65"/>
  <c r="U200" i="65"/>
  <c r="V200" i="65"/>
  <c r="W200" i="65"/>
  <c r="X200" i="65"/>
  <c r="Y200" i="65"/>
  <c r="Z200" i="65"/>
  <c r="AA200" i="65"/>
  <c r="AB200" i="65"/>
  <c r="AC200" i="65"/>
  <c r="AD200" i="65"/>
  <c r="AE200" i="65"/>
  <c r="T201" i="65"/>
  <c r="U201" i="65"/>
  <c r="V201" i="65"/>
  <c r="W201" i="65"/>
  <c r="X201" i="65"/>
  <c r="Y201" i="65"/>
  <c r="Z201" i="65"/>
  <c r="AA201" i="65"/>
  <c r="AB201" i="65"/>
  <c r="AC201" i="65"/>
  <c r="AD201" i="65"/>
  <c r="AE201" i="65"/>
  <c r="T202" i="65"/>
  <c r="U202" i="65"/>
  <c r="V202" i="65"/>
  <c r="W202" i="65"/>
  <c r="X202" i="65"/>
  <c r="Y202" i="65"/>
  <c r="Z202" i="65"/>
  <c r="AA202" i="65"/>
  <c r="AB202" i="65"/>
  <c r="AC202" i="65"/>
  <c r="AD202" i="65"/>
  <c r="AE202" i="65"/>
  <c r="T203" i="65"/>
  <c r="U203" i="65"/>
  <c r="V203" i="65"/>
  <c r="W203" i="65"/>
  <c r="X203" i="65"/>
  <c r="Y203" i="65"/>
  <c r="Z203" i="65"/>
  <c r="AA203" i="65"/>
  <c r="AB203" i="65"/>
  <c r="AC203" i="65"/>
  <c r="AD203" i="65"/>
  <c r="AE203" i="65"/>
  <c r="T204" i="65"/>
  <c r="U204" i="65"/>
  <c r="V204" i="65"/>
  <c r="W204" i="65"/>
  <c r="X204" i="65"/>
  <c r="Y204" i="65"/>
  <c r="Z204" i="65"/>
  <c r="AA204" i="65"/>
  <c r="AB204" i="65"/>
  <c r="AC204" i="65"/>
  <c r="AD204" i="65"/>
  <c r="AE204" i="65"/>
  <c r="T205" i="65"/>
  <c r="U205" i="65"/>
  <c r="V205" i="65"/>
  <c r="W205" i="65"/>
  <c r="X205" i="65"/>
  <c r="Y205" i="65"/>
  <c r="Z205" i="65"/>
  <c r="AA205" i="65"/>
  <c r="AB205" i="65"/>
  <c r="AC205" i="65"/>
  <c r="AD205" i="65"/>
  <c r="AE205" i="65"/>
  <c r="T206" i="65"/>
  <c r="U206" i="65"/>
  <c r="V206" i="65"/>
  <c r="W206" i="65"/>
  <c r="X206" i="65"/>
  <c r="Y206" i="65"/>
  <c r="Z206" i="65"/>
  <c r="AA206" i="65"/>
  <c r="AB206" i="65"/>
  <c r="AC206" i="65"/>
  <c r="AD206" i="65"/>
  <c r="AE206" i="65"/>
  <c r="T207" i="65"/>
  <c r="U207" i="65"/>
  <c r="V207" i="65"/>
  <c r="W207" i="65"/>
  <c r="X207" i="65"/>
  <c r="Y207" i="65"/>
  <c r="Z207" i="65"/>
  <c r="AA207" i="65"/>
  <c r="AB207" i="65"/>
  <c r="AC207" i="65"/>
  <c r="AD207" i="65"/>
  <c r="AE207" i="65"/>
  <c r="T208" i="65"/>
  <c r="U208" i="65"/>
  <c r="V208" i="65"/>
  <c r="W208" i="65"/>
  <c r="X208" i="65"/>
  <c r="Y208" i="65"/>
  <c r="Z208" i="65"/>
  <c r="AA208" i="65"/>
  <c r="AB208" i="65"/>
  <c r="AC208" i="65"/>
  <c r="AD208" i="65"/>
  <c r="AE208" i="65"/>
  <c r="T209" i="65"/>
  <c r="U209" i="65"/>
  <c r="V209" i="65"/>
  <c r="W209" i="65"/>
  <c r="X209" i="65"/>
  <c r="Y209" i="65"/>
  <c r="Z209" i="65"/>
  <c r="AA209" i="65"/>
  <c r="AB209" i="65"/>
  <c r="AC209" i="65"/>
  <c r="AD209" i="65"/>
  <c r="AE209" i="65"/>
  <c r="T210" i="65"/>
  <c r="U210" i="65"/>
  <c r="V210" i="65"/>
  <c r="W210" i="65"/>
  <c r="X210" i="65"/>
  <c r="Y210" i="65"/>
  <c r="Z210" i="65"/>
  <c r="AA210" i="65"/>
  <c r="AB210" i="65"/>
  <c r="AC210" i="65"/>
  <c r="AD210" i="65"/>
  <c r="AE210" i="65"/>
  <c r="T211" i="65"/>
  <c r="U211" i="65"/>
  <c r="V211" i="65"/>
  <c r="W211" i="65"/>
  <c r="X211" i="65"/>
  <c r="Y211" i="65"/>
  <c r="Z211" i="65"/>
  <c r="AA211" i="65"/>
  <c r="AB211" i="65"/>
  <c r="AC211" i="65"/>
  <c r="AD211" i="65"/>
  <c r="AE211" i="65"/>
  <c r="T212" i="65"/>
  <c r="U212" i="65"/>
  <c r="V212" i="65"/>
  <c r="W212" i="65"/>
  <c r="X212" i="65"/>
  <c r="Y212" i="65"/>
  <c r="Z212" i="65"/>
  <c r="AA212" i="65"/>
  <c r="AB212" i="65"/>
  <c r="AC212" i="65"/>
  <c r="AD212" i="65"/>
  <c r="AE212" i="65"/>
  <c r="T213" i="65"/>
  <c r="U213" i="65"/>
  <c r="V213" i="65"/>
  <c r="AF213" i="65" s="1"/>
  <c r="W213" i="65"/>
  <c r="X213" i="65"/>
  <c r="Y213" i="65"/>
  <c r="Z213" i="65"/>
  <c r="AA213" i="65"/>
  <c r="AB213" i="65"/>
  <c r="AC213" i="65"/>
  <c r="AD213" i="65"/>
  <c r="AE213" i="65"/>
  <c r="T214" i="65"/>
  <c r="U214" i="65"/>
  <c r="V214" i="65"/>
  <c r="W214" i="65"/>
  <c r="X214" i="65"/>
  <c r="Y214" i="65"/>
  <c r="Z214" i="65"/>
  <c r="AA214" i="65"/>
  <c r="AB214" i="65"/>
  <c r="AC214" i="65"/>
  <c r="AD214" i="65"/>
  <c r="AE214" i="65"/>
  <c r="T215" i="65"/>
  <c r="U215" i="65"/>
  <c r="V215" i="65"/>
  <c r="W215" i="65"/>
  <c r="X215" i="65"/>
  <c r="Y215" i="65"/>
  <c r="Z215" i="65"/>
  <c r="AA215" i="65"/>
  <c r="AB215" i="65"/>
  <c r="AC215" i="65"/>
  <c r="AD215" i="65"/>
  <c r="AE215" i="65"/>
  <c r="T216" i="65"/>
  <c r="U216" i="65"/>
  <c r="V216" i="65"/>
  <c r="W216" i="65"/>
  <c r="X216" i="65"/>
  <c r="Y216" i="65"/>
  <c r="Z216" i="65"/>
  <c r="AA216" i="65"/>
  <c r="AB216" i="65"/>
  <c r="AC216" i="65"/>
  <c r="AD216" i="65"/>
  <c r="AE216" i="65"/>
  <c r="T217" i="65"/>
  <c r="U217" i="65"/>
  <c r="V217" i="65"/>
  <c r="W217" i="65"/>
  <c r="X217" i="65"/>
  <c r="Y217" i="65"/>
  <c r="Z217" i="65"/>
  <c r="AA217" i="65"/>
  <c r="AB217" i="65"/>
  <c r="AC217" i="65"/>
  <c r="AD217" i="65"/>
  <c r="AE217" i="65"/>
  <c r="T218" i="65"/>
  <c r="U218" i="65"/>
  <c r="V218" i="65"/>
  <c r="W218" i="65"/>
  <c r="X218" i="65"/>
  <c r="Y218" i="65"/>
  <c r="Z218" i="65"/>
  <c r="AA218" i="65"/>
  <c r="AB218" i="65"/>
  <c r="AC218" i="65"/>
  <c r="AD218" i="65"/>
  <c r="AE218" i="65"/>
  <c r="T219" i="65"/>
  <c r="U219" i="65"/>
  <c r="V219" i="65"/>
  <c r="W219" i="65"/>
  <c r="X219" i="65"/>
  <c r="Y219" i="65"/>
  <c r="Z219" i="65"/>
  <c r="AA219" i="65"/>
  <c r="AB219" i="65"/>
  <c r="AC219" i="65"/>
  <c r="AD219" i="65"/>
  <c r="AE219" i="65"/>
  <c r="T220" i="65"/>
  <c r="U220" i="65"/>
  <c r="V220" i="65"/>
  <c r="W220" i="65"/>
  <c r="X220" i="65"/>
  <c r="Y220" i="65"/>
  <c r="Z220" i="65"/>
  <c r="AA220" i="65"/>
  <c r="AB220" i="65"/>
  <c r="AC220" i="65"/>
  <c r="AD220" i="65"/>
  <c r="AE220" i="65"/>
  <c r="T221" i="65"/>
  <c r="U221" i="65"/>
  <c r="V221" i="65"/>
  <c r="W221" i="65"/>
  <c r="X221" i="65"/>
  <c r="Y221" i="65"/>
  <c r="Z221" i="65"/>
  <c r="AA221" i="65"/>
  <c r="AB221" i="65"/>
  <c r="AC221" i="65"/>
  <c r="AD221" i="65"/>
  <c r="AE221" i="65"/>
  <c r="T222" i="65"/>
  <c r="U222" i="65"/>
  <c r="V222" i="65"/>
  <c r="W222" i="65"/>
  <c r="X222" i="65"/>
  <c r="Y222" i="65"/>
  <c r="Z222" i="65"/>
  <c r="AA222" i="65"/>
  <c r="AB222" i="65"/>
  <c r="AC222" i="65"/>
  <c r="AD222" i="65"/>
  <c r="AE222" i="65"/>
  <c r="T223" i="65"/>
  <c r="U223" i="65"/>
  <c r="V223" i="65"/>
  <c r="W223" i="65"/>
  <c r="X223" i="65"/>
  <c r="Y223" i="65"/>
  <c r="Z223" i="65"/>
  <c r="AA223" i="65"/>
  <c r="AB223" i="65"/>
  <c r="AC223" i="65"/>
  <c r="AD223" i="65"/>
  <c r="AE223" i="65"/>
  <c r="T224" i="65"/>
  <c r="U224" i="65"/>
  <c r="V224" i="65"/>
  <c r="W224" i="65"/>
  <c r="X224" i="65"/>
  <c r="Y224" i="65"/>
  <c r="Z224" i="65"/>
  <c r="AA224" i="65"/>
  <c r="AB224" i="65"/>
  <c r="AC224" i="65"/>
  <c r="AD224" i="65"/>
  <c r="AE224" i="65"/>
  <c r="T225" i="65"/>
  <c r="U225" i="65"/>
  <c r="V225" i="65"/>
  <c r="W225" i="65"/>
  <c r="X225" i="65"/>
  <c r="Y225" i="65"/>
  <c r="Z225" i="65"/>
  <c r="AA225" i="65"/>
  <c r="AB225" i="65"/>
  <c r="AC225" i="65"/>
  <c r="AD225" i="65"/>
  <c r="AE225" i="65"/>
  <c r="T226" i="65"/>
  <c r="U226" i="65"/>
  <c r="V226" i="65"/>
  <c r="W226" i="65"/>
  <c r="X226" i="65"/>
  <c r="Y226" i="65"/>
  <c r="Z226" i="65"/>
  <c r="AA226" i="65"/>
  <c r="AB226" i="65"/>
  <c r="AC226" i="65"/>
  <c r="AD226" i="65"/>
  <c r="AE226" i="65"/>
  <c r="T227" i="65"/>
  <c r="U227" i="65"/>
  <c r="V227" i="65"/>
  <c r="W227" i="65"/>
  <c r="X227" i="65"/>
  <c r="Y227" i="65"/>
  <c r="Z227" i="65"/>
  <c r="AA227" i="65"/>
  <c r="AB227" i="65"/>
  <c r="AC227" i="65"/>
  <c r="AD227" i="65"/>
  <c r="AE227" i="65"/>
  <c r="T228" i="65"/>
  <c r="U228" i="65"/>
  <c r="V228" i="65"/>
  <c r="W228" i="65"/>
  <c r="X228" i="65"/>
  <c r="Y228" i="65"/>
  <c r="Z228" i="65"/>
  <c r="AA228" i="65"/>
  <c r="AB228" i="65"/>
  <c r="AC228" i="65"/>
  <c r="AD228" i="65"/>
  <c r="AE228" i="65"/>
  <c r="T229" i="65"/>
  <c r="U229" i="65"/>
  <c r="V229" i="65"/>
  <c r="W229" i="65"/>
  <c r="X229" i="65"/>
  <c r="Y229" i="65"/>
  <c r="Z229" i="65"/>
  <c r="AA229" i="65"/>
  <c r="AB229" i="65"/>
  <c r="AC229" i="65"/>
  <c r="AD229" i="65"/>
  <c r="AE229" i="65"/>
  <c r="T230" i="65"/>
  <c r="U230" i="65"/>
  <c r="V230" i="65"/>
  <c r="W230" i="65"/>
  <c r="X230" i="65"/>
  <c r="Y230" i="65"/>
  <c r="Z230" i="65"/>
  <c r="AA230" i="65"/>
  <c r="AB230" i="65"/>
  <c r="AC230" i="65"/>
  <c r="AD230" i="65"/>
  <c r="AE230" i="65"/>
  <c r="T231" i="65"/>
  <c r="U231" i="65"/>
  <c r="V231" i="65"/>
  <c r="W231" i="65"/>
  <c r="X231" i="65"/>
  <c r="Y231" i="65"/>
  <c r="Z231" i="65"/>
  <c r="AA231" i="65"/>
  <c r="AB231" i="65"/>
  <c r="AC231" i="65"/>
  <c r="AD231" i="65"/>
  <c r="AE231" i="65"/>
  <c r="T232" i="65"/>
  <c r="U232" i="65"/>
  <c r="V232" i="65"/>
  <c r="W232" i="65"/>
  <c r="X232" i="65"/>
  <c r="Y232" i="65"/>
  <c r="Z232" i="65"/>
  <c r="AA232" i="65"/>
  <c r="AB232" i="65"/>
  <c r="AC232" i="65"/>
  <c r="AD232" i="65"/>
  <c r="AE232" i="65"/>
  <c r="T233" i="65"/>
  <c r="U233" i="65"/>
  <c r="V233" i="65"/>
  <c r="W233" i="65"/>
  <c r="X233" i="65"/>
  <c r="Y233" i="65"/>
  <c r="Z233" i="65"/>
  <c r="AA233" i="65"/>
  <c r="AB233" i="65"/>
  <c r="AC233" i="65"/>
  <c r="AD233" i="65"/>
  <c r="AE233" i="65"/>
  <c r="T234" i="65"/>
  <c r="U234" i="65"/>
  <c r="V234" i="65"/>
  <c r="W234" i="65"/>
  <c r="X234" i="65"/>
  <c r="Y234" i="65"/>
  <c r="Z234" i="65"/>
  <c r="AA234" i="65"/>
  <c r="AB234" i="65"/>
  <c r="AC234" i="65"/>
  <c r="AD234" i="65"/>
  <c r="AE234" i="65"/>
  <c r="T235" i="65"/>
  <c r="U235" i="65"/>
  <c r="V235" i="65"/>
  <c r="W235" i="65"/>
  <c r="X235" i="65"/>
  <c r="Y235" i="65"/>
  <c r="Z235" i="65"/>
  <c r="AA235" i="65"/>
  <c r="AB235" i="65"/>
  <c r="AC235" i="65"/>
  <c r="AD235" i="65"/>
  <c r="AE235" i="65"/>
  <c r="T236" i="65"/>
  <c r="U236" i="65"/>
  <c r="V236" i="65"/>
  <c r="W236" i="65"/>
  <c r="X236" i="65"/>
  <c r="Y236" i="65"/>
  <c r="Z236" i="65"/>
  <c r="AA236" i="65"/>
  <c r="AB236" i="65"/>
  <c r="AC236" i="65"/>
  <c r="AD236" i="65"/>
  <c r="AE236" i="65"/>
  <c r="T237" i="65"/>
  <c r="U237" i="65"/>
  <c r="V237" i="65"/>
  <c r="W237" i="65"/>
  <c r="X237" i="65"/>
  <c r="Y237" i="65"/>
  <c r="Z237" i="65"/>
  <c r="AA237" i="65"/>
  <c r="AB237" i="65"/>
  <c r="AC237" i="65"/>
  <c r="AD237" i="65"/>
  <c r="AE237" i="65"/>
  <c r="T238" i="65"/>
  <c r="U238" i="65"/>
  <c r="V238" i="65"/>
  <c r="W238" i="65"/>
  <c r="X238" i="65"/>
  <c r="Y238" i="65"/>
  <c r="Z238" i="65"/>
  <c r="AA238" i="65"/>
  <c r="AB238" i="65"/>
  <c r="AC238" i="65"/>
  <c r="AD238" i="65"/>
  <c r="AE238" i="65"/>
  <c r="T239" i="65"/>
  <c r="U239" i="65"/>
  <c r="V239" i="65"/>
  <c r="W239" i="65"/>
  <c r="X239" i="65"/>
  <c r="Y239" i="65"/>
  <c r="Z239" i="65"/>
  <c r="AA239" i="65"/>
  <c r="AB239" i="65"/>
  <c r="AC239" i="65"/>
  <c r="AD239" i="65"/>
  <c r="AE239" i="65"/>
  <c r="T240" i="65"/>
  <c r="U240" i="65"/>
  <c r="V240" i="65"/>
  <c r="W240" i="65"/>
  <c r="X240" i="65"/>
  <c r="Y240" i="65"/>
  <c r="Z240" i="65"/>
  <c r="AA240" i="65"/>
  <c r="AB240" i="65"/>
  <c r="AC240" i="65"/>
  <c r="AD240" i="65"/>
  <c r="AE240" i="65"/>
  <c r="T241" i="65"/>
  <c r="U241" i="65"/>
  <c r="V241" i="65"/>
  <c r="W241" i="65"/>
  <c r="X241" i="65"/>
  <c r="Y241" i="65"/>
  <c r="Z241" i="65"/>
  <c r="AA241" i="65"/>
  <c r="AB241" i="65"/>
  <c r="AC241" i="65"/>
  <c r="AD241" i="65"/>
  <c r="AE241" i="65"/>
  <c r="T242" i="65"/>
  <c r="U242" i="65"/>
  <c r="V242" i="65"/>
  <c r="W242" i="65"/>
  <c r="X242" i="65"/>
  <c r="Y242" i="65"/>
  <c r="Z242" i="65"/>
  <c r="AA242" i="65"/>
  <c r="AB242" i="65"/>
  <c r="AC242" i="65"/>
  <c r="AD242" i="65"/>
  <c r="AE242" i="65"/>
  <c r="T243" i="65"/>
  <c r="U243" i="65"/>
  <c r="V243" i="65"/>
  <c r="W243" i="65"/>
  <c r="X243" i="65"/>
  <c r="Y243" i="65"/>
  <c r="Z243" i="65"/>
  <c r="AA243" i="65"/>
  <c r="AB243" i="65"/>
  <c r="AC243" i="65"/>
  <c r="AD243" i="65"/>
  <c r="AE243" i="65"/>
  <c r="T244" i="65"/>
  <c r="U244" i="65"/>
  <c r="V244" i="65"/>
  <c r="W244" i="65"/>
  <c r="X244" i="65"/>
  <c r="Y244" i="65"/>
  <c r="Z244" i="65"/>
  <c r="AA244" i="65"/>
  <c r="AB244" i="65"/>
  <c r="AC244" i="65"/>
  <c r="AD244" i="65"/>
  <c r="AE244" i="65"/>
  <c r="T245" i="65"/>
  <c r="U245" i="65"/>
  <c r="V245" i="65"/>
  <c r="W245" i="65"/>
  <c r="X245" i="65"/>
  <c r="Y245" i="65"/>
  <c r="Z245" i="65"/>
  <c r="AA245" i="65"/>
  <c r="AB245" i="65"/>
  <c r="AC245" i="65"/>
  <c r="AD245" i="65"/>
  <c r="AE245" i="65"/>
  <c r="T246" i="65"/>
  <c r="U246" i="65"/>
  <c r="V246" i="65"/>
  <c r="W246" i="65"/>
  <c r="X246" i="65"/>
  <c r="Y246" i="65"/>
  <c r="Z246" i="65"/>
  <c r="AA246" i="65"/>
  <c r="AB246" i="65"/>
  <c r="AC246" i="65"/>
  <c r="AD246" i="65"/>
  <c r="AE246" i="65"/>
  <c r="T247" i="65"/>
  <c r="U247" i="65"/>
  <c r="V247" i="65"/>
  <c r="W247" i="65"/>
  <c r="X247" i="65"/>
  <c r="Y247" i="65"/>
  <c r="Z247" i="65"/>
  <c r="AA247" i="65"/>
  <c r="AB247" i="65"/>
  <c r="AC247" i="65"/>
  <c r="AD247" i="65"/>
  <c r="AE247" i="65"/>
  <c r="T248" i="65"/>
  <c r="U248" i="65"/>
  <c r="V248" i="65"/>
  <c r="W248" i="65"/>
  <c r="X248" i="65"/>
  <c r="Y248" i="65"/>
  <c r="Z248" i="65"/>
  <c r="AA248" i="65"/>
  <c r="AB248" i="65"/>
  <c r="AC248" i="65"/>
  <c r="AD248" i="65"/>
  <c r="AE248" i="65"/>
  <c r="T249" i="65"/>
  <c r="U249" i="65"/>
  <c r="V249" i="65"/>
  <c r="W249" i="65"/>
  <c r="X249" i="65"/>
  <c r="Y249" i="65"/>
  <c r="Z249" i="65"/>
  <c r="AA249" i="65"/>
  <c r="AB249" i="65"/>
  <c r="AC249" i="65"/>
  <c r="AD249" i="65"/>
  <c r="AE249" i="65"/>
  <c r="T250" i="65"/>
  <c r="U250" i="65"/>
  <c r="V250" i="65"/>
  <c r="W250" i="65"/>
  <c r="X250" i="65"/>
  <c r="Y250" i="65"/>
  <c r="Z250" i="65"/>
  <c r="AA250" i="65"/>
  <c r="AB250" i="65"/>
  <c r="AC250" i="65"/>
  <c r="AD250" i="65"/>
  <c r="AE250" i="65"/>
  <c r="T251" i="65"/>
  <c r="U251" i="65"/>
  <c r="V251" i="65"/>
  <c r="W251" i="65"/>
  <c r="X251" i="65"/>
  <c r="Y251" i="65"/>
  <c r="Z251" i="65"/>
  <c r="AA251" i="65"/>
  <c r="AB251" i="65"/>
  <c r="AC251" i="65"/>
  <c r="AD251" i="65"/>
  <c r="AE251" i="65"/>
  <c r="T252" i="65"/>
  <c r="U252" i="65"/>
  <c r="V252" i="65"/>
  <c r="W252" i="65"/>
  <c r="X252" i="65"/>
  <c r="Y252" i="65"/>
  <c r="Z252" i="65"/>
  <c r="AA252" i="65"/>
  <c r="AB252" i="65"/>
  <c r="AC252" i="65"/>
  <c r="AD252" i="65"/>
  <c r="AE252" i="65"/>
  <c r="T253" i="65"/>
  <c r="U253" i="65"/>
  <c r="V253" i="65"/>
  <c r="W253" i="65"/>
  <c r="X253" i="65"/>
  <c r="Y253" i="65"/>
  <c r="Z253" i="65"/>
  <c r="AA253" i="65"/>
  <c r="AB253" i="65"/>
  <c r="AC253" i="65"/>
  <c r="AD253" i="65"/>
  <c r="AE253" i="65"/>
  <c r="T254" i="65"/>
  <c r="U254" i="65"/>
  <c r="V254" i="65"/>
  <c r="W254" i="65"/>
  <c r="X254" i="65"/>
  <c r="Y254" i="65"/>
  <c r="Z254" i="65"/>
  <c r="AA254" i="65"/>
  <c r="AB254" i="65"/>
  <c r="AC254" i="65"/>
  <c r="AD254" i="65"/>
  <c r="AE254" i="65"/>
  <c r="T255" i="65"/>
  <c r="U255" i="65"/>
  <c r="V255" i="65"/>
  <c r="W255" i="65"/>
  <c r="X255" i="65"/>
  <c r="Y255" i="65"/>
  <c r="Z255" i="65"/>
  <c r="AA255" i="65"/>
  <c r="AB255" i="65"/>
  <c r="AC255" i="65"/>
  <c r="AD255" i="65"/>
  <c r="AE255" i="65"/>
  <c r="T256" i="65"/>
  <c r="U256" i="65"/>
  <c r="V256" i="65"/>
  <c r="W256" i="65"/>
  <c r="X256" i="65"/>
  <c r="Y256" i="65"/>
  <c r="Z256" i="65"/>
  <c r="AA256" i="65"/>
  <c r="AB256" i="65"/>
  <c r="AC256" i="65"/>
  <c r="AD256" i="65"/>
  <c r="AE256" i="65"/>
  <c r="T257" i="65"/>
  <c r="U257" i="65"/>
  <c r="V257" i="65"/>
  <c r="W257" i="65"/>
  <c r="X257" i="65"/>
  <c r="Y257" i="65"/>
  <c r="Z257" i="65"/>
  <c r="AA257" i="65"/>
  <c r="AB257" i="65"/>
  <c r="AC257" i="65"/>
  <c r="AD257" i="65"/>
  <c r="AE257" i="65"/>
  <c r="T258" i="65"/>
  <c r="U258" i="65"/>
  <c r="V258" i="65"/>
  <c r="W258" i="65"/>
  <c r="X258" i="65"/>
  <c r="Y258" i="65"/>
  <c r="Z258" i="65"/>
  <c r="AA258" i="65"/>
  <c r="AB258" i="65"/>
  <c r="AC258" i="65"/>
  <c r="AD258" i="65"/>
  <c r="AE258" i="65"/>
  <c r="T259" i="65"/>
  <c r="U259" i="65"/>
  <c r="V259" i="65"/>
  <c r="W259" i="65"/>
  <c r="X259" i="65"/>
  <c r="Y259" i="65"/>
  <c r="Z259" i="65"/>
  <c r="AA259" i="65"/>
  <c r="AB259" i="65"/>
  <c r="AC259" i="65"/>
  <c r="AD259" i="65"/>
  <c r="AE259" i="65"/>
  <c r="T260" i="65"/>
  <c r="U260" i="65"/>
  <c r="V260" i="65"/>
  <c r="W260" i="65"/>
  <c r="X260" i="65"/>
  <c r="Y260" i="65"/>
  <c r="Z260" i="65"/>
  <c r="AA260" i="65"/>
  <c r="AB260" i="65"/>
  <c r="AC260" i="65"/>
  <c r="AD260" i="65"/>
  <c r="AE260" i="65"/>
  <c r="T261" i="65"/>
  <c r="U261" i="65"/>
  <c r="V261" i="65"/>
  <c r="W261" i="65"/>
  <c r="X261" i="65"/>
  <c r="Y261" i="65"/>
  <c r="Z261" i="65"/>
  <c r="AA261" i="65"/>
  <c r="AB261" i="65"/>
  <c r="AC261" i="65"/>
  <c r="AD261" i="65"/>
  <c r="AE261" i="65"/>
  <c r="T262" i="65"/>
  <c r="U262" i="65"/>
  <c r="V262" i="65"/>
  <c r="W262" i="65"/>
  <c r="X262" i="65"/>
  <c r="Y262" i="65"/>
  <c r="Z262" i="65"/>
  <c r="AA262" i="65"/>
  <c r="AB262" i="65"/>
  <c r="AC262" i="65"/>
  <c r="AD262" i="65"/>
  <c r="AE262" i="65"/>
  <c r="T263" i="65"/>
  <c r="U263" i="65"/>
  <c r="V263" i="65"/>
  <c r="W263" i="65"/>
  <c r="X263" i="65"/>
  <c r="Y263" i="65"/>
  <c r="Z263" i="65"/>
  <c r="AA263" i="65"/>
  <c r="AB263" i="65"/>
  <c r="AC263" i="65"/>
  <c r="AD263" i="65"/>
  <c r="AE263" i="65"/>
  <c r="T264" i="65"/>
  <c r="U264" i="65"/>
  <c r="V264" i="65"/>
  <c r="W264" i="65"/>
  <c r="X264" i="65"/>
  <c r="Y264" i="65"/>
  <c r="Z264" i="65"/>
  <c r="AA264" i="65"/>
  <c r="AB264" i="65"/>
  <c r="AC264" i="65"/>
  <c r="AD264" i="65"/>
  <c r="AE264" i="65"/>
  <c r="T265" i="65"/>
  <c r="U265" i="65"/>
  <c r="V265" i="65"/>
  <c r="W265" i="65"/>
  <c r="X265" i="65"/>
  <c r="Y265" i="65"/>
  <c r="Z265" i="65"/>
  <c r="AA265" i="65"/>
  <c r="AB265" i="65"/>
  <c r="AC265" i="65"/>
  <c r="AD265" i="65"/>
  <c r="AE265" i="65"/>
  <c r="T266" i="65"/>
  <c r="U266" i="65"/>
  <c r="V266" i="65"/>
  <c r="W266" i="65"/>
  <c r="X266" i="65"/>
  <c r="Y266" i="65"/>
  <c r="Z266" i="65"/>
  <c r="AA266" i="65"/>
  <c r="AB266" i="65"/>
  <c r="AC266" i="65"/>
  <c r="AD266" i="65"/>
  <c r="AE266" i="65"/>
  <c r="T267" i="65"/>
  <c r="U267" i="65"/>
  <c r="V267" i="65"/>
  <c r="W267" i="65"/>
  <c r="X267" i="65"/>
  <c r="Y267" i="65"/>
  <c r="Z267" i="65"/>
  <c r="AA267" i="65"/>
  <c r="AB267" i="65"/>
  <c r="AC267" i="65"/>
  <c r="AD267" i="65"/>
  <c r="AE267" i="65"/>
  <c r="T268" i="65"/>
  <c r="U268" i="65"/>
  <c r="V268" i="65"/>
  <c r="W268" i="65"/>
  <c r="X268" i="65"/>
  <c r="Y268" i="65"/>
  <c r="Z268" i="65"/>
  <c r="AA268" i="65"/>
  <c r="AB268" i="65"/>
  <c r="AC268" i="65"/>
  <c r="AD268" i="65"/>
  <c r="AE268" i="65"/>
  <c r="T269" i="65"/>
  <c r="U269" i="65"/>
  <c r="V269" i="65"/>
  <c r="W269" i="65"/>
  <c r="X269" i="65"/>
  <c r="Y269" i="65"/>
  <c r="Z269" i="65"/>
  <c r="AA269" i="65"/>
  <c r="AB269" i="65"/>
  <c r="AC269" i="65"/>
  <c r="AD269" i="65"/>
  <c r="AE269" i="65"/>
  <c r="T270" i="65"/>
  <c r="U270" i="65"/>
  <c r="V270" i="65"/>
  <c r="W270" i="65"/>
  <c r="X270" i="65"/>
  <c r="Y270" i="65"/>
  <c r="Z270" i="65"/>
  <c r="AA270" i="65"/>
  <c r="AB270" i="65"/>
  <c r="AC270" i="65"/>
  <c r="AD270" i="65"/>
  <c r="AE270" i="65"/>
  <c r="T271" i="65"/>
  <c r="U271" i="65"/>
  <c r="V271" i="65"/>
  <c r="W271" i="65"/>
  <c r="X271" i="65"/>
  <c r="Y271" i="65"/>
  <c r="Z271" i="65"/>
  <c r="AA271" i="65"/>
  <c r="AB271" i="65"/>
  <c r="AC271" i="65"/>
  <c r="AD271" i="65"/>
  <c r="AE271" i="65"/>
  <c r="T272" i="65"/>
  <c r="U272" i="65"/>
  <c r="V272" i="65"/>
  <c r="W272" i="65"/>
  <c r="X272" i="65"/>
  <c r="Y272" i="65"/>
  <c r="Z272" i="65"/>
  <c r="AA272" i="65"/>
  <c r="AB272" i="65"/>
  <c r="AC272" i="65"/>
  <c r="AD272" i="65"/>
  <c r="AE272" i="65"/>
  <c r="T273" i="65"/>
  <c r="U273" i="65"/>
  <c r="V273" i="65"/>
  <c r="W273" i="65"/>
  <c r="X273" i="65"/>
  <c r="Y273" i="65"/>
  <c r="Z273" i="65"/>
  <c r="AA273" i="65"/>
  <c r="AB273" i="65"/>
  <c r="AC273" i="65"/>
  <c r="AD273" i="65"/>
  <c r="AE273" i="65"/>
  <c r="T274" i="65"/>
  <c r="U274" i="65"/>
  <c r="V274" i="65"/>
  <c r="W274" i="65"/>
  <c r="X274" i="65"/>
  <c r="Y274" i="65"/>
  <c r="Z274" i="65"/>
  <c r="AA274" i="65"/>
  <c r="AB274" i="65"/>
  <c r="AC274" i="65"/>
  <c r="AD274" i="65"/>
  <c r="AE274" i="65"/>
  <c r="T275" i="65"/>
  <c r="U275" i="65"/>
  <c r="V275" i="65"/>
  <c r="W275" i="65"/>
  <c r="X275" i="65"/>
  <c r="Y275" i="65"/>
  <c r="Z275" i="65"/>
  <c r="AA275" i="65"/>
  <c r="AB275" i="65"/>
  <c r="AC275" i="65"/>
  <c r="AD275" i="65"/>
  <c r="AE275" i="65"/>
  <c r="T276" i="65"/>
  <c r="U276" i="65"/>
  <c r="V276" i="65"/>
  <c r="W276" i="65"/>
  <c r="X276" i="65"/>
  <c r="Y276" i="65"/>
  <c r="Z276" i="65"/>
  <c r="AA276" i="65"/>
  <c r="AB276" i="65"/>
  <c r="AC276" i="65"/>
  <c r="AD276" i="65"/>
  <c r="AE276" i="65"/>
  <c r="T277" i="65"/>
  <c r="U277" i="65"/>
  <c r="V277" i="65"/>
  <c r="W277" i="65"/>
  <c r="X277" i="65"/>
  <c r="Y277" i="65"/>
  <c r="Z277" i="65"/>
  <c r="AA277" i="65"/>
  <c r="AB277" i="65"/>
  <c r="AC277" i="65"/>
  <c r="AD277" i="65"/>
  <c r="AE277" i="65"/>
  <c r="T278" i="65"/>
  <c r="U278" i="65"/>
  <c r="V278" i="65"/>
  <c r="W278" i="65"/>
  <c r="X278" i="65"/>
  <c r="Y278" i="65"/>
  <c r="Z278" i="65"/>
  <c r="AA278" i="65"/>
  <c r="AB278" i="65"/>
  <c r="AC278" i="65"/>
  <c r="AD278" i="65"/>
  <c r="AE278" i="65"/>
  <c r="T279" i="65"/>
  <c r="U279" i="65"/>
  <c r="V279" i="65"/>
  <c r="W279" i="65"/>
  <c r="X279" i="65"/>
  <c r="Y279" i="65"/>
  <c r="Z279" i="65"/>
  <c r="AA279" i="65"/>
  <c r="AB279" i="65"/>
  <c r="AC279" i="65"/>
  <c r="AD279" i="65"/>
  <c r="AE279" i="65"/>
  <c r="T280" i="65"/>
  <c r="U280" i="65"/>
  <c r="V280" i="65"/>
  <c r="W280" i="65"/>
  <c r="X280" i="65"/>
  <c r="Y280" i="65"/>
  <c r="Z280" i="65"/>
  <c r="AA280" i="65"/>
  <c r="AB280" i="65"/>
  <c r="AC280" i="65"/>
  <c r="AD280" i="65"/>
  <c r="AE280" i="65"/>
  <c r="T281" i="65"/>
  <c r="U281" i="65"/>
  <c r="V281" i="65"/>
  <c r="W281" i="65"/>
  <c r="X281" i="65"/>
  <c r="Y281" i="65"/>
  <c r="Z281" i="65"/>
  <c r="AA281" i="65"/>
  <c r="AB281" i="65"/>
  <c r="AC281" i="65"/>
  <c r="AD281" i="65"/>
  <c r="AE281" i="65"/>
  <c r="T282" i="65"/>
  <c r="U282" i="65"/>
  <c r="V282" i="65"/>
  <c r="W282" i="65"/>
  <c r="X282" i="65"/>
  <c r="Y282" i="65"/>
  <c r="Z282" i="65"/>
  <c r="AA282" i="65"/>
  <c r="AB282" i="65"/>
  <c r="AC282" i="65"/>
  <c r="AD282" i="65"/>
  <c r="AE282" i="65"/>
  <c r="T283" i="65"/>
  <c r="U283" i="65"/>
  <c r="V283" i="65"/>
  <c r="W283" i="65"/>
  <c r="X283" i="65"/>
  <c r="Y283" i="65"/>
  <c r="Z283" i="65"/>
  <c r="AA283" i="65"/>
  <c r="AB283" i="65"/>
  <c r="AC283" i="65"/>
  <c r="AD283" i="65"/>
  <c r="AE283" i="65"/>
  <c r="T284" i="65"/>
  <c r="U284" i="65"/>
  <c r="V284" i="65"/>
  <c r="W284" i="65"/>
  <c r="X284" i="65"/>
  <c r="Y284" i="65"/>
  <c r="Z284" i="65"/>
  <c r="AA284" i="65"/>
  <c r="AB284" i="65"/>
  <c r="AC284" i="65"/>
  <c r="AD284" i="65"/>
  <c r="AE284" i="65"/>
  <c r="T285" i="65"/>
  <c r="U285" i="65"/>
  <c r="V285" i="65"/>
  <c r="W285" i="65"/>
  <c r="X285" i="65"/>
  <c r="Y285" i="65"/>
  <c r="Z285" i="65"/>
  <c r="AA285" i="65"/>
  <c r="AB285" i="65"/>
  <c r="AC285" i="65"/>
  <c r="AD285" i="65"/>
  <c r="AE285" i="65"/>
  <c r="T286" i="65"/>
  <c r="U286" i="65"/>
  <c r="V286" i="65"/>
  <c r="W286" i="65"/>
  <c r="X286" i="65"/>
  <c r="Y286" i="65"/>
  <c r="Z286" i="65"/>
  <c r="AA286" i="65"/>
  <c r="AB286" i="65"/>
  <c r="AC286" i="65"/>
  <c r="AD286" i="65"/>
  <c r="AE286" i="65"/>
  <c r="T287" i="65"/>
  <c r="U287" i="65"/>
  <c r="V287" i="65"/>
  <c r="W287" i="65"/>
  <c r="X287" i="65"/>
  <c r="Y287" i="65"/>
  <c r="Z287" i="65"/>
  <c r="AA287" i="65"/>
  <c r="AB287" i="65"/>
  <c r="AC287" i="65"/>
  <c r="AD287" i="65"/>
  <c r="AE287" i="65"/>
  <c r="T288" i="65"/>
  <c r="U288" i="65"/>
  <c r="V288" i="65"/>
  <c r="W288" i="65"/>
  <c r="X288" i="65"/>
  <c r="Y288" i="65"/>
  <c r="Z288" i="65"/>
  <c r="AA288" i="65"/>
  <c r="AB288" i="65"/>
  <c r="AC288" i="65"/>
  <c r="AD288" i="65"/>
  <c r="AE288" i="65"/>
  <c r="T289" i="65"/>
  <c r="U289" i="65"/>
  <c r="V289" i="65"/>
  <c r="W289" i="65"/>
  <c r="X289" i="65"/>
  <c r="Y289" i="65"/>
  <c r="Z289" i="65"/>
  <c r="AA289" i="65"/>
  <c r="AB289" i="65"/>
  <c r="AC289" i="65"/>
  <c r="AD289" i="65"/>
  <c r="AE289" i="65"/>
  <c r="T290" i="65"/>
  <c r="U290" i="65"/>
  <c r="V290" i="65"/>
  <c r="W290" i="65"/>
  <c r="X290" i="65"/>
  <c r="Y290" i="65"/>
  <c r="Z290" i="65"/>
  <c r="AA290" i="65"/>
  <c r="AB290" i="65"/>
  <c r="AC290" i="65"/>
  <c r="AD290" i="65"/>
  <c r="AE290" i="65"/>
  <c r="T291" i="65"/>
  <c r="U291" i="65"/>
  <c r="V291" i="65"/>
  <c r="W291" i="65"/>
  <c r="X291" i="65"/>
  <c r="Y291" i="65"/>
  <c r="Z291" i="65"/>
  <c r="AA291" i="65"/>
  <c r="AB291" i="65"/>
  <c r="AC291" i="65"/>
  <c r="AD291" i="65"/>
  <c r="AE291" i="65"/>
  <c r="T292" i="65"/>
  <c r="U292" i="65"/>
  <c r="V292" i="65"/>
  <c r="W292" i="65"/>
  <c r="X292" i="65"/>
  <c r="Y292" i="65"/>
  <c r="Z292" i="65"/>
  <c r="AA292" i="65"/>
  <c r="AB292" i="65"/>
  <c r="AC292" i="65"/>
  <c r="AD292" i="65"/>
  <c r="AE292" i="65"/>
  <c r="T293" i="65"/>
  <c r="U293" i="65"/>
  <c r="V293" i="65"/>
  <c r="W293" i="65"/>
  <c r="X293" i="65"/>
  <c r="Y293" i="65"/>
  <c r="Z293" i="65"/>
  <c r="AA293" i="65"/>
  <c r="AB293" i="65"/>
  <c r="AC293" i="65"/>
  <c r="AD293" i="65"/>
  <c r="AE293" i="65"/>
  <c r="T294" i="65"/>
  <c r="U294" i="65"/>
  <c r="V294" i="65"/>
  <c r="W294" i="65"/>
  <c r="X294" i="65"/>
  <c r="Y294" i="65"/>
  <c r="Z294" i="65"/>
  <c r="AA294" i="65"/>
  <c r="AB294" i="65"/>
  <c r="AC294" i="65"/>
  <c r="AD294" i="65"/>
  <c r="AE294" i="65"/>
  <c r="T295" i="65"/>
  <c r="U295" i="65"/>
  <c r="V295" i="65"/>
  <c r="W295" i="65"/>
  <c r="X295" i="65"/>
  <c r="Y295" i="65"/>
  <c r="Z295" i="65"/>
  <c r="AA295" i="65"/>
  <c r="AB295" i="65"/>
  <c r="AC295" i="65"/>
  <c r="AD295" i="65"/>
  <c r="AE295" i="65"/>
  <c r="T296" i="65"/>
  <c r="U296" i="65"/>
  <c r="V296" i="65"/>
  <c r="W296" i="65"/>
  <c r="X296" i="65"/>
  <c r="Y296" i="65"/>
  <c r="Z296" i="65"/>
  <c r="AA296" i="65"/>
  <c r="AB296" i="65"/>
  <c r="AC296" i="65"/>
  <c r="AD296" i="65"/>
  <c r="AE296" i="65"/>
  <c r="T297" i="65"/>
  <c r="U297" i="65"/>
  <c r="V297" i="65"/>
  <c r="W297" i="65"/>
  <c r="X297" i="65"/>
  <c r="Y297" i="65"/>
  <c r="Z297" i="65"/>
  <c r="AA297" i="65"/>
  <c r="AB297" i="65"/>
  <c r="AC297" i="65"/>
  <c r="AD297" i="65"/>
  <c r="AE297" i="65"/>
  <c r="T298" i="65"/>
  <c r="U298" i="65"/>
  <c r="V298" i="65"/>
  <c r="W298" i="65"/>
  <c r="X298" i="65"/>
  <c r="Y298" i="65"/>
  <c r="Z298" i="65"/>
  <c r="AA298" i="65"/>
  <c r="AB298" i="65"/>
  <c r="AC298" i="65"/>
  <c r="AD298" i="65"/>
  <c r="AE298" i="65"/>
  <c r="T299" i="65"/>
  <c r="U299" i="65"/>
  <c r="V299" i="65"/>
  <c r="W299" i="65"/>
  <c r="X299" i="65"/>
  <c r="Y299" i="65"/>
  <c r="Z299" i="65"/>
  <c r="AA299" i="65"/>
  <c r="AB299" i="65"/>
  <c r="AC299" i="65"/>
  <c r="AD299" i="65"/>
  <c r="AE299" i="65"/>
  <c r="T300" i="65"/>
  <c r="U300" i="65"/>
  <c r="V300" i="65"/>
  <c r="W300" i="65"/>
  <c r="X300" i="65"/>
  <c r="Y300" i="65"/>
  <c r="Z300" i="65"/>
  <c r="AA300" i="65"/>
  <c r="AB300" i="65"/>
  <c r="AC300" i="65"/>
  <c r="AD300" i="65"/>
  <c r="AE300" i="65"/>
  <c r="T301" i="65"/>
  <c r="U301" i="65"/>
  <c r="V301" i="65"/>
  <c r="W301" i="65"/>
  <c r="X301" i="65"/>
  <c r="Y301" i="65"/>
  <c r="Z301" i="65"/>
  <c r="AA301" i="65"/>
  <c r="AB301" i="65"/>
  <c r="AC301" i="65"/>
  <c r="AD301" i="65"/>
  <c r="AE301" i="65"/>
  <c r="T302" i="65"/>
  <c r="U302" i="65"/>
  <c r="V302" i="65"/>
  <c r="W302" i="65"/>
  <c r="X302" i="65"/>
  <c r="Y302" i="65"/>
  <c r="Z302" i="65"/>
  <c r="AA302" i="65"/>
  <c r="AB302" i="65"/>
  <c r="AC302" i="65"/>
  <c r="AD302" i="65"/>
  <c r="AE302" i="65"/>
  <c r="T303" i="65"/>
  <c r="U303" i="65"/>
  <c r="V303" i="65"/>
  <c r="W303" i="65"/>
  <c r="X303" i="65"/>
  <c r="Y303" i="65"/>
  <c r="Z303" i="65"/>
  <c r="AA303" i="65"/>
  <c r="AB303" i="65"/>
  <c r="AC303" i="65"/>
  <c r="AD303" i="65"/>
  <c r="AE303" i="65"/>
  <c r="T304" i="65"/>
  <c r="U304" i="65"/>
  <c r="V304" i="65"/>
  <c r="W304" i="65"/>
  <c r="X304" i="65"/>
  <c r="Y304" i="65"/>
  <c r="Z304" i="65"/>
  <c r="AA304" i="65"/>
  <c r="AB304" i="65"/>
  <c r="AC304" i="65"/>
  <c r="AD304" i="65"/>
  <c r="AE304" i="65"/>
  <c r="T305" i="65"/>
  <c r="U305" i="65"/>
  <c r="V305" i="65"/>
  <c r="W305" i="65"/>
  <c r="X305" i="65"/>
  <c r="Y305" i="65"/>
  <c r="Z305" i="65"/>
  <c r="AA305" i="65"/>
  <c r="AB305" i="65"/>
  <c r="AC305" i="65"/>
  <c r="AD305" i="65"/>
  <c r="AE305" i="65"/>
  <c r="T306" i="65"/>
  <c r="U306" i="65"/>
  <c r="V306" i="65"/>
  <c r="W306" i="65"/>
  <c r="X306" i="65"/>
  <c r="Y306" i="65"/>
  <c r="Z306" i="65"/>
  <c r="AA306" i="65"/>
  <c r="AB306" i="65"/>
  <c r="AC306" i="65"/>
  <c r="AD306" i="65"/>
  <c r="AE306" i="65"/>
  <c r="T307" i="65"/>
  <c r="U307" i="65"/>
  <c r="V307" i="65"/>
  <c r="W307" i="65"/>
  <c r="X307" i="65"/>
  <c r="Y307" i="65"/>
  <c r="Z307" i="65"/>
  <c r="AA307" i="65"/>
  <c r="AB307" i="65"/>
  <c r="AC307" i="65"/>
  <c r="AD307" i="65"/>
  <c r="AE307" i="65"/>
  <c r="T308" i="65"/>
  <c r="U308" i="65"/>
  <c r="V308" i="65"/>
  <c r="W308" i="65"/>
  <c r="X308" i="65"/>
  <c r="Y308" i="65"/>
  <c r="Z308" i="65"/>
  <c r="AA308" i="65"/>
  <c r="AB308" i="65"/>
  <c r="AC308" i="65"/>
  <c r="AD308" i="65"/>
  <c r="AE308" i="65"/>
  <c r="T309" i="65"/>
  <c r="U309" i="65"/>
  <c r="V309" i="65"/>
  <c r="W309" i="65"/>
  <c r="X309" i="65"/>
  <c r="Y309" i="65"/>
  <c r="Z309" i="65"/>
  <c r="AA309" i="65"/>
  <c r="AB309" i="65"/>
  <c r="AC309" i="65"/>
  <c r="AD309" i="65"/>
  <c r="AE309" i="65"/>
  <c r="T310" i="65"/>
  <c r="U310" i="65"/>
  <c r="V310" i="65"/>
  <c r="W310" i="65"/>
  <c r="X310" i="65"/>
  <c r="Y310" i="65"/>
  <c r="Z310" i="65"/>
  <c r="AA310" i="65"/>
  <c r="AB310" i="65"/>
  <c r="AC310" i="65"/>
  <c r="AD310" i="65"/>
  <c r="AE310" i="65"/>
  <c r="T311" i="65"/>
  <c r="U311" i="65"/>
  <c r="V311" i="65"/>
  <c r="W311" i="65"/>
  <c r="X311" i="65"/>
  <c r="Y311" i="65"/>
  <c r="Z311" i="65"/>
  <c r="AA311" i="65"/>
  <c r="AB311" i="65"/>
  <c r="AC311" i="65"/>
  <c r="AD311" i="65"/>
  <c r="AE311" i="65"/>
  <c r="T312" i="65"/>
  <c r="U312" i="65"/>
  <c r="V312" i="65"/>
  <c r="W312" i="65"/>
  <c r="X312" i="65"/>
  <c r="Y312" i="65"/>
  <c r="Z312" i="65"/>
  <c r="AA312" i="65"/>
  <c r="AB312" i="65"/>
  <c r="AC312" i="65"/>
  <c r="AD312" i="65"/>
  <c r="AE312" i="65"/>
  <c r="T313" i="65"/>
  <c r="U313" i="65"/>
  <c r="V313" i="65"/>
  <c r="W313" i="65"/>
  <c r="X313" i="65"/>
  <c r="Y313" i="65"/>
  <c r="Z313" i="65"/>
  <c r="AA313" i="65"/>
  <c r="AB313" i="65"/>
  <c r="AC313" i="65"/>
  <c r="AD313" i="65"/>
  <c r="AE313" i="65"/>
  <c r="T314" i="65"/>
  <c r="U314" i="65"/>
  <c r="V314" i="65"/>
  <c r="W314" i="65"/>
  <c r="X314" i="65"/>
  <c r="Y314" i="65"/>
  <c r="Z314" i="65"/>
  <c r="AA314" i="65"/>
  <c r="AB314" i="65"/>
  <c r="AC314" i="65"/>
  <c r="AD314" i="65"/>
  <c r="AE314" i="65"/>
  <c r="T315" i="65"/>
  <c r="U315" i="65"/>
  <c r="V315" i="65"/>
  <c r="W315" i="65"/>
  <c r="X315" i="65"/>
  <c r="Y315" i="65"/>
  <c r="Z315" i="65"/>
  <c r="AA315" i="65"/>
  <c r="AB315" i="65"/>
  <c r="AC315" i="65"/>
  <c r="AD315" i="65"/>
  <c r="AE315" i="65"/>
  <c r="T316" i="65"/>
  <c r="U316" i="65"/>
  <c r="V316" i="65"/>
  <c r="W316" i="65"/>
  <c r="X316" i="65"/>
  <c r="Y316" i="65"/>
  <c r="Z316" i="65"/>
  <c r="AA316" i="65"/>
  <c r="AB316" i="65"/>
  <c r="AC316" i="65"/>
  <c r="AD316" i="65"/>
  <c r="AE316" i="65"/>
  <c r="T317" i="65"/>
  <c r="U317" i="65"/>
  <c r="V317" i="65"/>
  <c r="W317" i="65"/>
  <c r="X317" i="65"/>
  <c r="Y317" i="65"/>
  <c r="Z317" i="65"/>
  <c r="AA317" i="65"/>
  <c r="AB317" i="65"/>
  <c r="AC317" i="65"/>
  <c r="AD317" i="65"/>
  <c r="AE317" i="65"/>
  <c r="T318" i="65"/>
  <c r="U318" i="65"/>
  <c r="V318" i="65"/>
  <c r="W318" i="65"/>
  <c r="X318" i="65"/>
  <c r="Y318" i="65"/>
  <c r="Z318" i="65"/>
  <c r="AA318" i="65"/>
  <c r="AB318" i="65"/>
  <c r="AC318" i="65"/>
  <c r="AD318" i="65"/>
  <c r="AE318" i="65"/>
  <c r="T319" i="65"/>
  <c r="U319" i="65"/>
  <c r="V319" i="65"/>
  <c r="W319" i="65"/>
  <c r="X319" i="65"/>
  <c r="Y319" i="65"/>
  <c r="Z319" i="65"/>
  <c r="AA319" i="65"/>
  <c r="AB319" i="65"/>
  <c r="AC319" i="65"/>
  <c r="AD319" i="65"/>
  <c r="AE319" i="65"/>
  <c r="T320" i="65"/>
  <c r="U320" i="65"/>
  <c r="V320" i="65"/>
  <c r="W320" i="65"/>
  <c r="X320" i="65"/>
  <c r="Y320" i="65"/>
  <c r="Z320" i="65"/>
  <c r="AA320" i="65"/>
  <c r="AB320" i="65"/>
  <c r="AC320" i="65"/>
  <c r="AD320" i="65"/>
  <c r="AE320" i="65"/>
  <c r="T321" i="65"/>
  <c r="U321" i="65"/>
  <c r="V321" i="65"/>
  <c r="W321" i="65"/>
  <c r="X321" i="65"/>
  <c r="Y321" i="65"/>
  <c r="Z321" i="65"/>
  <c r="AA321" i="65"/>
  <c r="AB321" i="65"/>
  <c r="AC321" i="65"/>
  <c r="AD321" i="65"/>
  <c r="AE321" i="65"/>
  <c r="T322" i="65"/>
  <c r="U322" i="65"/>
  <c r="V322" i="65"/>
  <c r="W322" i="65"/>
  <c r="X322" i="65"/>
  <c r="Y322" i="65"/>
  <c r="Z322" i="65"/>
  <c r="AA322" i="65"/>
  <c r="AB322" i="65"/>
  <c r="AC322" i="65"/>
  <c r="AD322" i="65"/>
  <c r="AE322" i="65"/>
  <c r="T323" i="65"/>
  <c r="U323" i="65"/>
  <c r="V323" i="65"/>
  <c r="W323" i="65"/>
  <c r="X323" i="65"/>
  <c r="Y323" i="65"/>
  <c r="Z323" i="65"/>
  <c r="AA323" i="65"/>
  <c r="AB323" i="65"/>
  <c r="AC323" i="65"/>
  <c r="AD323" i="65"/>
  <c r="AE323" i="65"/>
  <c r="T324" i="65"/>
  <c r="U324" i="65"/>
  <c r="V324" i="65"/>
  <c r="W324" i="65"/>
  <c r="X324" i="65"/>
  <c r="Y324" i="65"/>
  <c r="Z324" i="65"/>
  <c r="AA324" i="65"/>
  <c r="AB324" i="65"/>
  <c r="AC324" i="65"/>
  <c r="AD324" i="65"/>
  <c r="AE324" i="65"/>
  <c r="T325" i="65"/>
  <c r="U325" i="65"/>
  <c r="V325" i="65"/>
  <c r="W325" i="65"/>
  <c r="X325" i="65"/>
  <c r="Y325" i="65"/>
  <c r="Z325" i="65"/>
  <c r="AA325" i="65"/>
  <c r="AB325" i="65"/>
  <c r="AC325" i="65"/>
  <c r="AD325" i="65"/>
  <c r="AE325" i="65"/>
  <c r="T326" i="65"/>
  <c r="U326" i="65"/>
  <c r="V326" i="65"/>
  <c r="W326" i="65"/>
  <c r="X326" i="65"/>
  <c r="Y326" i="65"/>
  <c r="Z326" i="65"/>
  <c r="AA326" i="65"/>
  <c r="AB326" i="65"/>
  <c r="AC326" i="65"/>
  <c r="AD326" i="65"/>
  <c r="AE326" i="65"/>
  <c r="C9" i="89"/>
  <c r="C10" i="89"/>
  <c r="C14" i="89" s="1"/>
  <c r="O11" i="89"/>
  <c r="O13" i="89"/>
  <c r="C15" i="89"/>
  <c r="A2" i="27"/>
  <c r="A4" i="27"/>
  <c r="C12" i="27"/>
  <c r="C119" i="68"/>
  <c r="C14" i="27"/>
  <c r="C15" i="27"/>
  <c r="C142" i="68"/>
  <c r="E142" i="68"/>
  <c r="C16" i="27"/>
  <c r="C17" i="27"/>
  <c r="C18" i="27"/>
  <c r="C19" i="27"/>
  <c r="C22" i="27"/>
  <c r="C23" i="27"/>
  <c r="C24" i="27"/>
  <c r="C25" i="27"/>
  <c r="C11" i="65" s="1"/>
  <c r="C26" i="27"/>
  <c r="C124" i="68"/>
  <c r="E124" i="68"/>
  <c r="C27" i="27"/>
  <c r="D125" i="68"/>
  <c r="C28" i="27"/>
  <c r="C126" i="68"/>
  <c r="C18" i="34" s="1"/>
  <c r="E18" i="34" s="1"/>
  <c r="F18" i="34"/>
  <c r="C30" i="27"/>
  <c r="C34" i="27"/>
  <c r="C40" i="27"/>
  <c r="C41" i="27"/>
  <c r="C46" i="27"/>
  <c r="C226" i="68" s="1"/>
  <c r="C48" i="27"/>
  <c r="B48" i="27"/>
  <c r="C55" i="27"/>
  <c r="C56" i="27"/>
  <c r="B56" i="27" s="1"/>
  <c r="C57" i="27"/>
  <c r="B57" i="27"/>
  <c r="C58" i="27"/>
  <c r="C59" i="27"/>
  <c r="B59" i="27"/>
  <c r="C61" i="27"/>
  <c r="B61" i="27"/>
  <c r="C63" i="27"/>
  <c r="B63" i="27"/>
  <c r="C64" i="27"/>
  <c r="C263" i="68"/>
  <c r="E263" i="68" s="1"/>
  <c r="C65" i="27"/>
  <c r="C258" i="31" s="1"/>
  <c r="E258" i="31" s="1"/>
  <c r="C66" i="27"/>
  <c r="B66" i="27"/>
  <c r="C67" i="27"/>
  <c r="B67" i="27"/>
  <c r="C68" i="27"/>
  <c r="B68" i="27"/>
  <c r="C71" i="27"/>
  <c r="B71" i="27"/>
  <c r="C72" i="27"/>
  <c r="B72" i="27"/>
  <c r="C73" i="27"/>
  <c r="B73" i="27"/>
  <c r="C74" i="27"/>
  <c r="C239" i="31"/>
  <c r="E239" i="31" s="1"/>
  <c r="E242" i="31" s="1"/>
  <c r="E244" i="31" s="1"/>
  <c r="C77" i="27"/>
  <c r="B77" i="27"/>
  <c r="C79" i="27"/>
  <c r="B79" i="27" s="1"/>
  <c r="C81" i="27"/>
  <c r="E29" i="75"/>
  <c r="C82" i="27"/>
  <c r="B82" i="27" s="1"/>
  <c r="C83" i="27"/>
  <c r="B83" i="27"/>
  <c r="C84" i="27"/>
  <c r="B84" i="27" s="1"/>
  <c r="C85" i="27"/>
  <c r="C86" i="27"/>
  <c r="B86" i="27"/>
  <c r="C87" i="27"/>
  <c r="C88" i="27"/>
  <c r="C90" i="27"/>
  <c r="B90" i="27"/>
  <c r="C91" i="27"/>
  <c r="B91" i="27"/>
  <c r="B94" i="27" s="1"/>
  <c r="C95" i="27"/>
  <c r="C440" i="68" s="1"/>
  <c r="E440" i="68"/>
  <c r="C96" i="27"/>
  <c r="C14" i="47" s="1"/>
  <c r="E14" i="47" s="1"/>
  <c r="F14" i="47" s="1"/>
  <c r="C97" i="27"/>
  <c r="C441" i="68"/>
  <c r="E441" i="68" s="1"/>
  <c r="C98" i="27"/>
  <c r="C99" i="27"/>
  <c r="C443" i="68"/>
  <c r="E443" i="68" s="1"/>
  <c r="C100" i="27"/>
  <c r="C101" i="27"/>
  <c r="C102" i="27"/>
  <c r="C18" i="47" s="1"/>
  <c r="E18" i="47"/>
  <c r="F18" i="47"/>
  <c r="C105" i="27"/>
  <c r="C106" i="27"/>
  <c r="C428" i="68"/>
  <c r="C107" i="27"/>
  <c r="C108" i="27"/>
  <c r="C309" i="31" s="1"/>
  <c r="E309" i="31"/>
  <c r="C109" i="27"/>
  <c r="C110" i="27"/>
  <c r="C115" i="27"/>
  <c r="C116" i="27"/>
  <c r="C120" i="27"/>
  <c r="C12" i="44"/>
  <c r="E12" i="44" s="1"/>
  <c r="C121" i="27"/>
  <c r="C13" i="44"/>
  <c r="E13" i="44"/>
  <c r="C122" i="27"/>
  <c r="C14" i="44"/>
  <c r="E14" i="44"/>
  <c r="F14" i="44"/>
  <c r="C123" i="27"/>
  <c r="C15" i="44"/>
  <c r="C124" i="27"/>
  <c r="C16" i="44"/>
  <c r="C128" i="27"/>
  <c r="B55" i="72"/>
  <c r="C131" i="27"/>
  <c r="C130" i="27"/>
  <c r="C132" i="27"/>
  <c r="C137" i="27"/>
  <c r="C138" i="27"/>
  <c r="C139" i="27"/>
  <c r="C140" i="27"/>
  <c r="C141" i="27"/>
  <c r="C142" i="27"/>
  <c r="C143" i="27"/>
  <c r="C144" i="27"/>
  <c r="C146" i="27"/>
  <c r="C147" i="27"/>
  <c r="C149" i="27"/>
  <c r="C150" i="27"/>
  <c r="C151" i="27"/>
  <c r="C152" i="27"/>
  <c r="C153" i="27"/>
  <c r="C154" i="27"/>
  <c r="C495" i="68"/>
  <c r="U495" i="68"/>
  <c r="C496" i="68"/>
  <c r="U496" i="68" s="1"/>
  <c r="C162" i="27"/>
  <c r="C164" i="27"/>
  <c r="C166" i="27"/>
  <c r="C167" i="27"/>
  <c r="C169" i="27"/>
  <c r="C170" i="27"/>
  <c r="C171" i="27"/>
  <c r="C173" i="27"/>
  <c r="C174" i="27"/>
  <c r="C175" i="27"/>
  <c r="C176" i="27"/>
  <c r="C177" i="27"/>
  <c r="C178" i="27"/>
  <c r="C180" i="27"/>
  <c r="C539" i="68"/>
  <c r="C181" i="27"/>
  <c r="C375" i="31" s="1"/>
  <c r="C182" i="27"/>
  <c r="C183" i="27"/>
  <c r="C184" i="27"/>
  <c r="C186" i="27"/>
  <c r="C187" i="27"/>
  <c r="C188" i="27"/>
  <c r="C191" i="27"/>
  <c r="C543" i="68" s="1"/>
  <c r="C192" i="27"/>
  <c r="C544" i="68"/>
  <c r="C19" i="54"/>
  <c r="C193" i="27"/>
  <c r="C545" i="68" s="1"/>
  <c r="C20" i="54"/>
  <c r="E21" i="54" s="1"/>
  <c r="F21" i="54" s="1"/>
  <c r="C199" i="27"/>
  <c r="C200" i="27"/>
  <c r="C201" i="27"/>
  <c r="C204" i="27"/>
  <c r="C205" i="27"/>
  <c r="C390" i="31"/>
  <c r="C206" i="27"/>
  <c r="C207" i="27"/>
  <c r="C208" i="27"/>
  <c r="C209" i="27"/>
  <c r="C605" i="68" s="1"/>
  <c r="E605" i="68"/>
  <c r="C210" i="27"/>
  <c r="C391" i="31"/>
  <c r="E391" i="31" s="1"/>
  <c r="C212" i="27"/>
  <c r="C392" i="31" s="1"/>
  <c r="E392" i="31" s="1"/>
  <c r="C213" i="27"/>
  <c r="C606" i="68" s="1"/>
  <c r="C11" i="55" s="1"/>
  <c r="C214" i="27"/>
  <c r="C215" i="27"/>
  <c r="C216" i="27"/>
  <c r="C217" i="27"/>
  <c r="C608" i="68"/>
  <c r="C13" i="55" s="1"/>
  <c r="E13" i="55" s="1"/>
  <c r="F13" i="55" s="1"/>
  <c r="C218" i="27"/>
  <c r="C393" i="31"/>
  <c r="E393" i="31" s="1"/>
  <c r="C220" i="27"/>
  <c r="C221" i="27"/>
  <c r="C222" i="27"/>
  <c r="C223" i="27"/>
  <c r="C224" i="27"/>
  <c r="C225" i="27"/>
  <c r="C227" i="27"/>
  <c r="C395" i="31" s="1"/>
  <c r="E395" i="31" s="1"/>
  <c r="C228" i="27"/>
  <c r="C230" i="27"/>
  <c r="C231" i="27"/>
  <c r="C232" i="27"/>
  <c r="C233" i="27"/>
  <c r="C234" i="27"/>
  <c r="C235" i="27"/>
  <c r="C236" i="27"/>
  <c r="C238" i="27"/>
  <c r="C239" i="27"/>
  <c r="C240" i="27"/>
  <c r="C241" i="27"/>
  <c r="C242" i="27"/>
  <c r="C243" i="27"/>
  <c r="C244" i="27"/>
  <c r="C245" i="27"/>
  <c r="C247" i="27"/>
  <c r="C248" i="27"/>
  <c r="C249" i="27"/>
  <c r="C250" i="27"/>
  <c r="C251" i="27"/>
  <c r="C252" i="27"/>
  <c r="C253" i="27"/>
  <c r="C254" i="27"/>
  <c r="C255" i="27"/>
  <c r="C625" i="68" s="1"/>
  <c r="C260" i="27"/>
  <c r="C262" i="27"/>
  <c r="C263" i="27"/>
  <c r="C412" i="31" s="1"/>
  <c r="E412" i="31"/>
  <c r="C264" i="27"/>
  <c r="C265" i="27"/>
  <c r="C266" i="27"/>
  <c r="C268" i="27"/>
  <c r="C269" i="27"/>
  <c r="C271" i="27"/>
  <c r="C272" i="27"/>
  <c r="C415" i="31"/>
  <c r="E415" i="31" s="1"/>
  <c r="C273" i="27"/>
  <c r="C274" i="27"/>
  <c r="C275" i="27"/>
  <c r="C276" i="27"/>
  <c r="C277" i="27"/>
  <c r="C278" i="27"/>
  <c r="C280" i="27"/>
  <c r="C281" i="27"/>
  <c r="C282" i="27"/>
  <c r="C283" i="27"/>
  <c r="C284" i="27"/>
  <c r="C285" i="27"/>
  <c r="C286" i="27"/>
  <c r="C287" i="27"/>
  <c r="C288" i="27"/>
  <c r="C289" i="27"/>
  <c r="C290" i="27"/>
  <c r="C291" i="27"/>
  <c r="C292" i="27"/>
  <c r="C293" i="27"/>
  <c r="C294" i="27"/>
  <c r="C295" i="27"/>
  <c r="C296" i="27"/>
  <c r="C297" i="27"/>
  <c r="C298" i="27"/>
  <c r="C299" i="27"/>
  <c r="C300" i="27"/>
  <c r="C301" i="27"/>
  <c r="C303" i="27"/>
  <c r="C577" i="68" s="1"/>
  <c r="C305" i="27"/>
  <c r="C307" i="27"/>
  <c r="C308" i="27"/>
  <c r="C559" i="68" s="1"/>
  <c r="E559" i="68"/>
  <c r="C309" i="27"/>
  <c r="C315" i="27"/>
  <c r="C317" i="27"/>
  <c r="L1" i="2"/>
  <c r="C4" i="2"/>
  <c r="A6" i="72"/>
  <c r="AW4" i="2"/>
  <c r="BI4" i="2"/>
  <c r="N8" i="2"/>
  <c r="O8" i="2"/>
  <c r="P8" i="2"/>
  <c r="Q8" i="2"/>
  <c r="G29" i="34" s="1"/>
  <c r="R8" i="2"/>
  <c r="H29" i="34" s="1"/>
  <c r="S8" i="2"/>
  <c r="T8" i="2"/>
  <c r="J29" i="34" s="1"/>
  <c r="U8" i="2"/>
  <c r="K29" i="34"/>
  <c r="V8" i="2"/>
  <c r="W8" i="2"/>
  <c r="M29" i="34" s="1"/>
  <c r="X8" i="2"/>
  <c r="Y8" i="2"/>
  <c r="N9" i="2"/>
  <c r="O9" i="2"/>
  <c r="P9" i="2"/>
  <c r="Q9" i="2"/>
  <c r="R9" i="2"/>
  <c r="S9" i="2"/>
  <c r="T9" i="2"/>
  <c r="U9" i="2"/>
  <c r="V9" i="2"/>
  <c r="W9" i="2"/>
  <c r="X9" i="2"/>
  <c r="Y9" i="2"/>
  <c r="N10" i="2"/>
  <c r="O10" i="2"/>
  <c r="P10" i="2"/>
  <c r="Q10" i="2"/>
  <c r="R10" i="2"/>
  <c r="S10" i="2"/>
  <c r="T10" i="2"/>
  <c r="U10" i="2"/>
  <c r="V10" i="2"/>
  <c r="W10" i="2"/>
  <c r="X10" i="2"/>
  <c r="Y10" i="2"/>
  <c r="N11" i="2"/>
  <c r="O11" i="2"/>
  <c r="P11" i="2"/>
  <c r="Q11" i="2"/>
  <c r="R11" i="2"/>
  <c r="S11" i="2"/>
  <c r="T11" i="2"/>
  <c r="U11" i="2"/>
  <c r="V11" i="2"/>
  <c r="W11" i="2"/>
  <c r="X11" i="2"/>
  <c r="Y11" i="2"/>
  <c r="N12" i="2"/>
  <c r="O12" i="2"/>
  <c r="P12" i="2"/>
  <c r="Q12" i="2"/>
  <c r="R12" i="2"/>
  <c r="S12" i="2"/>
  <c r="T12" i="2"/>
  <c r="U12" i="2"/>
  <c r="V12" i="2"/>
  <c r="W12" i="2"/>
  <c r="X12" i="2"/>
  <c r="Y12" i="2"/>
  <c r="N13" i="2"/>
  <c r="Z13" i="2" s="1"/>
  <c r="O13" i="2"/>
  <c r="P13" i="2"/>
  <c r="Q13" i="2"/>
  <c r="R13" i="2"/>
  <c r="S13" i="2"/>
  <c r="T13" i="2"/>
  <c r="U13" i="2"/>
  <c r="V13" i="2"/>
  <c r="W13" i="2"/>
  <c r="X13" i="2"/>
  <c r="Y13" i="2"/>
  <c r="N14" i="2"/>
  <c r="O14" i="2"/>
  <c r="P14" i="2"/>
  <c r="Q14" i="2"/>
  <c r="R14" i="2"/>
  <c r="S14" i="2"/>
  <c r="T14" i="2"/>
  <c r="Z14" i="2" s="1"/>
  <c r="U14" i="2"/>
  <c r="V14" i="2"/>
  <c r="W14" i="2"/>
  <c r="X14" i="2"/>
  <c r="Y14" i="2"/>
  <c r="N15" i="2"/>
  <c r="O15" i="2"/>
  <c r="P15" i="2"/>
  <c r="Q15" i="2"/>
  <c r="R15" i="2"/>
  <c r="S15" i="2"/>
  <c r="T15" i="2"/>
  <c r="U15" i="2"/>
  <c r="V15" i="2"/>
  <c r="W15" i="2"/>
  <c r="X15" i="2"/>
  <c r="Y15" i="2"/>
  <c r="N16" i="2"/>
  <c r="O16" i="2"/>
  <c r="P16" i="2"/>
  <c r="Q16" i="2"/>
  <c r="R16" i="2"/>
  <c r="S16" i="2"/>
  <c r="T16" i="2"/>
  <c r="U16" i="2"/>
  <c r="V16" i="2"/>
  <c r="W16" i="2"/>
  <c r="X16" i="2"/>
  <c r="Y16" i="2"/>
  <c r="N17" i="2"/>
  <c r="O17" i="2"/>
  <c r="P17" i="2"/>
  <c r="Q17" i="2"/>
  <c r="R17" i="2"/>
  <c r="S17" i="2"/>
  <c r="T17" i="2"/>
  <c r="U17" i="2"/>
  <c r="V17" i="2"/>
  <c r="W17" i="2"/>
  <c r="X17" i="2"/>
  <c r="Y17" i="2"/>
  <c r="N18" i="2"/>
  <c r="D31" i="34"/>
  <c r="O18" i="2"/>
  <c r="E31" i="34"/>
  <c r="P18" i="2"/>
  <c r="F31" i="34"/>
  <c r="Q18" i="2"/>
  <c r="G31" i="34"/>
  <c r="R18" i="2"/>
  <c r="H31" i="34"/>
  <c r="S18" i="2"/>
  <c r="T18" i="2"/>
  <c r="J31" i="34" s="1"/>
  <c r="U18" i="2"/>
  <c r="V18" i="2"/>
  <c r="L31" i="34"/>
  <c r="W18" i="2"/>
  <c r="M31" i="34"/>
  <c r="X18" i="2"/>
  <c r="Y18" i="2"/>
  <c r="V78" i="2"/>
  <c r="L34" i="41"/>
  <c r="N19" i="2"/>
  <c r="D32" i="34"/>
  <c r="O19" i="2"/>
  <c r="P19" i="2"/>
  <c r="F32" i="34" s="1"/>
  <c r="Q19" i="2"/>
  <c r="G32" i="34"/>
  <c r="R19" i="2"/>
  <c r="H32" i="34" s="1"/>
  <c r="S19" i="2"/>
  <c r="I32" i="34" s="1"/>
  <c r="T19" i="2"/>
  <c r="J32" i="34" s="1"/>
  <c r="U19" i="2"/>
  <c r="V19" i="2"/>
  <c r="W19" i="2"/>
  <c r="M32" i="34" s="1"/>
  <c r="X19" i="2"/>
  <c r="Y19" i="2"/>
  <c r="O32" i="34"/>
  <c r="N20" i="2"/>
  <c r="O20" i="2"/>
  <c r="P20" i="2"/>
  <c r="F33" i="34" s="1"/>
  <c r="Q20" i="2"/>
  <c r="G33" i="34" s="1"/>
  <c r="R20" i="2"/>
  <c r="H33" i="34"/>
  <c r="S20" i="2"/>
  <c r="I33" i="34" s="1"/>
  <c r="T20" i="2"/>
  <c r="U20" i="2"/>
  <c r="K33" i="34"/>
  <c r="V20" i="2"/>
  <c r="L33" i="34" s="1"/>
  <c r="W20" i="2"/>
  <c r="M33" i="34" s="1"/>
  <c r="X20" i="2"/>
  <c r="N33" i="34" s="1"/>
  <c r="Y20" i="2"/>
  <c r="O33" i="34"/>
  <c r="N21" i="2"/>
  <c r="O21" i="2"/>
  <c r="E34" i="34"/>
  <c r="P21" i="2"/>
  <c r="F34" i="34" s="1"/>
  <c r="Q21" i="2"/>
  <c r="G34" i="34"/>
  <c r="R21" i="2"/>
  <c r="H34" i="34" s="1"/>
  <c r="S21" i="2"/>
  <c r="I34" i="34"/>
  <c r="T21" i="2"/>
  <c r="U21" i="2"/>
  <c r="V21" i="2"/>
  <c r="L34" i="34"/>
  <c r="W21" i="2"/>
  <c r="M34" i="34" s="1"/>
  <c r="X21" i="2"/>
  <c r="N34" i="34"/>
  <c r="Y21" i="2"/>
  <c r="O34" i="34" s="1"/>
  <c r="N22" i="2"/>
  <c r="D35" i="34"/>
  <c r="O22" i="2"/>
  <c r="P22" i="2"/>
  <c r="Q22" i="2"/>
  <c r="R22" i="2"/>
  <c r="S22" i="2"/>
  <c r="T22" i="2"/>
  <c r="U22" i="2"/>
  <c r="K35" i="34"/>
  <c r="V22" i="2"/>
  <c r="W22" i="2"/>
  <c r="X22" i="2"/>
  <c r="N35" i="34"/>
  <c r="Y22" i="2"/>
  <c r="N23" i="2"/>
  <c r="O23" i="2"/>
  <c r="E36" i="34"/>
  <c r="P23" i="2"/>
  <c r="F36" i="34" s="1"/>
  <c r="Q23" i="2"/>
  <c r="R23" i="2"/>
  <c r="H36" i="34"/>
  <c r="S23" i="2"/>
  <c r="I36" i="34" s="1"/>
  <c r="T23" i="2"/>
  <c r="U23" i="2"/>
  <c r="K36" i="34"/>
  <c r="V23" i="2"/>
  <c r="L36" i="34"/>
  <c r="W23" i="2"/>
  <c r="X23" i="2"/>
  <c r="N36" i="34" s="1"/>
  <c r="Y23" i="2"/>
  <c r="T190" i="2"/>
  <c r="N24" i="2"/>
  <c r="O24" i="2"/>
  <c r="E24" i="36"/>
  <c r="E25" i="36"/>
  <c r="P24" i="2"/>
  <c r="Q24" i="2"/>
  <c r="R24" i="2"/>
  <c r="H26" i="35"/>
  <c r="S24" i="2"/>
  <c r="I26" i="35" s="1"/>
  <c r="T24" i="2"/>
  <c r="J26" i="35" s="1"/>
  <c r="U24" i="2"/>
  <c r="K26" i="35" s="1"/>
  <c r="V24" i="2"/>
  <c r="L24" i="36"/>
  <c r="W24" i="2"/>
  <c r="X24" i="2"/>
  <c r="Y24" i="2"/>
  <c r="N25" i="2"/>
  <c r="O25" i="2"/>
  <c r="P25" i="2"/>
  <c r="Q25" i="2"/>
  <c r="R25" i="2"/>
  <c r="S25" i="2"/>
  <c r="T25" i="2"/>
  <c r="U25" i="2"/>
  <c r="V25" i="2"/>
  <c r="W25" i="2"/>
  <c r="X25" i="2"/>
  <c r="Y25" i="2"/>
  <c r="N26" i="2"/>
  <c r="Z26" i="2" s="1"/>
  <c r="O26" i="2"/>
  <c r="P26" i="2"/>
  <c r="Q26" i="2"/>
  <c r="R26" i="2"/>
  <c r="S26" i="2"/>
  <c r="T26" i="2"/>
  <c r="U26" i="2"/>
  <c r="V26" i="2"/>
  <c r="W26" i="2"/>
  <c r="X26" i="2"/>
  <c r="Y26" i="2"/>
  <c r="N27" i="2"/>
  <c r="O27" i="2"/>
  <c r="P27" i="2"/>
  <c r="Q27" i="2"/>
  <c r="R27" i="2"/>
  <c r="S27" i="2"/>
  <c r="T27" i="2"/>
  <c r="U27" i="2"/>
  <c r="V27" i="2"/>
  <c r="W27" i="2"/>
  <c r="X27" i="2"/>
  <c r="Y27" i="2"/>
  <c r="AT27" i="2"/>
  <c r="N28" i="2"/>
  <c r="Z28" i="2" s="1"/>
  <c r="O28" i="2"/>
  <c r="P28" i="2"/>
  <c r="Q28" i="2"/>
  <c r="R28" i="2"/>
  <c r="S28" i="2"/>
  <c r="T28" i="2"/>
  <c r="U28" i="2"/>
  <c r="V28" i="2"/>
  <c r="W28" i="2"/>
  <c r="X28" i="2"/>
  <c r="Y28" i="2"/>
  <c r="N29" i="2"/>
  <c r="O29" i="2"/>
  <c r="P29" i="2"/>
  <c r="Q29" i="2"/>
  <c r="R29" i="2"/>
  <c r="S29" i="2"/>
  <c r="T29" i="2"/>
  <c r="Z29" i="2" s="1"/>
  <c r="U29" i="2"/>
  <c r="V29" i="2"/>
  <c r="W29" i="2"/>
  <c r="X29" i="2"/>
  <c r="Y29" i="2"/>
  <c r="N30" i="2"/>
  <c r="O30" i="2"/>
  <c r="P30" i="2"/>
  <c r="Q30" i="2"/>
  <c r="R30" i="2"/>
  <c r="S30" i="2"/>
  <c r="T30" i="2"/>
  <c r="U30" i="2"/>
  <c r="V30" i="2"/>
  <c r="W30" i="2"/>
  <c r="X30" i="2"/>
  <c r="Y30" i="2"/>
  <c r="N31" i="2"/>
  <c r="O31" i="2"/>
  <c r="P31" i="2"/>
  <c r="Q31" i="2"/>
  <c r="R31" i="2"/>
  <c r="S31" i="2"/>
  <c r="T31" i="2"/>
  <c r="U31" i="2"/>
  <c r="V31" i="2"/>
  <c r="W31" i="2"/>
  <c r="X31" i="2"/>
  <c r="Y31" i="2"/>
  <c r="AT31" i="2"/>
  <c r="N32" i="2"/>
  <c r="Z32" i="2" s="1"/>
  <c r="O32" i="2"/>
  <c r="P32" i="2"/>
  <c r="Q32" i="2"/>
  <c r="R32" i="2"/>
  <c r="S32" i="2"/>
  <c r="T32" i="2"/>
  <c r="U32" i="2"/>
  <c r="V32" i="2"/>
  <c r="W32" i="2"/>
  <c r="X32" i="2"/>
  <c r="Y32" i="2"/>
  <c r="N33" i="2"/>
  <c r="O33" i="2"/>
  <c r="P33" i="2"/>
  <c r="Q33" i="2"/>
  <c r="R33" i="2"/>
  <c r="S33" i="2"/>
  <c r="T33" i="2"/>
  <c r="U33" i="2"/>
  <c r="V33" i="2"/>
  <c r="W33" i="2"/>
  <c r="X33" i="2"/>
  <c r="Y33" i="2"/>
  <c r="N34" i="2"/>
  <c r="O34" i="2"/>
  <c r="P34" i="2"/>
  <c r="Q34" i="2"/>
  <c r="R34" i="2"/>
  <c r="S34" i="2"/>
  <c r="T34" i="2"/>
  <c r="Z34" i="2" s="1"/>
  <c r="U34" i="2"/>
  <c r="V34" i="2"/>
  <c r="W34" i="2"/>
  <c r="X34" i="2"/>
  <c r="Y34" i="2"/>
  <c r="N35" i="2"/>
  <c r="O35" i="2"/>
  <c r="P35" i="2"/>
  <c r="Q35" i="2"/>
  <c r="R35" i="2"/>
  <c r="S35" i="2"/>
  <c r="T35" i="2"/>
  <c r="U35" i="2"/>
  <c r="V35" i="2"/>
  <c r="W35" i="2"/>
  <c r="X35" i="2"/>
  <c r="Y35" i="2"/>
  <c r="N36" i="2"/>
  <c r="Z36" i="2"/>
  <c r="O36" i="2"/>
  <c r="E25" i="35"/>
  <c r="P36" i="2"/>
  <c r="F25" i="35"/>
  <c r="Q36" i="2"/>
  <c r="G25" i="35"/>
  <c r="R36" i="2"/>
  <c r="H25" i="35"/>
  <c r="S36" i="2"/>
  <c r="I25" i="35"/>
  <c r="T36" i="2"/>
  <c r="J25" i="35"/>
  <c r="U36" i="2"/>
  <c r="V36" i="2"/>
  <c r="W36" i="2"/>
  <c r="M25" i="35"/>
  <c r="X36" i="2"/>
  <c r="N25" i="35"/>
  <c r="Y36" i="2"/>
  <c r="O25" i="35"/>
  <c r="N37" i="2"/>
  <c r="O37" i="2"/>
  <c r="P37" i="2"/>
  <c r="Q37" i="2"/>
  <c r="R37" i="2"/>
  <c r="S37" i="2"/>
  <c r="T37" i="2"/>
  <c r="Z37" i="2" s="1"/>
  <c r="U37" i="2"/>
  <c r="V37" i="2"/>
  <c r="W37" i="2"/>
  <c r="X37" i="2"/>
  <c r="Y37" i="2"/>
  <c r="N38" i="2"/>
  <c r="O38" i="2"/>
  <c r="P38" i="2"/>
  <c r="Q38" i="2"/>
  <c r="R38" i="2"/>
  <c r="S38" i="2"/>
  <c r="T38" i="2"/>
  <c r="U38" i="2"/>
  <c r="V38" i="2"/>
  <c r="W38" i="2"/>
  <c r="X38" i="2"/>
  <c r="Y38" i="2"/>
  <c r="N39" i="2"/>
  <c r="O39" i="2"/>
  <c r="P39" i="2"/>
  <c r="Q39" i="2"/>
  <c r="R39" i="2"/>
  <c r="S39" i="2"/>
  <c r="T39" i="2"/>
  <c r="U39" i="2"/>
  <c r="V39" i="2"/>
  <c r="W39" i="2"/>
  <c r="X39" i="2"/>
  <c r="Y39" i="2"/>
  <c r="N40" i="2"/>
  <c r="O40" i="2"/>
  <c r="P40" i="2"/>
  <c r="Q40" i="2"/>
  <c r="R40" i="2"/>
  <c r="S40" i="2"/>
  <c r="T40" i="2"/>
  <c r="U40" i="2"/>
  <c r="V40" i="2"/>
  <c r="W40" i="2"/>
  <c r="X40" i="2"/>
  <c r="Y40" i="2"/>
  <c r="N41" i="2"/>
  <c r="O41" i="2"/>
  <c r="P41" i="2"/>
  <c r="Q41" i="2"/>
  <c r="R41" i="2"/>
  <c r="S41" i="2"/>
  <c r="T41" i="2"/>
  <c r="U41" i="2"/>
  <c r="V41" i="2"/>
  <c r="W41" i="2"/>
  <c r="X41" i="2"/>
  <c r="Y41" i="2"/>
  <c r="N42" i="2"/>
  <c r="Z42" i="2" s="1"/>
  <c r="O42" i="2"/>
  <c r="P42" i="2"/>
  <c r="Q42" i="2"/>
  <c r="R42" i="2"/>
  <c r="S42" i="2"/>
  <c r="T42" i="2"/>
  <c r="U42" i="2"/>
  <c r="V42" i="2"/>
  <c r="W42" i="2"/>
  <c r="X42" i="2"/>
  <c r="Y42" i="2"/>
  <c r="AT42" i="2"/>
  <c r="N43" i="2"/>
  <c r="O43" i="2"/>
  <c r="P43" i="2"/>
  <c r="Q43" i="2"/>
  <c r="R43" i="2"/>
  <c r="S43" i="2"/>
  <c r="T43" i="2"/>
  <c r="U43" i="2"/>
  <c r="V43" i="2"/>
  <c r="W43" i="2"/>
  <c r="X43" i="2"/>
  <c r="Y43" i="2"/>
  <c r="AT43" i="2"/>
  <c r="V268" i="2"/>
  <c r="N44" i="2"/>
  <c r="O44" i="2"/>
  <c r="P44" i="2"/>
  <c r="Q44" i="2"/>
  <c r="R44" i="2"/>
  <c r="S44" i="2"/>
  <c r="T44" i="2"/>
  <c r="U44" i="2"/>
  <c r="V44" i="2"/>
  <c r="W44" i="2"/>
  <c r="X44" i="2"/>
  <c r="Y44" i="2"/>
  <c r="N45" i="2"/>
  <c r="O45" i="2"/>
  <c r="P45" i="2"/>
  <c r="Q45" i="2"/>
  <c r="R45" i="2"/>
  <c r="S45" i="2"/>
  <c r="T45" i="2"/>
  <c r="Z45" i="2" s="1"/>
  <c r="U45" i="2"/>
  <c r="V45" i="2"/>
  <c r="W45" i="2"/>
  <c r="X45" i="2"/>
  <c r="Y45" i="2"/>
  <c r="N46" i="2"/>
  <c r="O46" i="2"/>
  <c r="P46" i="2"/>
  <c r="Z46" i="2" s="1"/>
  <c r="Q46" i="2"/>
  <c r="R46" i="2"/>
  <c r="S46" i="2"/>
  <c r="T46" i="2"/>
  <c r="U46" i="2"/>
  <c r="V46" i="2"/>
  <c r="W46" i="2"/>
  <c r="X46" i="2"/>
  <c r="Y46" i="2"/>
  <c r="N47" i="2"/>
  <c r="O47" i="2"/>
  <c r="P47" i="2"/>
  <c r="Q47" i="2"/>
  <c r="R47" i="2"/>
  <c r="S47" i="2"/>
  <c r="T47" i="2"/>
  <c r="U47" i="2"/>
  <c r="V47" i="2"/>
  <c r="W47" i="2"/>
  <c r="X47" i="2"/>
  <c r="Y47" i="2"/>
  <c r="N48" i="2"/>
  <c r="O48" i="2"/>
  <c r="E23" i="37" s="1"/>
  <c r="E24" i="37"/>
  <c r="P48" i="2"/>
  <c r="F23" i="37"/>
  <c r="F24" i="37" s="1"/>
  <c r="Q48" i="2"/>
  <c r="G23" i="37"/>
  <c r="R48" i="2"/>
  <c r="H23" i="37" s="1"/>
  <c r="S48" i="2"/>
  <c r="I23" i="37" s="1"/>
  <c r="T48" i="2"/>
  <c r="J23" i="37" s="1"/>
  <c r="J24" i="37" s="1"/>
  <c r="U48" i="2"/>
  <c r="K23" i="37" s="1"/>
  <c r="V48" i="2"/>
  <c r="L23" i="37"/>
  <c r="W48" i="2"/>
  <c r="M23" i="37" s="1"/>
  <c r="M24" i="37" s="1"/>
  <c r="X48" i="2"/>
  <c r="N23" i="37" s="1"/>
  <c r="Y48" i="2"/>
  <c r="O23" i="37" s="1"/>
  <c r="N49" i="2"/>
  <c r="O49" i="2"/>
  <c r="P49" i="2"/>
  <c r="Q49" i="2"/>
  <c r="R49" i="2"/>
  <c r="S49" i="2"/>
  <c r="T49" i="2"/>
  <c r="U49" i="2"/>
  <c r="V49" i="2"/>
  <c r="W49" i="2"/>
  <c r="X49" i="2"/>
  <c r="Y49" i="2"/>
  <c r="N50" i="2"/>
  <c r="O50" i="2"/>
  <c r="P50" i="2"/>
  <c r="Q50" i="2"/>
  <c r="R50" i="2"/>
  <c r="S50" i="2"/>
  <c r="T50" i="2"/>
  <c r="Z50" i="2" s="1"/>
  <c r="U50" i="2"/>
  <c r="V50" i="2"/>
  <c r="W50" i="2"/>
  <c r="X50" i="2"/>
  <c r="Y50" i="2"/>
  <c r="N51" i="2"/>
  <c r="O51" i="2"/>
  <c r="P51" i="2"/>
  <c r="Q51" i="2"/>
  <c r="R51" i="2"/>
  <c r="S51" i="2"/>
  <c r="T51" i="2"/>
  <c r="U51" i="2"/>
  <c r="V51" i="2"/>
  <c r="W51" i="2"/>
  <c r="M30" i="38"/>
  <c r="X51" i="2"/>
  <c r="Y51" i="2"/>
  <c r="N52" i="2"/>
  <c r="D23" i="40"/>
  <c r="D24" i="40" s="1"/>
  <c r="O52" i="2"/>
  <c r="P52" i="2"/>
  <c r="Q52" i="2"/>
  <c r="R52" i="2"/>
  <c r="H23" i="40" s="1"/>
  <c r="S52" i="2"/>
  <c r="T52" i="2"/>
  <c r="Z52" i="2" s="1"/>
  <c r="U52" i="2"/>
  <c r="V52" i="2"/>
  <c r="W52" i="2"/>
  <c r="X52" i="2"/>
  <c r="N23" i="40" s="1"/>
  <c r="N24" i="40" s="1"/>
  <c r="Y52" i="2"/>
  <c r="O23" i="40" s="1"/>
  <c r="O24" i="40"/>
  <c r="N53" i="2"/>
  <c r="O53" i="2"/>
  <c r="P53" i="2"/>
  <c r="Q53" i="2"/>
  <c r="R53" i="2"/>
  <c r="S53" i="2"/>
  <c r="T53" i="2"/>
  <c r="Z53" i="2" s="1"/>
  <c r="U53" i="2"/>
  <c r="V53" i="2"/>
  <c r="W53" i="2"/>
  <c r="X53" i="2"/>
  <c r="Y53" i="2"/>
  <c r="N54" i="2"/>
  <c r="O54" i="2"/>
  <c r="P54" i="2"/>
  <c r="Q54" i="2"/>
  <c r="R54" i="2"/>
  <c r="S54" i="2"/>
  <c r="Z54" i="2" s="1"/>
  <c r="T54" i="2"/>
  <c r="U54" i="2"/>
  <c r="V54" i="2"/>
  <c r="W54" i="2"/>
  <c r="X54" i="2"/>
  <c r="Y54" i="2"/>
  <c r="N55" i="2"/>
  <c r="O55" i="2"/>
  <c r="Z55" i="2" s="1"/>
  <c r="P55" i="2"/>
  <c r="Q55" i="2"/>
  <c r="R55" i="2"/>
  <c r="S55" i="2"/>
  <c r="T55" i="2"/>
  <c r="U55" i="2"/>
  <c r="K31" i="38"/>
  <c r="V55" i="2"/>
  <c r="W55" i="2"/>
  <c r="X55" i="2"/>
  <c r="N31" i="38"/>
  <c r="Y55" i="2"/>
  <c r="N56" i="2"/>
  <c r="O56" i="2"/>
  <c r="P56" i="2"/>
  <c r="Q56" i="2"/>
  <c r="R56" i="2"/>
  <c r="S56" i="2"/>
  <c r="T56" i="2"/>
  <c r="U56" i="2"/>
  <c r="V56" i="2"/>
  <c r="W56" i="2"/>
  <c r="X56" i="2"/>
  <c r="Y56" i="2"/>
  <c r="N57" i="2"/>
  <c r="O57" i="2"/>
  <c r="P57" i="2"/>
  <c r="Q57" i="2"/>
  <c r="G30" i="38"/>
  <c r="R57" i="2"/>
  <c r="S57" i="2"/>
  <c r="I30" i="38" s="1"/>
  <c r="T57" i="2"/>
  <c r="U57" i="2"/>
  <c r="V57" i="2"/>
  <c r="W57" i="2"/>
  <c r="X57" i="2"/>
  <c r="Y57" i="2"/>
  <c r="O30" i="38"/>
  <c r="N58" i="2"/>
  <c r="O58" i="2"/>
  <c r="P58" i="2"/>
  <c r="Q58" i="2"/>
  <c r="G31" i="38"/>
  <c r="R58" i="2"/>
  <c r="S58" i="2"/>
  <c r="Z58" i="2" s="1"/>
  <c r="T58" i="2"/>
  <c r="U58" i="2"/>
  <c r="V58" i="2"/>
  <c r="W58" i="2"/>
  <c r="M31" i="38" s="1"/>
  <c r="X58" i="2"/>
  <c r="Y58" i="2"/>
  <c r="N59" i="2"/>
  <c r="O59" i="2"/>
  <c r="P59" i="2"/>
  <c r="Q59" i="2"/>
  <c r="R59" i="2"/>
  <c r="S59" i="2"/>
  <c r="T59" i="2"/>
  <c r="U59" i="2"/>
  <c r="V59" i="2"/>
  <c r="W59" i="2"/>
  <c r="X59" i="2"/>
  <c r="Y59" i="2"/>
  <c r="N60" i="2"/>
  <c r="O60" i="2"/>
  <c r="P60" i="2"/>
  <c r="Q60" i="2"/>
  <c r="R60" i="2"/>
  <c r="S60" i="2"/>
  <c r="T60" i="2"/>
  <c r="U60" i="2"/>
  <c r="V60" i="2"/>
  <c r="W60" i="2"/>
  <c r="X60" i="2"/>
  <c r="Y60" i="2"/>
  <c r="N61" i="2"/>
  <c r="O61" i="2"/>
  <c r="P61" i="2"/>
  <c r="Q61" i="2"/>
  <c r="R61" i="2"/>
  <c r="S61" i="2"/>
  <c r="T61" i="2"/>
  <c r="Z61" i="2" s="1"/>
  <c r="U61" i="2"/>
  <c r="V61" i="2"/>
  <c r="W61" i="2"/>
  <c r="X61" i="2"/>
  <c r="Y61" i="2"/>
  <c r="N62" i="2"/>
  <c r="O62" i="2"/>
  <c r="P62" i="2"/>
  <c r="Q62" i="2"/>
  <c r="R62" i="2"/>
  <c r="S62" i="2"/>
  <c r="Z62" i="2" s="1"/>
  <c r="T62" i="2"/>
  <c r="U62" i="2"/>
  <c r="V62" i="2"/>
  <c r="W62" i="2"/>
  <c r="X62" i="2"/>
  <c r="Y62" i="2"/>
  <c r="N63" i="2"/>
  <c r="O63" i="2"/>
  <c r="Z63" i="2" s="1"/>
  <c r="P63" i="2"/>
  <c r="Q63" i="2"/>
  <c r="R63" i="2"/>
  <c r="S63" i="2"/>
  <c r="T63" i="2"/>
  <c r="U63" i="2"/>
  <c r="V63" i="2"/>
  <c r="W63" i="2"/>
  <c r="X63" i="2"/>
  <c r="Y63" i="2"/>
  <c r="AT63" i="2"/>
  <c r="N64" i="2"/>
  <c r="O64" i="2"/>
  <c r="E23" i="39" s="1"/>
  <c r="E24" i="39"/>
  <c r="P64" i="2"/>
  <c r="F23" i="39"/>
  <c r="Q64" i="2"/>
  <c r="G23" i="39"/>
  <c r="G24" i="39" s="1"/>
  <c r="R64" i="2"/>
  <c r="H32" i="38"/>
  <c r="S64" i="2"/>
  <c r="I23" i="39" s="1"/>
  <c r="T64" i="2"/>
  <c r="J32" i="38" s="1"/>
  <c r="U64" i="2"/>
  <c r="V64" i="2"/>
  <c r="L32" i="38"/>
  <c r="W64" i="2"/>
  <c r="X64" i="2"/>
  <c r="Y64" i="2"/>
  <c r="O23" i="39"/>
  <c r="N65" i="2"/>
  <c r="O65" i="2"/>
  <c r="P65" i="2"/>
  <c r="Q65" i="2"/>
  <c r="R65" i="2"/>
  <c r="S65" i="2"/>
  <c r="T65" i="2"/>
  <c r="Z65" i="2" s="1"/>
  <c r="U65" i="2"/>
  <c r="V65" i="2"/>
  <c r="W65" i="2"/>
  <c r="X65" i="2"/>
  <c r="Y65" i="2"/>
  <c r="AT65" i="2"/>
  <c r="N66" i="2"/>
  <c r="O66" i="2"/>
  <c r="P66" i="2"/>
  <c r="Q66" i="2"/>
  <c r="R66" i="2"/>
  <c r="S66" i="2"/>
  <c r="T66" i="2"/>
  <c r="U66" i="2"/>
  <c r="V66" i="2"/>
  <c r="W66" i="2"/>
  <c r="X66" i="2"/>
  <c r="Y66" i="2"/>
  <c r="N67" i="2"/>
  <c r="O67" i="2"/>
  <c r="P67" i="2"/>
  <c r="Q67" i="2"/>
  <c r="R67" i="2"/>
  <c r="S67" i="2"/>
  <c r="T67" i="2"/>
  <c r="U67" i="2"/>
  <c r="V67" i="2"/>
  <c r="W67" i="2"/>
  <c r="X67" i="2"/>
  <c r="Y67" i="2"/>
  <c r="N68" i="2"/>
  <c r="O68" i="2"/>
  <c r="P68" i="2"/>
  <c r="Q68" i="2"/>
  <c r="R68" i="2"/>
  <c r="S68" i="2"/>
  <c r="T68" i="2"/>
  <c r="U68" i="2"/>
  <c r="V68" i="2"/>
  <c r="W68" i="2"/>
  <c r="X68" i="2"/>
  <c r="Y68" i="2"/>
  <c r="Z68" i="2" s="1"/>
  <c r="N69" i="2"/>
  <c r="O69" i="2"/>
  <c r="P69" i="2"/>
  <c r="Q69" i="2"/>
  <c r="R69" i="2"/>
  <c r="S69" i="2"/>
  <c r="T69" i="2"/>
  <c r="Z69" i="2" s="1"/>
  <c r="U69" i="2"/>
  <c r="V69" i="2"/>
  <c r="W69" i="2"/>
  <c r="X69" i="2"/>
  <c r="Y69" i="2"/>
  <c r="N70" i="2"/>
  <c r="O70" i="2"/>
  <c r="P70" i="2"/>
  <c r="Q70" i="2"/>
  <c r="R70" i="2"/>
  <c r="S70" i="2"/>
  <c r="Z70" i="2" s="1"/>
  <c r="T70" i="2"/>
  <c r="U70" i="2"/>
  <c r="V70" i="2"/>
  <c r="W70" i="2"/>
  <c r="X70" i="2"/>
  <c r="Y70" i="2"/>
  <c r="N71" i="2"/>
  <c r="O71" i="2"/>
  <c r="Z71" i="2" s="1"/>
  <c r="P71" i="2"/>
  <c r="Q71" i="2"/>
  <c r="R71" i="2"/>
  <c r="S71" i="2"/>
  <c r="T71" i="2"/>
  <c r="U71" i="2"/>
  <c r="V71" i="2"/>
  <c r="W71" i="2"/>
  <c r="X71" i="2"/>
  <c r="Y71" i="2"/>
  <c r="N72" i="2"/>
  <c r="O72" i="2"/>
  <c r="P72" i="2"/>
  <c r="Q72" i="2"/>
  <c r="R72" i="2"/>
  <c r="S72" i="2"/>
  <c r="T72" i="2"/>
  <c r="U72" i="2"/>
  <c r="V72" i="2"/>
  <c r="W72" i="2"/>
  <c r="X72" i="2"/>
  <c r="Y72" i="2"/>
  <c r="N74" i="2"/>
  <c r="O74" i="2"/>
  <c r="P74" i="2"/>
  <c r="Q74" i="2"/>
  <c r="R74" i="2"/>
  <c r="S74" i="2"/>
  <c r="T74" i="2"/>
  <c r="U74" i="2"/>
  <c r="V74" i="2"/>
  <c r="W74" i="2"/>
  <c r="X74" i="2"/>
  <c r="Y74" i="2"/>
  <c r="N75" i="2"/>
  <c r="D43" i="38"/>
  <c r="O75" i="2"/>
  <c r="E43" i="38"/>
  <c r="P75" i="2"/>
  <c r="F43" i="38"/>
  <c r="Q75" i="2"/>
  <c r="G43" i="38"/>
  <c r="R75" i="2"/>
  <c r="H43" i="38" s="1"/>
  <c r="S75" i="2"/>
  <c r="I43" i="38" s="1"/>
  <c r="T75" i="2"/>
  <c r="J43" i="38" s="1"/>
  <c r="U75" i="2"/>
  <c r="K43" i="38"/>
  <c r="V75" i="2"/>
  <c r="L43" i="38" s="1"/>
  <c r="W75" i="2"/>
  <c r="X75" i="2"/>
  <c r="N43" i="38"/>
  <c r="Y75" i="2"/>
  <c r="O43" i="38"/>
  <c r="N76" i="2"/>
  <c r="O76" i="2"/>
  <c r="P76" i="2"/>
  <c r="Q76" i="2"/>
  <c r="R76" i="2"/>
  <c r="S76" i="2"/>
  <c r="T76" i="2"/>
  <c r="Z76" i="2" s="1"/>
  <c r="U76" i="2"/>
  <c r="V76" i="2"/>
  <c r="W76" i="2"/>
  <c r="X76" i="2"/>
  <c r="Y76" i="2"/>
  <c r="N77" i="2"/>
  <c r="O77" i="2"/>
  <c r="P77" i="2"/>
  <c r="Q77" i="2"/>
  <c r="R77" i="2"/>
  <c r="S77" i="2"/>
  <c r="T77" i="2"/>
  <c r="U77" i="2"/>
  <c r="V77" i="2"/>
  <c r="W77" i="2"/>
  <c r="X77" i="2"/>
  <c r="Y77" i="2"/>
  <c r="N78" i="2"/>
  <c r="D34" i="41"/>
  <c r="O78" i="2"/>
  <c r="P78" i="2"/>
  <c r="F34" i="41" s="1"/>
  <c r="Q78" i="2"/>
  <c r="G34" i="41"/>
  <c r="R78" i="2"/>
  <c r="S78" i="2"/>
  <c r="I34" i="41"/>
  <c r="I36" i="41"/>
  <c r="T78" i="2"/>
  <c r="U78" i="2"/>
  <c r="K34" i="41"/>
  <c r="W78" i="2"/>
  <c r="X78" i="2"/>
  <c r="N34" i="41" s="1"/>
  <c r="Y78" i="2"/>
  <c r="O34" i="41"/>
  <c r="N79" i="2"/>
  <c r="O79" i="2"/>
  <c r="P79" i="2"/>
  <c r="F35" i="41"/>
  <c r="Q79" i="2"/>
  <c r="G35" i="41"/>
  <c r="R79" i="2"/>
  <c r="H35" i="41"/>
  <c r="S79" i="2"/>
  <c r="I35" i="41"/>
  <c r="T79" i="2"/>
  <c r="J35" i="41"/>
  <c r="U79" i="2"/>
  <c r="K35" i="41"/>
  <c r="V79" i="2"/>
  <c r="L35" i="41"/>
  <c r="W79" i="2"/>
  <c r="M35" i="41"/>
  <c r="X79" i="2"/>
  <c r="N35" i="41"/>
  <c r="N36" i="41" s="1"/>
  <c r="Y79" i="2"/>
  <c r="N80" i="2"/>
  <c r="O80" i="2"/>
  <c r="P80" i="2"/>
  <c r="Q80" i="2"/>
  <c r="R80" i="2"/>
  <c r="S80" i="2"/>
  <c r="T80" i="2"/>
  <c r="U80" i="2"/>
  <c r="V80" i="2"/>
  <c r="W80" i="2"/>
  <c r="X80" i="2"/>
  <c r="Y80" i="2"/>
  <c r="N81" i="2"/>
  <c r="Z81" i="2" s="1"/>
  <c r="O81" i="2"/>
  <c r="P81" i="2"/>
  <c r="Q81" i="2"/>
  <c r="R81" i="2"/>
  <c r="S81" i="2"/>
  <c r="T81" i="2"/>
  <c r="U81" i="2"/>
  <c r="V81" i="2"/>
  <c r="W81" i="2"/>
  <c r="X81" i="2"/>
  <c r="Y81" i="2"/>
  <c r="N82" i="2"/>
  <c r="O82" i="2"/>
  <c r="P82" i="2"/>
  <c r="Q82" i="2"/>
  <c r="R82" i="2"/>
  <c r="S82" i="2"/>
  <c r="T82" i="2"/>
  <c r="Z82" i="2" s="1"/>
  <c r="U82" i="2"/>
  <c r="V82" i="2"/>
  <c r="W82" i="2"/>
  <c r="X82" i="2"/>
  <c r="Y82" i="2"/>
  <c r="N83" i="2"/>
  <c r="O83" i="2"/>
  <c r="Z83" i="2" s="1"/>
  <c r="P83" i="2"/>
  <c r="Q83" i="2"/>
  <c r="R83" i="2"/>
  <c r="S83" i="2"/>
  <c r="T83" i="2"/>
  <c r="U83" i="2"/>
  <c r="V83" i="2"/>
  <c r="W83" i="2"/>
  <c r="X83" i="2"/>
  <c r="Y83" i="2"/>
  <c r="N84" i="2"/>
  <c r="Z84" i="2" s="1"/>
  <c r="O84" i="2"/>
  <c r="P84" i="2"/>
  <c r="Q84" i="2"/>
  <c r="R84" i="2"/>
  <c r="S84" i="2"/>
  <c r="T84" i="2"/>
  <c r="U84" i="2"/>
  <c r="V84" i="2"/>
  <c r="W84" i="2"/>
  <c r="X84" i="2"/>
  <c r="Y84" i="2"/>
  <c r="N85" i="2"/>
  <c r="Z85" i="2" s="1"/>
  <c r="O85" i="2"/>
  <c r="P85" i="2"/>
  <c r="Q85" i="2"/>
  <c r="R85" i="2"/>
  <c r="S85" i="2"/>
  <c r="T85" i="2"/>
  <c r="U85" i="2"/>
  <c r="V85" i="2"/>
  <c r="W85" i="2"/>
  <c r="X85" i="2"/>
  <c r="Y85" i="2"/>
  <c r="N86" i="2"/>
  <c r="O86" i="2"/>
  <c r="P86" i="2"/>
  <c r="Q86" i="2"/>
  <c r="R86" i="2"/>
  <c r="S86" i="2"/>
  <c r="T86" i="2"/>
  <c r="Z86" i="2" s="1"/>
  <c r="U86" i="2"/>
  <c r="V86" i="2"/>
  <c r="W86" i="2"/>
  <c r="X86" i="2"/>
  <c r="Y86" i="2"/>
  <c r="N87" i="2"/>
  <c r="O87" i="2"/>
  <c r="P87" i="2"/>
  <c r="Q87" i="2"/>
  <c r="R87" i="2"/>
  <c r="S87" i="2"/>
  <c r="T87" i="2"/>
  <c r="U87" i="2"/>
  <c r="V87" i="2"/>
  <c r="W87" i="2"/>
  <c r="X87" i="2"/>
  <c r="Y87" i="2"/>
  <c r="N88" i="2"/>
  <c r="O88" i="2"/>
  <c r="P88" i="2"/>
  <c r="Q88" i="2"/>
  <c r="R88" i="2"/>
  <c r="S88" i="2"/>
  <c r="T88" i="2"/>
  <c r="U88" i="2"/>
  <c r="V88" i="2"/>
  <c r="W88" i="2"/>
  <c r="X88" i="2"/>
  <c r="Y88" i="2"/>
  <c r="AT87" i="2"/>
  <c r="N89" i="2"/>
  <c r="O89" i="2"/>
  <c r="P89" i="2"/>
  <c r="Q89" i="2"/>
  <c r="R89" i="2"/>
  <c r="S89" i="2"/>
  <c r="T89" i="2"/>
  <c r="U89" i="2"/>
  <c r="V89" i="2"/>
  <c r="W89" i="2"/>
  <c r="X89" i="2"/>
  <c r="Y89" i="2"/>
  <c r="N90" i="2"/>
  <c r="O90" i="2"/>
  <c r="E25" i="43"/>
  <c r="E26" i="43"/>
  <c r="P90" i="2"/>
  <c r="F30" i="45" s="1"/>
  <c r="Q90" i="2"/>
  <c r="G30" i="45" s="1"/>
  <c r="G41" i="45"/>
  <c r="R90" i="2"/>
  <c r="H30" i="45"/>
  <c r="S90" i="2"/>
  <c r="I30" i="45"/>
  <c r="T90" i="2"/>
  <c r="U90" i="2"/>
  <c r="K25" i="43" s="1"/>
  <c r="V90" i="2"/>
  <c r="L25" i="43"/>
  <c r="L26" i="43" s="1"/>
  <c r="W90" i="2"/>
  <c r="X90" i="2"/>
  <c r="Y90" i="2"/>
  <c r="N91" i="2"/>
  <c r="O91" i="2"/>
  <c r="P91" i="2"/>
  <c r="Q91" i="2"/>
  <c r="R91" i="2"/>
  <c r="S91" i="2"/>
  <c r="T91" i="2"/>
  <c r="U91" i="2"/>
  <c r="V91" i="2"/>
  <c r="W91" i="2"/>
  <c r="X91" i="2"/>
  <c r="Y91" i="2"/>
  <c r="N92" i="2"/>
  <c r="O92" i="2"/>
  <c r="Z92" i="2" s="1"/>
  <c r="P92" i="2"/>
  <c r="Q92" i="2"/>
  <c r="R92" i="2"/>
  <c r="S92" i="2"/>
  <c r="T92" i="2"/>
  <c r="U92" i="2"/>
  <c r="V92" i="2"/>
  <c r="W92" i="2"/>
  <c r="X92" i="2"/>
  <c r="Y92" i="2"/>
  <c r="N93" i="2"/>
  <c r="O93" i="2"/>
  <c r="P93" i="2"/>
  <c r="Q93" i="2"/>
  <c r="R93" i="2"/>
  <c r="S93" i="2"/>
  <c r="T93" i="2"/>
  <c r="U93" i="2"/>
  <c r="V93" i="2"/>
  <c r="W93" i="2"/>
  <c r="X93" i="2"/>
  <c r="Y93" i="2"/>
  <c r="N94" i="2"/>
  <c r="O94" i="2"/>
  <c r="Z94" i="2" s="1"/>
  <c r="P94" i="2"/>
  <c r="Q94" i="2"/>
  <c r="R94" i="2"/>
  <c r="S94" i="2"/>
  <c r="T94" i="2"/>
  <c r="U94" i="2"/>
  <c r="V94" i="2"/>
  <c r="W94" i="2"/>
  <c r="X94" i="2"/>
  <c r="Y94" i="2"/>
  <c r="N95" i="2"/>
  <c r="O95" i="2"/>
  <c r="P95" i="2"/>
  <c r="Q95" i="2"/>
  <c r="R95" i="2"/>
  <c r="S95" i="2"/>
  <c r="T95" i="2"/>
  <c r="U95" i="2"/>
  <c r="V95" i="2"/>
  <c r="W95" i="2"/>
  <c r="X95" i="2"/>
  <c r="Y95" i="2"/>
  <c r="N96" i="2"/>
  <c r="O96" i="2"/>
  <c r="P96" i="2"/>
  <c r="Q96" i="2"/>
  <c r="R96" i="2"/>
  <c r="S96" i="2"/>
  <c r="T96" i="2"/>
  <c r="U96" i="2"/>
  <c r="V96" i="2"/>
  <c r="W96" i="2"/>
  <c r="X96" i="2"/>
  <c r="Y96" i="2"/>
  <c r="N97" i="2"/>
  <c r="O97" i="2"/>
  <c r="P97" i="2"/>
  <c r="Q97" i="2"/>
  <c r="R97" i="2"/>
  <c r="S97" i="2"/>
  <c r="T97" i="2"/>
  <c r="U97" i="2"/>
  <c r="V97" i="2"/>
  <c r="W97" i="2"/>
  <c r="X97" i="2"/>
  <c r="Y97" i="2"/>
  <c r="N98" i="2"/>
  <c r="O98" i="2"/>
  <c r="Z98" i="2" s="1"/>
  <c r="P98" i="2"/>
  <c r="Q98" i="2"/>
  <c r="R98" i="2"/>
  <c r="S98" i="2"/>
  <c r="T98" i="2"/>
  <c r="U98" i="2"/>
  <c r="V98" i="2"/>
  <c r="W98" i="2"/>
  <c r="X98" i="2"/>
  <c r="Y98" i="2"/>
  <c r="N99" i="2"/>
  <c r="O99" i="2"/>
  <c r="P99" i="2"/>
  <c r="Q99" i="2"/>
  <c r="R99" i="2"/>
  <c r="S99" i="2"/>
  <c r="T99" i="2"/>
  <c r="U99" i="2"/>
  <c r="V99" i="2"/>
  <c r="W99" i="2"/>
  <c r="X99" i="2"/>
  <c r="Y99" i="2"/>
  <c r="N100" i="2"/>
  <c r="O100" i="2"/>
  <c r="P100" i="2"/>
  <c r="Q100" i="2"/>
  <c r="R100" i="2"/>
  <c r="S100" i="2"/>
  <c r="T100" i="2"/>
  <c r="U100" i="2"/>
  <c r="V100" i="2"/>
  <c r="W100" i="2"/>
  <c r="X100" i="2"/>
  <c r="Y100" i="2"/>
  <c r="N101" i="2"/>
  <c r="O101" i="2"/>
  <c r="P101" i="2"/>
  <c r="Q101" i="2"/>
  <c r="R101" i="2"/>
  <c r="S101" i="2"/>
  <c r="T101" i="2"/>
  <c r="U101" i="2"/>
  <c r="V101" i="2"/>
  <c r="W101" i="2"/>
  <c r="X101" i="2"/>
  <c r="Y101" i="2"/>
  <c r="N102" i="2"/>
  <c r="Z102" i="2" s="1"/>
  <c r="O102" i="2"/>
  <c r="P102" i="2"/>
  <c r="Q102" i="2"/>
  <c r="R102" i="2"/>
  <c r="S102" i="2"/>
  <c r="T102" i="2"/>
  <c r="U102" i="2"/>
  <c r="V102" i="2"/>
  <c r="W102" i="2"/>
  <c r="X102" i="2"/>
  <c r="Y102" i="2"/>
  <c r="N103" i="2"/>
  <c r="O103" i="2"/>
  <c r="P103" i="2"/>
  <c r="Q103" i="2"/>
  <c r="R103" i="2"/>
  <c r="S103" i="2"/>
  <c r="T103" i="2"/>
  <c r="Z103" i="2" s="1"/>
  <c r="U103" i="2"/>
  <c r="V103" i="2"/>
  <c r="W103" i="2"/>
  <c r="X103" i="2"/>
  <c r="Y103" i="2"/>
  <c r="N104" i="2"/>
  <c r="O104" i="2"/>
  <c r="P104" i="2"/>
  <c r="Q104" i="2"/>
  <c r="R104" i="2"/>
  <c r="S104" i="2"/>
  <c r="T104" i="2"/>
  <c r="U104" i="2"/>
  <c r="V104" i="2"/>
  <c r="W104" i="2"/>
  <c r="X104" i="2"/>
  <c r="Y104" i="2"/>
  <c r="N105" i="2"/>
  <c r="D29" i="47"/>
  <c r="O105" i="2"/>
  <c r="P105" i="2"/>
  <c r="Q105" i="2"/>
  <c r="R105" i="2"/>
  <c r="H29" i="47"/>
  <c r="S105" i="2"/>
  <c r="I29" i="47" s="1"/>
  <c r="T105" i="2"/>
  <c r="J29" i="47"/>
  <c r="U105" i="2"/>
  <c r="K29" i="47" s="1"/>
  <c r="V105" i="2"/>
  <c r="L29" i="47"/>
  <c r="W105" i="2"/>
  <c r="X105" i="2"/>
  <c r="Y105" i="2"/>
  <c r="O29" i="47"/>
  <c r="N106" i="2"/>
  <c r="O106" i="2"/>
  <c r="E31" i="47"/>
  <c r="P106" i="2"/>
  <c r="F31" i="47" s="1"/>
  <c r="Q106" i="2"/>
  <c r="G31" i="47"/>
  <c r="R106" i="2"/>
  <c r="H31" i="47"/>
  <c r="S106" i="2"/>
  <c r="I31" i="47"/>
  <c r="T106" i="2"/>
  <c r="U106" i="2"/>
  <c r="V106" i="2"/>
  <c r="L31" i="47"/>
  <c r="W106" i="2"/>
  <c r="M31" i="47"/>
  <c r="X106" i="2"/>
  <c r="Y106" i="2"/>
  <c r="O31" i="47" s="1"/>
  <c r="AT105" i="2"/>
  <c r="N107" i="2"/>
  <c r="D30" i="47" s="1"/>
  <c r="O107" i="2"/>
  <c r="E30" i="47"/>
  <c r="P107" i="2"/>
  <c r="F30" i="47" s="1"/>
  <c r="Q107" i="2"/>
  <c r="R107" i="2"/>
  <c r="H30" i="47"/>
  <c r="S107" i="2"/>
  <c r="I30" i="47"/>
  <c r="T107" i="2"/>
  <c r="J30" i="47"/>
  <c r="U107" i="2"/>
  <c r="K30" i="47"/>
  <c r="V107" i="2"/>
  <c r="L30" i="47"/>
  <c r="W107" i="2"/>
  <c r="M30" i="47"/>
  <c r="X107" i="2"/>
  <c r="N30" i="47"/>
  <c r="Y107" i="2"/>
  <c r="O30" i="47"/>
  <c r="N108" i="2"/>
  <c r="D32" i="47"/>
  <c r="O108" i="2"/>
  <c r="P108" i="2"/>
  <c r="F32" i="47" s="1"/>
  <c r="Q108" i="2"/>
  <c r="G32" i="47"/>
  <c r="R108" i="2"/>
  <c r="H32" i="47"/>
  <c r="S108" i="2"/>
  <c r="I32" i="47"/>
  <c r="T108" i="2"/>
  <c r="J32" i="47"/>
  <c r="U108" i="2"/>
  <c r="K32" i="47"/>
  <c r="V108" i="2"/>
  <c r="L32" i="47"/>
  <c r="W108" i="2"/>
  <c r="M32" i="47"/>
  <c r="X108" i="2"/>
  <c r="Y108" i="2"/>
  <c r="N109" i="2"/>
  <c r="D33" i="47"/>
  <c r="O109" i="2"/>
  <c r="E33" i="47"/>
  <c r="P109" i="2"/>
  <c r="Q109" i="2"/>
  <c r="G33" i="47" s="1"/>
  <c r="R109" i="2"/>
  <c r="H33" i="47" s="1"/>
  <c r="S109" i="2"/>
  <c r="T109" i="2"/>
  <c r="J33" i="47" s="1"/>
  <c r="U109" i="2"/>
  <c r="K33" i="47"/>
  <c r="V109" i="2"/>
  <c r="L33" i="47" s="1"/>
  <c r="W109" i="2"/>
  <c r="X109" i="2"/>
  <c r="N33" i="47"/>
  <c r="Y109" i="2"/>
  <c r="O33" i="47" s="1"/>
  <c r="AT108" i="2"/>
  <c r="N110" i="2"/>
  <c r="D34" i="47"/>
  <c r="O110" i="2"/>
  <c r="E34" i="47"/>
  <c r="P110" i="2"/>
  <c r="F34" i="47"/>
  <c r="Q110" i="2"/>
  <c r="G34" i="47"/>
  <c r="R110" i="2"/>
  <c r="H34" i="47" s="1"/>
  <c r="S110" i="2"/>
  <c r="I34" i="47" s="1"/>
  <c r="T110" i="2"/>
  <c r="U110" i="2"/>
  <c r="K34" i="47"/>
  <c r="V110" i="2"/>
  <c r="L34" i="47"/>
  <c r="W110" i="2"/>
  <c r="M34" i="47"/>
  <c r="X110" i="2"/>
  <c r="Y110" i="2"/>
  <c r="O34" i="47"/>
  <c r="N111" i="2"/>
  <c r="D35" i="47" s="1"/>
  <c r="O111" i="2"/>
  <c r="P111" i="2"/>
  <c r="F35" i="47"/>
  <c r="Q111" i="2"/>
  <c r="R111" i="2"/>
  <c r="S111" i="2"/>
  <c r="I35" i="47" s="1"/>
  <c r="T111" i="2"/>
  <c r="U111" i="2"/>
  <c r="K35" i="47"/>
  <c r="V111" i="2"/>
  <c r="L35" i="47" s="1"/>
  <c r="W111" i="2"/>
  <c r="M35" i="47" s="1"/>
  <c r="X111" i="2"/>
  <c r="N35" i="47" s="1"/>
  <c r="Y111" i="2"/>
  <c r="O35" i="47"/>
  <c r="N112" i="2"/>
  <c r="O112" i="2"/>
  <c r="E36" i="47"/>
  <c r="P112" i="2"/>
  <c r="F36" i="47" s="1"/>
  <c r="Q112" i="2"/>
  <c r="R112" i="2"/>
  <c r="H36" i="47"/>
  <c r="S112" i="2"/>
  <c r="T112" i="2"/>
  <c r="J36" i="47"/>
  <c r="U112" i="2"/>
  <c r="K36" i="47" s="1"/>
  <c r="V112" i="2"/>
  <c r="L36" i="47"/>
  <c r="W112" i="2"/>
  <c r="X112" i="2"/>
  <c r="N36" i="47" s="1"/>
  <c r="Y112" i="2"/>
  <c r="N113" i="2"/>
  <c r="O113" i="2"/>
  <c r="P113" i="2"/>
  <c r="Q113" i="2"/>
  <c r="R113" i="2"/>
  <c r="S113" i="2"/>
  <c r="T113" i="2"/>
  <c r="U113" i="2"/>
  <c r="V113" i="2"/>
  <c r="W113" i="2"/>
  <c r="X113" i="2"/>
  <c r="Y113" i="2"/>
  <c r="AT112" i="2"/>
  <c r="N114" i="2"/>
  <c r="O114" i="2"/>
  <c r="P114" i="2"/>
  <c r="Q114" i="2"/>
  <c r="R114" i="2"/>
  <c r="S114" i="2"/>
  <c r="T114" i="2"/>
  <c r="U114" i="2"/>
  <c r="V114" i="2"/>
  <c r="W114" i="2"/>
  <c r="X114" i="2"/>
  <c r="Y114" i="2"/>
  <c r="N115" i="2"/>
  <c r="O115" i="2"/>
  <c r="P115" i="2"/>
  <c r="Q115" i="2"/>
  <c r="R115" i="2"/>
  <c r="S115" i="2"/>
  <c r="T115" i="2"/>
  <c r="Z115" i="2" s="1"/>
  <c r="U115" i="2"/>
  <c r="V115" i="2"/>
  <c r="W115" i="2"/>
  <c r="X115" i="2"/>
  <c r="Y115" i="2"/>
  <c r="N116" i="2"/>
  <c r="O116" i="2"/>
  <c r="P116" i="2"/>
  <c r="Q116" i="2"/>
  <c r="R116" i="2"/>
  <c r="S116" i="2"/>
  <c r="T116" i="2"/>
  <c r="U116" i="2"/>
  <c r="V116" i="2"/>
  <c r="W116" i="2"/>
  <c r="X116" i="2"/>
  <c r="Y116" i="2"/>
  <c r="N117" i="2"/>
  <c r="Z117" i="2" s="1"/>
  <c r="O117" i="2"/>
  <c r="P117" i="2"/>
  <c r="Q117" i="2"/>
  <c r="R117" i="2"/>
  <c r="S117" i="2"/>
  <c r="T117" i="2"/>
  <c r="U117" i="2"/>
  <c r="V117" i="2"/>
  <c r="W117" i="2"/>
  <c r="X117" i="2"/>
  <c r="Y117" i="2"/>
  <c r="AT116" i="2"/>
  <c r="N118" i="2"/>
  <c r="O118" i="2"/>
  <c r="P118" i="2"/>
  <c r="Q118" i="2"/>
  <c r="R118" i="2"/>
  <c r="S118" i="2"/>
  <c r="T118" i="2"/>
  <c r="U118" i="2"/>
  <c r="V118" i="2"/>
  <c r="W118" i="2"/>
  <c r="X118" i="2"/>
  <c r="Y118" i="2"/>
  <c r="N119" i="2"/>
  <c r="O119" i="2"/>
  <c r="P119" i="2"/>
  <c r="Q119" i="2"/>
  <c r="R119" i="2"/>
  <c r="S119" i="2"/>
  <c r="T119" i="2"/>
  <c r="U119" i="2"/>
  <c r="V119" i="2"/>
  <c r="W119" i="2"/>
  <c r="X119" i="2"/>
  <c r="Y119" i="2"/>
  <c r="N120" i="2"/>
  <c r="O120" i="2"/>
  <c r="Z120" i="2" s="1"/>
  <c r="P120" i="2"/>
  <c r="Q120" i="2"/>
  <c r="R120" i="2"/>
  <c r="S120" i="2"/>
  <c r="T120" i="2"/>
  <c r="U120" i="2"/>
  <c r="V120" i="2"/>
  <c r="W120" i="2"/>
  <c r="X120" i="2"/>
  <c r="Y120" i="2"/>
  <c r="N121" i="2"/>
  <c r="Z121" i="2" s="1"/>
  <c r="O121" i="2"/>
  <c r="P121" i="2"/>
  <c r="Q121" i="2"/>
  <c r="R121" i="2"/>
  <c r="S121" i="2"/>
  <c r="T121" i="2"/>
  <c r="U121" i="2"/>
  <c r="V121" i="2"/>
  <c r="W121" i="2"/>
  <c r="X121" i="2"/>
  <c r="Y121" i="2"/>
  <c r="N122" i="2"/>
  <c r="O122" i="2"/>
  <c r="P122" i="2"/>
  <c r="Q122" i="2"/>
  <c r="R122" i="2"/>
  <c r="S122" i="2"/>
  <c r="T122" i="2"/>
  <c r="Z122" i="2" s="1"/>
  <c r="U122" i="2"/>
  <c r="V122" i="2"/>
  <c r="W122" i="2"/>
  <c r="X122" i="2"/>
  <c r="Y122" i="2"/>
  <c r="N123" i="2"/>
  <c r="O123" i="2"/>
  <c r="P123" i="2"/>
  <c r="Q123" i="2"/>
  <c r="R123" i="2"/>
  <c r="S123" i="2"/>
  <c r="T123" i="2"/>
  <c r="U123" i="2"/>
  <c r="V123" i="2"/>
  <c r="W123" i="2"/>
  <c r="X123" i="2"/>
  <c r="Y123" i="2"/>
  <c r="N124" i="2"/>
  <c r="O124" i="2"/>
  <c r="P124" i="2"/>
  <c r="Q124" i="2"/>
  <c r="R124" i="2"/>
  <c r="S124" i="2"/>
  <c r="T124" i="2"/>
  <c r="U124" i="2"/>
  <c r="V124" i="2"/>
  <c r="W124" i="2"/>
  <c r="X124" i="2"/>
  <c r="Y124" i="2"/>
  <c r="N125" i="2"/>
  <c r="O125" i="2"/>
  <c r="P125" i="2"/>
  <c r="Q125" i="2"/>
  <c r="R125" i="2"/>
  <c r="S125" i="2"/>
  <c r="T125" i="2"/>
  <c r="Z125" i="2" s="1"/>
  <c r="U125" i="2"/>
  <c r="V125" i="2"/>
  <c r="W125" i="2"/>
  <c r="X125" i="2"/>
  <c r="Y125" i="2"/>
  <c r="N126" i="2"/>
  <c r="O126" i="2"/>
  <c r="P126" i="2"/>
  <c r="Q126" i="2"/>
  <c r="R126" i="2"/>
  <c r="S126" i="2"/>
  <c r="T126" i="2"/>
  <c r="U126" i="2"/>
  <c r="V126" i="2"/>
  <c r="W126" i="2"/>
  <c r="X126" i="2"/>
  <c r="Y126" i="2"/>
  <c r="N127" i="2"/>
  <c r="O127" i="2"/>
  <c r="P127" i="2"/>
  <c r="Q127" i="2"/>
  <c r="R127" i="2"/>
  <c r="S127" i="2"/>
  <c r="T127" i="2"/>
  <c r="U127" i="2"/>
  <c r="V127" i="2"/>
  <c r="W127" i="2"/>
  <c r="X127" i="2"/>
  <c r="Y127" i="2"/>
  <c r="N128" i="2"/>
  <c r="O128" i="2"/>
  <c r="P128" i="2"/>
  <c r="Q128" i="2"/>
  <c r="R128" i="2"/>
  <c r="S128" i="2"/>
  <c r="T128" i="2"/>
  <c r="U128" i="2"/>
  <c r="V128" i="2"/>
  <c r="W128" i="2"/>
  <c r="X128" i="2"/>
  <c r="Y128" i="2"/>
  <c r="N129" i="2"/>
  <c r="O129" i="2"/>
  <c r="Z129" i="2" s="1"/>
  <c r="P129" i="2"/>
  <c r="Q129" i="2"/>
  <c r="R129" i="2"/>
  <c r="S129" i="2"/>
  <c r="T129" i="2"/>
  <c r="U129" i="2"/>
  <c r="V129" i="2"/>
  <c r="W129" i="2"/>
  <c r="X129" i="2"/>
  <c r="Y129" i="2"/>
  <c r="N130" i="2"/>
  <c r="O130" i="2"/>
  <c r="P130" i="2"/>
  <c r="Q130" i="2"/>
  <c r="R130" i="2"/>
  <c r="S130" i="2"/>
  <c r="T130" i="2"/>
  <c r="U130" i="2"/>
  <c r="V130" i="2"/>
  <c r="W130" i="2"/>
  <c r="X130" i="2"/>
  <c r="Y130" i="2"/>
  <c r="N131" i="2"/>
  <c r="O131" i="2"/>
  <c r="P131" i="2"/>
  <c r="Q131" i="2"/>
  <c r="R131" i="2"/>
  <c r="S131" i="2"/>
  <c r="T131" i="2"/>
  <c r="U131" i="2"/>
  <c r="V131" i="2"/>
  <c r="W131" i="2"/>
  <c r="X131" i="2"/>
  <c r="Y131" i="2"/>
  <c r="N132" i="2"/>
  <c r="O132" i="2"/>
  <c r="P132" i="2"/>
  <c r="Q132" i="2"/>
  <c r="R132" i="2"/>
  <c r="S132" i="2"/>
  <c r="T132" i="2"/>
  <c r="U132" i="2"/>
  <c r="V132" i="2"/>
  <c r="W132" i="2"/>
  <c r="X132" i="2"/>
  <c r="Y132" i="2"/>
  <c r="N133" i="2"/>
  <c r="Z133" i="2" s="1"/>
  <c r="O133" i="2"/>
  <c r="P133" i="2"/>
  <c r="Q133" i="2"/>
  <c r="R133" i="2"/>
  <c r="S133" i="2"/>
  <c r="T133" i="2"/>
  <c r="U133" i="2"/>
  <c r="V133" i="2"/>
  <c r="W133" i="2"/>
  <c r="X133" i="2"/>
  <c r="Y133" i="2"/>
  <c r="N134" i="2"/>
  <c r="O134" i="2"/>
  <c r="P134" i="2"/>
  <c r="F27" i="44"/>
  <c r="Q134" i="2"/>
  <c r="G27" i="44"/>
  <c r="R134" i="2"/>
  <c r="H27" i="44" s="1"/>
  <c r="S134" i="2"/>
  <c r="T134" i="2"/>
  <c r="U134" i="2"/>
  <c r="K27" i="44" s="1"/>
  <c r="V134" i="2"/>
  <c r="L27" i="44"/>
  <c r="W134" i="2"/>
  <c r="X134" i="2"/>
  <c r="N27" i="44"/>
  <c r="Y134" i="2"/>
  <c r="O27" i="44" s="1"/>
  <c r="N135" i="2"/>
  <c r="O135" i="2"/>
  <c r="E28" i="44"/>
  <c r="P135" i="2"/>
  <c r="F28" i="44"/>
  <c r="Q135" i="2"/>
  <c r="G28" i="44" s="1"/>
  <c r="R135" i="2"/>
  <c r="H28" i="44"/>
  <c r="S135" i="2"/>
  <c r="T135" i="2"/>
  <c r="U135" i="2"/>
  <c r="K28" i="44"/>
  <c r="V135" i="2"/>
  <c r="L28" i="44" s="1"/>
  <c r="W135" i="2"/>
  <c r="X135" i="2"/>
  <c r="N28" i="44"/>
  <c r="Y135" i="2"/>
  <c r="O28" i="44"/>
  <c r="N136" i="2"/>
  <c r="O136" i="2"/>
  <c r="P136" i="2"/>
  <c r="Q136" i="2"/>
  <c r="R136" i="2"/>
  <c r="S136" i="2"/>
  <c r="T136" i="2"/>
  <c r="U136" i="2"/>
  <c r="V136" i="2"/>
  <c r="W136" i="2"/>
  <c r="X136" i="2"/>
  <c r="Y136" i="2"/>
  <c r="N137" i="2"/>
  <c r="O137" i="2"/>
  <c r="P137" i="2"/>
  <c r="Q137" i="2"/>
  <c r="R137" i="2"/>
  <c r="S137" i="2"/>
  <c r="T137" i="2"/>
  <c r="Z137" i="2" s="1"/>
  <c r="U137" i="2"/>
  <c r="V137" i="2"/>
  <c r="W137" i="2"/>
  <c r="X137" i="2"/>
  <c r="Y137" i="2"/>
  <c r="N138" i="2"/>
  <c r="O138" i="2"/>
  <c r="P138" i="2"/>
  <c r="Q138" i="2"/>
  <c r="R138" i="2"/>
  <c r="S138" i="2"/>
  <c r="T138" i="2"/>
  <c r="U138" i="2"/>
  <c r="V138" i="2"/>
  <c r="W138" i="2"/>
  <c r="X138" i="2"/>
  <c r="Y138" i="2"/>
  <c r="N139" i="2"/>
  <c r="D29" i="44"/>
  <c r="O139" i="2"/>
  <c r="P139" i="2"/>
  <c r="F29" i="44" s="1"/>
  <c r="Q139" i="2"/>
  <c r="G29" i="44" s="1"/>
  <c r="R139" i="2"/>
  <c r="H29" i="44" s="1"/>
  <c r="S139" i="2"/>
  <c r="T139" i="2"/>
  <c r="J29" i="44" s="1"/>
  <c r="U139" i="2"/>
  <c r="K29" i="44"/>
  <c r="V139" i="2"/>
  <c r="L29" i="44" s="1"/>
  <c r="W139" i="2"/>
  <c r="M29" i="44"/>
  <c r="X139" i="2"/>
  <c r="N29" i="44" s="1"/>
  <c r="Y139" i="2"/>
  <c r="O29" i="44"/>
  <c r="N140" i="2"/>
  <c r="O140" i="2"/>
  <c r="P140" i="2"/>
  <c r="Q140" i="2"/>
  <c r="R140" i="2"/>
  <c r="S140" i="2"/>
  <c r="T140" i="2"/>
  <c r="U140" i="2"/>
  <c r="V140" i="2"/>
  <c r="W140" i="2"/>
  <c r="X140" i="2"/>
  <c r="Y140" i="2"/>
  <c r="N141" i="2"/>
  <c r="O141" i="2"/>
  <c r="E30" i="44"/>
  <c r="P141" i="2"/>
  <c r="F30" i="44" s="1"/>
  <c r="Q141" i="2"/>
  <c r="G30" i="44" s="1"/>
  <c r="R141" i="2"/>
  <c r="H30" i="44" s="1"/>
  <c r="S141" i="2"/>
  <c r="I30" i="44"/>
  <c r="T141" i="2"/>
  <c r="J30" i="44" s="1"/>
  <c r="U141" i="2"/>
  <c r="V141" i="2"/>
  <c r="L30" i="44"/>
  <c r="W141" i="2"/>
  <c r="M30" i="44"/>
  <c r="X141" i="2"/>
  <c r="N30" i="44"/>
  <c r="Y141" i="2"/>
  <c r="O30" i="44"/>
  <c r="N142" i="2"/>
  <c r="D31" i="44"/>
  <c r="O142" i="2"/>
  <c r="P142" i="2"/>
  <c r="F31" i="44"/>
  <c r="Q142" i="2"/>
  <c r="G31" i="44"/>
  <c r="R142" i="2"/>
  <c r="H31" i="44"/>
  <c r="S142" i="2"/>
  <c r="I31" i="44"/>
  <c r="T142" i="2"/>
  <c r="U142" i="2"/>
  <c r="K31" i="44" s="1"/>
  <c r="V142" i="2"/>
  <c r="W142" i="2"/>
  <c r="M31" i="44" s="1"/>
  <c r="X142" i="2"/>
  <c r="N31" i="44"/>
  <c r="Y142" i="2"/>
  <c r="N143" i="2"/>
  <c r="O143" i="2"/>
  <c r="P143" i="2"/>
  <c r="Q143" i="2"/>
  <c r="R143" i="2"/>
  <c r="S143" i="2"/>
  <c r="T143" i="2"/>
  <c r="Z143" i="2" s="1"/>
  <c r="U143" i="2"/>
  <c r="V143" i="2"/>
  <c r="W143" i="2"/>
  <c r="X143" i="2"/>
  <c r="Y143" i="2"/>
  <c r="N144" i="2"/>
  <c r="O144" i="2"/>
  <c r="P144" i="2"/>
  <c r="Q144" i="2"/>
  <c r="R144" i="2"/>
  <c r="S144" i="2"/>
  <c r="T144" i="2"/>
  <c r="U144" i="2"/>
  <c r="V144" i="2"/>
  <c r="L32" i="45"/>
  <c r="W144" i="2"/>
  <c r="X144" i="2"/>
  <c r="Y144" i="2"/>
  <c r="N145" i="2"/>
  <c r="O145" i="2"/>
  <c r="P145" i="2"/>
  <c r="Q145" i="2"/>
  <c r="R145" i="2"/>
  <c r="S145" i="2"/>
  <c r="T145" i="2"/>
  <c r="U145" i="2"/>
  <c r="V145" i="2"/>
  <c r="W145" i="2"/>
  <c r="X145" i="2"/>
  <c r="Y145" i="2"/>
  <c r="N146" i="2"/>
  <c r="O146" i="2"/>
  <c r="P146" i="2"/>
  <c r="Q146" i="2"/>
  <c r="R146" i="2"/>
  <c r="S146" i="2"/>
  <c r="T146" i="2"/>
  <c r="U146" i="2"/>
  <c r="V146" i="2"/>
  <c r="W146" i="2"/>
  <c r="X146" i="2"/>
  <c r="Y146" i="2"/>
  <c r="N147" i="2"/>
  <c r="Z147" i="2" s="1"/>
  <c r="O147" i="2"/>
  <c r="P147" i="2"/>
  <c r="Q147" i="2"/>
  <c r="R147" i="2"/>
  <c r="S147" i="2"/>
  <c r="T147" i="2"/>
  <c r="U147" i="2"/>
  <c r="V147" i="2"/>
  <c r="W147" i="2"/>
  <c r="X147" i="2"/>
  <c r="Y147" i="2"/>
  <c r="N148" i="2"/>
  <c r="O148" i="2"/>
  <c r="P148" i="2"/>
  <c r="Q148" i="2"/>
  <c r="R148" i="2"/>
  <c r="S148" i="2"/>
  <c r="T148" i="2"/>
  <c r="U148" i="2"/>
  <c r="V148" i="2"/>
  <c r="W148" i="2"/>
  <c r="X148" i="2"/>
  <c r="Z148" i="2" s="1"/>
  <c r="Y148" i="2"/>
  <c r="N149" i="2"/>
  <c r="O149" i="2"/>
  <c r="P149" i="2"/>
  <c r="Q149" i="2"/>
  <c r="R149" i="2"/>
  <c r="S149" i="2"/>
  <c r="T149" i="2"/>
  <c r="U149" i="2"/>
  <c r="V149" i="2"/>
  <c r="W149" i="2"/>
  <c r="X149" i="2"/>
  <c r="Y149" i="2"/>
  <c r="N150" i="2"/>
  <c r="O150" i="2"/>
  <c r="P150" i="2"/>
  <c r="Q150" i="2"/>
  <c r="R150" i="2"/>
  <c r="S150" i="2"/>
  <c r="T150" i="2"/>
  <c r="U150" i="2"/>
  <c r="V150" i="2"/>
  <c r="W150" i="2"/>
  <c r="X150" i="2"/>
  <c r="Y150" i="2"/>
  <c r="N151" i="2"/>
  <c r="O151" i="2"/>
  <c r="P151" i="2"/>
  <c r="Q151" i="2"/>
  <c r="R151" i="2"/>
  <c r="S151" i="2"/>
  <c r="T151" i="2"/>
  <c r="U151" i="2"/>
  <c r="V151" i="2"/>
  <c r="W151" i="2"/>
  <c r="X151" i="2"/>
  <c r="Y151" i="2"/>
  <c r="N152" i="2"/>
  <c r="Z152" i="2" s="1"/>
  <c r="O152" i="2"/>
  <c r="P152" i="2"/>
  <c r="Q152" i="2"/>
  <c r="R152" i="2"/>
  <c r="S152" i="2"/>
  <c r="T152" i="2"/>
  <c r="U152" i="2"/>
  <c r="V152" i="2"/>
  <c r="W152" i="2"/>
  <c r="X152" i="2"/>
  <c r="Y152" i="2"/>
  <c r="N153" i="2"/>
  <c r="O153" i="2"/>
  <c r="P153" i="2"/>
  <c r="Q153" i="2"/>
  <c r="R153" i="2"/>
  <c r="S153" i="2"/>
  <c r="T153" i="2"/>
  <c r="U153" i="2"/>
  <c r="V153" i="2"/>
  <c r="W153" i="2"/>
  <c r="X153" i="2"/>
  <c r="Y153" i="2"/>
  <c r="N154" i="2"/>
  <c r="O154" i="2"/>
  <c r="P154" i="2"/>
  <c r="Q154" i="2"/>
  <c r="R154" i="2"/>
  <c r="S154" i="2"/>
  <c r="T154" i="2"/>
  <c r="Z154" i="2" s="1"/>
  <c r="U154" i="2"/>
  <c r="V154" i="2"/>
  <c r="W154" i="2"/>
  <c r="X154" i="2"/>
  <c r="Y154" i="2"/>
  <c r="N155" i="2"/>
  <c r="O155" i="2"/>
  <c r="P155" i="2"/>
  <c r="Q155" i="2"/>
  <c r="R155" i="2"/>
  <c r="S155" i="2"/>
  <c r="T155" i="2"/>
  <c r="U155" i="2"/>
  <c r="V155" i="2"/>
  <c r="W155" i="2"/>
  <c r="X155" i="2"/>
  <c r="Y155" i="2"/>
  <c r="N156" i="2"/>
  <c r="O156" i="2"/>
  <c r="P156" i="2"/>
  <c r="Q156" i="2"/>
  <c r="R156" i="2"/>
  <c r="S156" i="2"/>
  <c r="T156" i="2"/>
  <c r="U156" i="2"/>
  <c r="V156" i="2"/>
  <c r="W156" i="2"/>
  <c r="X156" i="2"/>
  <c r="Y156" i="2"/>
  <c r="N157" i="2"/>
  <c r="O157" i="2"/>
  <c r="P157" i="2"/>
  <c r="Q157" i="2"/>
  <c r="R157" i="2"/>
  <c r="S157" i="2"/>
  <c r="T157" i="2"/>
  <c r="U157" i="2"/>
  <c r="V157" i="2"/>
  <c r="W157" i="2"/>
  <c r="X157" i="2"/>
  <c r="Y157" i="2"/>
  <c r="N158" i="2"/>
  <c r="O158" i="2"/>
  <c r="P158" i="2"/>
  <c r="Q158" i="2"/>
  <c r="R158" i="2"/>
  <c r="S158" i="2"/>
  <c r="T158" i="2"/>
  <c r="U158" i="2"/>
  <c r="V158" i="2"/>
  <c r="W158" i="2"/>
  <c r="X158" i="2"/>
  <c r="Y158" i="2"/>
  <c r="N159" i="2"/>
  <c r="O159" i="2"/>
  <c r="P159" i="2"/>
  <c r="Q159" i="2"/>
  <c r="R159" i="2"/>
  <c r="S159" i="2"/>
  <c r="T159" i="2"/>
  <c r="Z159" i="2" s="1"/>
  <c r="U159" i="2"/>
  <c r="V159" i="2"/>
  <c r="W159" i="2"/>
  <c r="X159" i="2"/>
  <c r="Y159" i="2"/>
  <c r="N160" i="2"/>
  <c r="O160" i="2"/>
  <c r="P160" i="2"/>
  <c r="Q160" i="2"/>
  <c r="R160" i="2"/>
  <c r="S160" i="2"/>
  <c r="Z160" i="2" s="1"/>
  <c r="T160" i="2"/>
  <c r="U160" i="2"/>
  <c r="V160" i="2"/>
  <c r="W160" i="2"/>
  <c r="X160" i="2"/>
  <c r="Y160" i="2"/>
  <c r="N161" i="2"/>
  <c r="O161" i="2"/>
  <c r="P161" i="2"/>
  <c r="Q161" i="2"/>
  <c r="R161" i="2"/>
  <c r="S161" i="2"/>
  <c r="T161" i="2"/>
  <c r="U161" i="2"/>
  <c r="V161" i="2"/>
  <c r="W161" i="2"/>
  <c r="X161" i="2"/>
  <c r="Y161" i="2"/>
  <c r="N162" i="2"/>
  <c r="O162" i="2"/>
  <c r="P162" i="2"/>
  <c r="Q162" i="2"/>
  <c r="R162" i="2"/>
  <c r="S162" i="2"/>
  <c r="T162" i="2"/>
  <c r="U162" i="2"/>
  <c r="V162" i="2"/>
  <c r="W162" i="2"/>
  <c r="X162" i="2"/>
  <c r="Y162" i="2"/>
  <c r="N163" i="2"/>
  <c r="O163" i="2"/>
  <c r="P163" i="2"/>
  <c r="Q163" i="2"/>
  <c r="R163" i="2"/>
  <c r="S163" i="2"/>
  <c r="T163" i="2"/>
  <c r="U163" i="2"/>
  <c r="V163" i="2"/>
  <c r="W163" i="2"/>
  <c r="X163" i="2"/>
  <c r="Y163" i="2"/>
  <c r="N164" i="2"/>
  <c r="O164" i="2"/>
  <c r="P164" i="2"/>
  <c r="Q164" i="2"/>
  <c r="R164" i="2"/>
  <c r="S164" i="2"/>
  <c r="T164" i="2"/>
  <c r="Z164" i="2" s="1"/>
  <c r="U164" i="2"/>
  <c r="V164" i="2"/>
  <c r="W164" i="2"/>
  <c r="X164" i="2"/>
  <c r="Y164" i="2"/>
  <c r="N165" i="2"/>
  <c r="O165" i="2"/>
  <c r="P165" i="2"/>
  <c r="Z165" i="2" s="1"/>
  <c r="Q165" i="2"/>
  <c r="R165" i="2"/>
  <c r="S165" i="2"/>
  <c r="T165" i="2"/>
  <c r="U165" i="2"/>
  <c r="V165" i="2"/>
  <c r="W165" i="2"/>
  <c r="X165" i="2"/>
  <c r="Y165" i="2"/>
  <c r="N166" i="2"/>
  <c r="O166" i="2"/>
  <c r="P166" i="2"/>
  <c r="Q166" i="2"/>
  <c r="R166" i="2"/>
  <c r="S166" i="2"/>
  <c r="T166" i="2"/>
  <c r="U166" i="2"/>
  <c r="V166" i="2"/>
  <c r="W166" i="2"/>
  <c r="X166" i="2"/>
  <c r="Y166" i="2"/>
  <c r="N167" i="2"/>
  <c r="O167" i="2"/>
  <c r="P167" i="2"/>
  <c r="Q167" i="2"/>
  <c r="R167" i="2"/>
  <c r="S167" i="2"/>
  <c r="T167" i="2"/>
  <c r="Z167" i="2" s="1"/>
  <c r="U167" i="2"/>
  <c r="V167" i="2"/>
  <c r="W167" i="2"/>
  <c r="X167" i="2"/>
  <c r="Y167" i="2"/>
  <c r="N168" i="2"/>
  <c r="O168" i="2"/>
  <c r="P168" i="2"/>
  <c r="Q168" i="2"/>
  <c r="G27" i="50"/>
  <c r="R168" i="2"/>
  <c r="H27" i="50"/>
  <c r="S168" i="2"/>
  <c r="T168" i="2"/>
  <c r="J27" i="50" s="1"/>
  <c r="U168" i="2"/>
  <c r="K27" i="50"/>
  <c r="V168" i="2"/>
  <c r="W168" i="2"/>
  <c r="X168" i="2"/>
  <c r="N27" i="50"/>
  <c r="Y168" i="2"/>
  <c r="O27" i="50" s="1"/>
  <c r="N169" i="2"/>
  <c r="O169" i="2"/>
  <c r="P169" i="2"/>
  <c r="Q169" i="2"/>
  <c r="R169" i="2"/>
  <c r="S169" i="2"/>
  <c r="T169" i="2"/>
  <c r="U169" i="2"/>
  <c r="V169" i="2"/>
  <c r="W169" i="2"/>
  <c r="X169" i="2"/>
  <c r="Y169" i="2"/>
  <c r="N170" i="2"/>
  <c r="O170" i="2"/>
  <c r="P170" i="2"/>
  <c r="Q170" i="2"/>
  <c r="R170" i="2"/>
  <c r="S170" i="2"/>
  <c r="T170" i="2"/>
  <c r="U170" i="2"/>
  <c r="V170" i="2"/>
  <c r="W170" i="2"/>
  <c r="X170" i="2"/>
  <c r="Y170" i="2"/>
  <c r="N171" i="2"/>
  <c r="O171" i="2"/>
  <c r="P171" i="2"/>
  <c r="Q171" i="2"/>
  <c r="R171" i="2"/>
  <c r="S171" i="2"/>
  <c r="T171" i="2"/>
  <c r="U171" i="2"/>
  <c r="V171" i="2"/>
  <c r="W171" i="2"/>
  <c r="X171" i="2"/>
  <c r="Y171" i="2"/>
  <c r="N172" i="2"/>
  <c r="O172" i="2"/>
  <c r="Z172" i="2" s="1"/>
  <c r="P172" i="2"/>
  <c r="Q172" i="2"/>
  <c r="R172" i="2"/>
  <c r="S172" i="2"/>
  <c r="T172" i="2"/>
  <c r="U172" i="2"/>
  <c r="V172" i="2"/>
  <c r="W172" i="2"/>
  <c r="X172" i="2"/>
  <c r="Y172" i="2"/>
  <c r="N173" i="2"/>
  <c r="O173" i="2"/>
  <c r="P173" i="2"/>
  <c r="Q173" i="2"/>
  <c r="R173" i="2"/>
  <c r="S173" i="2"/>
  <c r="T173" i="2"/>
  <c r="U173" i="2"/>
  <c r="V173" i="2"/>
  <c r="W173" i="2"/>
  <c r="X173" i="2"/>
  <c r="Y173" i="2"/>
  <c r="N174" i="2"/>
  <c r="O174" i="2"/>
  <c r="P174" i="2"/>
  <c r="Q174" i="2"/>
  <c r="R174" i="2"/>
  <c r="S174" i="2"/>
  <c r="T174" i="2"/>
  <c r="Z174" i="2" s="1"/>
  <c r="U174" i="2"/>
  <c r="V174" i="2"/>
  <c r="W174" i="2"/>
  <c r="X174" i="2"/>
  <c r="Y174" i="2"/>
  <c r="N175" i="2"/>
  <c r="O175" i="2"/>
  <c r="P175" i="2"/>
  <c r="Z175" i="2" s="1"/>
  <c r="Q175" i="2"/>
  <c r="R175" i="2"/>
  <c r="S175" i="2"/>
  <c r="T175" i="2"/>
  <c r="U175" i="2"/>
  <c r="V175" i="2"/>
  <c r="W175" i="2"/>
  <c r="X175" i="2"/>
  <c r="Y175" i="2"/>
  <c r="N176" i="2"/>
  <c r="O176" i="2"/>
  <c r="P176" i="2"/>
  <c r="Q176" i="2"/>
  <c r="R176" i="2"/>
  <c r="S176" i="2"/>
  <c r="T176" i="2"/>
  <c r="U176" i="2"/>
  <c r="V176" i="2"/>
  <c r="W176" i="2"/>
  <c r="X176" i="2"/>
  <c r="Y176" i="2"/>
  <c r="N177" i="2"/>
  <c r="O177" i="2"/>
  <c r="P177" i="2"/>
  <c r="Q177" i="2"/>
  <c r="R177" i="2"/>
  <c r="S177" i="2"/>
  <c r="T177" i="2"/>
  <c r="U177" i="2"/>
  <c r="V177" i="2"/>
  <c r="W177" i="2"/>
  <c r="X177" i="2"/>
  <c r="Y177" i="2"/>
  <c r="N178" i="2"/>
  <c r="O178" i="2"/>
  <c r="P178" i="2"/>
  <c r="Q178" i="2"/>
  <c r="R178" i="2"/>
  <c r="S178" i="2"/>
  <c r="T178" i="2"/>
  <c r="Z178" i="2" s="1"/>
  <c r="U178" i="2"/>
  <c r="V178" i="2"/>
  <c r="W178" i="2"/>
  <c r="X178" i="2"/>
  <c r="Y178" i="2"/>
  <c r="N179" i="2"/>
  <c r="Z179" i="2" s="1"/>
  <c r="O179" i="2"/>
  <c r="P179" i="2"/>
  <c r="Q179" i="2"/>
  <c r="R179" i="2"/>
  <c r="S179" i="2"/>
  <c r="T179" i="2"/>
  <c r="U179" i="2"/>
  <c r="V179" i="2"/>
  <c r="W179" i="2"/>
  <c r="X179" i="2"/>
  <c r="Y179" i="2"/>
  <c r="N180" i="2"/>
  <c r="O180" i="2"/>
  <c r="P180" i="2"/>
  <c r="F29" i="50"/>
  <c r="Q180" i="2"/>
  <c r="G29" i="50"/>
  <c r="R180" i="2"/>
  <c r="S180" i="2"/>
  <c r="I29" i="50"/>
  <c r="T180" i="2"/>
  <c r="J26" i="51" s="1"/>
  <c r="J28" i="51" s="1"/>
  <c r="U180" i="2"/>
  <c r="K29" i="50" s="1"/>
  <c r="V180" i="2"/>
  <c r="L26" i="51" s="1"/>
  <c r="W180" i="2"/>
  <c r="M29" i="50" s="1"/>
  <c r="X180" i="2"/>
  <c r="Y180" i="2"/>
  <c r="O29" i="50"/>
  <c r="N181" i="2"/>
  <c r="O181" i="2"/>
  <c r="P181" i="2"/>
  <c r="Q181" i="2"/>
  <c r="R181" i="2"/>
  <c r="S181" i="2"/>
  <c r="T181" i="2"/>
  <c r="U181" i="2"/>
  <c r="V181" i="2"/>
  <c r="W181" i="2"/>
  <c r="X181" i="2"/>
  <c r="Y181" i="2"/>
  <c r="N182" i="2"/>
  <c r="O182" i="2"/>
  <c r="P182" i="2"/>
  <c r="Q182" i="2"/>
  <c r="G28" i="53" s="1"/>
  <c r="R182" i="2"/>
  <c r="S182" i="2"/>
  <c r="T182" i="2"/>
  <c r="U182" i="2"/>
  <c r="K28" i="53" s="1"/>
  <c r="V182" i="2"/>
  <c r="W182" i="2"/>
  <c r="X182" i="2"/>
  <c r="Y182" i="2"/>
  <c r="N183" i="2"/>
  <c r="O183" i="2"/>
  <c r="P183" i="2"/>
  <c r="Q183" i="2"/>
  <c r="R183" i="2"/>
  <c r="S183" i="2"/>
  <c r="T183" i="2"/>
  <c r="Z183" i="2" s="1"/>
  <c r="U183" i="2"/>
  <c r="V183" i="2"/>
  <c r="W183" i="2"/>
  <c r="X183" i="2"/>
  <c r="Y183" i="2"/>
  <c r="N184" i="2"/>
  <c r="O184" i="2"/>
  <c r="P184" i="2"/>
  <c r="Z184" i="2" s="1"/>
  <c r="Q184" i="2"/>
  <c r="R184" i="2"/>
  <c r="S184" i="2"/>
  <c r="T184" i="2"/>
  <c r="U184" i="2"/>
  <c r="V184" i="2"/>
  <c r="W184" i="2"/>
  <c r="X184" i="2"/>
  <c r="Y184" i="2"/>
  <c r="N185" i="2"/>
  <c r="O185" i="2"/>
  <c r="P185" i="2"/>
  <c r="Q185" i="2"/>
  <c r="R185" i="2"/>
  <c r="S185" i="2"/>
  <c r="T185" i="2"/>
  <c r="U185" i="2"/>
  <c r="V185" i="2"/>
  <c r="W185" i="2"/>
  <c r="X185" i="2"/>
  <c r="Y185" i="2"/>
  <c r="N186" i="2"/>
  <c r="O186" i="2"/>
  <c r="P186" i="2"/>
  <c r="Q186" i="2"/>
  <c r="R186" i="2"/>
  <c r="S186" i="2"/>
  <c r="T186" i="2"/>
  <c r="U186" i="2"/>
  <c r="V186" i="2"/>
  <c r="W186" i="2"/>
  <c r="X186" i="2"/>
  <c r="Y186" i="2"/>
  <c r="N187" i="2"/>
  <c r="O187" i="2"/>
  <c r="Z187" i="2" s="1"/>
  <c r="P187" i="2"/>
  <c r="Q187" i="2"/>
  <c r="R187" i="2"/>
  <c r="S187" i="2"/>
  <c r="T187" i="2"/>
  <c r="U187" i="2"/>
  <c r="V187" i="2"/>
  <c r="W187" i="2"/>
  <c r="X187" i="2"/>
  <c r="Y187" i="2"/>
  <c r="N188" i="2"/>
  <c r="O188" i="2"/>
  <c r="P188" i="2"/>
  <c r="Q188" i="2"/>
  <c r="R188" i="2"/>
  <c r="S188" i="2"/>
  <c r="T188" i="2"/>
  <c r="U188" i="2"/>
  <c r="V188" i="2"/>
  <c r="W188" i="2"/>
  <c r="X188" i="2"/>
  <c r="Y188" i="2"/>
  <c r="N189" i="2"/>
  <c r="O189" i="2"/>
  <c r="P189" i="2"/>
  <c r="Q189" i="2"/>
  <c r="R189" i="2"/>
  <c r="S189" i="2"/>
  <c r="T189" i="2"/>
  <c r="Z189" i="2" s="1"/>
  <c r="U189" i="2"/>
  <c r="V189" i="2"/>
  <c r="W189" i="2"/>
  <c r="X189" i="2"/>
  <c r="Y189" i="2"/>
  <c r="N190" i="2"/>
  <c r="O190" i="2"/>
  <c r="P190" i="2"/>
  <c r="Q190" i="2"/>
  <c r="R190" i="2"/>
  <c r="S190" i="2"/>
  <c r="U190" i="2"/>
  <c r="V190" i="2"/>
  <c r="W190" i="2"/>
  <c r="X190" i="2"/>
  <c r="Y190" i="2"/>
  <c r="J190" i="2"/>
  <c r="N191" i="2"/>
  <c r="O191" i="2"/>
  <c r="P191" i="2"/>
  <c r="Q191" i="2"/>
  <c r="R191" i="2"/>
  <c r="S191" i="2"/>
  <c r="T191" i="2"/>
  <c r="U191" i="2"/>
  <c r="V191" i="2"/>
  <c r="W191" i="2"/>
  <c r="X191" i="2"/>
  <c r="Y191" i="2"/>
  <c r="N192" i="2"/>
  <c r="Z192" i="2" s="1"/>
  <c r="O192" i="2"/>
  <c r="P192" i="2"/>
  <c r="Q192" i="2"/>
  <c r="R192" i="2"/>
  <c r="S192" i="2"/>
  <c r="T192" i="2"/>
  <c r="U192" i="2"/>
  <c r="V192" i="2"/>
  <c r="W192" i="2"/>
  <c r="X192" i="2"/>
  <c r="Y192" i="2"/>
  <c r="N193" i="2"/>
  <c r="O193" i="2"/>
  <c r="P193" i="2"/>
  <c r="Q193" i="2"/>
  <c r="R193" i="2"/>
  <c r="S193" i="2"/>
  <c r="T193" i="2"/>
  <c r="Z193" i="2" s="1"/>
  <c r="U193" i="2"/>
  <c r="V193" i="2"/>
  <c r="W193" i="2"/>
  <c r="X193" i="2"/>
  <c r="Y193" i="2"/>
  <c r="N194" i="2"/>
  <c r="O194" i="2"/>
  <c r="P194" i="2"/>
  <c r="Q194" i="2"/>
  <c r="R194" i="2"/>
  <c r="S194" i="2"/>
  <c r="T194" i="2"/>
  <c r="U194" i="2"/>
  <c r="V194" i="2"/>
  <c r="W194" i="2"/>
  <c r="X194" i="2"/>
  <c r="Y194" i="2"/>
  <c r="N195" i="2"/>
  <c r="O195" i="2"/>
  <c r="P195" i="2"/>
  <c r="Q195" i="2"/>
  <c r="R195" i="2"/>
  <c r="S195" i="2"/>
  <c r="T195" i="2"/>
  <c r="U195" i="2"/>
  <c r="V195" i="2"/>
  <c r="W195" i="2"/>
  <c r="X195" i="2"/>
  <c r="Y195" i="2"/>
  <c r="N196" i="2"/>
  <c r="O196" i="2"/>
  <c r="P196" i="2"/>
  <c r="Q196" i="2"/>
  <c r="R196" i="2"/>
  <c r="S196" i="2"/>
  <c r="T196" i="2"/>
  <c r="Z196" i="2" s="1"/>
  <c r="U196" i="2"/>
  <c r="V196" i="2"/>
  <c r="W196" i="2"/>
  <c r="X196" i="2"/>
  <c r="Y196" i="2"/>
  <c r="N197" i="2"/>
  <c r="O197" i="2"/>
  <c r="P197" i="2"/>
  <c r="Q197" i="2"/>
  <c r="R197" i="2"/>
  <c r="S197" i="2"/>
  <c r="T197" i="2"/>
  <c r="U197" i="2"/>
  <c r="V197" i="2"/>
  <c r="W197" i="2"/>
  <c r="X197" i="2"/>
  <c r="Y197" i="2"/>
  <c r="N198" i="2"/>
  <c r="D25" i="53" s="1"/>
  <c r="O198" i="2"/>
  <c r="P198" i="2"/>
  <c r="F25" i="53" s="1"/>
  <c r="F18" i="65" s="1"/>
  <c r="Q198" i="2"/>
  <c r="G25" i="53" s="1"/>
  <c r="R198" i="2"/>
  <c r="S198" i="2"/>
  <c r="I25" i="53"/>
  <c r="T198" i="2"/>
  <c r="J25" i="53"/>
  <c r="J18" i="65" s="1"/>
  <c r="U198" i="2"/>
  <c r="K25" i="53"/>
  <c r="V198" i="2"/>
  <c r="L25" i="53" s="1"/>
  <c r="W198" i="2"/>
  <c r="M25" i="53" s="1"/>
  <c r="X198" i="2"/>
  <c r="N25" i="53" s="1"/>
  <c r="N21" i="53"/>
  <c r="Y198" i="2"/>
  <c r="N199" i="2"/>
  <c r="D26" i="53" s="1"/>
  <c r="D27" i="77"/>
  <c r="O199" i="2"/>
  <c r="E26" i="53" s="1"/>
  <c r="P199" i="2"/>
  <c r="F26" i="53"/>
  <c r="F19" i="65"/>
  <c r="F24" i="65" s="1"/>
  <c r="Q199" i="2"/>
  <c r="G26" i="53"/>
  <c r="D515" i="68"/>
  <c r="R199" i="2"/>
  <c r="H26" i="53" s="1"/>
  <c r="H19" i="65" s="1"/>
  <c r="H24" i="65"/>
  <c r="S199" i="2"/>
  <c r="T199" i="2"/>
  <c r="J26" i="53"/>
  <c r="U199" i="2"/>
  <c r="K26" i="53" s="1"/>
  <c r="K19" i="65" s="1"/>
  <c r="K24" i="65" s="1"/>
  <c r="V199" i="2"/>
  <c r="L26" i="53"/>
  <c r="W199" i="2"/>
  <c r="M26" i="53"/>
  <c r="X199" i="2"/>
  <c r="N26" i="53"/>
  <c r="D522" i="68" s="1"/>
  <c r="Y199" i="2"/>
  <c r="O26" i="53"/>
  <c r="O27" i="77" s="1"/>
  <c r="N200" i="2"/>
  <c r="D27" i="53"/>
  <c r="O200" i="2"/>
  <c r="E27" i="53" s="1"/>
  <c r="E513" i="68" s="1"/>
  <c r="P200" i="2"/>
  <c r="F27" i="53" s="1"/>
  <c r="F7" i="89" s="1"/>
  <c r="Q200" i="2"/>
  <c r="G27" i="53"/>
  <c r="R200" i="2"/>
  <c r="H27" i="53"/>
  <c r="S200" i="2"/>
  <c r="I27" i="53"/>
  <c r="I26" i="77" s="1"/>
  <c r="T200" i="2"/>
  <c r="U200" i="2"/>
  <c r="K27" i="53"/>
  <c r="V200" i="2"/>
  <c r="W200" i="2"/>
  <c r="X200" i="2"/>
  <c r="N27" i="53"/>
  <c r="Y200" i="2"/>
  <c r="O27" i="53"/>
  <c r="N201" i="2"/>
  <c r="O201" i="2"/>
  <c r="Z201" i="2" s="1"/>
  <c r="P201" i="2"/>
  <c r="Q201" i="2"/>
  <c r="R201" i="2"/>
  <c r="S201" i="2"/>
  <c r="T201" i="2"/>
  <c r="U201" i="2"/>
  <c r="V201" i="2"/>
  <c r="W201" i="2"/>
  <c r="X201" i="2"/>
  <c r="Y201" i="2"/>
  <c r="N202" i="2"/>
  <c r="O202" i="2"/>
  <c r="P202" i="2"/>
  <c r="Q202" i="2"/>
  <c r="R202" i="2"/>
  <c r="S202" i="2"/>
  <c r="T202" i="2"/>
  <c r="U202" i="2"/>
  <c r="V202" i="2"/>
  <c r="W202" i="2"/>
  <c r="X202" i="2"/>
  <c r="Y202" i="2"/>
  <c r="N203" i="2"/>
  <c r="O203" i="2"/>
  <c r="P203" i="2"/>
  <c r="Q203" i="2"/>
  <c r="R203" i="2"/>
  <c r="S203" i="2"/>
  <c r="T203" i="2"/>
  <c r="U203" i="2"/>
  <c r="V203" i="2"/>
  <c r="W203" i="2"/>
  <c r="X203" i="2"/>
  <c r="Y203" i="2"/>
  <c r="N204" i="2"/>
  <c r="O204" i="2"/>
  <c r="P204" i="2"/>
  <c r="Q204" i="2"/>
  <c r="R204" i="2"/>
  <c r="S204" i="2"/>
  <c r="T204" i="2"/>
  <c r="U204" i="2"/>
  <c r="V204" i="2"/>
  <c r="W204" i="2"/>
  <c r="X204" i="2"/>
  <c r="Y204" i="2"/>
  <c r="N205" i="2"/>
  <c r="O205" i="2"/>
  <c r="P205" i="2"/>
  <c r="Q205" i="2"/>
  <c r="R205" i="2"/>
  <c r="S205" i="2"/>
  <c r="T205" i="2"/>
  <c r="U205" i="2"/>
  <c r="V205" i="2"/>
  <c r="W205" i="2"/>
  <c r="X205" i="2"/>
  <c r="Y205" i="2"/>
  <c r="N206" i="2"/>
  <c r="O206" i="2"/>
  <c r="P206" i="2"/>
  <c r="Q206" i="2"/>
  <c r="R206" i="2"/>
  <c r="S206" i="2"/>
  <c r="T206" i="2"/>
  <c r="U206" i="2"/>
  <c r="V206" i="2"/>
  <c r="W206" i="2"/>
  <c r="X206" i="2"/>
  <c r="Y206" i="2"/>
  <c r="N207" i="2"/>
  <c r="O207" i="2"/>
  <c r="P207" i="2"/>
  <c r="Q207" i="2"/>
  <c r="R207" i="2"/>
  <c r="S207" i="2"/>
  <c r="T207" i="2"/>
  <c r="U207" i="2"/>
  <c r="V207" i="2"/>
  <c r="W207" i="2"/>
  <c r="X207" i="2"/>
  <c r="Y207" i="2"/>
  <c r="N208" i="2"/>
  <c r="O208" i="2"/>
  <c r="E31" i="54" s="1"/>
  <c r="P208" i="2"/>
  <c r="Q208" i="2"/>
  <c r="G31" i="54" s="1"/>
  <c r="R208" i="2"/>
  <c r="S208" i="2"/>
  <c r="T208" i="2"/>
  <c r="U208" i="2"/>
  <c r="K31" i="54" s="1"/>
  <c r="V208" i="2"/>
  <c r="W208" i="2"/>
  <c r="M31" i="54" s="1"/>
  <c r="X208" i="2"/>
  <c r="Y208" i="2"/>
  <c r="O31" i="54" s="1"/>
  <c r="N209" i="2"/>
  <c r="O209" i="2"/>
  <c r="P209" i="2"/>
  <c r="Q209" i="2"/>
  <c r="R209" i="2"/>
  <c r="S209" i="2"/>
  <c r="T209" i="2"/>
  <c r="Z209" i="2" s="1"/>
  <c r="U209" i="2"/>
  <c r="V209" i="2"/>
  <c r="W209" i="2"/>
  <c r="X209" i="2"/>
  <c r="Y209" i="2"/>
  <c r="N210" i="2"/>
  <c r="O210" i="2"/>
  <c r="P210" i="2"/>
  <c r="Q210" i="2"/>
  <c r="R210" i="2"/>
  <c r="S210" i="2"/>
  <c r="T210" i="2"/>
  <c r="U210" i="2"/>
  <c r="V210" i="2"/>
  <c r="W210" i="2"/>
  <c r="X210" i="2"/>
  <c r="Y210" i="2"/>
  <c r="N211" i="2"/>
  <c r="Z211" i="2" s="1"/>
  <c r="O211" i="2"/>
  <c r="P211" i="2"/>
  <c r="Q211" i="2"/>
  <c r="R211" i="2"/>
  <c r="S211" i="2"/>
  <c r="T211" i="2"/>
  <c r="U211" i="2"/>
  <c r="V211" i="2"/>
  <c r="W211" i="2"/>
  <c r="X211" i="2"/>
  <c r="Y211" i="2"/>
  <c r="N212" i="2"/>
  <c r="O212" i="2"/>
  <c r="P212" i="2"/>
  <c r="Q212" i="2"/>
  <c r="R212" i="2"/>
  <c r="S212" i="2"/>
  <c r="T212" i="2"/>
  <c r="Z212" i="2" s="1"/>
  <c r="U212" i="2"/>
  <c r="V212" i="2"/>
  <c r="W212" i="2"/>
  <c r="X212" i="2"/>
  <c r="Y212" i="2"/>
  <c r="N213" i="2"/>
  <c r="O213" i="2"/>
  <c r="P213" i="2"/>
  <c r="Z213" i="2" s="1"/>
  <c r="Q213" i="2"/>
  <c r="R213" i="2"/>
  <c r="S213" i="2"/>
  <c r="T213" i="2"/>
  <c r="U213" i="2"/>
  <c r="V213" i="2"/>
  <c r="W213" i="2"/>
  <c r="X213" i="2"/>
  <c r="Y213" i="2"/>
  <c r="N214" i="2"/>
  <c r="O214" i="2"/>
  <c r="P214" i="2"/>
  <c r="Q214" i="2"/>
  <c r="R214" i="2"/>
  <c r="S214" i="2"/>
  <c r="T214" i="2"/>
  <c r="U214" i="2"/>
  <c r="V214" i="2"/>
  <c r="W214" i="2"/>
  <c r="X214" i="2"/>
  <c r="Y214" i="2"/>
  <c r="N215" i="2"/>
  <c r="O215" i="2"/>
  <c r="P215" i="2"/>
  <c r="Q215" i="2"/>
  <c r="R215" i="2"/>
  <c r="S215" i="2"/>
  <c r="T215" i="2"/>
  <c r="U215" i="2"/>
  <c r="V215" i="2"/>
  <c r="W215" i="2"/>
  <c r="X215" i="2"/>
  <c r="Y215" i="2"/>
  <c r="N216" i="2"/>
  <c r="O216" i="2"/>
  <c r="P216" i="2"/>
  <c r="Q216" i="2"/>
  <c r="R216" i="2"/>
  <c r="S216" i="2"/>
  <c r="T216" i="2"/>
  <c r="U216" i="2"/>
  <c r="V216" i="2"/>
  <c r="W216" i="2"/>
  <c r="X216" i="2"/>
  <c r="Y216" i="2"/>
  <c r="N217" i="2"/>
  <c r="O217" i="2"/>
  <c r="P217" i="2"/>
  <c r="Q217" i="2"/>
  <c r="R217" i="2"/>
  <c r="S217" i="2"/>
  <c r="T217" i="2"/>
  <c r="U217" i="2"/>
  <c r="V217" i="2"/>
  <c r="W217" i="2"/>
  <c r="X217" i="2"/>
  <c r="Y217" i="2"/>
  <c r="N218" i="2"/>
  <c r="O218" i="2"/>
  <c r="P218" i="2"/>
  <c r="Q218" i="2"/>
  <c r="R218" i="2"/>
  <c r="S218" i="2"/>
  <c r="T218" i="2"/>
  <c r="Z218" i="2" s="1"/>
  <c r="U218" i="2"/>
  <c r="V218" i="2"/>
  <c r="W218" i="2"/>
  <c r="X218" i="2"/>
  <c r="Y218" i="2"/>
  <c r="N219" i="2"/>
  <c r="O219" i="2"/>
  <c r="P219" i="2"/>
  <c r="Q219" i="2"/>
  <c r="R219" i="2"/>
  <c r="S219" i="2"/>
  <c r="T219" i="2"/>
  <c r="U219" i="2"/>
  <c r="V219" i="2"/>
  <c r="W219" i="2"/>
  <c r="X219" i="2"/>
  <c r="Y219" i="2"/>
  <c r="N220" i="2"/>
  <c r="Z220" i="2" s="1"/>
  <c r="O220" i="2"/>
  <c r="P220" i="2"/>
  <c r="Q220" i="2"/>
  <c r="R220" i="2"/>
  <c r="S220" i="2"/>
  <c r="T220" i="2"/>
  <c r="U220" i="2"/>
  <c r="V220" i="2"/>
  <c r="W220" i="2"/>
  <c r="X220" i="2"/>
  <c r="Y220" i="2"/>
  <c r="N221" i="2"/>
  <c r="O221" i="2"/>
  <c r="P221" i="2"/>
  <c r="Q221" i="2"/>
  <c r="R221" i="2"/>
  <c r="S221" i="2"/>
  <c r="T221" i="2"/>
  <c r="U221" i="2"/>
  <c r="V221" i="2"/>
  <c r="W221" i="2"/>
  <c r="X221" i="2"/>
  <c r="Y221" i="2"/>
  <c r="N222" i="2"/>
  <c r="O222" i="2"/>
  <c r="P222" i="2"/>
  <c r="Q222" i="2"/>
  <c r="R222" i="2"/>
  <c r="S222" i="2"/>
  <c r="T222" i="2"/>
  <c r="U222" i="2"/>
  <c r="V222" i="2"/>
  <c r="W222" i="2"/>
  <c r="X222" i="2"/>
  <c r="Y222" i="2"/>
  <c r="N223" i="2"/>
  <c r="Z223" i="2" s="1"/>
  <c r="O223" i="2"/>
  <c r="E34" i="54" s="1"/>
  <c r="P223" i="2"/>
  <c r="F34" i="54"/>
  <c r="Q223" i="2"/>
  <c r="G34" i="54"/>
  <c r="R223" i="2"/>
  <c r="S223" i="2"/>
  <c r="I34" i="54"/>
  <c r="T223" i="2"/>
  <c r="J34" i="54" s="1"/>
  <c r="U223" i="2"/>
  <c r="K34" i="54"/>
  <c r="V223" i="2"/>
  <c r="L34" i="54" s="1"/>
  <c r="W223" i="2"/>
  <c r="M34" i="54"/>
  <c r="X223" i="2"/>
  <c r="N34" i="54" s="1"/>
  <c r="Y223" i="2"/>
  <c r="N224" i="2"/>
  <c r="O224" i="2"/>
  <c r="P224" i="2"/>
  <c r="Q224" i="2"/>
  <c r="R224" i="2"/>
  <c r="S224" i="2"/>
  <c r="T224" i="2"/>
  <c r="U224" i="2"/>
  <c r="V224" i="2"/>
  <c r="W224" i="2"/>
  <c r="X224" i="2"/>
  <c r="Y224" i="2"/>
  <c r="N225" i="2"/>
  <c r="O225" i="2"/>
  <c r="P225" i="2"/>
  <c r="Q225" i="2"/>
  <c r="R225" i="2"/>
  <c r="S225" i="2"/>
  <c r="T225" i="2"/>
  <c r="U225" i="2"/>
  <c r="V225" i="2"/>
  <c r="W225" i="2"/>
  <c r="X225" i="2"/>
  <c r="Y225" i="2"/>
  <c r="N226" i="2"/>
  <c r="O226" i="2"/>
  <c r="P226" i="2"/>
  <c r="Q226" i="2"/>
  <c r="R226" i="2"/>
  <c r="S226" i="2"/>
  <c r="T226" i="2"/>
  <c r="Z226" i="2" s="1"/>
  <c r="U226" i="2"/>
  <c r="V226" i="2"/>
  <c r="W226" i="2"/>
  <c r="X226" i="2"/>
  <c r="Y226" i="2"/>
  <c r="N227" i="2"/>
  <c r="O227" i="2"/>
  <c r="P227" i="2"/>
  <c r="Q227" i="2"/>
  <c r="R227" i="2"/>
  <c r="S227" i="2"/>
  <c r="T227" i="2"/>
  <c r="U227" i="2"/>
  <c r="V227" i="2"/>
  <c r="W227" i="2"/>
  <c r="X227" i="2"/>
  <c r="Y227" i="2"/>
  <c r="N228" i="2"/>
  <c r="O228" i="2"/>
  <c r="P228" i="2"/>
  <c r="Q228" i="2"/>
  <c r="R228" i="2"/>
  <c r="S228" i="2"/>
  <c r="T228" i="2"/>
  <c r="U228" i="2"/>
  <c r="V228" i="2"/>
  <c r="W228" i="2"/>
  <c r="X228" i="2"/>
  <c r="Y228" i="2"/>
  <c r="N229" i="2"/>
  <c r="O229" i="2"/>
  <c r="P229" i="2"/>
  <c r="F36" i="54" s="1"/>
  <c r="Q229" i="2"/>
  <c r="R229" i="2"/>
  <c r="S229" i="2"/>
  <c r="T229" i="2"/>
  <c r="U229" i="2"/>
  <c r="V229" i="2"/>
  <c r="W229" i="2"/>
  <c r="X229" i="2"/>
  <c r="Y229" i="2"/>
  <c r="N230" i="2"/>
  <c r="O230" i="2"/>
  <c r="E36" i="54"/>
  <c r="P230" i="2"/>
  <c r="Q230" i="2"/>
  <c r="R230" i="2"/>
  <c r="S230" i="2"/>
  <c r="T230" i="2"/>
  <c r="U230" i="2"/>
  <c r="V230" i="2"/>
  <c r="W230" i="2"/>
  <c r="X230" i="2"/>
  <c r="Y230" i="2"/>
  <c r="N231" i="2"/>
  <c r="O231" i="2"/>
  <c r="P231" i="2"/>
  <c r="Q231" i="2"/>
  <c r="R231" i="2"/>
  <c r="S231" i="2"/>
  <c r="T231" i="2"/>
  <c r="U231" i="2"/>
  <c r="V231" i="2"/>
  <c r="W231" i="2"/>
  <c r="X231" i="2"/>
  <c r="Y231" i="2"/>
  <c r="N232" i="2"/>
  <c r="O232" i="2"/>
  <c r="P232" i="2"/>
  <c r="Q232" i="2"/>
  <c r="R232" i="2"/>
  <c r="S232" i="2"/>
  <c r="T232" i="2"/>
  <c r="U232" i="2"/>
  <c r="V232" i="2"/>
  <c r="W232" i="2"/>
  <c r="X232" i="2"/>
  <c r="Y232" i="2"/>
  <c r="N233" i="2"/>
  <c r="O233" i="2"/>
  <c r="P233" i="2"/>
  <c r="Q233" i="2"/>
  <c r="R233" i="2"/>
  <c r="S233" i="2"/>
  <c r="T233" i="2"/>
  <c r="U233" i="2"/>
  <c r="V233" i="2"/>
  <c r="W233" i="2"/>
  <c r="X233" i="2"/>
  <c r="Y233" i="2"/>
  <c r="N234" i="2"/>
  <c r="O234" i="2"/>
  <c r="Z234" i="2" s="1"/>
  <c r="P234" i="2"/>
  <c r="Q234" i="2"/>
  <c r="R234" i="2"/>
  <c r="S234" i="2"/>
  <c r="T234" i="2"/>
  <c r="U234" i="2"/>
  <c r="V234" i="2"/>
  <c r="W234" i="2"/>
  <c r="X234" i="2"/>
  <c r="Y234" i="2"/>
  <c r="N235" i="2"/>
  <c r="O235" i="2"/>
  <c r="P235" i="2"/>
  <c r="Q235" i="2"/>
  <c r="R235" i="2"/>
  <c r="S235" i="2"/>
  <c r="T235" i="2"/>
  <c r="U235" i="2"/>
  <c r="V235" i="2"/>
  <c r="W235" i="2"/>
  <c r="X235" i="2"/>
  <c r="Y235" i="2"/>
  <c r="N236" i="2"/>
  <c r="D37" i="54" s="1"/>
  <c r="O236" i="2"/>
  <c r="P236" i="2"/>
  <c r="Q236" i="2"/>
  <c r="R236" i="2"/>
  <c r="S236" i="2"/>
  <c r="T236" i="2"/>
  <c r="U236" i="2"/>
  <c r="V236" i="2"/>
  <c r="W236" i="2"/>
  <c r="X236" i="2"/>
  <c r="Y236" i="2"/>
  <c r="N237" i="2"/>
  <c r="O237" i="2"/>
  <c r="E37" i="54" s="1"/>
  <c r="P237" i="2"/>
  <c r="Z237" i="2" s="1"/>
  <c r="Q237" i="2"/>
  <c r="R237" i="2"/>
  <c r="S237" i="2"/>
  <c r="T237" i="2"/>
  <c r="U237" i="2"/>
  <c r="V237" i="2"/>
  <c r="W237" i="2"/>
  <c r="X237" i="2"/>
  <c r="Y237" i="2"/>
  <c r="N238" i="2"/>
  <c r="O238" i="2"/>
  <c r="P238" i="2"/>
  <c r="Q238" i="2"/>
  <c r="R238" i="2"/>
  <c r="Z238" i="2" s="1"/>
  <c r="S238" i="2"/>
  <c r="T238" i="2"/>
  <c r="U238" i="2"/>
  <c r="V238" i="2"/>
  <c r="W238" i="2"/>
  <c r="X238" i="2"/>
  <c r="Y238" i="2"/>
  <c r="N239" i="2"/>
  <c r="Z239" i="2" s="1"/>
  <c r="O239" i="2"/>
  <c r="P239" i="2"/>
  <c r="Q239" i="2"/>
  <c r="R239" i="2"/>
  <c r="S239" i="2"/>
  <c r="T239" i="2"/>
  <c r="U239" i="2"/>
  <c r="V239" i="2"/>
  <c r="W239" i="2"/>
  <c r="X239" i="2"/>
  <c r="Y239" i="2"/>
  <c r="N240" i="2"/>
  <c r="O240" i="2"/>
  <c r="P240" i="2"/>
  <c r="Q240" i="2"/>
  <c r="R240" i="2"/>
  <c r="S240" i="2"/>
  <c r="T240" i="2"/>
  <c r="U240" i="2"/>
  <c r="V240" i="2"/>
  <c r="W240" i="2"/>
  <c r="X240" i="2"/>
  <c r="Z240" i="2" s="1"/>
  <c r="Y240" i="2"/>
  <c r="N241" i="2"/>
  <c r="O241" i="2"/>
  <c r="P241" i="2"/>
  <c r="Z241" i="2" s="1"/>
  <c r="Q241" i="2"/>
  <c r="R241" i="2"/>
  <c r="S241" i="2"/>
  <c r="T241" i="2"/>
  <c r="U241" i="2"/>
  <c r="V241" i="2"/>
  <c r="W241" i="2"/>
  <c r="X241" i="2"/>
  <c r="Y241" i="2"/>
  <c r="N242" i="2"/>
  <c r="O242" i="2"/>
  <c r="P242" i="2"/>
  <c r="Q242" i="2"/>
  <c r="R242" i="2"/>
  <c r="S242" i="2"/>
  <c r="T242" i="2"/>
  <c r="U242" i="2"/>
  <c r="V242" i="2"/>
  <c r="W242" i="2"/>
  <c r="X242" i="2"/>
  <c r="Y242" i="2"/>
  <c r="N243" i="2"/>
  <c r="O243" i="2"/>
  <c r="P243" i="2"/>
  <c r="Q243" i="2"/>
  <c r="R243" i="2"/>
  <c r="S243" i="2"/>
  <c r="T243" i="2"/>
  <c r="U243" i="2"/>
  <c r="V243" i="2"/>
  <c r="W243" i="2"/>
  <c r="X243" i="2"/>
  <c r="Y243" i="2"/>
  <c r="N244" i="2"/>
  <c r="O244" i="2"/>
  <c r="P244" i="2"/>
  <c r="Q244" i="2"/>
  <c r="R244" i="2"/>
  <c r="S244" i="2"/>
  <c r="T244" i="2"/>
  <c r="Z244" i="2" s="1"/>
  <c r="U244" i="2"/>
  <c r="V244" i="2"/>
  <c r="W244" i="2"/>
  <c r="X244" i="2"/>
  <c r="Y244" i="2"/>
  <c r="N245" i="2"/>
  <c r="O245" i="2"/>
  <c r="P245" i="2"/>
  <c r="Q245" i="2"/>
  <c r="R245" i="2"/>
  <c r="S245" i="2"/>
  <c r="T245" i="2"/>
  <c r="U245" i="2"/>
  <c r="V245" i="2"/>
  <c r="W245" i="2"/>
  <c r="X245" i="2"/>
  <c r="Y245" i="2"/>
  <c r="N246" i="2"/>
  <c r="O246" i="2"/>
  <c r="P246" i="2"/>
  <c r="Q246" i="2"/>
  <c r="R246" i="2"/>
  <c r="S246" i="2"/>
  <c r="T246" i="2"/>
  <c r="U246" i="2"/>
  <c r="V246" i="2"/>
  <c r="W246" i="2"/>
  <c r="X246" i="2"/>
  <c r="Y246" i="2"/>
  <c r="N247" i="2"/>
  <c r="O247" i="2"/>
  <c r="P247" i="2"/>
  <c r="Q247" i="2"/>
  <c r="R247" i="2"/>
  <c r="S247" i="2"/>
  <c r="T247" i="2"/>
  <c r="U247" i="2"/>
  <c r="V247" i="2"/>
  <c r="L27" i="55" s="1"/>
  <c r="W247" i="2"/>
  <c r="X247" i="2"/>
  <c r="Y247" i="2"/>
  <c r="N248" i="2"/>
  <c r="Z248" i="2" s="1"/>
  <c r="O248" i="2"/>
  <c r="P248" i="2"/>
  <c r="Q248" i="2"/>
  <c r="R248" i="2"/>
  <c r="S248" i="2"/>
  <c r="T248" i="2"/>
  <c r="U248" i="2"/>
  <c r="V248" i="2"/>
  <c r="W248" i="2"/>
  <c r="X248" i="2"/>
  <c r="Y248" i="2"/>
  <c r="N249" i="2"/>
  <c r="O249" i="2"/>
  <c r="P249" i="2"/>
  <c r="Q249" i="2"/>
  <c r="R249" i="2"/>
  <c r="S249" i="2"/>
  <c r="T249" i="2"/>
  <c r="U249" i="2"/>
  <c r="V249" i="2"/>
  <c r="W249" i="2"/>
  <c r="X249" i="2"/>
  <c r="Y249" i="2"/>
  <c r="N250" i="2"/>
  <c r="O250" i="2"/>
  <c r="P250" i="2"/>
  <c r="Q250" i="2"/>
  <c r="R250" i="2"/>
  <c r="S250" i="2"/>
  <c r="T250" i="2"/>
  <c r="U250" i="2"/>
  <c r="V250" i="2"/>
  <c r="W250" i="2"/>
  <c r="X250" i="2"/>
  <c r="Y250" i="2"/>
  <c r="N251" i="2"/>
  <c r="O251" i="2"/>
  <c r="P251" i="2"/>
  <c r="Q251" i="2"/>
  <c r="R251" i="2"/>
  <c r="S251" i="2"/>
  <c r="T251" i="2"/>
  <c r="Z251" i="2" s="1"/>
  <c r="U251" i="2"/>
  <c r="V251" i="2"/>
  <c r="W251" i="2"/>
  <c r="X251" i="2"/>
  <c r="Y251" i="2"/>
  <c r="N252" i="2"/>
  <c r="O252" i="2"/>
  <c r="P252" i="2"/>
  <c r="F29" i="55" s="1"/>
  <c r="Q252" i="2"/>
  <c r="R252" i="2"/>
  <c r="S252" i="2"/>
  <c r="T252" i="2"/>
  <c r="U252" i="2"/>
  <c r="V252" i="2"/>
  <c r="L29" i="55" s="1"/>
  <c r="W252" i="2"/>
  <c r="X252" i="2"/>
  <c r="N29" i="55" s="1"/>
  <c r="Y252" i="2"/>
  <c r="O29" i="55"/>
  <c r="N253" i="2"/>
  <c r="O253" i="2"/>
  <c r="E29" i="55" s="1"/>
  <c r="P253" i="2"/>
  <c r="Q253" i="2"/>
  <c r="R253" i="2"/>
  <c r="S253" i="2"/>
  <c r="I29" i="55"/>
  <c r="T253" i="2"/>
  <c r="U253" i="2"/>
  <c r="V253" i="2"/>
  <c r="W253" i="2"/>
  <c r="X253" i="2"/>
  <c r="Y253" i="2"/>
  <c r="N254" i="2"/>
  <c r="O254" i="2"/>
  <c r="P254" i="2"/>
  <c r="Q254" i="2"/>
  <c r="R254" i="2"/>
  <c r="S254" i="2"/>
  <c r="T254" i="2"/>
  <c r="U254" i="2"/>
  <c r="V254" i="2"/>
  <c r="W254" i="2"/>
  <c r="X254" i="2"/>
  <c r="Y254" i="2"/>
  <c r="N255" i="2"/>
  <c r="O255" i="2"/>
  <c r="P255" i="2"/>
  <c r="Q255" i="2"/>
  <c r="R255" i="2"/>
  <c r="S255" i="2"/>
  <c r="T255" i="2"/>
  <c r="U255" i="2"/>
  <c r="V255" i="2"/>
  <c r="W255" i="2"/>
  <c r="X255" i="2"/>
  <c r="Y255" i="2"/>
  <c r="N256" i="2"/>
  <c r="O256" i="2"/>
  <c r="P256" i="2"/>
  <c r="Q256" i="2"/>
  <c r="R256" i="2"/>
  <c r="S256" i="2"/>
  <c r="T256" i="2"/>
  <c r="U256" i="2"/>
  <c r="V256" i="2"/>
  <c r="W256" i="2"/>
  <c r="X256" i="2"/>
  <c r="Y256" i="2"/>
  <c r="N257" i="2"/>
  <c r="O257" i="2"/>
  <c r="P257" i="2"/>
  <c r="Q257" i="2"/>
  <c r="R257" i="2"/>
  <c r="S257" i="2"/>
  <c r="T257" i="2"/>
  <c r="U257" i="2"/>
  <c r="V257" i="2"/>
  <c r="W257" i="2"/>
  <c r="X257" i="2"/>
  <c r="Y257" i="2"/>
  <c r="N258" i="2"/>
  <c r="O258" i="2"/>
  <c r="P258" i="2"/>
  <c r="Q258" i="2"/>
  <c r="R258" i="2"/>
  <c r="S258" i="2"/>
  <c r="T258" i="2"/>
  <c r="Z258" i="2" s="1"/>
  <c r="U258" i="2"/>
  <c r="V258" i="2"/>
  <c r="W258" i="2"/>
  <c r="X258" i="2"/>
  <c r="Y258" i="2"/>
  <c r="N259" i="2"/>
  <c r="O259" i="2"/>
  <c r="P259" i="2"/>
  <c r="Q259" i="2"/>
  <c r="R259" i="2"/>
  <c r="S259" i="2"/>
  <c r="T259" i="2"/>
  <c r="U259" i="2"/>
  <c r="V259" i="2"/>
  <c r="W259" i="2"/>
  <c r="X259" i="2"/>
  <c r="Y259" i="2"/>
  <c r="N260" i="2"/>
  <c r="O260" i="2"/>
  <c r="P260" i="2"/>
  <c r="Q260" i="2"/>
  <c r="R260" i="2"/>
  <c r="S260" i="2"/>
  <c r="T260" i="2"/>
  <c r="U260" i="2"/>
  <c r="V260" i="2"/>
  <c r="W260" i="2"/>
  <c r="X260" i="2"/>
  <c r="Y260" i="2"/>
  <c r="N261" i="2"/>
  <c r="O261" i="2"/>
  <c r="P261" i="2"/>
  <c r="Q261" i="2"/>
  <c r="R261" i="2"/>
  <c r="S261" i="2"/>
  <c r="T261" i="2"/>
  <c r="U261" i="2"/>
  <c r="V261" i="2"/>
  <c r="W261" i="2"/>
  <c r="X261" i="2"/>
  <c r="Y261" i="2"/>
  <c r="N262" i="2"/>
  <c r="O262" i="2"/>
  <c r="Z262" i="2" s="1"/>
  <c r="P262" i="2"/>
  <c r="Q262" i="2"/>
  <c r="R262" i="2"/>
  <c r="S262" i="2"/>
  <c r="T262" i="2"/>
  <c r="U262" i="2"/>
  <c r="V262" i="2"/>
  <c r="W262" i="2"/>
  <c r="X262" i="2"/>
  <c r="Y262" i="2"/>
  <c r="N263" i="2"/>
  <c r="O263" i="2"/>
  <c r="P263" i="2"/>
  <c r="Q263" i="2"/>
  <c r="R263" i="2"/>
  <c r="S263" i="2"/>
  <c r="T263" i="2"/>
  <c r="U263" i="2"/>
  <c r="V263" i="2"/>
  <c r="W263" i="2"/>
  <c r="X263" i="2"/>
  <c r="Y263" i="2"/>
  <c r="N264" i="2"/>
  <c r="O264" i="2"/>
  <c r="P264" i="2"/>
  <c r="Q264" i="2"/>
  <c r="R264" i="2"/>
  <c r="S264" i="2"/>
  <c r="T264" i="2"/>
  <c r="U264" i="2"/>
  <c r="V264" i="2"/>
  <c r="W264" i="2"/>
  <c r="X264" i="2"/>
  <c r="Y264" i="2"/>
  <c r="N265" i="2"/>
  <c r="O265" i="2"/>
  <c r="P265" i="2"/>
  <c r="Q265" i="2"/>
  <c r="R265" i="2"/>
  <c r="S265" i="2"/>
  <c r="T265" i="2"/>
  <c r="Z265" i="2" s="1"/>
  <c r="U265" i="2"/>
  <c r="V265" i="2"/>
  <c r="W265" i="2"/>
  <c r="X265" i="2"/>
  <c r="Y265" i="2"/>
  <c r="N266" i="2"/>
  <c r="Z266" i="2" s="1"/>
  <c r="O266" i="2"/>
  <c r="P266" i="2"/>
  <c r="Q266" i="2"/>
  <c r="R266" i="2"/>
  <c r="S266" i="2"/>
  <c r="T266" i="2"/>
  <c r="U266" i="2"/>
  <c r="V266" i="2"/>
  <c r="W266" i="2"/>
  <c r="X266" i="2"/>
  <c r="Y266" i="2"/>
  <c r="N267" i="2"/>
  <c r="O267" i="2"/>
  <c r="P267" i="2"/>
  <c r="Q267" i="2"/>
  <c r="R267" i="2"/>
  <c r="S267" i="2"/>
  <c r="T267" i="2"/>
  <c r="U267" i="2"/>
  <c r="V267" i="2"/>
  <c r="W267" i="2"/>
  <c r="X267" i="2"/>
  <c r="Y267" i="2"/>
  <c r="N268" i="2"/>
  <c r="O268" i="2"/>
  <c r="P268" i="2"/>
  <c r="Q268" i="2"/>
  <c r="R268" i="2"/>
  <c r="S268" i="2"/>
  <c r="T268" i="2"/>
  <c r="U268" i="2"/>
  <c r="W268" i="2"/>
  <c r="X268" i="2"/>
  <c r="Y268" i="2"/>
  <c r="N269" i="2"/>
  <c r="O269" i="2"/>
  <c r="P269" i="2"/>
  <c r="Q269" i="2"/>
  <c r="R269" i="2"/>
  <c r="S269" i="2"/>
  <c r="T269" i="2"/>
  <c r="U269" i="2"/>
  <c r="V269" i="2"/>
  <c r="W269" i="2"/>
  <c r="X269" i="2"/>
  <c r="Y269" i="2"/>
  <c r="N270" i="2"/>
  <c r="O270" i="2"/>
  <c r="Z270" i="2" s="1"/>
  <c r="P270" i="2"/>
  <c r="Q270" i="2"/>
  <c r="R270" i="2"/>
  <c r="S270" i="2"/>
  <c r="T270" i="2"/>
  <c r="U270" i="2"/>
  <c r="V270" i="2"/>
  <c r="W270" i="2"/>
  <c r="X270" i="2"/>
  <c r="Y270" i="2"/>
  <c r="N271" i="2"/>
  <c r="O271" i="2"/>
  <c r="P271" i="2"/>
  <c r="Q271" i="2"/>
  <c r="R271" i="2"/>
  <c r="S271" i="2"/>
  <c r="T271" i="2"/>
  <c r="U271" i="2"/>
  <c r="V271" i="2"/>
  <c r="W271" i="2"/>
  <c r="X271" i="2"/>
  <c r="Y271" i="2"/>
  <c r="N272" i="2"/>
  <c r="O272" i="2"/>
  <c r="Z272" i="2" s="1"/>
  <c r="P272" i="2"/>
  <c r="Q272" i="2"/>
  <c r="R272" i="2"/>
  <c r="S272" i="2"/>
  <c r="T272" i="2"/>
  <c r="U272" i="2"/>
  <c r="V272" i="2"/>
  <c r="W272" i="2"/>
  <c r="X272" i="2"/>
  <c r="Y272" i="2"/>
  <c r="N273" i="2"/>
  <c r="Z273" i="2" s="1"/>
  <c r="O273" i="2"/>
  <c r="P273" i="2"/>
  <c r="Q273" i="2"/>
  <c r="R273" i="2"/>
  <c r="S273" i="2"/>
  <c r="T273" i="2"/>
  <c r="U273" i="2"/>
  <c r="V273" i="2"/>
  <c r="W273" i="2"/>
  <c r="X273" i="2"/>
  <c r="Y273" i="2"/>
  <c r="N274" i="2"/>
  <c r="O274" i="2"/>
  <c r="P274" i="2"/>
  <c r="Q274" i="2"/>
  <c r="R274" i="2"/>
  <c r="S274" i="2"/>
  <c r="T274" i="2"/>
  <c r="U274" i="2"/>
  <c r="V274" i="2"/>
  <c r="W274" i="2"/>
  <c r="X274" i="2"/>
  <c r="Y274" i="2"/>
  <c r="N275" i="2"/>
  <c r="O275" i="2"/>
  <c r="Z275" i="2" s="1"/>
  <c r="P275" i="2"/>
  <c r="Q275" i="2"/>
  <c r="R275" i="2"/>
  <c r="S275" i="2"/>
  <c r="T275" i="2"/>
  <c r="U275" i="2"/>
  <c r="V275" i="2"/>
  <c r="W275" i="2"/>
  <c r="X275" i="2"/>
  <c r="Y275" i="2"/>
  <c r="N276" i="2"/>
  <c r="O276" i="2"/>
  <c r="P276" i="2"/>
  <c r="Q276" i="2"/>
  <c r="R276" i="2"/>
  <c r="S276" i="2"/>
  <c r="T276" i="2"/>
  <c r="U276" i="2"/>
  <c r="V276" i="2"/>
  <c r="W276" i="2"/>
  <c r="X276" i="2"/>
  <c r="Y276" i="2"/>
  <c r="N277" i="2"/>
  <c r="O277" i="2"/>
  <c r="P277" i="2"/>
  <c r="Q277" i="2"/>
  <c r="R277" i="2"/>
  <c r="S277" i="2"/>
  <c r="T277" i="2"/>
  <c r="Z277" i="2" s="1"/>
  <c r="U277" i="2"/>
  <c r="V277" i="2"/>
  <c r="W277" i="2"/>
  <c r="X277" i="2"/>
  <c r="Y277" i="2"/>
  <c r="N278" i="2"/>
  <c r="O278" i="2"/>
  <c r="P278" i="2"/>
  <c r="Q278" i="2"/>
  <c r="R278" i="2"/>
  <c r="S278" i="2"/>
  <c r="Z278" i="2" s="1"/>
  <c r="T278" i="2"/>
  <c r="U278" i="2"/>
  <c r="V278" i="2"/>
  <c r="W278" i="2"/>
  <c r="X278" i="2"/>
  <c r="Y278" i="2"/>
  <c r="N279" i="2"/>
  <c r="O279" i="2"/>
  <c r="Z279" i="2" s="1"/>
  <c r="P279" i="2"/>
  <c r="Q279" i="2"/>
  <c r="R279" i="2"/>
  <c r="S279" i="2"/>
  <c r="T279" i="2"/>
  <c r="U279" i="2"/>
  <c r="V279" i="2"/>
  <c r="W279" i="2"/>
  <c r="X279" i="2"/>
  <c r="Y279" i="2"/>
  <c r="N280" i="2"/>
  <c r="Z280" i="2" s="1"/>
  <c r="O280" i="2"/>
  <c r="P280" i="2"/>
  <c r="Q280" i="2"/>
  <c r="R280" i="2"/>
  <c r="S280" i="2"/>
  <c r="T280" i="2"/>
  <c r="U280" i="2"/>
  <c r="V280" i="2"/>
  <c r="W280" i="2"/>
  <c r="X280" i="2"/>
  <c r="Y280" i="2"/>
  <c r="N281" i="2"/>
  <c r="O281" i="2"/>
  <c r="Z281" i="2" s="1"/>
  <c r="P281" i="2"/>
  <c r="Q281" i="2"/>
  <c r="R281" i="2"/>
  <c r="S281" i="2"/>
  <c r="T281" i="2"/>
  <c r="U281" i="2"/>
  <c r="V281" i="2"/>
  <c r="W281" i="2"/>
  <c r="X281" i="2"/>
  <c r="Y281" i="2"/>
  <c r="N282" i="2"/>
  <c r="Z282" i="2" s="1"/>
  <c r="O282" i="2"/>
  <c r="P282" i="2"/>
  <c r="Q282" i="2"/>
  <c r="R282" i="2"/>
  <c r="S282" i="2"/>
  <c r="T282" i="2"/>
  <c r="U282" i="2"/>
  <c r="V282" i="2"/>
  <c r="W282" i="2"/>
  <c r="X282" i="2"/>
  <c r="Y282" i="2"/>
  <c r="N283" i="2"/>
  <c r="O283" i="2"/>
  <c r="P283" i="2"/>
  <c r="Q283" i="2"/>
  <c r="R283" i="2"/>
  <c r="S283" i="2"/>
  <c r="T283" i="2"/>
  <c r="Z283" i="2" s="1"/>
  <c r="U283" i="2"/>
  <c r="V283" i="2"/>
  <c r="W283" i="2"/>
  <c r="X283" i="2"/>
  <c r="Y283" i="2"/>
  <c r="N284" i="2"/>
  <c r="O284" i="2"/>
  <c r="P284" i="2"/>
  <c r="Q284" i="2"/>
  <c r="R284" i="2"/>
  <c r="S284" i="2"/>
  <c r="T284" i="2"/>
  <c r="U284" i="2"/>
  <c r="V284" i="2"/>
  <c r="W284" i="2"/>
  <c r="X284" i="2"/>
  <c r="Y284" i="2"/>
  <c r="N285" i="2"/>
  <c r="O285" i="2"/>
  <c r="P285" i="2"/>
  <c r="Q285" i="2"/>
  <c r="R285" i="2"/>
  <c r="S285" i="2"/>
  <c r="T285" i="2"/>
  <c r="Z285" i="2" s="1"/>
  <c r="U285" i="2"/>
  <c r="V285" i="2"/>
  <c r="W285" i="2"/>
  <c r="X285" i="2"/>
  <c r="Y285" i="2"/>
  <c r="N286" i="2"/>
  <c r="O286" i="2"/>
  <c r="P286" i="2"/>
  <c r="Q286" i="2"/>
  <c r="R286" i="2"/>
  <c r="S286" i="2"/>
  <c r="T286" i="2"/>
  <c r="U286" i="2"/>
  <c r="V286" i="2"/>
  <c r="W286" i="2"/>
  <c r="X286" i="2"/>
  <c r="Y286" i="2"/>
  <c r="N287" i="2"/>
  <c r="O287" i="2"/>
  <c r="Z287" i="2" s="1"/>
  <c r="P287" i="2"/>
  <c r="Q287" i="2"/>
  <c r="R287" i="2"/>
  <c r="S287" i="2"/>
  <c r="T287" i="2"/>
  <c r="U287" i="2"/>
  <c r="V287" i="2"/>
  <c r="W287" i="2"/>
  <c r="X287" i="2"/>
  <c r="Y287" i="2"/>
  <c r="N288" i="2"/>
  <c r="D24" i="58" s="1"/>
  <c r="O288" i="2"/>
  <c r="E24" i="58" s="1"/>
  <c r="P288" i="2"/>
  <c r="Q288" i="2"/>
  <c r="G24" i="58"/>
  <c r="G26" i="58" s="1"/>
  <c r="R288" i="2"/>
  <c r="S288" i="2"/>
  <c r="T288" i="2"/>
  <c r="J24" i="58" s="1"/>
  <c r="J26" i="58"/>
  <c r="U288" i="2"/>
  <c r="K24" i="58"/>
  <c r="K26" i="58" s="1"/>
  <c r="V288" i="2"/>
  <c r="L24" i="58" s="1"/>
  <c r="W288" i="2"/>
  <c r="M24" i="58" s="1"/>
  <c r="M26" i="58"/>
  <c r="X288" i="2"/>
  <c r="Y288" i="2"/>
  <c r="N289" i="2"/>
  <c r="O289" i="2"/>
  <c r="P289" i="2"/>
  <c r="Q289" i="2"/>
  <c r="R289" i="2"/>
  <c r="S289" i="2"/>
  <c r="T289" i="2"/>
  <c r="U289" i="2"/>
  <c r="V289" i="2"/>
  <c r="W289" i="2"/>
  <c r="X289" i="2"/>
  <c r="Y289" i="2"/>
  <c r="N290" i="2"/>
  <c r="O290" i="2"/>
  <c r="P290" i="2"/>
  <c r="Q290" i="2"/>
  <c r="R290" i="2"/>
  <c r="S290" i="2"/>
  <c r="T290" i="2"/>
  <c r="U290" i="2"/>
  <c r="V290" i="2"/>
  <c r="W290" i="2"/>
  <c r="X290" i="2"/>
  <c r="Y290" i="2"/>
  <c r="N291" i="2"/>
  <c r="O291" i="2"/>
  <c r="P291" i="2"/>
  <c r="Q291" i="2"/>
  <c r="R291" i="2"/>
  <c r="S291" i="2"/>
  <c r="T291" i="2"/>
  <c r="U291" i="2"/>
  <c r="V291" i="2"/>
  <c r="W291" i="2"/>
  <c r="X291" i="2"/>
  <c r="Y291" i="2"/>
  <c r="N292" i="2"/>
  <c r="O292" i="2"/>
  <c r="P292" i="2"/>
  <c r="Q292" i="2"/>
  <c r="R292" i="2"/>
  <c r="S292" i="2"/>
  <c r="T292" i="2"/>
  <c r="U292" i="2"/>
  <c r="V292" i="2"/>
  <c r="W292" i="2"/>
  <c r="X292" i="2"/>
  <c r="Y292" i="2"/>
  <c r="N293" i="2"/>
  <c r="O293" i="2"/>
  <c r="P293" i="2"/>
  <c r="Q293" i="2"/>
  <c r="R293" i="2"/>
  <c r="S293" i="2"/>
  <c r="T293" i="2"/>
  <c r="U293" i="2"/>
  <c r="V293" i="2"/>
  <c r="W293" i="2"/>
  <c r="X293" i="2"/>
  <c r="Y293" i="2"/>
  <c r="N294" i="2"/>
  <c r="O294" i="2"/>
  <c r="Z294" i="2" s="1"/>
  <c r="P294" i="2"/>
  <c r="Q294" i="2"/>
  <c r="R294" i="2"/>
  <c r="S294" i="2"/>
  <c r="T294" i="2"/>
  <c r="U294" i="2"/>
  <c r="V294" i="2"/>
  <c r="W294" i="2"/>
  <c r="X294" i="2"/>
  <c r="Y294" i="2"/>
  <c r="N295" i="2"/>
  <c r="O295" i="2"/>
  <c r="P295" i="2"/>
  <c r="Q295" i="2"/>
  <c r="R295" i="2"/>
  <c r="S295" i="2"/>
  <c r="T295" i="2"/>
  <c r="U295" i="2"/>
  <c r="V295" i="2"/>
  <c r="W295" i="2"/>
  <c r="X295" i="2"/>
  <c r="Y295" i="2"/>
  <c r="N296" i="2"/>
  <c r="O296" i="2"/>
  <c r="E34" i="56"/>
  <c r="P296" i="2"/>
  <c r="F34" i="56"/>
  <c r="Q296" i="2"/>
  <c r="G34" i="56" s="1"/>
  <c r="R296" i="2"/>
  <c r="H34" i="56" s="1"/>
  <c r="S296" i="2"/>
  <c r="I34" i="56" s="1"/>
  <c r="T296" i="2"/>
  <c r="J34" i="56" s="1"/>
  <c r="U296" i="2"/>
  <c r="V296" i="2"/>
  <c r="W296" i="2"/>
  <c r="X296" i="2"/>
  <c r="N34" i="56"/>
  <c r="Y296" i="2"/>
  <c r="N297" i="2"/>
  <c r="D34" i="55" s="1"/>
  <c r="O297" i="2"/>
  <c r="P297" i="2"/>
  <c r="Q297" i="2"/>
  <c r="R297" i="2"/>
  <c r="S297" i="2"/>
  <c r="T297" i="2"/>
  <c r="U297" i="2"/>
  <c r="V297" i="2"/>
  <c r="W297" i="2"/>
  <c r="X297" i="2"/>
  <c r="Y297" i="2"/>
  <c r="N298" i="2"/>
  <c r="O298" i="2"/>
  <c r="P298" i="2"/>
  <c r="Q298" i="2"/>
  <c r="R298" i="2"/>
  <c r="S298" i="2"/>
  <c r="T298" i="2"/>
  <c r="U298" i="2"/>
  <c r="V298" i="2"/>
  <c r="W298" i="2"/>
  <c r="X298" i="2"/>
  <c r="Y298" i="2"/>
  <c r="N299" i="2"/>
  <c r="O299" i="2"/>
  <c r="P299" i="2"/>
  <c r="Q299" i="2"/>
  <c r="R299" i="2"/>
  <c r="S299" i="2"/>
  <c r="T299" i="2"/>
  <c r="U299" i="2"/>
  <c r="V299" i="2"/>
  <c r="W299" i="2"/>
  <c r="X299" i="2"/>
  <c r="Y299" i="2"/>
  <c r="N300" i="2"/>
  <c r="O300" i="2"/>
  <c r="Z300" i="2" s="1"/>
  <c r="P300" i="2"/>
  <c r="Q300" i="2"/>
  <c r="R300" i="2"/>
  <c r="S300" i="2"/>
  <c r="T300" i="2"/>
  <c r="U300" i="2"/>
  <c r="V300" i="2"/>
  <c r="W300" i="2"/>
  <c r="X300" i="2"/>
  <c r="Y300" i="2"/>
  <c r="N301" i="2"/>
  <c r="O301" i="2"/>
  <c r="P301" i="2"/>
  <c r="Q301" i="2"/>
  <c r="R301" i="2"/>
  <c r="S301" i="2"/>
  <c r="T301" i="2"/>
  <c r="U301" i="2"/>
  <c r="V301" i="2"/>
  <c r="W301" i="2"/>
  <c r="X301" i="2"/>
  <c r="Y301" i="2"/>
  <c r="N302" i="2"/>
  <c r="O302" i="2"/>
  <c r="P302" i="2"/>
  <c r="Q302" i="2"/>
  <c r="R302" i="2"/>
  <c r="S302" i="2"/>
  <c r="T302" i="2"/>
  <c r="Z302" i="2" s="1"/>
  <c r="U302" i="2"/>
  <c r="V302" i="2"/>
  <c r="W302" i="2"/>
  <c r="X302" i="2"/>
  <c r="Y302" i="2"/>
  <c r="N303" i="2"/>
  <c r="O303" i="2"/>
  <c r="P303" i="2"/>
  <c r="Q303" i="2"/>
  <c r="R303" i="2"/>
  <c r="S303" i="2"/>
  <c r="T303" i="2"/>
  <c r="U303" i="2"/>
  <c r="V303" i="2"/>
  <c r="W303" i="2"/>
  <c r="X303" i="2"/>
  <c r="Y303" i="2"/>
  <c r="N305" i="2"/>
  <c r="O305" i="2"/>
  <c r="P305" i="2"/>
  <c r="Q305" i="2"/>
  <c r="R305" i="2"/>
  <c r="S305" i="2"/>
  <c r="T305" i="2"/>
  <c r="U305" i="2"/>
  <c r="V305" i="2"/>
  <c r="W305" i="2"/>
  <c r="X305" i="2"/>
  <c r="Y305" i="2"/>
  <c r="N306" i="2"/>
  <c r="O306" i="2"/>
  <c r="P306" i="2"/>
  <c r="Q306" i="2"/>
  <c r="R306" i="2"/>
  <c r="S306" i="2"/>
  <c r="T306" i="2"/>
  <c r="U306" i="2"/>
  <c r="V306" i="2"/>
  <c r="W306" i="2"/>
  <c r="X306" i="2"/>
  <c r="Y306" i="2"/>
  <c r="N307" i="2"/>
  <c r="O307" i="2"/>
  <c r="P307" i="2"/>
  <c r="Q307" i="2"/>
  <c r="R307" i="2"/>
  <c r="S307" i="2"/>
  <c r="T307" i="2"/>
  <c r="J31" i="56"/>
  <c r="U307" i="2"/>
  <c r="V307" i="2"/>
  <c r="W307" i="2"/>
  <c r="X307" i="2"/>
  <c r="Y307" i="2"/>
  <c r="N308" i="2"/>
  <c r="O308" i="2"/>
  <c r="P308" i="2"/>
  <c r="Q308" i="2"/>
  <c r="R308" i="2"/>
  <c r="S308" i="2"/>
  <c r="T308" i="2"/>
  <c r="U308" i="2"/>
  <c r="V308" i="2"/>
  <c r="W308" i="2"/>
  <c r="X308" i="2"/>
  <c r="Y308" i="2"/>
  <c r="N309" i="2"/>
  <c r="O309" i="2"/>
  <c r="P309" i="2"/>
  <c r="Q309" i="2"/>
  <c r="R309" i="2"/>
  <c r="S309" i="2"/>
  <c r="T309" i="2"/>
  <c r="U309" i="2"/>
  <c r="V309" i="2"/>
  <c r="W309" i="2"/>
  <c r="X309" i="2"/>
  <c r="N32" i="56" s="1"/>
  <c r="Y309" i="2"/>
  <c r="N310" i="2"/>
  <c r="O310" i="2"/>
  <c r="Z310" i="2" s="1"/>
  <c r="P310" i="2"/>
  <c r="Q310" i="2"/>
  <c r="R310" i="2"/>
  <c r="S310" i="2"/>
  <c r="T310" i="2"/>
  <c r="U310" i="2"/>
  <c r="V310" i="2"/>
  <c r="L31" i="56" s="1"/>
  <c r="W310" i="2"/>
  <c r="X310" i="2"/>
  <c r="Y310" i="2"/>
  <c r="N311" i="2"/>
  <c r="D32" i="56" s="1"/>
  <c r="O311" i="2"/>
  <c r="P311" i="2"/>
  <c r="Q311" i="2"/>
  <c r="R311" i="2"/>
  <c r="S311" i="2"/>
  <c r="T311" i="2"/>
  <c r="U311" i="2"/>
  <c r="V311" i="2"/>
  <c r="W311" i="2"/>
  <c r="X311" i="2"/>
  <c r="Y311" i="2"/>
  <c r="N312" i="2"/>
  <c r="Z312" i="2" s="1"/>
  <c r="O312" i="2"/>
  <c r="P312" i="2"/>
  <c r="Q312" i="2"/>
  <c r="R312" i="2"/>
  <c r="S312" i="2"/>
  <c r="T312" i="2"/>
  <c r="U312" i="2"/>
  <c r="V312" i="2"/>
  <c r="W312" i="2"/>
  <c r="X312" i="2"/>
  <c r="Y312" i="2"/>
  <c r="N313" i="2"/>
  <c r="O313" i="2"/>
  <c r="P313" i="2"/>
  <c r="Q313" i="2"/>
  <c r="R313" i="2"/>
  <c r="S313" i="2"/>
  <c r="T313" i="2"/>
  <c r="Z313" i="2" s="1"/>
  <c r="U313" i="2"/>
  <c r="V313" i="2"/>
  <c r="W313" i="2"/>
  <c r="X313" i="2"/>
  <c r="Y313" i="2"/>
  <c r="N314" i="2"/>
  <c r="O314" i="2"/>
  <c r="P314" i="2"/>
  <c r="Q314" i="2"/>
  <c r="R314" i="2"/>
  <c r="S314" i="2"/>
  <c r="T314" i="2"/>
  <c r="U314" i="2"/>
  <c r="V314" i="2"/>
  <c r="W314" i="2"/>
  <c r="X314" i="2"/>
  <c r="Y314" i="2"/>
  <c r="N315" i="2"/>
  <c r="O315" i="2"/>
  <c r="P315" i="2"/>
  <c r="Q315" i="2"/>
  <c r="R315" i="2"/>
  <c r="S315" i="2"/>
  <c r="T315" i="2"/>
  <c r="Z315" i="2" s="1"/>
  <c r="U315" i="2"/>
  <c r="V315" i="2"/>
  <c r="W315" i="2"/>
  <c r="X315" i="2"/>
  <c r="Y315" i="2"/>
  <c r="N316" i="2"/>
  <c r="O316" i="2"/>
  <c r="P316" i="2"/>
  <c r="Q316" i="2"/>
  <c r="R316" i="2"/>
  <c r="S316" i="2"/>
  <c r="T316" i="2"/>
  <c r="U316" i="2"/>
  <c r="V316" i="2"/>
  <c r="W316" i="2"/>
  <c r="X316" i="2"/>
  <c r="Y316" i="2"/>
  <c r="N317" i="2"/>
  <c r="O317" i="2"/>
  <c r="Z317" i="2" s="1"/>
  <c r="P317" i="2"/>
  <c r="Q317" i="2"/>
  <c r="R317" i="2"/>
  <c r="S317" i="2"/>
  <c r="T317" i="2"/>
  <c r="U317" i="2"/>
  <c r="V317" i="2"/>
  <c r="W317" i="2"/>
  <c r="X317" i="2"/>
  <c r="Y317" i="2"/>
  <c r="N318" i="2"/>
  <c r="O318" i="2"/>
  <c r="P318" i="2"/>
  <c r="Q318" i="2"/>
  <c r="R318" i="2"/>
  <c r="S318" i="2"/>
  <c r="T318" i="2"/>
  <c r="U318" i="2"/>
  <c r="V318" i="2"/>
  <c r="W318" i="2"/>
  <c r="X318" i="2"/>
  <c r="Y318" i="2"/>
  <c r="N319" i="2"/>
  <c r="O319" i="2"/>
  <c r="Z319" i="2" s="1"/>
  <c r="P319" i="2"/>
  <c r="Q319" i="2"/>
  <c r="R319" i="2"/>
  <c r="S319" i="2"/>
  <c r="T319" i="2"/>
  <c r="U319" i="2"/>
  <c r="V319" i="2"/>
  <c r="W319" i="2"/>
  <c r="X319" i="2"/>
  <c r="Y319" i="2"/>
  <c r="N320" i="2"/>
  <c r="Z320" i="2" s="1"/>
  <c r="O320" i="2"/>
  <c r="P320" i="2"/>
  <c r="Q320" i="2"/>
  <c r="R320" i="2"/>
  <c r="S320" i="2"/>
  <c r="T320" i="2"/>
  <c r="U320" i="2"/>
  <c r="V320" i="2"/>
  <c r="W320" i="2"/>
  <c r="X320" i="2"/>
  <c r="Y320" i="2"/>
  <c r="N321" i="2"/>
  <c r="O321" i="2"/>
  <c r="P321" i="2"/>
  <c r="F33" i="55"/>
  <c r="Q321" i="2"/>
  <c r="R321" i="2"/>
  <c r="S321" i="2"/>
  <c r="T321" i="2"/>
  <c r="U321" i="2"/>
  <c r="V321" i="2"/>
  <c r="W321" i="2"/>
  <c r="X321" i="2"/>
  <c r="Y321" i="2"/>
  <c r="N322" i="2"/>
  <c r="O322" i="2"/>
  <c r="P322" i="2"/>
  <c r="Q322" i="2"/>
  <c r="R322" i="2"/>
  <c r="S322" i="2"/>
  <c r="T322" i="2"/>
  <c r="Z322" i="2" s="1"/>
  <c r="U322" i="2"/>
  <c r="V322" i="2"/>
  <c r="W322" i="2"/>
  <c r="X322" i="2"/>
  <c r="Y322" i="2"/>
  <c r="N323" i="2"/>
  <c r="O323" i="2"/>
  <c r="P323" i="2"/>
  <c r="Q323" i="2"/>
  <c r="R323" i="2"/>
  <c r="S323" i="2"/>
  <c r="Z323" i="2" s="1"/>
  <c r="T323" i="2"/>
  <c r="U323" i="2"/>
  <c r="V323" i="2"/>
  <c r="W323" i="2"/>
  <c r="X323" i="2"/>
  <c r="Y323" i="2"/>
  <c r="N324" i="2"/>
  <c r="D20" i="57"/>
  <c r="D21" i="57" s="1"/>
  <c r="O324" i="2"/>
  <c r="E20" i="57" s="1"/>
  <c r="P324" i="2"/>
  <c r="Q324" i="2"/>
  <c r="R324" i="2"/>
  <c r="S324" i="2"/>
  <c r="T324" i="2"/>
  <c r="U324" i="2"/>
  <c r="V324" i="2"/>
  <c r="W324" i="2"/>
  <c r="X324" i="2"/>
  <c r="Y324" i="2"/>
  <c r="N325" i="2"/>
  <c r="O325" i="2"/>
  <c r="P325" i="2"/>
  <c r="Q325" i="2"/>
  <c r="G20" i="57" s="1"/>
  <c r="G21" i="57"/>
  <c r="R325" i="2"/>
  <c r="S325" i="2"/>
  <c r="T325" i="2"/>
  <c r="U325" i="2"/>
  <c r="V325" i="2"/>
  <c r="W325" i="2"/>
  <c r="X325" i="2"/>
  <c r="Y325" i="2"/>
  <c r="O20" i="57" s="1"/>
  <c r="O21" i="57" s="1"/>
  <c r="N326" i="2"/>
  <c r="O326" i="2"/>
  <c r="Z326" i="2" s="1"/>
  <c r="P326" i="2"/>
  <c r="Q326" i="2"/>
  <c r="R326" i="2"/>
  <c r="S326" i="2"/>
  <c r="T326" i="2"/>
  <c r="U326" i="2"/>
  <c r="V326" i="2"/>
  <c r="W326" i="2"/>
  <c r="X326" i="2"/>
  <c r="Y326" i="2"/>
  <c r="N327" i="2"/>
  <c r="O327" i="2"/>
  <c r="P327" i="2"/>
  <c r="Q327" i="2"/>
  <c r="R327" i="2"/>
  <c r="S327" i="2"/>
  <c r="T327" i="2"/>
  <c r="U327" i="2"/>
  <c r="V327" i="2"/>
  <c r="W327" i="2"/>
  <c r="X327" i="2"/>
  <c r="Y327" i="2"/>
  <c r="N328" i="2"/>
  <c r="O328" i="2"/>
  <c r="P328" i="2"/>
  <c r="Q328" i="2"/>
  <c r="R328" i="2"/>
  <c r="S328" i="2"/>
  <c r="T328" i="2"/>
  <c r="U328" i="2"/>
  <c r="V328" i="2"/>
  <c r="W328" i="2"/>
  <c r="X328" i="2"/>
  <c r="Y328" i="2"/>
  <c r="N329" i="2"/>
  <c r="O329" i="2"/>
  <c r="P329" i="2"/>
  <c r="Q329" i="2"/>
  <c r="R329" i="2"/>
  <c r="S329" i="2"/>
  <c r="T329" i="2"/>
  <c r="U329" i="2"/>
  <c r="V329" i="2"/>
  <c r="W329" i="2"/>
  <c r="X329" i="2"/>
  <c r="Y329" i="2"/>
  <c r="N330" i="2"/>
  <c r="O330" i="2"/>
  <c r="Z330" i="2" s="1"/>
  <c r="P330" i="2"/>
  <c r="Q330" i="2"/>
  <c r="R330" i="2"/>
  <c r="S330" i="2"/>
  <c r="T330" i="2"/>
  <c r="U330" i="2"/>
  <c r="V330" i="2"/>
  <c r="W330" i="2"/>
  <c r="X330" i="2"/>
  <c r="Y330" i="2"/>
  <c r="N331" i="2"/>
  <c r="D33" i="45" s="1"/>
  <c r="O331" i="2"/>
  <c r="P331" i="2"/>
  <c r="F33" i="45" s="1"/>
  <c r="Q331" i="2"/>
  <c r="G33" i="45" s="1"/>
  <c r="R331" i="2"/>
  <c r="S331" i="2"/>
  <c r="T331" i="2"/>
  <c r="U331" i="2"/>
  <c r="V331" i="2"/>
  <c r="L33" i="45" s="1"/>
  <c r="W331" i="2"/>
  <c r="M33" i="45" s="1"/>
  <c r="X331" i="2"/>
  <c r="N33" i="45"/>
  <c r="Y331" i="2"/>
  <c r="O33" i="45"/>
  <c r="N332" i="2"/>
  <c r="O332" i="2"/>
  <c r="P332" i="2"/>
  <c r="Q332" i="2"/>
  <c r="R332" i="2"/>
  <c r="S332" i="2"/>
  <c r="T332" i="2"/>
  <c r="U332" i="2"/>
  <c r="V332" i="2"/>
  <c r="W332" i="2"/>
  <c r="X332" i="2"/>
  <c r="Y332" i="2"/>
  <c r="N333" i="2"/>
  <c r="D29" i="38"/>
  <c r="O333" i="2"/>
  <c r="P333" i="2"/>
  <c r="Q333" i="2"/>
  <c r="R333" i="2"/>
  <c r="H29" i="38" s="1"/>
  <c r="S333" i="2"/>
  <c r="I29" i="38"/>
  <c r="T333" i="2"/>
  <c r="U333" i="2"/>
  <c r="V333" i="2"/>
  <c r="W333" i="2"/>
  <c r="X333" i="2"/>
  <c r="Y333" i="2"/>
  <c r="N334" i="2"/>
  <c r="O334" i="2"/>
  <c r="P334" i="2"/>
  <c r="Q334" i="2"/>
  <c r="R334" i="2"/>
  <c r="S334" i="2"/>
  <c r="T334" i="2"/>
  <c r="U334" i="2"/>
  <c r="V334" i="2"/>
  <c r="W334" i="2"/>
  <c r="X334" i="2"/>
  <c r="Y334" i="2"/>
  <c r="N335" i="2"/>
  <c r="O335" i="2"/>
  <c r="P335" i="2"/>
  <c r="Q335" i="2"/>
  <c r="R335" i="2"/>
  <c r="S335" i="2"/>
  <c r="T335" i="2"/>
  <c r="U335" i="2"/>
  <c r="V335" i="2"/>
  <c r="W335" i="2"/>
  <c r="X335" i="2"/>
  <c r="Y335" i="2"/>
  <c r="N336" i="2"/>
  <c r="O336" i="2"/>
  <c r="P336" i="2"/>
  <c r="Q336" i="2"/>
  <c r="R336" i="2"/>
  <c r="S336" i="2"/>
  <c r="T336" i="2"/>
  <c r="U336" i="2"/>
  <c r="V336" i="2"/>
  <c r="W336" i="2"/>
  <c r="X336" i="2"/>
  <c r="Y336" i="2"/>
  <c r="N337" i="2"/>
  <c r="O337" i="2"/>
  <c r="P337" i="2"/>
  <c r="Q337" i="2"/>
  <c r="R337" i="2"/>
  <c r="S337" i="2"/>
  <c r="T337" i="2"/>
  <c r="U337" i="2"/>
  <c r="V337" i="2"/>
  <c r="W337" i="2"/>
  <c r="X337" i="2"/>
  <c r="Y337" i="2"/>
  <c r="N338" i="2"/>
  <c r="O338" i="2"/>
  <c r="P338" i="2"/>
  <c r="Q338" i="2"/>
  <c r="R338" i="2"/>
  <c r="S338" i="2"/>
  <c r="T338" i="2"/>
  <c r="U338" i="2"/>
  <c r="V338" i="2"/>
  <c r="W338" i="2"/>
  <c r="X338" i="2"/>
  <c r="Y338" i="2"/>
  <c r="N339" i="2"/>
  <c r="O339" i="2"/>
  <c r="P339" i="2"/>
  <c r="Q339" i="2"/>
  <c r="R339" i="2"/>
  <c r="S339" i="2"/>
  <c r="T339" i="2"/>
  <c r="U339" i="2"/>
  <c r="V339" i="2"/>
  <c r="W339" i="2"/>
  <c r="X339" i="2"/>
  <c r="Y339" i="2"/>
  <c r="N340" i="2"/>
  <c r="O340" i="2"/>
  <c r="P340" i="2"/>
  <c r="Q340" i="2"/>
  <c r="R340" i="2"/>
  <c r="S340" i="2"/>
  <c r="T340" i="2"/>
  <c r="U340" i="2"/>
  <c r="V340" i="2"/>
  <c r="W340" i="2"/>
  <c r="X340" i="2"/>
  <c r="Y340" i="2"/>
  <c r="N341" i="2"/>
  <c r="O341" i="2"/>
  <c r="P341" i="2"/>
  <c r="Q341" i="2"/>
  <c r="R341" i="2"/>
  <c r="S341" i="2"/>
  <c r="T341" i="2"/>
  <c r="U341" i="2"/>
  <c r="V341" i="2"/>
  <c r="W341" i="2"/>
  <c r="X341" i="2"/>
  <c r="Y341" i="2"/>
  <c r="N342" i="2"/>
  <c r="O342" i="2"/>
  <c r="P342" i="2"/>
  <c r="Q342" i="2"/>
  <c r="R342" i="2"/>
  <c r="S342" i="2"/>
  <c r="T342" i="2"/>
  <c r="U342" i="2"/>
  <c r="V342" i="2"/>
  <c r="W342" i="2"/>
  <c r="X342" i="2"/>
  <c r="Y342" i="2"/>
  <c r="N343" i="2"/>
  <c r="O343" i="2"/>
  <c r="P343" i="2"/>
  <c r="Q343" i="2"/>
  <c r="R343" i="2"/>
  <c r="S343" i="2"/>
  <c r="I28" i="56" s="1"/>
  <c r="T343" i="2"/>
  <c r="U343" i="2"/>
  <c r="V343" i="2"/>
  <c r="W343" i="2"/>
  <c r="X343" i="2"/>
  <c r="Y343" i="2"/>
  <c r="N344" i="2"/>
  <c r="O344" i="2"/>
  <c r="P344" i="2"/>
  <c r="Q344" i="2"/>
  <c r="R344" i="2"/>
  <c r="S344" i="2"/>
  <c r="T344" i="2"/>
  <c r="U344" i="2"/>
  <c r="V344" i="2"/>
  <c r="W344" i="2"/>
  <c r="X344" i="2"/>
  <c r="Y344" i="2"/>
  <c r="N345" i="2"/>
  <c r="O345" i="2"/>
  <c r="P345" i="2"/>
  <c r="Q345" i="2"/>
  <c r="R345" i="2"/>
  <c r="S345" i="2"/>
  <c r="T345" i="2"/>
  <c r="U345" i="2"/>
  <c r="V345" i="2"/>
  <c r="W345" i="2"/>
  <c r="X345" i="2"/>
  <c r="Y345" i="2"/>
  <c r="N346" i="2"/>
  <c r="O346" i="2"/>
  <c r="E28" i="55"/>
  <c r="P346" i="2"/>
  <c r="F28" i="55"/>
  <c r="Q346" i="2"/>
  <c r="R346" i="2"/>
  <c r="S346" i="2"/>
  <c r="T346" i="2"/>
  <c r="U346" i="2"/>
  <c r="V346" i="2"/>
  <c r="W346" i="2"/>
  <c r="X346" i="2"/>
  <c r="Y346" i="2"/>
  <c r="N347" i="2"/>
  <c r="O347" i="2"/>
  <c r="P347" i="2"/>
  <c r="Q347" i="2"/>
  <c r="R347" i="2"/>
  <c r="S347" i="2"/>
  <c r="T347" i="2"/>
  <c r="U347" i="2"/>
  <c r="V347" i="2"/>
  <c r="W347" i="2"/>
  <c r="X347" i="2"/>
  <c r="Y347" i="2"/>
  <c r="N348" i="2"/>
  <c r="O348" i="2"/>
  <c r="P348" i="2"/>
  <c r="Q348" i="2"/>
  <c r="R348" i="2"/>
  <c r="S348" i="2"/>
  <c r="T348" i="2"/>
  <c r="U348" i="2"/>
  <c r="V348" i="2"/>
  <c r="W348" i="2"/>
  <c r="X348" i="2"/>
  <c r="Y348" i="2"/>
  <c r="N349" i="2"/>
  <c r="O349" i="2"/>
  <c r="P349" i="2"/>
  <c r="Q349" i="2"/>
  <c r="R349" i="2"/>
  <c r="S349" i="2"/>
  <c r="T349" i="2"/>
  <c r="J27" i="56"/>
  <c r="J38" i="56"/>
  <c r="U349" i="2"/>
  <c r="V349" i="2"/>
  <c r="W349" i="2"/>
  <c r="X349" i="2"/>
  <c r="Y349" i="2"/>
  <c r="N350" i="2"/>
  <c r="O350" i="2"/>
  <c r="P350" i="2"/>
  <c r="Q350" i="2"/>
  <c r="R350" i="2"/>
  <c r="S350" i="2"/>
  <c r="T350" i="2"/>
  <c r="U350" i="2"/>
  <c r="V350" i="2"/>
  <c r="W350" i="2"/>
  <c r="X350" i="2"/>
  <c r="Y350" i="2"/>
  <c r="N351" i="2"/>
  <c r="O351" i="2"/>
  <c r="P351" i="2"/>
  <c r="Q351" i="2"/>
  <c r="R351" i="2"/>
  <c r="S351" i="2"/>
  <c r="T351" i="2"/>
  <c r="U351" i="2"/>
  <c r="V351" i="2"/>
  <c r="W351" i="2"/>
  <c r="X351" i="2"/>
  <c r="Y351" i="2"/>
  <c r="N352" i="2"/>
  <c r="O352" i="2"/>
  <c r="P352" i="2"/>
  <c r="Q352" i="2"/>
  <c r="R352" i="2"/>
  <c r="S352" i="2"/>
  <c r="T352" i="2"/>
  <c r="U352" i="2"/>
  <c r="V352" i="2"/>
  <c r="W352" i="2"/>
  <c r="X352" i="2"/>
  <c r="Y352" i="2"/>
  <c r="N353" i="2"/>
  <c r="O353" i="2"/>
  <c r="P353" i="2"/>
  <c r="Q353" i="2"/>
  <c r="R353" i="2"/>
  <c r="S353" i="2"/>
  <c r="T353" i="2"/>
  <c r="U353" i="2"/>
  <c r="V353" i="2"/>
  <c r="W353" i="2"/>
  <c r="X353" i="2"/>
  <c r="Y353" i="2"/>
  <c r="N354" i="2"/>
  <c r="O354" i="2"/>
  <c r="P354" i="2"/>
  <c r="Q354" i="2"/>
  <c r="R354" i="2"/>
  <c r="S354" i="2"/>
  <c r="T354" i="2"/>
  <c r="U354" i="2"/>
  <c r="V354" i="2"/>
  <c r="W354" i="2"/>
  <c r="X354" i="2"/>
  <c r="Y354" i="2"/>
  <c r="N355" i="2"/>
  <c r="O355" i="2"/>
  <c r="P355" i="2"/>
  <c r="Q355" i="2"/>
  <c r="R355" i="2"/>
  <c r="S355" i="2"/>
  <c r="T355" i="2"/>
  <c r="U355" i="2"/>
  <c r="V355" i="2"/>
  <c r="W355" i="2"/>
  <c r="X355" i="2"/>
  <c r="Y355" i="2"/>
  <c r="N356" i="2"/>
  <c r="O356" i="2"/>
  <c r="E30" i="56"/>
  <c r="P356" i="2"/>
  <c r="Q356" i="2"/>
  <c r="R356" i="2"/>
  <c r="S356" i="2"/>
  <c r="T356" i="2"/>
  <c r="U356" i="2"/>
  <c r="V356" i="2"/>
  <c r="W356" i="2"/>
  <c r="X356" i="2"/>
  <c r="Y356" i="2"/>
  <c r="N357" i="2"/>
  <c r="O357" i="2"/>
  <c r="P357" i="2"/>
  <c r="Q357" i="2"/>
  <c r="R357" i="2"/>
  <c r="S357" i="2"/>
  <c r="T357" i="2"/>
  <c r="U357" i="2"/>
  <c r="V357" i="2"/>
  <c r="W357" i="2"/>
  <c r="X357" i="2"/>
  <c r="Y357" i="2"/>
  <c r="N360" i="2"/>
  <c r="O360" i="2"/>
  <c r="P360" i="2"/>
  <c r="F34" i="38"/>
  <c r="Q360" i="2"/>
  <c r="R360" i="2"/>
  <c r="H34" i="38"/>
  <c r="S360" i="2"/>
  <c r="T360" i="2"/>
  <c r="J34" i="38" s="1"/>
  <c r="U360" i="2"/>
  <c r="K34" i="38" s="1"/>
  <c r="V360" i="2"/>
  <c r="L34" i="38" s="1"/>
  <c r="W360" i="2"/>
  <c r="M34" i="38"/>
  <c r="X360" i="2"/>
  <c r="Y360" i="2"/>
  <c r="O34" i="38"/>
  <c r="N361" i="2"/>
  <c r="D35" i="38" s="1"/>
  <c r="O361" i="2"/>
  <c r="E35" i="38"/>
  <c r="P361" i="2"/>
  <c r="F35" i="38" s="1"/>
  <c r="Q361" i="2"/>
  <c r="G35" i="38"/>
  <c r="R361" i="2"/>
  <c r="H35" i="38" s="1"/>
  <c r="S361" i="2"/>
  <c r="I35" i="38"/>
  <c r="T361" i="2"/>
  <c r="U361" i="2"/>
  <c r="K35" i="38"/>
  <c r="V361" i="2"/>
  <c r="L35" i="38"/>
  <c r="W361" i="2"/>
  <c r="M35" i="38"/>
  <c r="X361" i="2"/>
  <c r="N35" i="38"/>
  <c r="Y361" i="2"/>
  <c r="N362" i="2"/>
  <c r="O362" i="2"/>
  <c r="P362" i="2"/>
  <c r="F36" i="38"/>
  <c r="Q362" i="2"/>
  <c r="G36" i="38" s="1"/>
  <c r="R362" i="2"/>
  <c r="H36" i="38"/>
  <c r="S362" i="2"/>
  <c r="T362" i="2"/>
  <c r="J36" i="38"/>
  <c r="U362" i="2"/>
  <c r="K36" i="38" s="1"/>
  <c r="V362" i="2"/>
  <c r="L36" i="38"/>
  <c r="W362" i="2"/>
  <c r="M36" i="38" s="1"/>
  <c r="X362" i="2"/>
  <c r="N36" i="38"/>
  <c r="Y362" i="2"/>
  <c r="O36" i="38" s="1"/>
  <c r="N363" i="2"/>
  <c r="O363" i="2"/>
  <c r="E37" i="38"/>
  <c r="P363" i="2"/>
  <c r="F37" i="38" s="1"/>
  <c r="Q363" i="2"/>
  <c r="G37" i="38"/>
  <c r="R363" i="2"/>
  <c r="H37" i="38"/>
  <c r="S363" i="2"/>
  <c r="T363" i="2"/>
  <c r="J37" i="38" s="1"/>
  <c r="U363" i="2"/>
  <c r="K37" i="38"/>
  <c r="V363" i="2"/>
  <c r="L37" i="38" s="1"/>
  <c r="W363" i="2"/>
  <c r="M37" i="38" s="1"/>
  <c r="X363" i="2"/>
  <c r="N37" i="38" s="1"/>
  <c r="Y363" i="2"/>
  <c r="N364" i="2"/>
  <c r="D38" i="38" s="1"/>
  <c r="O364" i="2"/>
  <c r="P364" i="2"/>
  <c r="F38" i="38"/>
  <c r="Q364" i="2"/>
  <c r="G38" i="38" s="1"/>
  <c r="R364" i="2"/>
  <c r="H38" i="38"/>
  <c r="S364" i="2"/>
  <c r="I38" i="38" s="1"/>
  <c r="T364" i="2"/>
  <c r="U364" i="2"/>
  <c r="K38" i="38"/>
  <c r="V364" i="2"/>
  <c r="L38" i="38" s="1"/>
  <c r="W364" i="2"/>
  <c r="M38" i="38"/>
  <c r="X364" i="2"/>
  <c r="N38" i="38" s="1"/>
  <c r="Y364" i="2"/>
  <c r="N365" i="2"/>
  <c r="D39" i="38"/>
  <c r="O365" i="2"/>
  <c r="E39" i="38"/>
  <c r="P365" i="2"/>
  <c r="F39" i="38"/>
  <c r="Q365" i="2"/>
  <c r="G39" i="38"/>
  <c r="R365" i="2"/>
  <c r="H39" i="38" s="1"/>
  <c r="S365" i="2"/>
  <c r="I39" i="38"/>
  <c r="T365" i="2"/>
  <c r="J39" i="38" s="1"/>
  <c r="U365" i="2"/>
  <c r="K39" i="38"/>
  <c r="V365" i="2"/>
  <c r="L39" i="38" s="1"/>
  <c r="W365" i="2"/>
  <c r="M39" i="38" s="1"/>
  <c r="X365" i="2"/>
  <c r="N39" i="38" s="1"/>
  <c r="Y365" i="2"/>
  <c r="O39" i="38"/>
  <c r="N366" i="2"/>
  <c r="D40" i="38" s="1"/>
  <c r="O366" i="2"/>
  <c r="E40" i="38"/>
  <c r="P366" i="2"/>
  <c r="F40" i="38" s="1"/>
  <c r="Q366" i="2"/>
  <c r="G40" i="38"/>
  <c r="R366" i="2"/>
  <c r="H40" i="38"/>
  <c r="S366" i="2"/>
  <c r="I40" i="38"/>
  <c r="D304" i="75" s="1"/>
  <c r="T366" i="2"/>
  <c r="J40" i="38" s="1"/>
  <c r="U366" i="2"/>
  <c r="K40" i="38" s="1"/>
  <c r="V366" i="2"/>
  <c r="L40" i="38"/>
  <c r="W366" i="2"/>
  <c r="M40" i="38" s="1"/>
  <c r="X366" i="2"/>
  <c r="N40" i="38"/>
  <c r="Y366" i="2"/>
  <c r="O40" i="38" s="1"/>
  <c r="N367" i="2"/>
  <c r="D41" i="38"/>
  <c r="O367" i="2"/>
  <c r="E41" i="38" s="1"/>
  <c r="P367" i="2"/>
  <c r="F41" i="38" s="1"/>
  <c r="Q367" i="2"/>
  <c r="G41" i="38" s="1"/>
  <c r="R367" i="2"/>
  <c r="H41" i="38"/>
  <c r="D245" i="75" s="1"/>
  <c r="S367" i="2"/>
  <c r="I41" i="38"/>
  <c r="T367" i="2"/>
  <c r="J41" i="38" s="1"/>
  <c r="U367" i="2"/>
  <c r="K41" i="38"/>
  <c r="V367" i="2"/>
  <c r="L41" i="38" s="1"/>
  <c r="W367" i="2"/>
  <c r="M41" i="38"/>
  <c r="X367" i="2"/>
  <c r="N41" i="38" s="1"/>
  <c r="Y367" i="2"/>
  <c r="O41" i="38"/>
  <c r="N368" i="2"/>
  <c r="O368" i="2"/>
  <c r="P368" i="2"/>
  <c r="F33" i="38"/>
  <c r="F46" i="38"/>
  <c r="Q368" i="2"/>
  <c r="G33" i="38"/>
  <c r="G46" i="38"/>
  <c r="R368" i="2"/>
  <c r="S368" i="2"/>
  <c r="T368" i="2"/>
  <c r="U368" i="2"/>
  <c r="K33" i="38" s="1"/>
  <c r="K46" i="38" s="1"/>
  <c r="V368" i="2"/>
  <c r="L33" i="38" s="1"/>
  <c r="W368" i="2"/>
  <c r="M33" i="38"/>
  <c r="M46" i="38"/>
  <c r="X368" i="2"/>
  <c r="Y368" i="2"/>
  <c r="O33" i="38"/>
  <c r="O46" i="38"/>
  <c r="N369" i="2"/>
  <c r="D33" i="54" s="1"/>
  <c r="O369" i="2"/>
  <c r="P369" i="2"/>
  <c r="Q369" i="2"/>
  <c r="R369" i="2"/>
  <c r="S369" i="2"/>
  <c r="T369" i="2"/>
  <c r="U369" i="2"/>
  <c r="V369" i="2"/>
  <c r="L33" i="54"/>
  <c r="W369" i="2"/>
  <c r="X369" i="2"/>
  <c r="N33" i="54" s="1"/>
  <c r="Y369" i="2"/>
  <c r="N370" i="2"/>
  <c r="O370" i="2"/>
  <c r="P370" i="2"/>
  <c r="Q370" i="2"/>
  <c r="R370" i="2"/>
  <c r="H28" i="38"/>
  <c r="S370" i="2"/>
  <c r="I28" i="38" s="1"/>
  <c r="T370" i="2"/>
  <c r="U370" i="2"/>
  <c r="K28" i="38"/>
  <c r="V370" i="2"/>
  <c r="L28" i="38" s="1"/>
  <c r="W370" i="2"/>
  <c r="X370" i="2"/>
  <c r="Y370" i="2"/>
  <c r="N371" i="2"/>
  <c r="O371" i="2"/>
  <c r="E32" i="55" s="1"/>
  <c r="E37" i="55" s="1"/>
  <c r="P371" i="2"/>
  <c r="Q371" i="2"/>
  <c r="R371" i="2"/>
  <c r="S371" i="2"/>
  <c r="T371" i="2"/>
  <c r="U371" i="2"/>
  <c r="K32" i="55"/>
  <c r="V371" i="2"/>
  <c r="L32" i="55"/>
  <c r="W371" i="2"/>
  <c r="M32" i="55"/>
  <c r="X371" i="2"/>
  <c r="Y371" i="2"/>
  <c r="A26" i="7"/>
  <c r="E230" i="75"/>
  <c r="J29" i="50"/>
  <c r="F26" i="51"/>
  <c r="L35" i="34"/>
  <c r="D9" i="56"/>
  <c r="D9" i="57"/>
  <c r="D11" i="54"/>
  <c r="D11" i="51"/>
  <c r="P23" i="51"/>
  <c r="D11" i="40"/>
  <c r="P21" i="40"/>
  <c r="D11" i="39"/>
  <c r="P21" i="39"/>
  <c r="D371" i="31"/>
  <c r="D37" i="33"/>
  <c r="D5" i="33" s="1"/>
  <c r="D29" i="33"/>
  <c r="C5" i="74"/>
  <c r="C100" i="74" s="1"/>
  <c r="D100" i="74" s="1"/>
  <c r="D251" i="68"/>
  <c r="D391" i="68"/>
  <c r="C8" i="71"/>
  <c r="D570" i="68"/>
  <c r="D558" i="68"/>
  <c r="D535" i="68"/>
  <c r="K24" i="36"/>
  <c r="K25" i="36" s="1"/>
  <c r="L29" i="50"/>
  <c r="L23" i="40"/>
  <c r="L24" i="40" s="1"/>
  <c r="J24" i="36"/>
  <c r="J25" i="36" s="1"/>
  <c r="K23" i="40"/>
  <c r="K24" i="40" s="1"/>
  <c r="W32" i="65"/>
  <c r="W28" i="65"/>
  <c r="W25" i="65"/>
  <c r="AF25" i="65" s="1"/>
  <c r="W14" i="65"/>
  <c r="BO3" i="65"/>
  <c r="W39" i="65"/>
  <c r="AF39" i="65" s="1"/>
  <c r="W38" i="65"/>
  <c r="AF38" i="65" s="1"/>
  <c r="W37" i="65"/>
  <c r="W29" i="65"/>
  <c r="W27" i="65"/>
  <c r="W23" i="65"/>
  <c r="AF23" i="65" s="1"/>
  <c r="W21" i="65"/>
  <c r="W19" i="65"/>
  <c r="W17" i="65"/>
  <c r="W12" i="65"/>
  <c r="W11" i="65"/>
  <c r="W8" i="65"/>
  <c r="W36" i="65"/>
  <c r="AF36" i="65" s="1"/>
  <c r="W34" i="65"/>
  <c r="AF34" i="65" s="1"/>
  <c r="W31" i="65"/>
  <c r="W15" i="65"/>
  <c r="AF15" i="65" s="1"/>
  <c r="W9" i="65"/>
  <c r="W33" i="65"/>
  <c r="AF33" i="65" s="1"/>
  <c r="W30" i="65"/>
  <c r="W26" i="65"/>
  <c r="AF26" i="65" s="1"/>
  <c r="W24" i="65"/>
  <c r="AF24" i="65" s="1"/>
  <c r="W22" i="65"/>
  <c r="AF22" i="65" s="1"/>
  <c r="W20" i="65"/>
  <c r="W18" i="65"/>
  <c r="AF18" i="65" s="1"/>
  <c r="W16" i="65"/>
  <c r="AF16" i="65" s="1"/>
  <c r="E39" i="69"/>
  <c r="E41" i="73"/>
  <c r="E38" i="69"/>
  <c r="E40" i="73"/>
  <c r="D636" i="68"/>
  <c r="U505" i="68"/>
  <c r="C196" i="68"/>
  <c r="E196" i="68" s="1"/>
  <c r="C166" i="68"/>
  <c r="C195" i="68"/>
  <c r="AA576" i="68"/>
  <c r="AA575" i="68"/>
  <c r="AA573" i="68"/>
  <c r="AA572" i="68"/>
  <c r="T505" i="68"/>
  <c r="R505" i="68"/>
  <c r="D198" i="68"/>
  <c r="D196" i="68"/>
  <c r="E154" i="68"/>
  <c r="C56" i="74"/>
  <c r="B56" i="74"/>
  <c r="D56" i="74"/>
  <c r="B16" i="69"/>
  <c r="B21" i="69" s="1"/>
  <c r="B25" i="69" s="1"/>
  <c r="B31" i="69" s="1"/>
  <c r="D201" i="68"/>
  <c r="D155" i="68"/>
  <c r="T156" i="68"/>
  <c r="C14" i="87"/>
  <c r="I14" i="87"/>
  <c r="H26" i="74"/>
  <c r="E219" i="31"/>
  <c r="N8" i="83"/>
  <c r="J8" i="83"/>
  <c r="E294" i="31"/>
  <c r="E326" i="31"/>
  <c r="E330" i="31"/>
  <c r="E332" i="31"/>
  <c r="D332" i="31" s="1"/>
  <c r="C330" i="31"/>
  <c r="D179" i="31"/>
  <c r="D12" i="35"/>
  <c r="D15" i="35" s="1"/>
  <c r="P25" i="35"/>
  <c r="B5" i="33"/>
  <c r="D45" i="35"/>
  <c r="C18" i="61" s="1"/>
  <c r="B18" i="33"/>
  <c r="B29" i="33"/>
  <c r="D54" i="34"/>
  <c r="C12" i="61" s="1"/>
  <c r="D13" i="35"/>
  <c r="P26" i="35"/>
  <c r="D45" i="36"/>
  <c r="C24" i="61" s="1"/>
  <c r="E14" i="41"/>
  <c r="F14" i="41" s="1"/>
  <c r="D52" i="41"/>
  <c r="C54" i="61"/>
  <c r="C66" i="60"/>
  <c r="D50" i="44"/>
  <c r="C66" i="61"/>
  <c r="F17" i="44"/>
  <c r="D40" i="39"/>
  <c r="C42" i="61" s="1"/>
  <c r="F13" i="45"/>
  <c r="D47" i="50"/>
  <c r="C84" i="61"/>
  <c r="D45" i="51"/>
  <c r="C90" i="61"/>
  <c r="D13" i="51"/>
  <c r="D46" i="53"/>
  <c r="C96" i="61" s="1"/>
  <c r="D43" i="43"/>
  <c r="C72" i="61"/>
  <c r="D54" i="47"/>
  <c r="C78" i="61" s="1"/>
  <c r="M103" i="60"/>
  <c r="M79" i="60"/>
  <c r="L80" i="60"/>
  <c r="M55" i="60"/>
  <c r="M109" i="60"/>
  <c r="M85" i="60"/>
  <c r="M61" i="60"/>
  <c r="L62" i="60"/>
  <c r="D52" i="55"/>
  <c r="C108" i="61"/>
  <c r="M91" i="60"/>
  <c r="M67" i="60"/>
  <c r="M120" i="60"/>
  <c r="L122" i="60" s="1"/>
  <c r="M114" i="60"/>
  <c r="M108" i="60"/>
  <c r="L110" i="60" s="1"/>
  <c r="M102" i="60"/>
  <c r="M96" i="60"/>
  <c r="L98" i="60"/>
  <c r="M90" i="60"/>
  <c r="L92" i="60" s="1"/>
  <c r="M84" i="60"/>
  <c r="M72" i="60"/>
  <c r="M66" i="60"/>
  <c r="L68" i="60"/>
  <c r="M54" i="60"/>
  <c r="L56" i="60"/>
  <c r="M31" i="60"/>
  <c r="L32" i="60" s="1"/>
  <c r="M25" i="60"/>
  <c r="L26" i="60" s="1"/>
  <c r="M19" i="60"/>
  <c r="L20" i="60"/>
  <c r="M13" i="60"/>
  <c r="L14" i="60" s="1"/>
  <c r="L116" i="61"/>
  <c r="L68" i="61"/>
  <c r="M121" i="61"/>
  <c r="L122" i="61"/>
  <c r="W99" i="65"/>
  <c r="W98" i="65"/>
  <c r="AF98" i="65" s="1"/>
  <c r="W97" i="65"/>
  <c r="W96" i="65"/>
  <c r="W95" i="65"/>
  <c r="AF95" i="65" s="1"/>
  <c r="W94" i="65"/>
  <c r="AF94" i="65" s="1"/>
  <c r="W93" i="65"/>
  <c r="W92" i="65"/>
  <c r="W91" i="65"/>
  <c r="W90" i="65"/>
  <c r="AF90" i="65" s="1"/>
  <c r="W89" i="65"/>
  <c r="W88" i="65"/>
  <c r="W87" i="65"/>
  <c r="W80" i="65"/>
  <c r="W79" i="65"/>
  <c r="W78" i="65"/>
  <c r="W77" i="65"/>
  <c r="AF77" i="65" s="1"/>
  <c r="W76" i="65"/>
  <c r="AF76" i="65" s="1"/>
  <c r="W75" i="65"/>
  <c r="W74" i="65"/>
  <c r="AF74" i="65" s="1"/>
  <c r="W49" i="65"/>
  <c r="AF49" i="65" s="1"/>
  <c r="W48" i="65"/>
  <c r="AF48" i="65" s="1"/>
  <c r="W47" i="65"/>
  <c r="W46" i="65"/>
  <c r="W45" i="65"/>
  <c r="AF45" i="65" s="1"/>
  <c r="W44" i="65"/>
  <c r="AF44" i="65" s="1"/>
  <c r="W43" i="65"/>
  <c r="W42" i="65"/>
  <c r="AF42" i="65" s="1"/>
  <c r="W41" i="65"/>
  <c r="AF41" i="65" s="1"/>
  <c r="W40" i="65"/>
  <c r="AF40" i="65" s="1"/>
  <c r="W13" i="65"/>
  <c r="B25" i="65"/>
  <c r="B38" i="65" s="1"/>
  <c r="W10" i="65"/>
  <c r="W72" i="65"/>
  <c r="AF72" i="65" s="1"/>
  <c r="W71" i="65"/>
  <c r="W70" i="65"/>
  <c r="W69" i="65"/>
  <c r="AF69" i="65" s="1"/>
  <c r="W57" i="65"/>
  <c r="AF57" i="65" s="1"/>
  <c r="W56" i="65"/>
  <c r="W55" i="65"/>
  <c r="W54" i="65"/>
  <c r="AF54" i="65" s="1"/>
  <c r="W53" i="65"/>
  <c r="AF53" i="65" s="1"/>
  <c r="W52" i="65"/>
  <c r="W82" i="65"/>
  <c r="W68" i="65"/>
  <c r="AF68" i="65" s="1"/>
  <c r="W51" i="65"/>
  <c r="AF51" i="65" s="1"/>
  <c r="C623" i="68"/>
  <c r="C635" i="68"/>
  <c r="C648" i="68"/>
  <c r="G699" i="64"/>
  <c r="C146" i="77"/>
  <c r="E75" i="75"/>
  <c r="E71" i="75"/>
  <c r="F89" i="75"/>
  <c r="E222" i="68"/>
  <c r="R501" i="68"/>
  <c r="E325" i="68"/>
  <c r="E292" i="68"/>
  <c r="E294" i="68" s="1"/>
  <c r="P28" i="50"/>
  <c r="D169" i="68"/>
  <c r="T170" i="68" s="1"/>
  <c r="C15" i="87"/>
  <c r="V505" i="68"/>
  <c r="C478" i="68"/>
  <c r="C404" i="68"/>
  <c r="D395" i="68"/>
  <c r="U396" i="68"/>
  <c r="E296" i="68"/>
  <c r="D406" i="68"/>
  <c r="C35" i="87" s="1"/>
  <c r="K24" i="75"/>
  <c r="E303" i="68"/>
  <c r="D144" i="68"/>
  <c r="C12" i="72" s="1"/>
  <c r="C9" i="74"/>
  <c r="C25" i="74"/>
  <c r="D259" i="68"/>
  <c r="D261" i="68" s="1"/>
  <c r="D1" i="90"/>
  <c r="E1" i="90"/>
  <c r="E2" i="90"/>
  <c r="C23" i="73"/>
  <c r="H28" i="73"/>
  <c r="H25" i="73"/>
  <c r="E315" i="64"/>
  <c r="D12" i="65"/>
  <c r="C13" i="65"/>
  <c r="G36" i="47"/>
  <c r="K36" i="54"/>
  <c r="G17" i="75"/>
  <c r="D14" i="38"/>
  <c r="K14" i="38"/>
  <c r="G22" i="75"/>
  <c r="B57" i="33"/>
  <c r="D493" i="68"/>
  <c r="D372" i="68"/>
  <c r="D118" i="68"/>
  <c r="D156" i="31"/>
  <c r="D165" i="31"/>
  <c r="D236" i="31"/>
  <c r="D9" i="55"/>
  <c r="D141" i="68"/>
  <c r="D426" i="68"/>
  <c r="D439" i="68"/>
  <c r="D11" i="77"/>
  <c r="D389" i="31"/>
  <c r="D325" i="31"/>
  <c r="D11" i="35"/>
  <c r="P23" i="35" s="1"/>
  <c r="D11" i="38"/>
  <c r="P26" i="38" s="1"/>
  <c r="D11" i="44"/>
  <c r="P25" i="44" s="1"/>
  <c r="D11" i="53"/>
  <c r="G32" i="53"/>
  <c r="D479" i="68"/>
  <c r="D15" i="77" s="1"/>
  <c r="E13" i="28"/>
  <c r="E233" i="75"/>
  <c r="D278" i="31"/>
  <c r="D280" i="31" s="1"/>
  <c r="C266" i="68"/>
  <c r="E201" i="75"/>
  <c r="E203" i="75"/>
  <c r="E204" i="75"/>
  <c r="E194" i="75"/>
  <c r="E196" i="75" s="1"/>
  <c r="K28" i="75"/>
  <c r="C23" i="74" s="1"/>
  <c r="E327" i="31"/>
  <c r="D375" i="68"/>
  <c r="C373" i="68"/>
  <c r="E373" i="68" s="1"/>
  <c r="T376" i="68"/>
  <c r="D161" i="31"/>
  <c r="K28" i="77"/>
  <c r="K35" i="54"/>
  <c r="G35" i="54"/>
  <c r="F29" i="47"/>
  <c r="K98" i="83"/>
  <c r="J73" i="65"/>
  <c r="M98" i="83"/>
  <c r="I98" i="83"/>
  <c r="I111" i="83"/>
  <c r="B28" i="85"/>
  <c r="C22" i="85"/>
  <c r="C24" i="85"/>
  <c r="C26" i="85"/>
  <c r="F96" i="75"/>
  <c r="G96" i="75" s="1"/>
  <c r="E73" i="75"/>
  <c r="D242" i="31"/>
  <c r="D244" i="31"/>
  <c r="D69" i="29"/>
  <c r="C30" i="60"/>
  <c r="D44" i="37"/>
  <c r="C30" i="61"/>
  <c r="C114" i="60"/>
  <c r="D52" i="56"/>
  <c r="C114" i="61"/>
  <c r="M43" i="60"/>
  <c r="L44" i="60" s="1"/>
  <c r="M61" i="61"/>
  <c r="E441" i="31"/>
  <c r="E443" i="31"/>
  <c r="C443" i="31"/>
  <c r="B50" i="33"/>
  <c r="B44" i="33"/>
  <c r="P30" i="47"/>
  <c r="P37" i="47"/>
  <c r="J26" i="30"/>
  <c r="D54" i="54"/>
  <c r="C102" i="61" s="1"/>
  <c r="D30" i="34"/>
  <c r="E321" i="68"/>
  <c r="E323" i="68" s="1"/>
  <c r="E480" i="68"/>
  <c r="G19" i="65"/>
  <c r="E447" i="31"/>
  <c r="E449" i="31" s="1"/>
  <c r="I26" i="51"/>
  <c r="I29" i="44"/>
  <c r="K30" i="45"/>
  <c r="K26" i="43"/>
  <c r="K37" i="54"/>
  <c r="K25" i="35"/>
  <c r="K27" i="35" s="1"/>
  <c r="K31" i="47"/>
  <c r="K27" i="55"/>
  <c r="B19" i="30"/>
  <c r="B28" i="30" s="1"/>
  <c r="M18" i="30"/>
  <c r="L25" i="36"/>
  <c r="L26" i="35"/>
  <c r="L28" i="53"/>
  <c r="L25" i="35"/>
  <c r="L27" i="35" s="1"/>
  <c r="L32" i="34"/>
  <c r="L34" i="56"/>
  <c r="L30" i="34"/>
  <c r="L29" i="34"/>
  <c r="L30" i="45"/>
  <c r="L31" i="44"/>
  <c r="L35" i="54"/>
  <c r="K36" i="41"/>
  <c r="K31" i="56"/>
  <c r="D53" i="45"/>
  <c r="C60" i="61" s="1"/>
  <c r="C60" i="60"/>
  <c r="D61" i="38"/>
  <c r="C36" i="61"/>
  <c r="C36" i="60"/>
  <c r="M26" i="51"/>
  <c r="M28" i="51" s="1"/>
  <c r="M8" i="89"/>
  <c r="M27" i="53"/>
  <c r="M28" i="44"/>
  <c r="L537" i="68"/>
  <c r="R502" i="68"/>
  <c r="D520" i="68"/>
  <c r="F25" i="77"/>
  <c r="F8" i="89"/>
  <c r="D32" i="33"/>
  <c r="C194" i="31"/>
  <c r="C175" i="31"/>
  <c r="N32" i="34"/>
  <c r="E519" i="68"/>
  <c r="K26" i="77"/>
  <c r="L29" i="38"/>
  <c r="L46" i="38"/>
  <c r="E78" i="75"/>
  <c r="C227" i="75"/>
  <c r="F17" i="75"/>
  <c r="D12" i="38"/>
  <c r="K12" i="38" s="1"/>
  <c r="D33" i="74"/>
  <c r="H33" i="74" s="1"/>
  <c r="O47" i="79"/>
  <c r="D40" i="40"/>
  <c r="C48" i="61" s="1"/>
  <c r="C48" i="60"/>
  <c r="H17" i="75"/>
  <c r="D15" i="38"/>
  <c r="H22" i="75"/>
  <c r="C318" i="75"/>
  <c r="N111" i="83"/>
  <c r="F32" i="53"/>
  <c r="C23" i="53"/>
  <c r="M102" i="61"/>
  <c r="L104" i="61" s="1"/>
  <c r="M78" i="61"/>
  <c r="L80" i="61"/>
  <c r="M54" i="61"/>
  <c r="M37" i="60"/>
  <c r="L38" i="60"/>
  <c r="M108" i="61"/>
  <c r="L110" i="61" s="1"/>
  <c r="M84" i="61"/>
  <c r="M60" i="61"/>
  <c r="L62" i="61"/>
  <c r="M13" i="61"/>
  <c r="L14" i="61" s="1"/>
  <c r="C120" i="60"/>
  <c r="D38" i="57"/>
  <c r="C120" i="61"/>
  <c r="M96" i="61"/>
  <c r="M72" i="61"/>
  <c r="M48" i="61"/>
  <c r="L50" i="61" s="1"/>
  <c r="C306" i="68"/>
  <c r="D444" i="31"/>
  <c r="D446" i="31"/>
  <c r="C444" i="31" s="1"/>
  <c r="C446" i="31"/>
  <c r="C450" i="31" s="1"/>
  <c r="J19" i="30"/>
  <c r="J28" i="30"/>
  <c r="F94" i="75"/>
  <c r="G94" i="75"/>
  <c r="G31" i="55"/>
  <c r="G28" i="77"/>
  <c r="G30" i="34"/>
  <c r="G37" i="34" s="1"/>
  <c r="G25" i="43"/>
  <c r="G26" i="43" s="1"/>
  <c r="G35" i="34"/>
  <c r="M28" i="53"/>
  <c r="M35" i="54"/>
  <c r="M35" i="34"/>
  <c r="M30" i="34"/>
  <c r="M37" i="34"/>
  <c r="C521" i="68"/>
  <c r="G27" i="55"/>
  <c r="G23" i="40"/>
  <c r="G24" i="40"/>
  <c r="G26" i="35"/>
  <c r="G32" i="45"/>
  <c r="G26" i="51"/>
  <c r="M24" i="36"/>
  <c r="M25" i="36" s="1"/>
  <c r="M26" i="35"/>
  <c r="M25" i="43"/>
  <c r="M26" i="43"/>
  <c r="M30" i="45"/>
  <c r="M34" i="56"/>
  <c r="M28" i="56"/>
  <c r="N30" i="34"/>
  <c r="N23" i="39"/>
  <c r="N24" i="39"/>
  <c r="N32" i="38"/>
  <c r="N24" i="36"/>
  <c r="N32" i="47"/>
  <c r="N29" i="50"/>
  <c r="N31" i="50" s="1"/>
  <c r="N32" i="45"/>
  <c r="N26" i="51"/>
  <c r="N28" i="51"/>
  <c r="N19" i="65"/>
  <c r="N24" i="65" s="1"/>
  <c r="N31" i="34"/>
  <c r="K225" i="75"/>
  <c r="E17" i="75"/>
  <c r="D17" i="38" s="1"/>
  <c r="K17" i="38" s="1"/>
  <c r="D32" i="75"/>
  <c r="I17" i="75"/>
  <c r="D13" i="38" s="1"/>
  <c r="K12" i="75"/>
  <c r="E306" i="75"/>
  <c r="E32" i="38"/>
  <c r="E316" i="75"/>
  <c r="D281" i="75"/>
  <c r="E319" i="75"/>
  <c r="D288" i="75"/>
  <c r="E315" i="75"/>
  <c r="E229" i="75"/>
  <c r="D52" i="74"/>
  <c r="K96" i="83"/>
  <c r="M31" i="61"/>
  <c r="L32" i="61"/>
  <c r="E318" i="75"/>
  <c r="C284" i="68"/>
  <c r="D55" i="74"/>
  <c r="D36" i="74"/>
  <c r="M79" i="61"/>
  <c r="M43" i="61"/>
  <c r="L44" i="61" s="1"/>
  <c r="E231" i="75"/>
  <c r="E22" i="75"/>
  <c r="D64" i="74"/>
  <c r="C208" i="75"/>
  <c r="D16" i="38"/>
  <c r="P32" i="38"/>
  <c r="J17" i="75"/>
  <c r="G109" i="83"/>
  <c r="F96" i="83"/>
  <c r="F8" i="83" s="1"/>
  <c r="F111" i="83"/>
  <c r="E290" i="31"/>
  <c r="E292" i="31"/>
  <c r="M97" i="61"/>
  <c r="L98" i="61" s="1"/>
  <c r="C257" i="68"/>
  <c r="H313" i="75"/>
  <c r="C8" i="85"/>
  <c r="C13" i="85"/>
  <c r="E13" i="41"/>
  <c r="F13" i="41" s="1"/>
  <c r="O26" i="35"/>
  <c r="O35" i="41"/>
  <c r="O36" i="41" s="1"/>
  <c r="O35" i="34"/>
  <c r="O31" i="44"/>
  <c r="O33" i="44" s="1"/>
  <c r="O35" i="38"/>
  <c r="O19" i="65"/>
  <c r="O24" i="65"/>
  <c r="O26" i="51"/>
  <c r="O28" i="51"/>
  <c r="O34" i="54"/>
  <c r="O24" i="58"/>
  <c r="O26" i="58"/>
  <c r="O38" i="38"/>
  <c r="O31" i="38"/>
  <c r="O36" i="47"/>
  <c r="C663" i="68"/>
  <c r="C637" i="68"/>
  <c r="C636" i="68"/>
  <c r="B74" i="74"/>
  <c r="H74" i="74"/>
  <c r="D15" i="45"/>
  <c r="P31" i="45" s="1"/>
  <c r="D13" i="50"/>
  <c r="P27" i="50"/>
  <c r="D16" i="56"/>
  <c r="U376" i="68"/>
  <c r="B502" i="68"/>
  <c r="I40" i="34"/>
  <c r="E220" i="31"/>
  <c r="B207" i="31"/>
  <c r="L30" i="55"/>
  <c r="G29" i="55"/>
  <c r="K223" i="75"/>
  <c r="C259" i="75"/>
  <c r="D51" i="74"/>
  <c r="D45" i="74"/>
  <c r="E109" i="83"/>
  <c r="E77" i="75"/>
  <c r="E74" i="75"/>
  <c r="D47" i="74"/>
  <c r="D109" i="83"/>
  <c r="H96" i="83"/>
  <c r="E274" i="31"/>
  <c r="E16" i="41"/>
  <c r="F16" i="41" s="1"/>
  <c r="B40" i="29"/>
  <c r="M115" i="60"/>
  <c r="L116" i="60"/>
  <c r="V506" i="68"/>
  <c r="U506" i="68"/>
  <c r="H111" i="83"/>
  <c r="H8" i="83"/>
  <c r="D20" i="47"/>
  <c r="AA574" i="68"/>
  <c r="D546" i="68"/>
  <c r="C17" i="71"/>
  <c r="E273" i="68"/>
  <c r="AA571" i="68"/>
  <c r="D13" i="40"/>
  <c r="P23" i="39"/>
  <c r="P24" i="39" s="1"/>
  <c r="G238" i="75"/>
  <c r="K16" i="75"/>
  <c r="C81" i="74"/>
  <c r="L20" i="57"/>
  <c r="L21" i="57"/>
  <c r="L33" i="55"/>
  <c r="N30" i="55"/>
  <c r="G37" i="54"/>
  <c r="D12" i="50"/>
  <c r="P25" i="50"/>
  <c r="D11" i="37"/>
  <c r="P21" i="37" s="1"/>
  <c r="D40" i="77"/>
  <c r="D6" i="65"/>
  <c r="D603" i="68"/>
  <c r="D410" i="31"/>
  <c r="D428" i="31"/>
  <c r="D440" i="31" s="1"/>
  <c r="D307" i="31"/>
  <c r="O55" i="87"/>
  <c r="C89" i="27"/>
  <c r="B89" i="27" s="1"/>
  <c r="C304" i="27"/>
  <c r="D29" i="34"/>
  <c r="F20" i="73"/>
  <c r="D36" i="47"/>
  <c r="D32" i="45"/>
  <c r="D26" i="77"/>
  <c r="D30" i="44"/>
  <c r="C30" i="44" s="1"/>
  <c r="D35" i="41"/>
  <c r="D29" i="55"/>
  <c r="D14" i="55"/>
  <c r="D14" i="45"/>
  <c r="P30" i="45" s="1"/>
  <c r="D25" i="77"/>
  <c r="D34" i="34"/>
  <c r="D34" i="38"/>
  <c r="D34" i="56"/>
  <c r="D26" i="51"/>
  <c r="D29" i="50"/>
  <c r="D28" i="44"/>
  <c r="D27" i="44"/>
  <c r="D35" i="45"/>
  <c r="D23" i="37"/>
  <c r="D30" i="38"/>
  <c r="D25" i="35"/>
  <c r="D27" i="55"/>
  <c r="D27" i="50"/>
  <c r="D33" i="56"/>
  <c r="D32" i="38"/>
  <c r="D23" i="39"/>
  <c r="E29" i="69"/>
  <c r="B52" i="70"/>
  <c r="F29" i="69"/>
  <c r="E461" i="68"/>
  <c r="C15" i="50"/>
  <c r="C13" i="51" s="1"/>
  <c r="E13" i="51" s="1"/>
  <c r="F13" i="51" s="1"/>
  <c r="E15" i="50"/>
  <c r="F15" i="50"/>
  <c r="V170" i="68"/>
  <c r="P24" i="36"/>
  <c r="P25" i="36"/>
  <c r="P33" i="44"/>
  <c r="G239" i="75"/>
  <c r="D447" i="68"/>
  <c r="E329" i="31"/>
  <c r="D266" i="31"/>
  <c r="D268" i="31"/>
  <c r="H25" i="53"/>
  <c r="C516" i="68"/>
  <c r="H29" i="55"/>
  <c r="D516" i="68"/>
  <c r="G36" i="41"/>
  <c r="G24" i="37"/>
  <c r="G26" i="77"/>
  <c r="G20" i="65"/>
  <c r="G28" i="55"/>
  <c r="G35" i="47"/>
  <c r="G31" i="45"/>
  <c r="G36" i="54"/>
  <c r="G7" i="89"/>
  <c r="G33" i="54"/>
  <c r="G30" i="55"/>
  <c r="G24" i="36"/>
  <c r="G25" i="36"/>
  <c r="G36" i="34"/>
  <c r="E515" i="68"/>
  <c r="G32" i="38"/>
  <c r="E514" i="68"/>
  <c r="F20" i="65"/>
  <c r="F29" i="34"/>
  <c r="F28" i="53"/>
  <c r="F25" i="43"/>
  <c r="F26" i="43" s="1"/>
  <c r="F32" i="38"/>
  <c r="E32" i="34"/>
  <c r="E31" i="45"/>
  <c r="I26" i="53"/>
  <c r="I27" i="77"/>
  <c r="I28" i="44"/>
  <c r="I33" i="44" s="1"/>
  <c r="O13" i="34"/>
  <c r="H24" i="36"/>
  <c r="H25" i="36"/>
  <c r="I27" i="50"/>
  <c r="I31" i="50"/>
  <c r="I32" i="45"/>
  <c r="C230" i="75"/>
  <c r="F130" i="75"/>
  <c r="F132" i="75"/>
  <c r="F133" i="75" s="1"/>
  <c r="C316" i="75"/>
  <c r="G90" i="75"/>
  <c r="E111" i="75" s="1"/>
  <c r="E124" i="75" s="1"/>
  <c r="I90" i="75"/>
  <c r="C319" i="75"/>
  <c r="C258" i="75"/>
  <c r="C233" i="75"/>
  <c r="I130" i="75"/>
  <c r="I132" i="75" s="1"/>
  <c r="I133" i="75" s="1"/>
  <c r="C201" i="75"/>
  <c r="E258" i="75"/>
  <c r="E260" i="75" s="1"/>
  <c r="E261" i="75" s="1"/>
  <c r="G289" i="75"/>
  <c r="E332" i="75"/>
  <c r="D347" i="75"/>
  <c r="D332" i="75"/>
  <c r="G59" i="75"/>
  <c r="F59" i="75"/>
  <c r="H353" i="75"/>
  <c r="G356" i="75"/>
  <c r="G360" i="75"/>
  <c r="G195" i="75"/>
  <c r="G97" i="75"/>
  <c r="E104" i="75"/>
  <c r="H97" i="75"/>
  <c r="D68" i="75"/>
  <c r="E252" i="75"/>
  <c r="C347" i="75"/>
  <c r="C348" i="75"/>
  <c r="H24" i="58"/>
  <c r="H26" i="58" s="1"/>
  <c r="H35" i="47"/>
  <c r="H37" i="47"/>
  <c r="H32" i="45"/>
  <c r="H32" i="54"/>
  <c r="H31" i="56"/>
  <c r="H35" i="34"/>
  <c r="H30" i="55"/>
  <c r="H36" i="54"/>
  <c r="H33" i="38"/>
  <c r="H46" i="38"/>
  <c r="H24" i="40"/>
  <c r="H33" i="55"/>
  <c r="H7" i="89"/>
  <c r="H34" i="54"/>
  <c r="H27" i="77"/>
  <c r="H31" i="38"/>
  <c r="H31" i="55"/>
  <c r="H27" i="35"/>
  <c r="H24" i="37"/>
  <c r="H26" i="77"/>
  <c r="H33" i="54"/>
  <c r="H34" i="55"/>
  <c r="H40" i="55" s="1"/>
  <c r="H27" i="56"/>
  <c r="H38" i="56"/>
  <c r="H32" i="55"/>
  <c r="H34" i="41"/>
  <c r="H36" i="41"/>
  <c r="H30" i="34"/>
  <c r="H37" i="34"/>
  <c r="H25" i="43"/>
  <c r="H33" i="45"/>
  <c r="H32" i="56"/>
  <c r="H27" i="55"/>
  <c r="H35" i="55" s="1"/>
  <c r="H28" i="55"/>
  <c r="H31" i="45"/>
  <c r="H23" i="39"/>
  <c r="H24" i="39"/>
  <c r="H20" i="57"/>
  <c r="H21" i="57"/>
  <c r="H35" i="54"/>
  <c r="E404" i="75"/>
  <c r="H93" i="75"/>
  <c r="E108" i="75"/>
  <c r="E121" i="75"/>
  <c r="G121" i="75"/>
  <c r="G92" i="75"/>
  <c r="E107" i="75"/>
  <c r="E120" i="75"/>
  <c r="G120" i="75"/>
  <c r="G89" i="75"/>
  <c r="E105" i="75"/>
  <c r="E118" i="75" s="1"/>
  <c r="G375" i="75"/>
  <c r="H356" i="75"/>
  <c r="E106" i="75"/>
  <c r="E119" i="75"/>
  <c r="G119" i="75"/>
  <c r="I93" i="75"/>
  <c r="I97" i="75"/>
  <c r="G282" i="75"/>
  <c r="E345" i="75"/>
  <c r="E347" i="75"/>
  <c r="E348" i="75"/>
  <c r="D387" i="75"/>
  <c r="G346" i="75"/>
  <c r="G378" i="75"/>
  <c r="F403" i="75"/>
  <c r="F378" i="75" s="1"/>
  <c r="H378" i="75" s="1"/>
  <c r="F404" i="75"/>
  <c r="N378" i="75"/>
  <c r="E403" i="75"/>
  <c r="K16" i="38"/>
  <c r="G20" i="71"/>
  <c r="C68" i="75"/>
  <c r="F332" i="75"/>
  <c r="G91" i="75"/>
  <c r="S28" i="38"/>
  <c r="F62" i="38"/>
  <c r="E37" i="61"/>
  <c r="I92" i="75"/>
  <c r="I96" i="75"/>
  <c r="H96" i="75"/>
  <c r="F345" i="75"/>
  <c r="G345" i="75" s="1"/>
  <c r="G377" i="75" s="1"/>
  <c r="G373" i="75"/>
  <c r="G376" i="75"/>
  <c r="G374" i="75"/>
  <c r="E379" i="75"/>
  <c r="P34" i="34"/>
  <c r="C34" i="34"/>
  <c r="E636" i="68"/>
  <c r="P34" i="41"/>
  <c r="O12" i="34"/>
  <c r="U170" i="68"/>
  <c r="G710" i="64"/>
  <c r="G705" i="64"/>
  <c r="G701" i="64"/>
  <c r="G679" i="64"/>
  <c r="G674" i="64"/>
  <c r="G670" i="64"/>
  <c r="G666" i="64"/>
  <c r="M665" i="64" s="1"/>
  <c r="G662" i="64"/>
  <c r="M661" i="64" s="1"/>
  <c r="G658" i="64"/>
  <c r="G652" i="64"/>
  <c r="G646" i="64"/>
  <c r="M645" i="64" s="1"/>
  <c r="G642" i="64"/>
  <c r="M642" i="64" s="1"/>
  <c r="G604" i="64"/>
  <c r="G600" i="64"/>
  <c r="G596" i="64"/>
  <c r="G590" i="64"/>
  <c r="G586" i="64"/>
  <c r="G582" i="64"/>
  <c r="G578" i="64"/>
  <c r="G538" i="64"/>
  <c r="P538" i="64" s="1"/>
  <c r="G534" i="64"/>
  <c r="P534" i="64" s="1"/>
  <c r="G530" i="64"/>
  <c r="P530" i="64" s="1"/>
  <c r="G525" i="64"/>
  <c r="P525" i="64" s="1"/>
  <c r="G521" i="64"/>
  <c r="G345" i="67"/>
  <c r="G334" i="67"/>
  <c r="G321" i="67"/>
  <c r="M321" i="67" s="1"/>
  <c r="G317" i="67"/>
  <c r="M317" i="67" s="1"/>
  <c r="G313" i="67"/>
  <c r="M313" i="67" s="1"/>
  <c r="G280" i="67"/>
  <c r="G276" i="67"/>
  <c r="G272" i="67"/>
  <c r="G268" i="67"/>
  <c r="G264" i="67"/>
  <c r="G260" i="67"/>
  <c r="G256" i="67"/>
  <c r="G252" i="67"/>
  <c r="G206" i="67"/>
  <c r="G202" i="67"/>
  <c r="G198" i="67"/>
  <c r="G194" i="67"/>
  <c r="G657" i="64"/>
  <c r="M655" i="64" s="1"/>
  <c r="G608" i="64"/>
  <c r="G527" i="64"/>
  <c r="G714" i="64"/>
  <c r="G314" i="64" s="1"/>
  <c r="G709" i="64"/>
  <c r="G704" i="64"/>
  <c r="G693" i="64"/>
  <c r="G678" i="64"/>
  <c r="G673" i="64"/>
  <c r="G669" i="64"/>
  <c r="G665" i="64"/>
  <c r="G661" i="64"/>
  <c r="G655" i="64"/>
  <c r="G651" i="64"/>
  <c r="M646" i="64" s="1"/>
  <c r="G645" i="64"/>
  <c r="M644" i="64" s="1"/>
  <c r="G607" i="64"/>
  <c r="G603" i="64"/>
  <c r="G599" i="64"/>
  <c r="G595" i="64"/>
  <c r="G589" i="64"/>
  <c r="G585" i="64"/>
  <c r="G581" i="64"/>
  <c r="G537" i="64"/>
  <c r="P537" i="64" s="1"/>
  <c r="G533" i="64"/>
  <c r="P533" i="64" s="1"/>
  <c r="G529" i="64"/>
  <c r="P529" i="64" s="1"/>
  <c r="G524" i="64"/>
  <c r="P524" i="64" s="1"/>
  <c r="G519" i="64"/>
  <c r="P519" i="64" s="1"/>
  <c r="G344" i="67"/>
  <c r="G333" i="67"/>
  <c r="G320" i="67"/>
  <c r="M320" i="67" s="1"/>
  <c r="G316" i="67"/>
  <c r="M316" i="67" s="1"/>
  <c r="G312" i="67"/>
  <c r="M312" i="67" s="1"/>
  <c r="G279" i="67"/>
  <c r="G275" i="67"/>
  <c r="G271" i="67"/>
  <c r="G267" i="67"/>
  <c r="G263" i="67"/>
  <c r="G259" i="67"/>
  <c r="G255" i="67"/>
  <c r="G251" i="67"/>
  <c r="G205" i="67"/>
  <c r="G201" i="67"/>
  <c r="G197" i="67"/>
  <c r="G706" i="64"/>
  <c r="G713" i="64"/>
  <c r="G708" i="64"/>
  <c r="G703" i="64"/>
  <c r="G692" i="64"/>
  <c r="G676" i="64"/>
  <c r="G672" i="64"/>
  <c r="G668" i="64"/>
  <c r="G664" i="64"/>
  <c r="M663" i="64" s="1"/>
  <c r="G660" i="64"/>
  <c r="M659" i="64" s="1"/>
  <c r="G654" i="64"/>
  <c r="G650" i="64"/>
  <c r="G644" i="64"/>
  <c r="M643" i="64" s="1"/>
  <c r="G606" i="64"/>
  <c r="G602" i="64"/>
  <c r="G598" i="64"/>
  <c r="G594" i="64"/>
  <c r="G588" i="64"/>
  <c r="G584" i="64"/>
  <c r="G580" i="64"/>
  <c r="G540" i="64"/>
  <c r="P540" i="64" s="1"/>
  <c r="G536" i="64"/>
  <c r="P536" i="64" s="1"/>
  <c r="G532" i="64"/>
  <c r="P532" i="64" s="1"/>
  <c r="G528" i="64"/>
  <c r="P528" i="64" s="1"/>
  <c r="G523" i="64"/>
  <c r="P523" i="64" s="1"/>
  <c r="G343" i="67"/>
  <c r="G332" i="67"/>
  <c r="G319" i="67"/>
  <c r="M319" i="67" s="1"/>
  <c r="G315" i="67"/>
  <c r="G311" i="67"/>
  <c r="M311" i="67" s="1"/>
  <c r="G278" i="67"/>
  <c r="G274" i="67"/>
  <c r="G270" i="67"/>
  <c r="G266" i="67"/>
  <c r="G262" i="67"/>
  <c r="G258" i="67"/>
  <c r="G254" i="67"/>
  <c r="G208" i="67"/>
  <c r="G204" i="67"/>
  <c r="G200" i="67"/>
  <c r="G196" i="67"/>
  <c r="G592" i="64"/>
  <c r="G715" i="64"/>
  <c r="I27" i="55"/>
  <c r="I37" i="38"/>
  <c r="D301" i="75" s="1"/>
  <c r="D241" i="75"/>
  <c r="F241" i="75" s="1"/>
  <c r="H394" i="75"/>
  <c r="H331" i="75"/>
  <c r="F338" i="75"/>
  <c r="G338" i="75"/>
  <c r="G340" i="75"/>
  <c r="G372" i="75" s="1"/>
  <c r="E340" i="75"/>
  <c r="C341" i="75"/>
  <c r="C340" i="75"/>
  <c r="G339" i="75"/>
  <c r="N377" i="75"/>
  <c r="F377" i="75"/>
  <c r="N375" i="75"/>
  <c r="F375" i="75" s="1"/>
  <c r="G347" i="75"/>
  <c r="H326" i="75"/>
  <c r="G371" i="75"/>
  <c r="H8" i="89"/>
  <c r="H9" i="89"/>
  <c r="H25" i="77"/>
  <c r="H18" i="65"/>
  <c r="K38" i="45"/>
  <c r="K25" i="77"/>
  <c r="K29" i="53"/>
  <c r="D239" i="75"/>
  <c r="F239" i="75"/>
  <c r="I31" i="56"/>
  <c r="I35" i="56" s="1"/>
  <c r="D514" i="68"/>
  <c r="G28" i="56"/>
  <c r="G34" i="55"/>
  <c r="G40" i="55"/>
  <c r="K32" i="54"/>
  <c r="G32" i="54"/>
  <c r="G38" i="54" s="1"/>
  <c r="G27" i="35"/>
  <c r="M32" i="54"/>
  <c r="L32" i="54"/>
  <c r="D32" i="54"/>
  <c r="L31" i="45"/>
  <c r="I7" i="89"/>
  <c r="I9" i="89"/>
  <c r="I10" i="89"/>
  <c r="I18" i="65"/>
  <c r="I10" i="79" s="1"/>
  <c r="I8" i="89"/>
  <c r="C517" i="68"/>
  <c r="I25" i="77"/>
  <c r="I35" i="54"/>
  <c r="I30" i="34"/>
  <c r="I25" i="43"/>
  <c r="I26" i="43"/>
  <c r="I20" i="57"/>
  <c r="I21" i="57"/>
  <c r="I33" i="45"/>
  <c r="I36" i="45" s="1"/>
  <c r="I28" i="55"/>
  <c r="I34" i="45"/>
  <c r="I33" i="55"/>
  <c r="Z255" i="2"/>
  <c r="J29" i="55"/>
  <c r="J31" i="44"/>
  <c r="J31" i="50"/>
  <c r="J27" i="53"/>
  <c r="J7" i="89" s="1"/>
  <c r="J28" i="56"/>
  <c r="J29" i="38"/>
  <c r="J36" i="34"/>
  <c r="J30" i="34"/>
  <c r="J37" i="34"/>
  <c r="J35" i="38"/>
  <c r="J35" i="47"/>
  <c r="J34" i="47"/>
  <c r="J20" i="57"/>
  <c r="J21" i="57" s="1"/>
  <c r="J32" i="55"/>
  <c r="J31" i="38"/>
  <c r="J33" i="56"/>
  <c r="J34" i="55"/>
  <c r="J40" i="55"/>
  <c r="J36" i="54"/>
  <c r="J30" i="38"/>
  <c r="J31" i="47"/>
  <c r="J37" i="47"/>
  <c r="J38" i="38"/>
  <c r="J32" i="56"/>
  <c r="J25" i="43"/>
  <c r="J26" i="43"/>
  <c r="Z90" i="2"/>
  <c r="J30" i="45"/>
  <c r="J34" i="41"/>
  <c r="J36" i="41" s="1"/>
  <c r="J32" i="45"/>
  <c r="J28" i="55"/>
  <c r="J35" i="54"/>
  <c r="J23" i="39"/>
  <c r="J24" i="39"/>
  <c r="Z274" i="2"/>
  <c r="J33" i="54"/>
  <c r="J33" i="45"/>
  <c r="J31" i="45"/>
  <c r="J34" i="34"/>
  <c r="J27" i="55"/>
  <c r="J28" i="53"/>
  <c r="J37" i="54"/>
  <c r="J31" i="55"/>
  <c r="J30" i="55"/>
  <c r="J28" i="44"/>
  <c r="J33" i="34"/>
  <c r="J32" i="54"/>
  <c r="J35" i="34"/>
  <c r="J33" i="38"/>
  <c r="J46" i="38" s="1"/>
  <c r="J27" i="44"/>
  <c r="J34" i="45"/>
  <c r="J35" i="45"/>
  <c r="J27" i="35"/>
  <c r="Z56" i="2"/>
  <c r="E517" i="68"/>
  <c r="D299" i="75"/>
  <c r="I28" i="53"/>
  <c r="I21" i="65"/>
  <c r="I20" i="65"/>
  <c r="I22" i="65" s="1"/>
  <c r="I28" i="51"/>
  <c r="I24" i="37"/>
  <c r="D244" i="75"/>
  <c r="F244" i="75" s="1"/>
  <c r="C151" i="75"/>
  <c r="F151" i="75" s="1"/>
  <c r="I24" i="36"/>
  <c r="I25" i="36"/>
  <c r="I27" i="56"/>
  <c r="I38" i="56"/>
  <c r="I36" i="54"/>
  <c r="I31" i="55"/>
  <c r="D243" i="75"/>
  <c r="F243" i="75"/>
  <c r="D303" i="75"/>
  <c r="I37" i="54"/>
  <c r="I31" i="34"/>
  <c r="I33" i="47"/>
  <c r="I37" i="47"/>
  <c r="I31" i="38"/>
  <c r="I35" i="45"/>
  <c r="D305" i="75"/>
  <c r="I36" i="38"/>
  <c r="D300" i="75" s="1"/>
  <c r="I31" i="45"/>
  <c r="I27" i="35"/>
  <c r="I36" i="47"/>
  <c r="I29" i="34"/>
  <c r="I27" i="44"/>
  <c r="I24" i="39"/>
  <c r="I24" i="58"/>
  <c r="I26" i="58" s="1"/>
  <c r="I33" i="38"/>
  <c r="I34" i="38"/>
  <c r="D298" i="75"/>
  <c r="G298" i="75" s="1"/>
  <c r="I32" i="55"/>
  <c r="I32" i="54"/>
  <c r="I35" i="34"/>
  <c r="I28" i="77"/>
  <c r="D238" i="75"/>
  <c r="F238" i="75"/>
  <c r="C145" i="75"/>
  <c r="C170" i="75" s="1"/>
  <c r="C61" i="70"/>
  <c r="C63" i="70"/>
  <c r="C65" i="70" s="1"/>
  <c r="D19" i="74"/>
  <c r="H19" i="74"/>
  <c r="D53" i="74"/>
  <c r="D449" i="68"/>
  <c r="M28" i="77"/>
  <c r="K20" i="65"/>
  <c r="K22" i="65" s="1"/>
  <c r="K7" i="89"/>
  <c r="M25" i="77"/>
  <c r="M18" i="65"/>
  <c r="K33" i="54"/>
  <c r="D28" i="38"/>
  <c r="J28" i="38"/>
  <c r="J23" i="40"/>
  <c r="J24" i="40"/>
  <c r="G28" i="38"/>
  <c r="K32" i="56"/>
  <c r="K26" i="51"/>
  <c r="K28" i="51" s="1"/>
  <c r="M28" i="38"/>
  <c r="M44" i="38" s="1"/>
  <c r="F23" i="40"/>
  <c r="E30" i="45"/>
  <c r="I32" i="38"/>
  <c r="M23" i="40"/>
  <c r="M24" i="40" s="1"/>
  <c r="I23" i="40"/>
  <c r="I24" i="40"/>
  <c r="O28" i="38"/>
  <c r="K32" i="34"/>
  <c r="K31" i="34"/>
  <c r="K37" i="34"/>
  <c r="E444" i="31"/>
  <c r="E446" i="31" s="1"/>
  <c r="S170" i="68"/>
  <c r="R170" i="68"/>
  <c r="K6" i="89"/>
  <c r="K21" i="65"/>
  <c r="K33" i="56"/>
  <c r="K34" i="55"/>
  <c r="K40" i="55" s="1"/>
  <c r="K31" i="55"/>
  <c r="K37" i="47"/>
  <c r="K33" i="45"/>
  <c r="Z21" i="2"/>
  <c r="K34" i="34"/>
  <c r="K24" i="37"/>
  <c r="K8" i="89"/>
  <c r="C519" i="68"/>
  <c r="K18" i="65"/>
  <c r="K30" i="55"/>
  <c r="K34" i="45"/>
  <c r="K32" i="45"/>
  <c r="K30" i="44"/>
  <c r="K35" i="45"/>
  <c r="K31" i="45"/>
  <c r="K33" i="55"/>
  <c r="K29" i="55"/>
  <c r="K30" i="34"/>
  <c r="K33" i="44"/>
  <c r="D663" i="68"/>
  <c r="D637" i="68" s="1"/>
  <c r="D638" i="68" s="1"/>
  <c r="U639" i="68" s="1"/>
  <c r="E316" i="68"/>
  <c r="R493" i="68"/>
  <c r="B490" i="68"/>
  <c r="D127" i="68"/>
  <c r="C638" i="68"/>
  <c r="S638" i="68" s="1"/>
  <c r="S376" i="68"/>
  <c r="R376" i="68"/>
  <c r="C25" i="72"/>
  <c r="C18" i="71"/>
  <c r="L26" i="58"/>
  <c r="L24" i="37"/>
  <c r="L37" i="54"/>
  <c r="L27" i="77"/>
  <c r="L19" i="65"/>
  <c r="L24" i="65"/>
  <c r="L27" i="50"/>
  <c r="L31" i="50" s="1"/>
  <c r="L37" i="34"/>
  <c r="L28" i="55"/>
  <c r="L25" i="77"/>
  <c r="L18" i="65"/>
  <c r="C520" i="68"/>
  <c r="L8" i="89"/>
  <c r="L9" i="89"/>
  <c r="L28" i="51"/>
  <c r="L33" i="56"/>
  <c r="L32" i="56"/>
  <c r="L27" i="56"/>
  <c r="L27" i="53"/>
  <c r="L26" i="77"/>
  <c r="L20" i="65"/>
  <c r="L34" i="55"/>
  <c r="L40" i="55"/>
  <c r="L23" i="39"/>
  <c r="L24" i="39"/>
  <c r="L38" i="56"/>
  <c r="E521" i="68"/>
  <c r="M26" i="77"/>
  <c r="M7" i="89"/>
  <c r="M9" i="89" s="1"/>
  <c r="M20" i="65"/>
  <c r="M21" i="65"/>
  <c r="M6" i="89"/>
  <c r="M10" i="89" s="1"/>
  <c r="M27" i="50"/>
  <c r="M31" i="50"/>
  <c r="M36" i="47"/>
  <c r="M31" i="55"/>
  <c r="M28" i="55"/>
  <c r="M27" i="55"/>
  <c r="M37" i="54"/>
  <c r="M36" i="34"/>
  <c r="M29" i="47"/>
  <c r="M27" i="56"/>
  <c r="M43" i="38"/>
  <c r="M34" i="41"/>
  <c r="M36" i="41" s="1"/>
  <c r="M31" i="56"/>
  <c r="M30" i="56"/>
  <c r="M27" i="35"/>
  <c r="M27" i="44"/>
  <c r="M33" i="44"/>
  <c r="M33" i="47"/>
  <c r="M37" i="47" s="1"/>
  <c r="M35" i="45"/>
  <c r="M31" i="45"/>
  <c r="N25" i="36"/>
  <c r="N34" i="55"/>
  <c r="N40" i="55" s="1"/>
  <c r="N34" i="45"/>
  <c r="N29" i="38"/>
  <c r="G83" i="65"/>
  <c r="G86" i="65" s="1"/>
  <c r="J87" i="65" s="1"/>
  <c r="N24" i="37"/>
  <c r="N35" i="54"/>
  <c r="N27" i="55"/>
  <c r="N20" i="57"/>
  <c r="N21" i="57"/>
  <c r="N34" i="38"/>
  <c r="N28" i="53"/>
  <c r="N6" i="89" s="1"/>
  <c r="N28" i="38"/>
  <c r="N28" i="56"/>
  <c r="N32" i="55"/>
  <c r="N36" i="54"/>
  <c r="N31" i="45"/>
  <c r="N30" i="38"/>
  <c r="N26" i="35"/>
  <c r="N27" i="35" s="1"/>
  <c r="N24" i="58"/>
  <c r="N29" i="47"/>
  <c r="N37" i="47" s="1"/>
  <c r="N31" i="47"/>
  <c r="E523" i="68"/>
  <c r="O20" i="65"/>
  <c r="O26" i="77"/>
  <c r="O32" i="38"/>
  <c r="Z48" i="2"/>
  <c r="D523" i="68"/>
  <c r="O31" i="55"/>
  <c r="O24" i="39"/>
  <c r="O27" i="35"/>
  <c r="Z141" i="2"/>
  <c r="O27" i="56"/>
  <c r="O31" i="50"/>
  <c r="O34" i="45"/>
  <c r="O24" i="37"/>
  <c r="G84" i="65"/>
  <c r="O29" i="34"/>
  <c r="O31" i="45"/>
  <c r="O35" i="54"/>
  <c r="O28" i="55"/>
  <c r="O31" i="34"/>
  <c r="O32" i="54"/>
  <c r="O24" i="36"/>
  <c r="O25" i="36" s="1"/>
  <c r="O36" i="34"/>
  <c r="O37" i="38"/>
  <c r="O32" i="56"/>
  <c r="O30" i="56"/>
  <c r="O33" i="55"/>
  <c r="O32" i="55"/>
  <c r="O27" i="55"/>
  <c r="Z246" i="2"/>
  <c r="O28" i="53"/>
  <c r="O21" i="65" s="1"/>
  <c r="O22" i="65" s="1"/>
  <c r="O28" i="77"/>
  <c r="O31" i="56"/>
  <c r="O34" i="56"/>
  <c r="O34" i="55"/>
  <c r="O40" i="55"/>
  <c r="O25" i="53"/>
  <c r="O18" i="65" s="1"/>
  <c r="O32" i="47"/>
  <c r="O33" i="56"/>
  <c r="O35" i="56" s="1"/>
  <c r="O37" i="54"/>
  <c r="O35" i="45"/>
  <c r="O30" i="34"/>
  <c r="O37" i="34"/>
  <c r="C122" i="68"/>
  <c r="C15" i="34"/>
  <c r="E15" i="34"/>
  <c r="F15" i="34" s="1"/>
  <c r="B65" i="27"/>
  <c r="D563" i="68"/>
  <c r="B580" i="68"/>
  <c r="B328" i="68"/>
  <c r="B171" i="68"/>
  <c r="P29" i="34"/>
  <c r="D404" i="68"/>
  <c r="C33" i="72"/>
  <c r="C34" i="87"/>
  <c r="D22" i="54"/>
  <c r="S156" i="68"/>
  <c r="C14" i="72"/>
  <c r="C11" i="74" s="1"/>
  <c r="U156" i="68"/>
  <c r="C33" i="87"/>
  <c r="K17" i="75"/>
  <c r="C24" i="72" s="1"/>
  <c r="C22" i="74" s="1"/>
  <c r="D588" i="68"/>
  <c r="D591" i="68"/>
  <c r="D592" i="68" s="1"/>
  <c r="E232" i="75"/>
  <c r="P30" i="38"/>
  <c r="P33" i="38"/>
  <c r="C384" i="75"/>
  <c r="D374" i="75"/>
  <c r="B133" i="27"/>
  <c r="C385" i="75"/>
  <c r="D376" i="75" s="1"/>
  <c r="B74" i="27"/>
  <c r="C167" i="68"/>
  <c r="C195" i="31"/>
  <c r="N20" i="65"/>
  <c r="N26" i="77"/>
  <c r="E522" i="68"/>
  <c r="N7" i="89"/>
  <c r="J27" i="77"/>
  <c r="D518" i="68"/>
  <c r="J19" i="65"/>
  <c r="R5" i="2"/>
  <c r="L29" i="53"/>
  <c r="I29" i="53"/>
  <c r="I6" i="89"/>
  <c r="J25" i="77"/>
  <c r="H34" i="45"/>
  <c r="D7" i="89"/>
  <c r="N18" i="65"/>
  <c r="M10" i="79"/>
  <c r="G32" i="56"/>
  <c r="Z295" i="2"/>
  <c r="E516" i="68"/>
  <c r="H20" i="65"/>
  <c r="I12" i="79" s="1"/>
  <c r="N34" i="47"/>
  <c r="N35" i="45"/>
  <c r="G30" i="47"/>
  <c r="G35" i="45"/>
  <c r="L35" i="45"/>
  <c r="H35" i="45"/>
  <c r="C522" i="68"/>
  <c r="N8" i="89"/>
  <c r="N9" i="89"/>
  <c r="L7" i="89"/>
  <c r="M34" i="45"/>
  <c r="G25" i="77"/>
  <c r="G29" i="77" s="1"/>
  <c r="G29" i="53"/>
  <c r="G18" i="65"/>
  <c r="G8" i="89"/>
  <c r="G9" i="89" s="1"/>
  <c r="C515" i="68"/>
  <c r="H28" i="53"/>
  <c r="D28" i="53"/>
  <c r="K32" i="38"/>
  <c r="K23" i="39"/>
  <c r="K24" i="39" s="1"/>
  <c r="D24" i="36"/>
  <c r="D25" i="36" s="1"/>
  <c r="D26" i="35"/>
  <c r="D27" i="35" s="1"/>
  <c r="M29" i="55"/>
  <c r="Z202" i="2"/>
  <c r="N25" i="77"/>
  <c r="Z75" i="2"/>
  <c r="E520" i="68"/>
  <c r="J20" i="65"/>
  <c r="D28" i="51"/>
  <c r="M20" i="57"/>
  <c r="M21" i="57" s="1"/>
  <c r="D40" i="55"/>
  <c r="M33" i="55"/>
  <c r="D33" i="38"/>
  <c r="I33" i="54"/>
  <c r="M34" i="55"/>
  <c r="M40" i="55" s="1"/>
  <c r="I34" i="55"/>
  <c r="I40" i="55"/>
  <c r="L30" i="56"/>
  <c r="O30" i="55"/>
  <c r="O35" i="55"/>
  <c r="O25" i="43"/>
  <c r="O26" i="43" s="1"/>
  <c r="O30" i="45"/>
  <c r="O36" i="45"/>
  <c r="Z64" i="2"/>
  <c r="Z99" i="2"/>
  <c r="N27" i="77"/>
  <c r="G27" i="77"/>
  <c r="H33" i="56"/>
  <c r="Z293" i="2"/>
  <c r="G33" i="55"/>
  <c r="L31" i="55"/>
  <c r="G31" i="50"/>
  <c r="Z162" i="2"/>
  <c r="M32" i="38"/>
  <c r="M23" i="39"/>
  <c r="M24" i="39" s="1"/>
  <c r="Z43" i="2"/>
  <c r="F26" i="35"/>
  <c r="F24" i="36"/>
  <c r="F25" i="36"/>
  <c r="N27" i="56"/>
  <c r="N38" i="56" s="1"/>
  <c r="Z250" i="2"/>
  <c r="Z181" i="2"/>
  <c r="G33" i="44"/>
  <c r="F31" i="38"/>
  <c r="K27" i="56"/>
  <c r="K38" i="56"/>
  <c r="N33" i="55"/>
  <c r="J33" i="55"/>
  <c r="Z233" i="2"/>
  <c r="Z231" i="2"/>
  <c r="Z215" i="2"/>
  <c r="O32" i="45"/>
  <c r="Z128" i="2"/>
  <c r="L31" i="38"/>
  <c r="D194" i="31"/>
  <c r="D175" i="31"/>
  <c r="D13" i="33"/>
  <c r="D18" i="33"/>
  <c r="B548" i="68"/>
  <c r="B563" i="68"/>
  <c r="B449" i="68"/>
  <c r="D50" i="33"/>
  <c r="D44" i="33"/>
  <c r="D478" i="68"/>
  <c r="B377" i="68"/>
  <c r="B157" i="68"/>
  <c r="B146" i="68"/>
  <c r="D12" i="36"/>
  <c r="P22" i="36" s="1"/>
  <c r="C8" i="87"/>
  <c r="D12" i="45"/>
  <c r="P27" i="45" s="1"/>
  <c r="D8" i="29"/>
  <c r="E6" i="28"/>
  <c r="C11" i="70"/>
  <c r="C8" i="72"/>
  <c r="D353" i="31"/>
  <c r="D10" i="34"/>
  <c r="D11" i="41"/>
  <c r="P27" i="41" s="1"/>
  <c r="D11" i="47"/>
  <c r="P27" i="47" s="1"/>
  <c r="D11" i="43"/>
  <c r="P22" i="43"/>
  <c r="D11" i="58"/>
  <c r="P22" i="58" s="1"/>
  <c r="T145" i="68"/>
  <c r="S202" i="68"/>
  <c r="T202" i="68"/>
  <c r="D13" i="29"/>
  <c r="D22" i="29" s="1"/>
  <c r="D36" i="29" s="1"/>
  <c r="D71" i="29" s="1"/>
  <c r="D74" i="29" s="1"/>
  <c r="D76" i="29" s="1"/>
  <c r="D356" i="31"/>
  <c r="D33" i="33"/>
  <c r="D34" i="33" s="1"/>
  <c r="I46" i="38"/>
  <c r="N26" i="58"/>
  <c r="M19" i="65"/>
  <c r="M27" i="77"/>
  <c r="M29" i="53"/>
  <c r="D521" i="68"/>
  <c r="F24" i="40"/>
  <c r="G151" i="75"/>
  <c r="H151" i="75" s="1"/>
  <c r="C15" i="85"/>
  <c r="D8" i="85"/>
  <c r="D13" i="85" s="1"/>
  <c r="I32" i="56"/>
  <c r="M33" i="56"/>
  <c r="I33" i="56"/>
  <c r="M29" i="38"/>
  <c r="W5" i="2"/>
  <c r="I37" i="34"/>
  <c r="J69" i="65"/>
  <c r="K69" i="65"/>
  <c r="D227" i="68"/>
  <c r="H26" i="43"/>
  <c r="E117" i="75"/>
  <c r="N29" i="53"/>
  <c r="N21" i="65"/>
  <c r="N22" i="65" s="1"/>
  <c r="N28" i="77"/>
  <c r="M38" i="56"/>
  <c r="T639" i="68"/>
  <c r="C445" i="31"/>
  <c r="E445" i="31"/>
  <c r="B44" i="29"/>
  <c r="B55" i="29" s="1"/>
  <c r="D111" i="83"/>
  <c r="D98" i="83"/>
  <c r="E98" i="83"/>
  <c r="G98" i="83"/>
  <c r="J44" i="38"/>
  <c r="C518" i="68"/>
  <c r="J8" i="89"/>
  <c r="D240" i="75"/>
  <c r="C147" i="75" s="1"/>
  <c r="I19" i="65"/>
  <c r="D517" i="68"/>
  <c r="D31" i="50"/>
  <c r="K18" i="75"/>
  <c r="D18" i="38"/>
  <c r="K18" i="38" s="1"/>
  <c r="P28" i="38"/>
  <c r="C231" i="75"/>
  <c r="C234" i="75" s="1"/>
  <c r="C194" i="75"/>
  <c r="C251" i="75"/>
  <c r="J36" i="45"/>
  <c r="H360" i="75"/>
  <c r="P29" i="38"/>
  <c r="K13" i="38"/>
  <c r="P31" i="38"/>
  <c r="K15" i="38"/>
  <c r="D22" i="85"/>
  <c r="D24" i="85" s="1"/>
  <c r="D26" i="85" s="1"/>
  <c r="D28" i="85" s="1"/>
  <c r="C28" i="85"/>
  <c r="K20" i="57"/>
  <c r="H89" i="75"/>
  <c r="L28" i="56"/>
  <c r="L35" i="56"/>
  <c r="D519" i="68"/>
  <c r="K27" i="77"/>
  <c r="K29" i="77"/>
  <c r="N30" i="56"/>
  <c r="M33" i="54"/>
  <c r="K31" i="50"/>
  <c r="L104" i="60"/>
  <c r="M32" i="56"/>
  <c r="O28" i="56"/>
  <c r="N31" i="55"/>
  <c r="K30" i="56"/>
  <c r="G30" i="56"/>
  <c r="M32" i="45"/>
  <c r="M36" i="45" s="1"/>
  <c r="Z87" i="2"/>
  <c r="Z51" i="2"/>
  <c r="J30" i="56"/>
  <c r="F30" i="56"/>
  <c r="G31" i="56"/>
  <c r="I30" i="56"/>
  <c r="Z112" i="2"/>
  <c r="H30" i="56"/>
  <c r="D30" i="56"/>
  <c r="C30" i="56" s="1"/>
  <c r="N33" i="38"/>
  <c r="N46" i="38"/>
  <c r="K30" i="38"/>
  <c r="L36" i="41"/>
  <c r="D301" i="68"/>
  <c r="D309" i="68"/>
  <c r="G244" i="75"/>
  <c r="M73" i="61"/>
  <c r="L74" i="61" s="1"/>
  <c r="L96" i="83"/>
  <c r="L8" i="83" s="1"/>
  <c r="M49" i="60"/>
  <c r="L50" i="60"/>
  <c r="M19" i="61"/>
  <c r="L20" i="61"/>
  <c r="M25" i="30"/>
  <c r="C328" i="31"/>
  <c r="C331" i="31" s="1"/>
  <c r="S504" i="68"/>
  <c r="T504" i="68"/>
  <c r="R504" i="68" s="1"/>
  <c r="J24" i="65"/>
  <c r="K13" i="79"/>
  <c r="H21" i="65"/>
  <c r="H22" i="65"/>
  <c r="H6" i="89"/>
  <c r="H28" i="77"/>
  <c r="H29" i="53"/>
  <c r="B21" i="34"/>
  <c r="B19" i="50" s="1"/>
  <c r="P27" i="34"/>
  <c r="G117" i="75"/>
  <c r="D15" i="85"/>
  <c r="E8" i="85"/>
  <c r="E13" i="85" s="1"/>
  <c r="L111" i="83"/>
  <c r="K21" i="57"/>
  <c r="C172" i="75"/>
  <c r="F172" i="75" s="1"/>
  <c r="S639" i="68"/>
  <c r="V639" i="68"/>
  <c r="R639" i="68" s="1"/>
  <c r="C17" i="87"/>
  <c r="D18" i="41"/>
  <c r="P35" i="41"/>
  <c r="C35" i="41"/>
  <c r="U228" i="68"/>
  <c r="V228" i="68"/>
  <c r="C17" i="72"/>
  <c r="T228" i="68"/>
  <c r="S228" i="68"/>
  <c r="M13" i="79"/>
  <c r="M24" i="65"/>
  <c r="O290" i="64"/>
  <c r="E292" i="64"/>
  <c r="S503" i="68"/>
  <c r="B16" i="36"/>
  <c r="P13" i="79"/>
  <c r="F147" i="75"/>
  <c r="D19" i="41"/>
  <c r="D6" i="89"/>
  <c r="D21" i="65"/>
  <c r="D29" i="53"/>
  <c r="D8" i="89"/>
  <c r="C512" i="68"/>
  <c r="D18" i="65"/>
  <c r="D512" i="68"/>
  <c r="D19" i="65"/>
  <c r="D36" i="41"/>
  <c r="D24" i="39"/>
  <c r="D24" i="37"/>
  <c r="D31" i="38"/>
  <c r="T31" i="38" s="1"/>
  <c r="D24" i="65"/>
  <c r="D36" i="38"/>
  <c r="D31" i="56"/>
  <c r="D26" i="58"/>
  <c r="D32" i="55"/>
  <c r="D35" i="54"/>
  <c r="D34" i="54"/>
  <c r="C34" i="54" s="1"/>
  <c r="D28" i="56"/>
  <c r="Z301" i="2"/>
  <c r="D27" i="56"/>
  <c r="D35" i="56" s="1"/>
  <c r="D30" i="55"/>
  <c r="D28" i="55"/>
  <c r="N5" i="2"/>
  <c r="D34" i="45"/>
  <c r="D38" i="56"/>
  <c r="E31" i="44"/>
  <c r="C31" i="44"/>
  <c r="Z252" i="2"/>
  <c r="E27" i="77"/>
  <c r="E35" i="47"/>
  <c r="Z111" i="2"/>
  <c r="Z199" i="2"/>
  <c r="E36" i="38"/>
  <c r="E34" i="41"/>
  <c r="Z78" i="2"/>
  <c r="Z249" i="2"/>
  <c r="E27" i="55"/>
  <c r="Z200" i="2"/>
  <c r="E496" i="68"/>
  <c r="A133" i="27"/>
  <c r="C160" i="31"/>
  <c r="E160" i="31" s="1"/>
  <c r="O15" i="34"/>
  <c r="P33" i="34"/>
  <c r="J13" i="43"/>
  <c r="D14" i="43"/>
  <c r="K13" i="43"/>
  <c r="P25" i="43"/>
  <c r="P26" i="43" s="1"/>
  <c r="G246" i="75"/>
  <c r="E234" i="75"/>
  <c r="E246" i="75"/>
  <c r="G240" i="75"/>
  <c r="U431" i="68"/>
  <c r="C37" i="87"/>
  <c r="S431" i="68"/>
  <c r="T431" i="68"/>
  <c r="R431" i="68"/>
  <c r="O14" i="34"/>
  <c r="P32" i="34"/>
  <c r="P27" i="35"/>
  <c r="C25" i="35"/>
  <c r="C12" i="87"/>
  <c r="E450" i="31"/>
  <c r="C9" i="65"/>
  <c r="F16" i="69"/>
  <c r="C40" i="87"/>
  <c r="G130" i="75"/>
  <c r="G132" i="75"/>
  <c r="G133" i="75"/>
  <c r="D578" i="68"/>
  <c r="C19" i="71" s="1"/>
  <c r="C80" i="74"/>
  <c r="D10" i="57"/>
  <c r="D11" i="57"/>
  <c r="E251" i="75"/>
  <c r="E253" i="75"/>
  <c r="D494" i="68"/>
  <c r="U500" i="68" s="1"/>
  <c r="S500" i="68"/>
  <c r="D354" i="31"/>
  <c r="D357" i="31"/>
  <c r="D16" i="45"/>
  <c r="E16" i="44"/>
  <c r="F16" i="44" s="1"/>
  <c r="C427" i="68"/>
  <c r="C430" i="68"/>
  <c r="G14" i="67"/>
  <c r="F29" i="75"/>
  <c r="C13" i="53"/>
  <c r="E13" i="53"/>
  <c r="F13" i="53"/>
  <c r="E544" i="68"/>
  <c r="D13" i="37"/>
  <c r="K26" i="30"/>
  <c r="M26" i="30"/>
  <c r="F13" i="44"/>
  <c r="C392" i="68"/>
  <c r="E392" i="68"/>
  <c r="C53" i="27"/>
  <c r="C383" i="75"/>
  <c r="U202" i="68"/>
  <c r="D451" i="68"/>
  <c r="C34" i="72"/>
  <c r="C35" i="74" s="1"/>
  <c r="B64" i="27"/>
  <c r="D18" i="44"/>
  <c r="E15" i="28"/>
  <c r="C446" i="68"/>
  <c r="E446" i="68"/>
  <c r="V448" i="68"/>
  <c r="S145" i="68"/>
  <c r="D450" i="31"/>
  <c r="D197" i="31"/>
  <c r="C227" i="68"/>
  <c r="U227" i="68" s="1"/>
  <c r="E226" i="68"/>
  <c r="E227" i="68" s="1"/>
  <c r="E229" i="68"/>
  <c r="D229" i="68"/>
  <c r="E427" i="68"/>
  <c r="C416" i="31"/>
  <c r="E416" i="31"/>
  <c r="C159" i="31"/>
  <c r="C308" i="31" s="1"/>
  <c r="C574" i="68"/>
  <c r="C14" i="56"/>
  <c r="E574" i="68"/>
  <c r="C246" i="31"/>
  <c r="C297" i="68"/>
  <c r="B55" i="87"/>
  <c r="C45" i="27"/>
  <c r="C16" i="47"/>
  <c r="E16" i="47" s="1"/>
  <c r="F16" i="47"/>
  <c r="C459" i="68"/>
  <c r="C382" i="75"/>
  <c r="B55" i="27"/>
  <c r="C276" i="31"/>
  <c r="C12" i="39"/>
  <c r="C200" i="68"/>
  <c r="C21" i="27"/>
  <c r="I23" i="75"/>
  <c r="D233" i="75"/>
  <c r="B81" i="27"/>
  <c r="E122" i="68"/>
  <c r="C374" i="31"/>
  <c r="E374" i="31" s="1"/>
  <c r="C178" i="31"/>
  <c r="C13" i="36" s="1"/>
  <c r="E178" i="31"/>
  <c r="C29" i="27"/>
  <c r="C143" i="68"/>
  <c r="C16" i="34"/>
  <c r="E16" i="34"/>
  <c r="F16" i="34" s="1"/>
  <c r="E608" i="68"/>
  <c r="C190" i="27"/>
  <c r="E375" i="31"/>
  <c r="C540" i="68"/>
  <c r="C8" i="65"/>
  <c r="C386" i="75"/>
  <c r="D377" i="75"/>
  <c r="B87" i="27"/>
  <c r="H29" i="75"/>
  <c r="C119" i="27"/>
  <c r="C312" i="31"/>
  <c r="E312" i="31" s="1"/>
  <c r="C277" i="31"/>
  <c r="E23" i="75"/>
  <c r="E27" i="75"/>
  <c r="V496" i="68"/>
  <c r="C148" i="27"/>
  <c r="C10" i="28"/>
  <c r="C354" i="31"/>
  <c r="C494" i="68"/>
  <c r="C413" i="31"/>
  <c r="E413" i="31"/>
  <c r="C571" i="68"/>
  <c r="C411" i="31"/>
  <c r="E495" i="68"/>
  <c r="V495" i="68"/>
  <c r="C306" i="27"/>
  <c r="C242" i="31"/>
  <c r="C244" i="31"/>
  <c r="C272" i="68"/>
  <c r="C253" i="31"/>
  <c r="C609" i="68"/>
  <c r="E609" i="68" s="1"/>
  <c r="C14" i="55"/>
  <c r="E14" i="55"/>
  <c r="F14" i="55" s="1"/>
  <c r="C376" i="31"/>
  <c r="E376" i="31"/>
  <c r="C136" i="27"/>
  <c r="B17" i="87"/>
  <c r="E328" i="31"/>
  <c r="M38" i="41"/>
  <c r="E163" i="75"/>
  <c r="G163" i="75" s="1"/>
  <c r="I24" i="65"/>
  <c r="B24" i="54"/>
  <c r="L35" i="55"/>
  <c r="H29" i="77"/>
  <c r="C13" i="43"/>
  <c r="C14" i="43"/>
  <c r="C265" i="31"/>
  <c r="C266" i="31"/>
  <c r="C268" i="31" s="1"/>
  <c r="W504" i="68"/>
  <c r="P44" i="38"/>
  <c r="C176" i="75"/>
  <c r="O21" i="53"/>
  <c r="O29" i="53"/>
  <c r="J28" i="77"/>
  <c r="J6" i="89"/>
  <c r="G259" i="75"/>
  <c r="C252" i="75"/>
  <c r="C263" i="75" s="1"/>
  <c r="C229" i="75"/>
  <c r="E130" i="75"/>
  <c r="E132" i="75" s="1"/>
  <c r="E133" i="75" s="1"/>
  <c r="C315" i="75"/>
  <c r="H315" i="75" s="1"/>
  <c r="K22" i="75"/>
  <c r="G28" i="51"/>
  <c r="C41" i="38"/>
  <c r="G33" i="56"/>
  <c r="U504" i="68"/>
  <c r="C523" i="68"/>
  <c r="J29" i="77"/>
  <c r="C25" i="87"/>
  <c r="N10" i="89"/>
  <c r="J33" i="44"/>
  <c r="J35" i="55"/>
  <c r="J75" i="65"/>
  <c r="V638" i="68"/>
  <c r="U638" i="68"/>
  <c r="R638" i="68" s="1"/>
  <c r="T638" i="68"/>
  <c r="K36" i="45"/>
  <c r="K61" i="38"/>
  <c r="D26" i="37"/>
  <c r="D30" i="37" s="1"/>
  <c r="P24" i="37"/>
  <c r="K111" i="83"/>
  <c r="K8" i="83"/>
  <c r="D37" i="38"/>
  <c r="C37" i="38" s="1"/>
  <c r="Q5" i="2"/>
  <c r="Z208" i="2"/>
  <c r="H26" i="51"/>
  <c r="H28" i="51"/>
  <c r="H29" i="50"/>
  <c r="K38" i="54"/>
  <c r="C418" i="31"/>
  <c r="E418" i="31"/>
  <c r="K34" i="56"/>
  <c r="Z296" i="2"/>
  <c r="M12" i="79"/>
  <c r="J26" i="77"/>
  <c r="E518" i="68"/>
  <c r="D79" i="75"/>
  <c r="D80" i="75"/>
  <c r="E80" i="75"/>
  <c r="D12" i="58"/>
  <c r="D14" i="58" s="1"/>
  <c r="C23" i="71"/>
  <c r="C84" i="74"/>
  <c r="N37" i="54"/>
  <c r="H37" i="54"/>
  <c r="O37" i="47"/>
  <c r="I29" i="77"/>
  <c r="D152" i="68"/>
  <c r="D224" i="68"/>
  <c r="D166" i="68"/>
  <c r="D195" i="68"/>
  <c r="G34" i="38"/>
  <c r="Z261" i="2"/>
  <c r="Z136" i="2"/>
  <c r="D33" i="55"/>
  <c r="N372" i="75"/>
  <c r="F372" i="75"/>
  <c r="G98" i="75"/>
  <c r="D103" i="75"/>
  <c r="H92" i="75"/>
  <c r="E25" i="28"/>
  <c r="E27" i="28"/>
  <c r="E30" i="28" s="1"/>
  <c r="D51" i="33" s="1"/>
  <c r="G6" i="89"/>
  <c r="G10" i="89" s="1"/>
  <c r="D57" i="33"/>
  <c r="N33" i="56"/>
  <c r="Z290" i="2"/>
  <c r="Z289" i="2"/>
  <c r="F26" i="77"/>
  <c r="C26" i="77" s="1"/>
  <c r="G34" i="45"/>
  <c r="G36" i="45" s="1"/>
  <c r="F98" i="75"/>
  <c r="I89" i="75"/>
  <c r="Z297" i="2"/>
  <c r="E512" i="68"/>
  <c r="D20" i="65"/>
  <c r="Z138" i="2"/>
  <c r="Z135" i="2"/>
  <c r="H130" i="75"/>
  <c r="H132" i="75"/>
  <c r="H133" i="75"/>
  <c r="C36" i="47"/>
  <c r="G21" i="65"/>
  <c r="H28" i="56"/>
  <c r="H35" i="56"/>
  <c r="Z291" i="2"/>
  <c r="C232" i="75"/>
  <c r="Z292" i="2"/>
  <c r="Z23" i="2"/>
  <c r="D36" i="34"/>
  <c r="C36" i="34"/>
  <c r="Z216" i="2"/>
  <c r="Z153" i="2"/>
  <c r="Z150" i="2"/>
  <c r="Z149" i="2"/>
  <c r="Y5" i="2"/>
  <c r="X5" i="2"/>
  <c r="N31" i="56"/>
  <c r="N35" i="56"/>
  <c r="M30" i="55"/>
  <c r="M35" i="55"/>
  <c r="Z195" i="2"/>
  <c r="L34" i="45"/>
  <c r="L36" i="45"/>
  <c r="Z97" i="2"/>
  <c r="V5" i="2"/>
  <c r="V396" i="68"/>
  <c r="T396" i="68"/>
  <c r="S396" i="68"/>
  <c r="Z259" i="2"/>
  <c r="Z256" i="2"/>
  <c r="Z243" i="2"/>
  <c r="K10" i="79"/>
  <c r="Z197" i="2"/>
  <c r="Z140" i="2"/>
  <c r="Z328" i="2"/>
  <c r="Z327" i="2"/>
  <c r="Z305" i="2"/>
  <c r="Z263" i="2"/>
  <c r="I30" i="55"/>
  <c r="I35" i="55"/>
  <c r="O33" i="54"/>
  <c r="Z217" i="2"/>
  <c r="Z205" i="2"/>
  <c r="Z203" i="2"/>
  <c r="Z155" i="2"/>
  <c r="K29" i="38"/>
  <c r="K44" i="38" s="1"/>
  <c r="N29" i="34"/>
  <c r="N37" i="34"/>
  <c r="L30" i="38"/>
  <c r="L44" i="38" s="1"/>
  <c r="Z39" i="2"/>
  <c r="D33" i="34"/>
  <c r="D31" i="55"/>
  <c r="Z100" i="2"/>
  <c r="D30" i="45"/>
  <c r="D25" i="43"/>
  <c r="E96" i="83"/>
  <c r="M73" i="60"/>
  <c r="L74" i="60"/>
  <c r="M85" i="61"/>
  <c r="L86" i="61"/>
  <c r="M96" i="83"/>
  <c r="M111" i="83" s="1"/>
  <c r="G96" i="83"/>
  <c r="G111" i="83" s="1"/>
  <c r="E355" i="31"/>
  <c r="M55" i="61"/>
  <c r="L56" i="61"/>
  <c r="D62" i="74"/>
  <c r="D21" i="74"/>
  <c r="O22" i="79"/>
  <c r="J109" i="83"/>
  <c r="O96" i="83"/>
  <c r="G400" i="75"/>
  <c r="G404" i="75"/>
  <c r="V500" i="68"/>
  <c r="T500" i="68"/>
  <c r="R500" i="68" s="1"/>
  <c r="D12" i="53"/>
  <c r="D12" i="77"/>
  <c r="D498" i="68"/>
  <c r="E452" i="31"/>
  <c r="D452" i="31" s="1"/>
  <c r="G19" i="71"/>
  <c r="C14" i="45"/>
  <c r="E276" i="31"/>
  <c r="E278" i="31" s="1"/>
  <c r="E159" i="31"/>
  <c r="E606" i="68"/>
  <c r="E11" i="55"/>
  <c r="F11" i="55"/>
  <c r="E14" i="56"/>
  <c r="F14" i="56" s="1"/>
  <c r="B15" i="29"/>
  <c r="E15" i="44"/>
  <c r="C18" i="44"/>
  <c r="T144" i="68"/>
  <c r="D315" i="75"/>
  <c r="V494" i="68"/>
  <c r="G8" i="83"/>
  <c r="D26" i="43"/>
  <c r="D28" i="43"/>
  <c r="E28" i="43" s="1"/>
  <c r="F28" i="43" s="1"/>
  <c r="G28" i="43" s="1"/>
  <c r="H28" i="43" s="1"/>
  <c r="I28" i="43" s="1"/>
  <c r="J28" i="43" s="1"/>
  <c r="K28" i="43" s="1"/>
  <c r="L28" i="43" s="1"/>
  <c r="D37" i="34"/>
  <c r="H31" i="50"/>
  <c r="K75" i="65"/>
  <c r="C28" i="87"/>
  <c r="E13" i="43"/>
  <c r="F13" i="43"/>
  <c r="D22" i="65"/>
  <c r="D26" i="65"/>
  <c r="M14" i="79"/>
  <c r="M8" i="83"/>
  <c r="K133" i="75"/>
  <c r="K132" i="75"/>
  <c r="F176" i="75"/>
  <c r="G176" i="75" s="1"/>
  <c r="H176" i="75" s="1"/>
  <c r="D44" i="38"/>
  <c r="E265" i="31"/>
  <c r="E266" i="31" s="1"/>
  <c r="E268" i="31"/>
  <c r="G22" i="65"/>
  <c r="I17" i="79"/>
  <c r="I18" i="79" s="1"/>
  <c r="G23" i="71"/>
  <c r="L62" i="38"/>
  <c r="K37" i="61"/>
  <c r="M37" i="61" s="1"/>
  <c r="J36" i="61"/>
  <c r="M36" i="61" s="1"/>
  <c r="L38" i="61" s="1"/>
  <c r="G252" i="75"/>
  <c r="E8" i="83"/>
  <c r="E111" i="83"/>
  <c r="T499" i="68"/>
  <c r="U499" i="68"/>
  <c r="V499" i="68"/>
  <c r="C13" i="39"/>
  <c r="E12" i="39"/>
  <c r="E13" i="39" s="1"/>
  <c r="E15" i="39" s="1"/>
  <c r="D15" i="39" s="1"/>
  <c r="F13" i="39"/>
  <c r="F15" i="44"/>
  <c r="E188" i="75"/>
  <c r="G188" i="75" s="1"/>
  <c r="K138" i="75"/>
  <c r="F12" i="39"/>
  <c r="H26" i="73"/>
  <c r="R506" i="68"/>
  <c r="H24" i="73"/>
  <c r="V504" i="68"/>
  <c r="U503" i="68"/>
  <c r="G541" i="64"/>
  <c r="P541" i="64" s="1"/>
  <c r="E33" i="55"/>
  <c r="Z361" i="2"/>
  <c r="Z18" i="2"/>
  <c r="E31" i="38"/>
  <c r="E28" i="38"/>
  <c r="Z363" i="2"/>
  <c r="E32" i="56"/>
  <c r="C32" i="56" s="1"/>
  <c r="E26" i="77"/>
  <c r="E26" i="35"/>
  <c r="E28" i="56"/>
  <c r="E30" i="38"/>
  <c r="E23" i="40"/>
  <c r="C23" i="40" s="1"/>
  <c r="C24" i="40" s="1"/>
  <c r="E29" i="38"/>
  <c r="Z24" i="2"/>
  <c r="E29" i="34"/>
  <c r="Z8" i="2"/>
  <c r="E34" i="38"/>
  <c r="Z360" i="2"/>
  <c r="E21" i="57"/>
  <c r="E31" i="56"/>
  <c r="Z307" i="2"/>
  <c r="E35" i="45"/>
  <c r="E35" i="34"/>
  <c r="Z16" i="2"/>
  <c r="E29" i="44"/>
  <c r="E27" i="44"/>
  <c r="E33" i="44" s="1"/>
  <c r="E34" i="45"/>
  <c r="Z134" i="2"/>
  <c r="E32" i="54"/>
  <c r="Z9" i="2"/>
  <c r="E30" i="34"/>
  <c r="E38" i="38"/>
  <c r="C38" i="38"/>
  <c r="Z364" i="2"/>
  <c r="C32" i="38"/>
  <c r="E26" i="51"/>
  <c r="C26" i="51" s="1"/>
  <c r="E29" i="50"/>
  <c r="E31" i="55"/>
  <c r="E35" i="54"/>
  <c r="E30" i="55"/>
  <c r="E32" i="47"/>
  <c r="E33" i="56"/>
  <c r="E27" i="50"/>
  <c r="C23" i="37"/>
  <c r="C24" i="37"/>
  <c r="E26" i="37"/>
  <c r="Z219" i="2"/>
  <c r="E33" i="54"/>
  <c r="E33" i="45"/>
  <c r="E36" i="45" s="1"/>
  <c r="C33" i="45"/>
  <c r="E26" i="58"/>
  <c r="E7" i="89"/>
  <c r="O7" i="89" s="1"/>
  <c r="E20" i="65"/>
  <c r="G12" i="79" s="1"/>
  <c r="E27" i="35"/>
  <c r="E34" i="55"/>
  <c r="E29" i="47"/>
  <c r="E37" i="47" s="1"/>
  <c r="Z79" i="2"/>
  <c r="E35" i="41"/>
  <c r="E19" i="65"/>
  <c r="D513" i="68"/>
  <c r="D524" i="68"/>
  <c r="Z198" i="2"/>
  <c r="E25" i="53"/>
  <c r="Z182" i="2"/>
  <c r="E28" i="53"/>
  <c r="E32" i="45"/>
  <c r="E24" i="40"/>
  <c r="E36" i="41"/>
  <c r="F2" i="38"/>
  <c r="E25" i="77"/>
  <c r="E8" i="89"/>
  <c r="C513" i="68"/>
  <c r="C25" i="53"/>
  <c r="E9" i="89"/>
  <c r="F26" i="37"/>
  <c r="F30" i="37" s="1"/>
  <c r="F31" i="37" s="1"/>
  <c r="E40" i="55"/>
  <c r="E21" i="65"/>
  <c r="G17" i="79" s="1"/>
  <c r="C19" i="65"/>
  <c r="G10" i="67" s="1"/>
  <c r="I10" i="67" s="1"/>
  <c r="E31" i="50"/>
  <c r="E28" i="51"/>
  <c r="Z230" i="2"/>
  <c r="O5" i="2"/>
  <c r="C34" i="41"/>
  <c r="F36" i="41"/>
  <c r="F24" i="39"/>
  <c r="C23" i="39"/>
  <c r="C24" i="39"/>
  <c r="C26" i="39" s="1"/>
  <c r="G10" i="39" s="1"/>
  <c r="F12" i="49" s="1"/>
  <c r="Z253" i="2"/>
  <c r="Z180" i="2"/>
  <c r="F30" i="38"/>
  <c r="C31" i="38"/>
  <c r="F31" i="45"/>
  <c r="F36" i="45" s="1"/>
  <c r="P5" i="2"/>
  <c r="C24" i="36"/>
  <c r="C25" i="36"/>
  <c r="Z268" i="2"/>
  <c r="F28" i="38"/>
  <c r="F34" i="55"/>
  <c r="C34" i="55"/>
  <c r="F35" i="45"/>
  <c r="R32" i="38"/>
  <c r="Z324" i="2"/>
  <c r="F37" i="54"/>
  <c r="C37" i="54" s="1"/>
  <c r="F35" i="54"/>
  <c r="C35" i="54" s="1"/>
  <c r="F31" i="54"/>
  <c r="F34" i="45"/>
  <c r="C34" i="45" s="1"/>
  <c r="Z19" i="2"/>
  <c r="B61" i="74"/>
  <c r="D61" i="74" s="1"/>
  <c r="B42" i="78"/>
  <c r="E308" i="31"/>
  <c r="C314" i="31"/>
  <c r="E543" i="68"/>
  <c r="C18" i="54"/>
  <c r="C21" i="54"/>
  <c r="C13" i="35"/>
  <c r="E13" i="35" s="1"/>
  <c r="F13" i="35" s="1"/>
  <c r="V227" i="68"/>
  <c r="I14" i="67"/>
  <c r="I15" i="67" s="1"/>
  <c r="G15" i="67"/>
  <c r="C442" i="68"/>
  <c r="E442" i="68"/>
  <c r="C15" i="47"/>
  <c r="E15" i="47"/>
  <c r="F15" i="47" s="1"/>
  <c r="B88" i="27"/>
  <c r="I29" i="75"/>
  <c r="C307" i="68"/>
  <c r="C308" i="68" s="1"/>
  <c r="F315" i="75"/>
  <c r="G315" i="75"/>
  <c r="F229" i="75"/>
  <c r="G229" i="75"/>
  <c r="I27" i="75"/>
  <c r="D378" i="75" s="1"/>
  <c r="C282" i="68"/>
  <c r="E282" i="68"/>
  <c r="S227" i="68"/>
  <c r="C18" i="41"/>
  <c r="E18" i="41"/>
  <c r="F18" i="41"/>
  <c r="E31" i="75"/>
  <c r="C255" i="68"/>
  <c r="C610" i="68"/>
  <c r="C16" i="45"/>
  <c r="E16" i="45" s="1"/>
  <c r="F16" i="45" s="1"/>
  <c r="C542" i="68"/>
  <c r="C429" i="31"/>
  <c r="C17" i="45"/>
  <c r="E17" i="45" s="1"/>
  <c r="F17" i="45" s="1"/>
  <c r="E428" i="68"/>
  <c r="E430" i="68"/>
  <c r="E432" i="68" s="1"/>
  <c r="D432" i="68"/>
  <c r="C19" i="47"/>
  <c r="E19" i="47" s="1"/>
  <c r="F19" i="47" s="1"/>
  <c r="C445" i="68"/>
  <c r="E445" i="68"/>
  <c r="C10" i="65"/>
  <c r="C123" i="68"/>
  <c r="E123" i="68"/>
  <c r="C13" i="27"/>
  <c r="G323" i="67"/>
  <c r="M323" i="67" s="1"/>
  <c r="C589" i="68"/>
  <c r="C575" i="68"/>
  <c r="C15" i="56" s="1"/>
  <c r="C394" i="31"/>
  <c r="C541" i="68"/>
  <c r="C17" i="54" s="1"/>
  <c r="C538" i="68"/>
  <c r="B31" i="33"/>
  <c r="C394" i="68"/>
  <c r="C158" i="31"/>
  <c r="E158" i="31" s="1"/>
  <c r="C121" i="68"/>
  <c r="C13" i="34" s="1"/>
  <c r="C611" i="68"/>
  <c r="E611" i="68" s="1"/>
  <c r="C405" i="68"/>
  <c r="E14" i="45"/>
  <c r="F14" i="45" s="1"/>
  <c r="T227" i="68"/>
  <c r="F23" i="75"/>
  <c r="I118" i="75" s="1"/>
  <c r="B17" i="72"/>
  <c r="C607" i="68"/>
  <c r="C14" i="53"/>
  <c r="E14" i="53"/>
  <c r="F14" i="53" s="1"/>
  <c r="C103" i="27"/>
  <c r="C310" i="31"/>
  <c r="E310" i="31"/>
  <c r="B58" i="27"/>
  <c r="C304" i="68"/>
  <c r="C12" i="47"/>
  <c r="E12" i="47"/>
  <c r="C94" i="27"/>
  <c r="C313" i="31"/>
  <c r="E313" i="31"/>
  <c r="C572" i="68"/>
  <c r="C311" i="31"/>
  <c r="E311" i="31"/>
  <c r="C125" i="68"/>
  <c r="C17" i="34" s="1"/>
  <c r="C12" i="40"/>
  <c r="E12" i="40" s="1"/>
  <c r="H23" i="75"/>
  <c r="F40" i="55"/>
  <c r="F9" i="89"/>
  <c r="F10" i="89" s="1"/>
  <c r="C29" i="44"/>
  <c r="F33" i="44"/>
  <c r="F24" i="58"/>
  <c r="Z288" i="2"/>
  <c r="F27" i="77"/>
  <c r="C27" i="77"/>
  <c r="F29" i="53"/>
  <c r="C27" i="53"/>
  <c r="F29" i="38"/>
  <c r="F28" i="51"/>
  <c r="Z225" i="2"/>
  <c r="F29" i="77"/>
  <c r="F6" i="89"/>
  <c r="F28" i="77"/>
  <c r="F33" i="56"/>
  <c r="C33" i="56" s="1"/>
  <c r="Z299" i="2"/>
  <c r="F27" i="56"/>
  <c r="F27" i="35"/>
  <c r="C26" i="53"/>
  <c r="F31" i="55"/>
  <c r="F21" i="65"/>
  <c r="C42" i="38"/>
  <c r="Z144" i="2"/>
  <c r="Z108" i="2"/>
  <c r="Z139" i="2"/>
  <c r="Z110" i="2"/>
  <c r="Z236" i="2"/>
  <c r="E38" i="41"/>
  <c r="P38" i="41"/>
  <c r="Z321" i="2"/>
  <c r="F32" i="56"/>
  <c r="Z311" i="2"/>
  <c r="Z257" i="2"/>
  <c r="F30" i="55"/>
  <c r="C30" i="55"/>
  <c r="F27" i="50"/>
  <c r="Z168" i="2"/>
  <c r="F33" i="54"/>
  <c r="C33" i="54"/>
  <c r="F28" i="56"/>
  <c r="F32" i="45"/>
  <c r="Z113" i="2"/>
  <c r="F30" i="34"/>
  <c r="F31" i="56"/>
  <c r="C31" i="56"/>
  <c r="C27" i="39"/>
  <c r="C514" i="68"/>
  <c r="Z306" i="2"/>
  <c r="F27" i="55"/>
  <c r="F32" i="54"/>
  <c r="Z109" i="2"/>
  <c r="F33" i="47"/>
  <c r="C33" i="47"/>
  <c r="Z22" i="2"/>
  <c r="F35" i="34"/>
  <c r="B32" i="33"/>
  <c r="C32" i="33" s="1"/>
  <c r="C31" i="33"/>
  <c r="D373" i="75"/>
  <c r="C387" i="75"/>
  <c r="D383" i="75" s="1"/>
  <c r="E383" i="75"/>
  <c r="F230" i="75"/>
  <c r="G230" i="75" s="1"/>
  <c r="F316" i="75"/>
  <c r="F31" i="75"/>
  <c r="C258" i="68"/>
  <c r="C259" i="68" s="1"/>
  <c r="C261" i="68" s="1"/>
  <c r="C288" i="75"/>
  <c r="C479" i="68"/>
  <c r="C13" i="28"/>
  <c r="C13" i="50"/>
  <c r="E459" i="68"/>
  <c r="D229" i="75"/>
  <c r="E131" i="75"/>
  <c r="E134" i="75" s="1"/>
  <c r="C285" i="68"/>
  <c r="H31" i="75"/>
  <c r="F232" i="75"/>
  <c r="G232" i="75" s="1"/>
  <c r="H232" i="75" s="1"/>
  <c r="C16" i="54"/>
  <c r="E16" i="54" s="1"/>
  <c r="F16" i="54" s="1"/>
  <c r="E540" i="68"/>
  <c r="C160" i="27"/>
  <c r="C377" i="31"/>
  <c r="E377" i="31"/>
  <c r="C249" i="31"/>
  <c r="C251" i="31"/>
  <c r="E246" i="31"/>
  <c r="E249" i="31"/>
  <c r="E251" i="31" s="1"/>
  <c r="E255" i="68"/>
  <c r="E259" i="68"/>
  <c r="E261" i="68" s="1"/>
  <c r="F12" i="44"/>
  <c r="E18" i="44"/>
  <c r="E20" i="44" s="1"/>
  <c r="D20" i="44" s="1"/>
  <c r="F318" i="75"/>
  <c r="G318" i="75" s="1"/>
  <c r="H318" i="75" s="1"/>
  <c r="E272" i="68"/>
  <c r="E277" i="68"/>
  <c r="E279" i="68"/>
  <c r="E571" i="68"/>
  <c r="C10" i="56"/>
  <c r="F27" i="75"/>
  <c r="F131" i="75"/>
  <c r="F134" i="75" s="1"/>
  <c r="F135" i="75"/>
  <c r="D230" i="75"/>
  <c r="F118" i="75"/>
  <c r="D316" i="75"/>
  <c r="E575" i="68"/>
  <c r="E15" i="56"/>
  <c r="F15" i="56"/>
  <c r="F233" i="75"/>
  <c r="G233" i="75" s="1"/>
  <c r="C267" i="68"/>
  <c r="C268" i="68" s="1"/>
  <c r="C270" i="68" s="1"/>
  <c r="F201" i="75"/>
  <c r="E14" i="43"/>
  <c r="E16" i="43" s="1"/>
  <c r="C12" i="53"/>
  <c r="C498" i="68"/>
  <c r="U498" i="68" s="1"/>
  <c r="C254" i="31"/>
  <c r="C256" i="31"/>
  <c r="E253" i="31"/>
  <c r="E254" i="31" s="1"/>
  <c r="E256" i="31" s="1"/>
  <c r="E411" i="31"/>
  <c r="D258" i="75"/>
  <c r="I131" i="75"/>
  <c r="I134" i="75"/>
  <c r="I135" i="75"/>
  <c r="D201" i="75"/>
  <c r="C203" i="75" s="1"/>
  <c r="C204" i="75" s="1"/>
  <c r="I124" i="75"/>
  <c r="F124" i="75"/>
  <c r="G124" i="75"/>
  <c r="D319" i="75"/>
  <c r="H319" i="75" s="1"/>
  <c r="E304" i="68"/>
  <c r="E308" i="68" s="1"/>
  <c r="C417" i="31"/>
  <c r="E417" i="31"/>
  <c r="E419" i="31" s="1"/>
  <c r="E421" i="31" s="1"/>
  <c r="D421" i="31" s="1"/>
  <c r="C576" i="68"/>
  <c r="C16" i="56"/>
  <c r="E625" i="68"/>
  <c r="J84" i="74"/>
  <c r="B27" i="70" s="1"/>
  <c r="AT44" i="2"/>
  <c r="C257" i="27"/>
  <c r="C197" i="27"/>
  <c r="E195" i="31"/>
  <c r="H131" i="75"/>
  <c r="H134" i="75" s="1"/>
  <c r="H135" i="75"/>
  <c r="H27" i="75"/>
  <c r="C17" i="56"/>
  <c r="E17" i="56" s="1"/>
  <c r="F17" i="56"/>
  <c r="E577" i="68"/>
  <c r="E390" i="31"/>
  <c r="E277" i="31"/>
  <c r="E280" i="31"/>
  <c r="E293" i="31" s="1"/>
  <c r="E295" i="31" s="1"/>
  <c r="C278" i="31"/>
  <c r="C280" i="31" s="1"/>
  <c r="C561" i="68"/>
  <c r="C10" i="57"/>
  <c r="C11" i="57" s="1"/>
  <c r="C414" i="31"/>
  <c r="E414" i="31" s="1"/>
  <c r="C573" i="68"/>
  <c r="C624" i="68"/>
  <c r="E624" i="68" s="1"/>
  <c r="E626" i="68" s="1"/>
  <c r="E628" i="68" s="1"/>
  <c r="C397" i="31"/>
  <c r="E397" i="31" s="1"/>
  <c r="C17" i="47"/>
  <c r="E17" i="47"/>
  <c r="C444" i="68"/>
  <c r="C13" i="47"/>
  <c r="G29" i="75"/>
  <c r="B85" i="27"/>
  <c r="C612" i="68"/>
  <c r="E612" i="68" s="1"/>
  <c r="B23" i="70"/>
  <c r="E545" i="68"/>
  <c r="C536" i="68"/>
  <c r="E536" i="68"/>
  <c r="C372" i="31"/>
  <c r="S495" i="68"/>
  <c r="D29" i="65"/>
  <c r="D30" i="65"/>
  <c r="T495" i="68"/>
  <c r="G295" i="64"/>
  <c r="C168" i="68"/>
  <c r="C196" i="31"/>
  <c r="C153" i="68"/>
  <c r="C177" i="31"/>
  <c r="C604" i="68"/>
  <c r="C537" i="68"/>
  <c r="B21" i="78"/>
  <c r="B437" i="31"/>
  <c r="B457" i="31"/>
  <c r="B425" i="31"/>
  <c r="R31" i="38"/>
  <c r="T28" i="38"/>
  <c r="C28" i="38"/>
  <c r="C13" i="40"/>
  <c r="C26" i="40"/>
  <c r="C27" i="40" s="1"/>
  <c r="E13" i="34"/>
  <c r="F13" i="34" s="1"/>
  <c r="E121" i="68"/>
  <c r="E538" i="68"/>
  <c r="C14" i="54"/>
  <c r="E14" i="54" s="1"/>
  <c r="F14" i="54"/>
  <c r="C14" i="36"/>
  <c r="E13" i="36"/>
  <c r="R495" i="68"/>
  <c r="C20" i="47"/>
  <c r="C406" i="68"/>
  <c r="B35" i="87"/>
  <c r="E17" i="54"/>
  <c r="F17" i="54" s="1"/>
  <c r="E429" i="31"/>
  <c r="C430" i="31"/>
  <c r="R227" i="68"/>
  <c r="B209" i="68" s="1"/>
  <c r="E314" i="31"/>
  <c r="E316" i="31" s="1"/>
  <c r="D316" i="31" s="1"/>
  <c r="I19" i="54"/>
  <c r="D318" i="75"/>
  <c r="D232" i="75"/>
  <c r="C281" i="68"/>
  <c r="F319" i="75"/>
  <c r="G319" i="75"/>
  <c r="E288" i="75"/>
  <c r="F258" i="75"/>
  <c r="I31" i="75"/>
  <c r="I32" i="75"/>
  <c r="C13" i="38" s="1"/>
  <c r="C419" i="31"/>
  <c r="U430" i="68"/>
  <c r="B34" i="78"/>
  <c r="F44" i="38"/>
  <c r="F37" i="47"/>
  <c r="F22" i="65"/>
  <c r="F38" i="56"/>
  <c r="C24" i="58"/>
  <c r="C26" i="58" s="1"/>
  <c r="F26" i="58"/>
  <c r="C27" i="55"/>
  <c r="G31" i="75"/>
  <c r="F317" i="75"/>
  <c r="C276" i="68"/>
  <c r="C277" i="68" s="1"/>
  <c r="C279" i="68" s="1"/>
  <c r="F231" i="75"/>
  <c r="G231" i="75"/>
  <c r="E10" i="57"/>
  <c r="E11" i="57"/>
  <c r="E576" i="68"/>
  <c r="C21" i="28"/>
  <c r="D16" i="43"/>
  <c r="F14" i="43"/>
  <c r="E13" i="50"/>
  <c r="K29" i="75"/>
  <c r="E604" i="68"/>
  <c r="C10" i="55"/>
  <c r="E168" i="68"/>
  <c r="D628" i="68"/>
  <c r="C626" i="68"/>
  <c r="C12" i="58" s="1"/>
  <c r="E12" i="58" s="1"/>
  <c r="F12" i="58" s="1"/>
  <c r="F194" i="75"/>
  <c r="E281" i="75"/>
  <c r="C179" i="31"/>
  <c r="E177" i="31"/>
  <c r="C12" i="35"/>
  <c r="C15" i="35" s="1"/>
  <c r="C15" i="77"/>
  <c r="D21" i="73"/>
  <c r="I295" i="64"/>
  <c r="I296" i="64"/>
  <c r="G296" i="64"/>
  <c r="E372" i="31"/>
  <c r="C17" i="55"/>
  <c r="E12" i="53"/>
  <c r="F12" i="53" s="1"/>
  <c r="F32" i="75"/>
  <c r="C12" i="38" s="1"/>
  <c r="D372" i="75"/>
  <c r="E135" i="75"/>
  <c r="C356" i="31"/>
  <c r="E356" i="31" s="1"/>
  <c r="C15" i="28"/>
  <c r="C54" i="66" s="1"/>
  <c r="B18" i="78"/>
  <c r="F251" i="75"/>
  <c r="D382" i="75"/>
  <c r="E382" i="75"/>
  <c r="D386" i="75"/>
  <c r="E386" i="75"/>
  <c r="D385" i="75"/>
  <c r="E385" i="75"/>
  <c r="D384" i="75"/>
  <c r="E384" i="75"/>
  <c r="E387" i="75" s="1"/>
  <c r="E153" i="68"/>
  <c r="E155" i="68"/>
  <c r="E157" i="68" s="1"/>
  <c r="D157" i="68" s="1"/>
  <c r="C155" i="68"/>
  <c r="C12" i="54"/>
  <c r="E12" i="54" s="1"/>
  <c r="F12" i="54" s="1"/>
  <c r="F17" i="47"/>
  <c r="H32" i="75"/>
  <c r="C15" i="38" s="1"/>
  <c r="F18" i="44"/>
  <c r="H229" i="75"/>
  <c r="C290" i="75"/>
  <c r="C291" i="75"/>
  <c r="G316" i="75"/>
  <c r="F288" i="75"/>
  <c r="G288" i="75"/>
  <c r="G290" i="75"/>
  <c r="F305" i="75" s="1"/>
  <c r="G305" i="75" s="1"/>
  <c r="G330" i="75" s="1"/>
  <c r="E290" i="75"/>
  <c r="E291" i="75"/>
  <c r="E430" i="31"/>
  <c r="E432" i="31" s="1"/>
  <c r="D432" i="31" s="1"/>
  <c r="C22" i="28"/>
  <c r="B34" i="72"/>
  <c r="B402" i="68"/>
  <c r="F12" i="40"/>
  <c r="E13" i="40"/>
  <c r="F13" i="36"/>
  <c r="E14" i="36"/>
  <c r="E54" i="66"/>
  <c r="C62" i="66" s="1"/>
  <c r="E15" i="77"/>
  <c r="F15" i="77" s="1"/>
  <c r="E16" i="56"/>
  <c r="F16" i="56"/>
  <c r="E23" i="56"/>
  <c r="E12" i="35"/>
  <c r="B23" i="74"/>
  <c r="H23" i="74"/>
  <c r="C588" i="68"/>
  <c r="C16" i="55"/>
  <c r="E16" i="55" s="1"/>
  <c r="F16" i="55" s="1"/>
  <c r="U155" i="68"/>
  <c r="L311" i="64"/>
  <c r="F10" i="57"/>
  <c r="B17" i="78"/>
  <c r="E21" i="73"/>
  <c r="F21" i="73"/>
  <c r="C180" i="31"/>
  <c r="B173" i="31"/>
  <c r="F13" i="50"/>
  <c r="E16" i="36"/>
  <c r="D16" i="36" s="1"/>
  <c r="F14" i="36"/>
  <c r="F13" i="40"/>
  <c r="E15" i="40"/>
  <c r="D15" i="40" s="1"/>
  <c r="L312" i="64"/>
  <c r="C23" i="38"/>
  <c r="AF61" i="65"/>
  <c r="T128" i="68"/>
  <c r="V128" i="68"/>
  <c r="C11" i="72"/>
  <c r="W128" i="68"/>
  <c r="C11" i="87"/>
  <c r="AF105" i="65"/>
  <c r="AF86" i="65"/>
  <c r="AF63" i="65"/>
  <c r="AF62" i="65"/>
  <c r="AF58" i="65"/>
  <c r="D60" i="77"/>
  <c r="D62" i="77" s="1"/>
  <c r="D17" i="34"/>
  <c r="E125" i="68"/>
  <c r="AF64" i="65"/>
  <c r="E444" i="68"/>
  <c r="E447" i="68" s="1"/>
  <c r="C447" i="68"/>
  <c r="C12" i="55"/>
  <c r="E607" i="68"/>
  <c r="C613" i="68"/>
  <c r="U128" i="68"/>
  <c r="C374" i="68"/>
  <c r="E589" i="68"/>
  <c r="E167" i="68"/>
  <c r="E169" i="68" s="1"/>
  <c r="E171" i="68" s="1"/>
  <c r="D171" i="68" s="1"/>
  <c r="C169" i="68"/>
  <c r="E119" i="68"/>
  <c r="C11" i="34"/>
  <c r="AF73" i="65"/>
  <c r="AF66" i="65"/>
  <c r="AF84" i="65"/>
  <c r="AF81" i="65"/>
  <c r="C14" i="34"/>
  <c r="E14" i="34"/>
  <c r="F14" i="34"/>
  <c r="AF50" i="65"/>
  <c r="B19" i="78"/>
  <c r="F11" i="57"/>
  <c r="E13" i="57"/>
  <c r="D13" i="57"/>
  <c r="E10" i="56"/>
  <c r="E610" i="68"/>
  <c r="C15" i="55"/>
  <c r="E15" i="55"/>
  <c r="F15" i="55"/>
  <c r="C198" i="68"/>
  <c r="G45" i="65"/>
  <c r="E588" i="68"/>
  <c r="E591" i="68"/>
  <c r="E593" i="68" s="1"/>
  <c r="D593" i="68" s="1"/>
  <c r="C591" i="68"/>
  <c r="V155" i="68"/>
  <c r="S155" i="68"/>
  <c r="R155" i="68" s="1"/>
  <c r="B14" i="72"/>
  <c r="E13" i="38"/>
  <c r="E17" i="34"/>
  <c r="F17" i="34" s="1"/>
  <c r="C13" i="56"/>
  <c r="E13" i="56"/>
  <c r="F13" i="56"/>
  <c r="E573" i="68"/>
  <c r="B18" i="71"/>
  <c r="E561" i="68"/>
  <c r="C11" i="56"/>
  <c r="E11" i="56" s="1"/>
  <c r="E572" i="68"/>
  <c r="C578" i="68"/>
  <c r="E542" i="68"/>
  <c r="D22" i="73"/>
  <c r="C527" i="68"/>
  <c r="C34" i="74"/>
  <c r="G18" i="71"/>
  <c r="C79" i="74"/>
  <c r="T155" i="68"/>
  <c r="T498" i="68"/>
  <c r="S498" i="68"/>
  <c r="V498" i="68"/>
  <c r="B12" i="71"/>
  <c r="D16" i="77"/>
  <c r="I60" i="77"/>
  <c r="C301" i="68"/>
  <c r="C309" i="68"/>
  <c r="E297" i="68"/>
  <c r="E301" i="68" s="1"/>
  <c r="E309" i="68" s="1"/>
  <c r="E311" i="68" s="1"/>
  <c r="C23" i="75"/>
  <c r="F7" i="38"/>
  <c r="C144" i="68"/>
  <c r="E143" i="68"/>
  <c r="AF35" i="65"/>
  <c r="B37" i="87"/>
  <c r="F37" i="87" s="1"/>
  <c r="V430" i="68"/>
  <c r="R430" i="68"/>
  <c r="B424" i="68"/>
  <c r="R156" i="68"/>
  <c r="E524" i="68"/>
  <c r="D228" i="68"/>
  <c r="C14" i="74"/>
  <c r="R202" i="68"/>
  <c r="C42" i="87"/>
  <c r="C53" i="87" s="1"/>
  <c r="C24" i="74"/>
  <c r="C27" i="72"/>
  <c r="C201" i="68"/>
  <c r="R396" i="68"/>
  <c r="U494" i="68"/>
  <c r="T494" i="68"/>
  <c r="S494" i="68"/>
  <c r="E494" i="68"/>
  <c r="E498" i="68" s="1"/>
  <c r="E500" i="68" s="1"/>
  <c r="D500" i="68" s="1"/>
  <c r="P32" i="45"/>
  <c r="C32" i="34"/>
  <c r="E39" i="34" s="1"/>
  <c r="T503" i="68"/>
  <c r="V503" i="68"/>
  <c r="D311" i="68"/>
  <c r="U448" i="68"/>
  <c r="T448" i="68"/>
  <c r="R448" i="68"/>
  <c r="AB448" i="68"/>
  <c r="C36" i="72"/>
  <c r="D19" i="45"/>
  <c r="P35" i="45"/>
  <c r="C35" i="45" s="1"/>
  <c r="I17" i="71"/>
  <c r="G17" i="71"/>
  <c r="C78" i="74"/>
  <c r="C16" i="72"/>
  <c r="C16" i="87"/>
  <c r="E264" i="68"/>
  <c r="E268" i="68" s="1"/>
  <c r="E270" i="68" s="1"/>
  <c r="D268" i="68"/>
  <c r="D270" i="68" s="1"/>
  <c r="D10" i="55"/>
  <c r="D613" i="68"/>
  <c r="C22" i="71"/>
  <c r="D481" i="68"/>
  <c r="B465" i="68"/>
  <c r="B593" i="68"/>
  <c r="B628" i="68"/>
  <c r="B203" i="68"/>
  <c r="B229" i="68"/>
  <c r="E539" i="68"/>
  <c r="C15" i="54"/>
  <c r="E144" i="68"/>
  <c r="D18" i="56"/>
  <c r="AF78" i="65"/>
  <c r="S496" i="68"/>
  <c r="R496" i="68" s="1"/>
  <c r="T496" i="68"/>
  <c r="AF27" i="65"/>
  <c r="E15" i="54"/>
  <c r="D15" i="53"/>
  <c r="D16" i="53" s="1"/>
  <c r="C11" i="71"/>
  <c r="U482" i="68"/>
  <c r="V482" i="68"/>
  <c r="S482" i="68"/>
  <c r="T482" i="68"/>
  <c r="C37" i="74"/>
  <c r="H51" i="65"/>
  <c r="C27" i="74"/>
  <c r="C499" i="68"/>
  <c r="B73" i="74"/>
  <c r="H73" i="74"/>
  <c r="B16" i="70"/>
  <c r="B19" i="71"/>
  <c r="B79" i="74"/>
  <c r="H79" i="74" s="1"/>
  <c r="B28" i="70" s="1"/>
  <c r="B151" i="68"/>
  <c r="C18" i="56"/>
  <c r="E613" i="68"/>
  <c r="E615" i="68"/>
  <c r="D615" i="68" s="1"/>
  <c r="O17" i="34"/>
  <c r="P35" i="34"/>
  <c r="C35" i="34" s="1"/>
  <c r="D19" i="34"/>
  <c r="C18" i="87"/>
  <c r="C30" i="87" s="1"/>
  <c r="R128" i="68"/>
  <c r="H44" i="65"/>
  <c r="C13" i="74"/>
  <c r="I16" i="72"/>
  <c r="R494" i="68"/>
  <c r="B489" i="68"/>
  <c r="B16" i="72"/>
  <c r="T201" i="68"/>
  <c r="U201" i="68"/>
  <c r="E201" i="68"/>
  <c r="E203" i="68" s="1"/>
  <c r="D203" i="68" s="1"/>
  <c r="S201" i="68"/>
  <c r="C202" i="68"/>
  <c r="B16" i="87"/>
  <c r="C311" i="68"/>
  <c r="E22" i="73"/>
  <c r="F22" i="73"/>
  <c r="E578" i="68"/>
  <c r="E580" i="68" s="1"/>
  <c r="D580" i="68"/>
  <c r="C562" i="68"/>
  <c r="F13" i="38"/>
  <c r="C197" i="68"/>
  <c r="E197" i="68"/>
  <c r="E198" i="68"/>
  <c r="F10" i="56"/>
  <c r="H15" i="38"/>
  <c r="E15" i="38"/>
  <c r="F15" i="38" s="1"/>
  <c r="E12" i="55"/>
  <c r="F12" i="55"/>
  <c r="C18" i="55"/>
  <c r="G22" i="71"/>
  <c r="C83" i="74"/>
  <c r="P36" i="45"/>
  <c r="C32" i="45"/>
  <c r="R498" i="68"/>
  <c r="C24" i="71"/>
  <c r="G24" i="71" s="1"/>
  <c r="C41" i="72"/>
  <c r="B20" i="71"/>
  <c r="B81" i="74" s="1"/>
  <c r="H81" i="74" s="1"/>
  <c r="B25" i="74"/>
  <c r="C375" i="68"/>
  <c r="E374" i="68"/>
  <c r="E375" i="68" s="1"/>
  <c r="E377" i="68" s="1"/>
  <c r="AB447" i="68"/>
  <c r="B33" i="78"/>
  <c r="T447" i="68"/>
  <c r="R447" i="68" s="1"/>
  <c r="B436" i="68" s="1"/>
  <c r="V447" i="68"/>
  <c r="B36" i="72"/>
  <c r="C19" i="45"/>
  <c r="C451" i="68"/>
  <c r="U447" i="68"/>
  <c r="B40" i="87"/>
  <c r="C8" i="74"/>
  <c r="B62" i="70"/>
  <c r="D40" i="33"/>
  <c r="E146" i="68"/>
  <c r="D146" i="68"/>
  <c r="U145" i="68"/>
  <c r="R145" i="68" s="1"/>
  <c r="D18" i="55"/>
  <c r="E10" i="55"/>
  <c r="F10" i="55" s="1"/>
  <c r="R503" i="68"/>
  <c r="B503" i="68" s="1"/>
  <c r="D20" i="45"/>
  <c r="S144" i="68"/>
  <c r="R144" i="68" s="1"/>
  <c r="B12" i="87"/>
  <c r="E12" i="87" s="1"/>
  <c r="B12" i="72"/>
  <c r="C27" i="75"/>
  <c r="C32" i="75"/>
  <c r="C16" i="38" s="1"/>
  <c r="E14" i="72"/>
  <c r="I14" i="72"/>
  <c r="B10" i="78"/>
  <c r="B11" i="74"/>
  <c r="D11" i="74"/>
  <c r="H11" i="74" s="1"/>
  <c r="E11" i="34"/>
  <c r="F11" i="34" s="1"/>
  <c r="B15" i="87"/>
  <c r="U169" i="68"/>
  <c r="S169" i="68"/>
  <c r="V169" i="68"/>
  <c r="B15" i="72"/>
  <c r="C170" i="68"/>
  <c r="T169" i="68"/>
  <c r="C614" i="68"/>
  <c r="B22" i="71"/>
  <c r="E451" i="68"/>
  <c r="B33" i="87"/>
  <c r="T375" i="68"/>
  <c r="U375" i="68"/>
  <c r="S375" i="68"/>
  <c r="R375" i="68" s="1"/>
  <c r="B370" i="68" s="1"/>
  <c r="B25" i="72"/>
  <c r="D23" i="33"/>
  <c r="C85" i="74"/>
  <c r="F78" i="2"/>
  <c r="B83" i="74"/>
  <c r="H83" i="74" s="1"/>
  <c r="B12" i="74"/>
  <c r="B9" i="78"/>
  <c r="G48" i="65"/>
  <c r="I15" i="87"/>
  <c r="J15" i="87"/>
  <c r="E15" i="87"/>
  <c r="B24" i="78"/>
  <c r="E19" i="45"/>
  <c r="F19" i="45" s="1"/>
  <c r="H25" i="74"/>
  <c r="D25" i="74"/>
  <c r="D24" i="33"/>
  <c r="F94" i="2"/>
  <c r="AT113" i="2"/>
  <c r="B80" i="74"/>
  <c r="H80" i="74"/>
  <c r="AT109" i="2"/>
  <c r="F15" i="54"/>
  <c r="B9" i="74"/>
  <c r="D9" i="74" s="1"/>
  <c r="J9" i="74" s="1"/>
  <c r="B37" i="70" s="1"/>
  <c r="I12" i="72"/>
  <c r="B37" i="74"/>
  <c r="D37" i="74" s="1"/>
  <c r="H37" i="74" s="1"/>
  <c r="C431" i="68"/>
  <c r="P37" i="34"/>
  <c r="C579" i="68"/>
  <c r="G11" i="71"/>
  <c r="C72" i="74"/>
  <c r="R169" i="68"/>
  <c r="B164" i="68"/>
  <c r="C42" i="74"/>
  <c r="C52" i="72"/>
  <c r="R201" i="68"/>
  <c r="B193" i="68" s="1"/>
  <c r="G44" i="65"/>
  <c r="I45" i="65" s="1"/>
  <c r="H46" i="65"/>
  <c r="E16" i="72"/>
  <c r="F16" i="72" s="1"/>
  <c r="G16" i="72" s="1"/>
  <c r="R482" i="68"/>
  <c r="F15" i="87"/>
  <c r="C58" i="74"/>
  <c r="D16" i="65"/>
  <c r="F33" i="87"/>
  <c r="E16" i="38"/>
  <c r="H16" i="38"/>
  <c r="F16" i="38"/>
  <c r="I81" i="77" l="1"/>
  <c r="G347" i="67"/>
  <c r="G32" i="67" s="1"/>
  <c r="G717" i="64"/>
  <c r="G313" i="64" s="1"/>
  <c r="D28" i="73" s="1"/>
  <c r="F28" i="73" s="1"/>
  <c r="K152" i="77"/>
  <c r="L142" i="77"/>
  <c r="Z4" i="65"/>
  <c r="Z5" i="65" s="1"/>
  <c r="AF28" i="65"/>
  <c r="AE4" i="65"/>
  <c r="AE5" i="65" s="1"/>
  <c r="AF150" i="65"/>
  <c r="J110" i="77"/>
  <c r="AF296" i="65"/>
  <c r="AB4" i="65"/>
  <c r="AB5" i="65" s="1"/>
  <c r="AF274" i="65"/>
  <c r="AF261" i="65"/>
  <c r="AF249" i="65"/>
  <c r="AF196" i="65"/>
  <c r="AF195" i="65"/>
  <c r="AF179" i="65"/>
  <c r="AF166" i="65"/>
  <c r="AF163" i="65"/>
  <c r="AF151" i="65"/>
  <c r="AF137" i="65"/>
  <c r="AF135" i="65"/>
  <c r="AF112" i="65"/>
  <c r="AF109" i="65"/>
  <c r="AF106" i="65"/>
  <c r="AF103" i="65"/>
  <c r="AF17" i="65"/>
  <c r="AF96" i="65"/>
  <c r="AF88" i="65"/>
  <c r="AF83" i="65"/>
  <c r="AF70" i="65"/>
  <c r="H60" i="77"/>
  <c r="AF67" i="65"/>
  <c r="AF65" i="65"/>
  <c r="AF60" i="65"/>
  <c r="AF59" i="65"/>
  <c r="Y4" i="65"/>
  <c r="Y5" i="65" s="1"/>
  <c r="N60" i="77"/>
  <c r="AF46" i="65"/>
  <c r="J60" i="77"/>
  <c r="AF8" i="65"/>
  <c r="C45" i="77"/>
  <c r="E45" i="77" s="1"/>
  <c r="F45" i="77" s="1"/>
  <c r="D29" i="73"/>
  <c r="F29" i="73" s="1"/>
  <c r="J76" i="65"/>
  <c r="J77" i="65" s="1"/>
  <c r="K83" i="77"/>
  <c r="F183" i="77"/>
  <c r="M71" i="77"/>
  <c r="M143" i="77"/>
  <c r="G324" i="67"/>
  <c r="G30" i="67" s="1"/>
  <c r="I30" i="67" s="1"/>
  <c r="J159" i="77"/>
  <c r="G168" i="77"/>
  <c r="G281" i="67"/>
  <c r="G29" i="67" s="1"/>
  <c r="I29" i="67" s="1"/>
  <c r="AF12" i="65"/>
  <c r="I88" i="77"/>
  <c r="K81" i="77"/>
  <c r="H142" i="77"/>
  <c r="J153" i="77"/>
  <c r="AF180" i="65"/>
  <c r="AF127" i="65"/>
  <c r="AF126" i="65"/>
  <c r="AF121" i="65"/>
  <c r="G209" i="67"/>
  <c r="G28" i="67" s="1"/>
  <c r="O188" i="77"/>
  <c r="G120" i="77"/>
  <c r="G98" i="77"/>
  <c r="M102" i="77"/>
  <c r="D76" i="77"/>
  <c r="I188" i="77"/>
  <c r="L96" i="77"/>
  <c r="M149" i="77"/>
  <c r="L137" i="77"/>
  <c r="O190" i="77"/>
  <c r="J111" i="77"/>
  <c r="F177" i="77"/>
  <c r="H159" i="77"/>
  <c r="AF19" i="65"/>
  <c r="AF29" i="65"/>
  <c r="AF32" i="65"/>
  <c r="AD4" i="65"/>
  <c r="AD5" i="65" s="1"/>
  <c r="H137" i="77"/>
  <c r="M176" i="77"/>
  <c r="N142" i="77"/>
  <c r="M141" i="77"/>
  <c r="K155" i="77"/>
  <c r="G160" i="77"/>
  <c r="O98" i="77"/>
  <c r="I164" i="77"/>
  <c r="X4" i="65"/>
  <c r="X5" i="65" s="1"/>
  <c r="AF52" i="65"/>
  <c r="AF56" i="65"/>
  <c r="AF71" i="65"/>
  <c r="AF13" i="65"/>
  <c r="AF43" i="65"/>
  <c r="AF47" i="65"/>
  <c r="AF75" i="65"/>
  <c r="AF79" i="65"/>
  <c r="AF89" i="65"/>
  <c r="AF93" i="65"/>
  <c r="AF97" i="65"/>
  <c r="AF20" i="65"/>
  <c r="AF30" i="65"/>
  <c r="AF31" i="65"/>
  <c r="N70" i="77"/>
  <c r="AF21" i="65"/>
  <c r="AF37" i="65"/>
  <c r="AF14" i="65"/>
  <c r="AF300" i="65"/>
  <c r="AF299" i="65"/>
  <c r="AF298" i="65"/>
  <c r="AF295" i="65"/>
  <c r="AF294" i="65"/>
  <c r="AF293" i="65"/>
  <c r="AF292" i="65"/>
  <c r="AF291" i="65"/>
  <c r="AF286" i="65"/>
  <c r="AF284" i="65"/>
  <c r="AF283" i="65"/>
  <c r="AF282" i="65"/>
  <c r="AF281" i="65"/>
  <c r="AF278" i="65"/>
  <c r="AF276" i="65"/>
  <c r="AF273" i="65"/>
  <c r="AF269" i="65"/>
  <c r="AF268" i="65"/>
  <c r="AF267" i="65"/>
  <c r="AF265" i="65"/>
  <c r="AF259" i="65"/>
  <c r="AF258" i="65"/>
  <c r="AF256" i="65"/>
  <c r="AF255" i="65"/>
  <c r="AF254" i="65"/>
  <c r="AF253" i="65"/>
  <c r="AF252" i="65"/>
  <c r="AF250" i="65"/>
  <c r="AF248" i="65"/>
  <c r="AC4" i="65"/>
  <c r="AC5" i="65" s="1"/>
  <c r="AF243" i="65"/>
  <c r="AF232" i="65"/>
  <c r="AF231" i="65"/>
  <c r="AF228" i="65"/>
  <c r="AF227" i="65"/>
  <c r="AF226" i="65"/>
  <c r="AF225" i="65"/>
  <c r="AF224" i="65"/>
  <c r="AF222" i="65"/>
  <c r="AF221" i="65"/>
  <c r="AF220" i="65"/>
  <c r="AF218" i="65"/>
  <c r="AF217" i="65"/>
  <c r="AF216" i="65"/>
  <c r="AF214" i="65"/>
  <c r="AF212" i="65"/>
  <c r="AF210" i="65"/>
  <c r="AF209" i="65"/>
  <c r="AF208" i="65"/>
  <c r="AF207" i="65"/>
  <c r="AF205" i="65"/>
  <c r="AF204" i="65"/>
  <c r="AF203" i="65"/>
  <c r="AF202" i="65"/>
  <c r="AF201" i="65"/>
  <c r="AF200" i="65"/>
  <c r="AF199" i="65"/>
  <c r="AF198" i="65"/>
  <c r="AF197" i="65"/>
  <c r="AF194" i="65"/>
  <c r="AF193" i="65"/>
  <c r="AF192" i="65"/>
  <c r="AF191" i="65"/>
  <c r="AF190" i="65"/>
  <c r="AF189" i="65"/>
  <c r="AF188" i="65"/>
  <c r="AF187" i="65"/>
  <c r="AF186" i="65"/>
  <c r="AF185" i="65"/>
  <c r="AF184" i="65"/>
  <c r="AF183" i="65"/>
  <c r="AF182" i="65"/>
  <c r="AF181" i="65"/>
  <c r="AF178" i="65"/>
  <c r="AF177" i="65"/>
  <c r="AF176" i="65"/>
  <c r="AF175" i="65"/>
  <c r="AF174" i="65"/>
  <c r="AF173" i="65"/>
  <c r="AF172" i="65"/>
  <c r="AF171" i="65"/>
  <c r="AF170" i="65"/>
  <c r="AF169" i="65"/>
  <c r="AF168" i="65"/>
  <c r="AF167" i="65"/>
  <c r="AF165" i="65"/>
  <c r="AF164" i="65"/>
  <c r="AF162" i="65"/>
  <c r="AF161" i="65"/>
  <c r="AF160" i="65"/>
  <c r="AF159" i="65"/>
  <c r="AF158" i="65"/>
  <c r="AF157" i="65"/>
  <c r="AF156" i="65"/>
  <c r="AF155" i="65"/>
  <c r="AF154" i="65"/>
  <c r="AF153" i="65"/>
  <c r="AF152" i="65"/>
  <c r="AF149" i="65"/>
  <c r="AF148" i="65"/>
  <c r="AF147" i="65"/>
  <c r="AF146" i="65"/>
  <c r="AF145" i="65"/>
  <c r="AF144" i="65"/>
  <c r="AF143" i="65"/>
  <c r="AF142" i="65"/>
  <c r="AF141" i="65"/>
  <c r="AF140" i="65"/>
  <c r="AF130" i="65"/>
  <c r="AF120" i="65"/>
  <c r="AF119" i="65"/>
  <c r="AF117" i="65"/>
  <c r="M60" i="77"/>
  <c r="AF114" i="65"/>
  <c r="AF113" i="65"/>
  <c r="AF111" i="65"/>
  <c r="AF110" i="65"/>
  <c r="T4" i="65"/>
  <c r="T5" i="65" s="1"/>
  <c r="L60" i="77"/>
  <c r="U4" i="65"/>
  <c r="U5" i="65" s="1"/>
  <c r="D96" i="77"/>
  <c r="M165" i="77"/>
  <c r="O176" i="77"/>
  <c r="D79" i="77"/>
  <c r="D135" i="77"/>
  <c r="J112" i="77"/>
  <c r="M161" i="77"/>
  <c r="F78" i="77"/>
  <c r="K148" i="77"/>
  <c r="L152" i="77"/>
  <c r="H141" i="77"/>
  <c r="I32" i="67"/>
  <c r="C32" i="67"/>
  <c r="M32" i="67"/>
  <c r="M103" i="77"/>
  <c r="N166" i="77"/>
  <c r="D149" i="77"/>
  <c r="E104" i="77"/>
  <c r="N145" i="77"/>
  <c r="H157" i="77"/>
  <c r="K189" i="77"/>
  <c r="N181" i="77"/>
  <c r="K142" i="77"/>
  <c r="D189" i="77"/>
  <c r="K103" i="77"/>
  <c r="J160" i="77"/>
  <c r="N190" i="77"/>
  <c r="D97" i="77"/>
  <c r="J152" i="77"/>
  <c r="G165" i="77"/>
  <c r="N95" i="77"/>
  <c r="J138" i="77"/>
  <c r="G115" i="77"/>
  <c r="E184" i="77"/>
  <c r="D166" i="77"/>
  <c r="M88" i="77"/>
  <c r="D81" i="77"/>
  <c r="J78" i="77"/>
  <c r="L75" i="77"/>
  <c r="E108" i="77"/>
  <c r="D94" i="77"/>
  <c r="N152" i="77"/>
  <c r="K122" i="77"/>
  <c r="M72" i="77"/>
  <c r="I122" i="77"/>
  <c r="K140" i="77"/>
  <c r="H121" i="77"/>
  <c r="I114" i="77"/>
  <c r="M184" i="77"/>
  <c r="F141" i="77"/>
  <c r="I73" i="77"/>
  <c r="D86" i="77"/>
  <c r="I141" i="77"/>
  <c r="K184" i="77"/>
  <c r="K188" i="77"/>
  <c r="D107" i="77"/>
  <c r="L79" i="77"/>
  <c r="O143" i="77"/>
  <c r="E107" i="77"/>
  <c r="G104" i="77"/>
  <c r="H73" i="77"/>
  <c r="M95" i="77"/>
  <c r="O75" i="77"/>
  <c r="M155" i="77"/>
  <c r="R314" i="64"/>
  <c r="I314" i="64"/>
  <c r="M314" i="64"/>
  <c r="O159" i="77"/>
  <c r="I71" i="77"/>
  <c r="J77" i="77"/>
  <c r="F72" i="77"/>
  <c r="F68" i="77"/>
  <c r="F71" i="77"/>
  <c r="E153" i="77"/>
  <c r="H160" i="77"/>
  <c r="D74" i="77"/>
  <c r="E176" i="77"/>
  <c r="E166" i="77"/>
  <c r="E73" i="77"/>
  <c r="N71" i="77"/>
  <c r="E85" i="77"/>
  <c r="L81" i="77"/>
  <c r="L192" i="77"/>
  <c r="M120" i="77"/>
  <c r="D83" i="77"/>
  <c r="F93" i="77"/>
  <c r="I165" i="77"/>
  <c r="K116" i="77"/>
  <c r="I145" i="77"/>
  <c r="G108" i="77"/>
  <c r="I93" i="77"/>
  <c r="M151" i="77"/>
  <c r="F190" i="77"/>
  <c r="N108" i="77"/>
  <c r="G136" i="77"/>
  <c r="I192" i="77"/>
  <c r="F152" i="77"/>
  <c r="D113" i="77"/>
  <c r="O80" i="77"/>
  <c r="L182" i="77"/>
  <c r="E83" i="77"/>
  <c r="J142" i="77"/>
  <c r="K192" i="77"/>
  <c r="H116" i="77"/>
  <c r="F94" i="77"/>
  <c r="H70" i="77"/>
  <c r="N113" i="77"/>
  <c r="L176" i="77"/>
  <c r="F97" i="77"/>
  <c r="H164" i="77"/>
  <c r="G122" i="77"/>
  <c r="G162" i="77"/>
  <c r="L119" i="77"/>
  <c r="O93" i="77"/>
  <c r="K163" i="77"/>
  <c r="K110" i="77"/>
  <c r="F112" i="77"/>
  <c r="J102" i="77"/>
  <c r="H85" i="77"/>
  <c r="J115" i="77"/>
  <c r="F153" i="77"/>
  <c r="F136" i="77"/>
  <c r="L105" i="77"/>
  <c r="M177" i="77"/>
  <c r="F189" i="77"/>
  <c r="O147" i="77"/>
  <c r="O105" i="77"/>
  <c r="L148" i="77"/>
  <c r="K145" i="77"/>
  <c r="L185" i="77"/>
  <c r="L74" i="77"/>
  <c r="L184" i="77"/>
  <c r="J147" i="77"/>
  <c r="L115" i="77"/>
  <c r="H93" i="77"/>
  <c r="H78" i="77"/>
  <c r="N162" i="77"/>
  <c r="F121" i="77"/>
  <c r="K138" i="77"/>
  <c r="I148" i="77"/>
  <c r="K82" i="77"/>
  <c r="E99" i="77"/>
  <c r="L177" i="77"/>
  <c r="O99" i="77"/>
  <c r="N147" i="77"/>
  <c r="L111" i="77"/>
  <c r="E98" i="77"/>
  <c r="J137" i="77"/>
  <c r="J81" i="77"/>
  <c r="H189" i="77"/>
  <c r="H123" i="77"/>
  <c r="I83" i="77"/>
  <c r="I155" i="77"/>
  <c r="I143" i="77"/>
  <c r="I85" i="77"/>
  <c r="I149" i="77"/>
  <c r="H76" i="77"/>
  <c r="O113" i="77"/>
  <c r="H69" i="77"/>
  <c r="F98" i="77"/>
  <c r="K75" i="77"/>
  <c r="K185" i="77"/>
  <c r="J97" i="77"/>
  <c r="H112" i="77"/>
  <c r="M94" i="77"/>
  <c r="G109" i="77"/>
  <c r="K169" i="77"/>
  <c r="G152" i="77"/>
  <c r="G186" i="77"/>
  <c r="N151" i="77"/>
  <c r="O121" i="77"/>
  <c r="F150" i="77"/>
  <c r="G191" i="77"/>
  <c r="I187" i="77"/>
  <c r="D141" i="77"/>
  <c r="H100" i="77"/>
  <c r="K149" i="77"/>
  <c r="F105" i="77"/>
  <c r="N182" i="77"/>
  <c r="L101" i="77"/>
  <c r="G114" i="77"/>
  <c r="F143" i="77"/>
  <c r="D182" i="77"/>
  <c r="L69" i="77"/>
  <c r="J99" i="77"/>
  <c r="M186" i="77"/>
  <c r="M190" i="77"/>
  <c r="K150" i="77"/>
  <c r="M183" i="77"/>
  <c r="N74" i="77"/>
  <c r="J165" i="77"/>
  <c r="F85" i="77"/>
  <c r="H191" i="77"/>
  <c r="E182" i="77"/>
  <c r="L153" i="77"/>
  <c r="E105" i="77"/>
  <c r="I99" i="77"/>
  <c r="D158" i="77"/>
  <c r="L150" i="77"/>
  <c r="F119" i="77"/>
  <c r="H68" i="77"/>
  <c r="J134" i="77"/>
  <c r="N160" i="77"/>
  <c r="J96" i="77"/>
  <c r="F79" i="77"/>
  <c r="N188" i="77"/>
  <c r="J185" i="77"/>
  <c r="O71" i="77"/>
  <c r="D187" i="77"/>
  <c r="D71" i="77"/>
  <c r="J69" i="77"/>
  <c r="N115" i="77"/>
  <c r="L158" i="77"/>
  <c r="H71" i="77"/>
  <c r="D116" i="77"/>
  <c r="F118" i="77"/>
  <c r="E113" i="77"/>
  <c r="F185" i="77"/>
  <c r="G78" i="77"/>
  <c r="G181" i="77"/>
  <c r="F69" i="77"/>
  <c r="E95" i="77"/>
  <c r="F99" i="77"/>
  <c r="N158" i="77"/>
  <c r="E161" i="77"/>
  <c r="W4" i="65"/>
  <c r="W5" i="65" s="1"/>
  <c r="D101" i="77"/>
  <c r="D82" i="77"/>
  <c r="K191" i="77"/>
  <c r="J94" i="77"/>
  <c r="H163" i="77"/>
  <c r="I87" i="77"/>
  <c r="K112" i="77"/>
  <c r="I75" i="77"/>
  <c r="I166" i="77"/>
  <c r="N150" i="77"/>
  <c r="J186" i="77"/>
  <c r="D104" i="77"/>
  <c r="E144" i="77"/>
  <c r="D165" i="77"/>
  <c r="L86" i="77"/>
  <c r="M117" i="77"/>
  <c r="I176" i="77"/>
  <c r="G84" i="77"/>
  <c r="M113" i="77"/>
  <c r="H183" i="77"/>
  <c r="H147" i="77"/>
  <c r="I104" i="77"/>
  <c r="N98" i="77"/>
  <c r="H96" i="77"/>
  <c r="H77" i="77"/>
  <c r="K74" i="77"/>
  <c r="E76" i="77"/>
  <c r="G142" i="77"/>
  <c r="G149" i="77"/>
  <c r="H74" i="77"/>
  <c r="I84" i="77"/>
  <c r="I68" i="77"/>
  <c r="H109" i="77"/>
  <c r="J80" i="77"/>
  <c r="H122" i="77"/>
  <c r="G183" i="77"/>
  <c r="G77" i="77"/>
  <c r="K187" i="77"/>
  <c r="G141" i="77"/>
  <c r="M157" i="77"/>
  <c r="M77" i="77"/>
  <c r="M75" i="77"/>
  <c r="L188" i="77"/>
  <c r="J73" i="77"/>
  <c r="E187" i="77"/>
  <c r="J150" i="77"/>
  <c r="E147" i="77"/>
  <c r="G87" i="77"/>
  <c r="F83" i="77"/>
  <c r="J164" i="77"/>
  <c r="E110" i="77"/>
  <c r="I105" i="77"/>
  <c r="N192" i="77"/>
  <c r="L100" i="77"/>
  <c r="J187" i="77"/>
  <c r="O140" i="77"/>
  <c r="N134" i="77"/>
  <c r="H102" i="77"/>
  <c r="L165" i="77"/>
  <c r="E97" i="77"/>
  <c r="O74" i="77"/>
  <c r="G147" i="77"/>
  <c r="G83" i="77"/>
  <c r="E149" i="77"/>
  <c r="H80" i="77"/>
  <c r="L93" i="77"/>
  <c r="O103" i="77"/>
  <c r="K165" i="77"/>
  <c r="D147" i="77"/>
  <c r="J120" i="77"/>
  <c r="D157" i="77"/>
  <c r="M86" i="77"/>
  <c r="D192" i="77"/>
  <c r="D110" i="77"/>
  <c r="J104" i="77"/>
  <c r="J151" i="77"/>
  <c r="O138" i="77"/>
  <c r="H139" i="77"/>
  <c r="D111" i="77"/>
  <c r="M138" i="77"/>
  <c r="F158" i="77"/>
  <c r="E138" i="77"/>
  <c r="F147" i="77"/>
  <c r="E71" i="77"/>
  <c r="J107" i="77"/>
  <c r="K70" i="77"/>
  <c r="J163" i="77"/>
  <c r="H188" i="77"/>
  <c r="O141" i="77"/>
  <c r="M85" i="77"/>
  <c r="E78" i="77"/>
  <c r="E177" i="77"/>
  <c r="E160" i="77"/>
  <c r="I138" i="77"/>
  <c r="I158" i="77"/>
  <c r="G184" i="77"/>
  <c r="E140" i="77"/>
  <c r="D87" i="77"/>
  <c r="K135" i="77"/>
  <c r="N81" i="77"/>
  <c r="N117" i="77"/>
  <c r="J98" i="77"/>
  <c r="O96" i="77"/>
  <c r="K153" i="77"/>
  <c r="O87" i="77"/>
  <c r="I162" i="77"/>
  <c r="L84" i="77"/>
  <c r="F115" i="77"/>
  <c r="K177" i="77"/>
  <c r="M188" i="77"/>
  <c r="M112" i="77"/>
  <c r="E139" i="77"/>
  <c r="I76" i="77"/>
  <c r="D164" i="77"/>
  <c r="N164" i="77"/>
  <c r="K93" i="77"/>
  <c r="M96" i="77"/>
  <c r="E117" i="77"/>
  <c r="L73" i="77"/>
  <c r="K164" i="77"/>
  <c r="F184" i="77"/>
  <c r="F82" i="77"/>
  <c r="N103" i="77"/>
  <c r="E122" i="77"/>
  <c r="H99" i="77"/>
  <c r="N76" i="77"/>
  <c r="H97" i="77"/>
  <c r="D84" i="77"/>
  <c r="L85" i="77"/>
  <c r="O184" i="77"/>
  <c r="F191" i="77"/>
  <c r="O102" i="77"/>
  <c r="D153" i="77"/>
  <c r="M69" i="77"/>
  <c r="E155" i="77"/>
  <c r="E134" i="77"/>
  <c r="O187" i="77"/>
  <c r="O157" i="77"/>
  <c r="M150" i="77"/>
  <c r="H81" i="77"/>
  <c r="M163" i="77"/>
  <c r="M107" i="77"/>
  <c r="M159" i="77"/>
  <c r="K117" i="77"/>
  <c r="N94" i="77"/>
  <c r="H75" i="77"/>
  <c r="K124" i="77"/>
  <c r="K186" i="77"/>
  <c r="J189" i="77"/>
  <c r="J119" i="77"/>
  <c r="I191" i="77"/>
  <c r="M76" i="77"/>
  <c r="O101" i="77"/>
  <c r="L161" i="77"/>
  <c r="N135" i="77"/>
  <c r="H79" i="77"/>
  <c r="D140" i="77"/>
  <c r="G158" i="77"/>
  <c r="F148" i="77"/>
  <c r="G185" i="77"/>
  <c r="J136" i="77"/>
  <c r="G156" i="77"/>
  <c r="E84" i="77"/>
  <c r="N177" i="77"/>
  <c r="J88" i="77"/>
  <c r="E123" i="77"/>
  <c r="L144" i="77"/>
  <c r="F110" i="77"/>
  <c r="D136" i="77"/>
  <c r="D75" i="77"/>
  <c r="D70" i="77"/>
  <c r="O156" i="77"/>
  <c r="H105" i="77"/>
  <c r="I108" i="77"/>
  <c r="M108" i="77"/>
  <c r="D69" i="77"/>
  <c r="O148" i="77"/>
  <c r="F70" i="77"/>
  <c r="O192" i="77"/>
  <c r="H135" i="77"/>
  <c r="L78" i="77"/>
  <c r="E75" i="77"/>
  <c r="N159" i="77"/>
  <c r="G82" i="77"/>
  <c r="K85" i="77"/>
  <c r="E145" i="77"/>
  <c r="M134" i="77"/>
  <c r="O117" i="77"/>
  <c r="K86" i="77"/>
  <c r="J183" i="77"/>
  <c r="F140" i="77"/>
  <c r="G154" i="77"/>
  <c r="M119" i="77"/>
  <c r="H150" i="77"/>
  <c r="O88" i="77"/>
  <c r="J113" i="77"/>
  <c r="I152" i="77"/>
  <c r="J122" i="77"/>
  <c r="K102" i="77"/>
  <c r="L169" i="77"/>
  <c r="M111" i="77"/>
  <c r="F120" i="77"/>
  <c r="F102" i="77"/>
  <c r="K111" i="77"/>
  <c r="J140" i="77"/>
  <c r="F87" i="77"/>
  <c r="E77" i="77"/>
  <c r="AF11" i="65"/>
  <c r="L138" i="77"/>
  <c r="O82" i="77"/>
  <c r="I190" i="77"/>
  <c r="G138" i="77"/>
  <c r="E88" i="77"/>
  <c r="L154" i="77"/>
  <c r="M185" i="77"/>
  <c r="F88" i="77"/>
  <c r="D105" i="77"/>
  <c r="D139" i="77"/>
  <c r="N156" i="77"/>
  <c r="H149" i="77"/>
  <c r="I97" i="77"/>
  <c r="K109" i="77"/>
  <c r="G153" i="77"/>
  <c r="F114" i="77"/>
  <c r="I102" i="77"/>
  <c r="E96" i="77"/>
  <c r="I168" i="77"/>
  <c r="M122" i="77"/>
  <c r="O115" i="77"/>
  <c r="N79" i="77"/>
  <c r="K101" i="77"/>
  <c r="E80" i="77"/>
  <c r="E87" i="77"/>
  <c r="J121" i="77"/>
  <c r="G70" i="77"/>
  <c r="O142" i="77"/>
  <c r="M189" i="77"/>
  <c r="O124" i="77"/>
  <c r="D93" i="77"/>
  <c r="I118" i="77"/>
  <c r="I140" i="77"/>
  <c r="E164" i="77"/>
  <c r="N68" i="77"/>
  <c r="M153" i="77"/>
  <c r="H161" i="77"/>
  <c r="E165" i="77"/>
  <c r="I177" i="77"/>
  <c r="E100" i="77"/>
  <c r="O118" i="77"/>
  <c r="I159" i="77"/>
  <c r="D124" i="77"/>
  <c r="H148" i="77"/>
  <c r="I72" i="77"/>
  <c r="G72" i="77"/>
  <c r="F188" i="77"/>
  <c r="J95" i="77"/>
  <c r="I150" i="77"/>
  <c r="K147" i="77"/>
  <c r="E168" i="77"/>
  <c r="H156" i="77"/>
  <c r="G164" i="77"/>
  <c r="O166" i="77"/>
  <c r="F107" i="77"/>
  <c r="D161" i="77"/>
  <c r="L98" i="77"/>
  <c r="D155" i="77"/>
  <c r="I142" i="77"/>
  <c r="L110" i="77"/>
  <c r="D145" i="77"/>
  <c r="G116" i="77"/>
  <c r="L68" i="77"/>
  <c r="D156" i="77"/>
  <c r="K94" i="77"/>
  <c r="H184" i="77"/>
  <c r="M82" i="77"/>
  <c r="L135" i="77"/>
  <c r="N183" i="77"/>
  <c r="D78" i="77"/>
  <c r="N186" i="77"/>
  <c r="N112" i="77"/>
  <c r="F73" i="77"/>
  <c r="N83" i="77"/>
  <c r="G144" i="77"/>
  <c r="J162" i="77"/>
  <c r="M97" i="77"/>
  <c r="E169" i="77"/>
  <c r="O139" i="77"/>
  <c r="J79" i="77"/>
  <c r="H111" i="77"/>
  <c r="K107" i="77"/>
  <c r="O134" i="77"/>
  <c r="E137" i="77"/>
  <c r="H134" i="77"/>
  <c r="H138" i="77"/>
  <c r="O100" i="77"/>
  <c r="K68" i="77"/>
  <c r="O111" i="77"/>
  <c r="K144" i="77"/>
  <c r="G150" i="77"/>
  <c r="L72" i="77"/>
  <c r="N189" i="77"/>
  <c r="E111" i="77"/>
  <c r="L82" i="77"/>
  <c r="F187" i="77"/>
  <c r="G190" i="77"/>
  <c r="M191" i="77"/>
  <c r="E135" i="77"/>
  <c r="K120" i="77"/>
  <c r="E114" i="77"/>
  <c r="E109" i="77"/>
  <c r="K176" i="77"/>
  <c r="K174" i="77" s="1"/>
  <c r="K56" i="77" s="1"/>
  <c r="F166" i="77"/>
  <c r="E162" i="77"/>
  <c r="H118" i="77"/>
  <c r="D137" i="77"/>
  <c r="D183" i="77"/>
  <c r="I123" i="77"/>
  <c r="O76" i="77"/>
  <c r="M123" i="77"/>
  <c r="K87" i="77"/>
  <c r="G188" i="77"/>
  <c r="H182" i="77"/>
  <c r="O182" i="77"/>
  <c r="G123" i="77"/>
  <c r="L189" i="77"/>
  <c r="D160" i="77"/>
  <c r="G118" i="77"/>
  <c r="K104" i="77"/>
  <c r="O78" i="77"/>
  <c r="H176" i="77"/>
  <c r="J87" i="77"/>
  <c r="H145" i="77"/>
  <c r="N110" i="77"/>
  <c r="I110" i="77"/>
  <c r="J83" i="77"/>
  <c r="E70" i="77"/>
  <c r="F123" i="77"/>
  <c r="H117" i="77"/>
  <c r="D72" i="77"/>
  <c r="L145" i="77"/>
  <c r="D85" i="77"/>
  <c r="M162" i="77"/>
  <c r="G88" i="77"/>
  <c r="G148" i="77"/>
  <c r="E118" i="77"/>
  <c r="I109" i="77"/>
  <c r="M156" i="77"/>
  <c r="K72" i="77"/>
  <c r="H151" i="77"/>
  <c r="G124" i="77"/>
  <c r="D154" i="77"/>
  <c r="D184" i="77"/>
  <c r="L95" i="77"/>
  <c r="K161" i="77"/>
  <c r="F117" i="77"/>
  <c r="F159" i="77"/>
  <c r="N123" i="77"/>
  <c r="J181" i="77"/>
  <c r="O77" i="77"/>
  <c r="L164" i="77"/>
  <c r="K159" i="77"/>
  <c r="D150" i="77"/>
  <c r="G166" i="77"/>
  <c r="K77" i="77"/>
  <c r="E152" i="77"/>
  <c r="F169" i="77"/>
  <c r="N111" i="77"/>
  <c r="M98" i="77"/>
  <c r="N101" i="77"/>
  <c r="N138" i="77"/>
  <c r="G121" i="77"/>
  <c r="I156" i="77"/>
  <c r="O164" i="77"/>
  <c r="K105" i="77"/>
  <c r="E94" i="77"/>
  <c r="K190" i="77"/>
  <c r="L162" i="77"/>
  <c r="F100" i="77"/>
  <c r="F74" i="77"/>
  <c r="E68" i="77"/>
  <c r="O135" i="77"/>
  <c r="I103" i="77"/>
  <c r="J192" i="77"/>
  <c r="O158" i="77"/>
  <c r="J86" i="77"/>
  <c r="J93" i="77"/>
  <c r="D95" i="77"/>
  <c r="E159" i="77"/>
  <c r="E188" i="77"/>
  <c r="G96" i="77"/>
  <c r="N191" i="77"/>
  <c r="E120" i="77"/>
  <c r="E190" i="77"/>
  <c r="J135" i="77"/>
  <c r="F76" i="77"/>
  <c r="G94" i="77"/>
  <c r="M87" i="77"/>
  <c r="K181" i="77"/>
  <c r="O152" i="77"/>
  <c r="D181" i="77"/>
  <c r="I79" i="77"/>
  <c r="J158" i="77"/>
  <c r="F164" i="77"/>
  <c r="K182" i="77"/>
  <c r="K69" i="77"/>
  <c r="D103" i="77"/>
  <c r="AF244" i="65"/>
  <c r="AF242" i="65"/>
  <c r="AF240" i="65"/>
  <c r="AF239" i="65"/>
  <c r="AF237" i="65"/>
  <c r="AF236" i="65"/>
  <c r="AF235" i="65"/>
  <c r="AF234" i="65"/>
  <c r="AF233" i="65"/>
  <c r="K157" i="77"/>
  <c r="H113" i="77"/>
  <c r="F86" i="77"/>
  <c r="D98" i="77"/>
  <c r="N105" i="77"/>
  <c r="G75" i="77"/>
  <c r="D118" i="77"/>
  <c r="I94" i="77"/>
  <c r="K114" i="77"/>
  <c r="D188" i="77"/>
  <c r="E191" i="77"/>
  <c r="I70" i="77"/>
  <c r="F104" i="77"/>
  <c r="G335" i="67"/>
  <c r="G31" i="67" s="1"/>
  <c r="AF139" i="65"/>
  <c r="AF138" i="65"/>
  <c r="AF136" i="65"/>
  <c r="AF134" i="65"/>
  <c r="AF133" i="65"/>
  <c r="AF132" i="65"/>
  <c r="AF131" i="65"/>
  <c r="AF129" i="65"/>
  <c r="AF128" i="65"/>
  <c r="AF125" i="65"/>
  <c r="AF124" i="65"/>
  <c r="AF123" i="65"/>
  <c r="AF122" i="65"/>
  <c r="G617" i="64"/>
  <c r="G310" i="64" s="1"/>
  <c r="D25" i="73" s="1"/>
  <c r="V4" i="65"/>
  <c r="V5" i="65" s="1"/>
  <c r="AF118" i="65"/>
  <c r="AF116" i="65"/>
  <c r="AF115" i="65"/>
  <c r="AF108" i="65"/>
  <c r="AF107" i="65"/>
  <c r="AF104" i="65"/>
  <c r="AF102" i="65"/>
  <c r="AF101" i="65"/>
  <c r="E60" i="77"/>
  <c r="G683" i="64"/>
  <c r="G311" i="64" s="1"/>
  <c r="AF92" i="65"/>
  <c r="AF85" i="65"/>
  <c r="AF80" i="65"/>
  <c r="O60" i="77"/>
  <c r="AA4" i="65"/>
  <c r="AA5" i="65" s="1"/>
  <c r="F60" i="77"/>
  <c r="AF10" i="65"/>
  <c r="L183" i="77"/>
  <c r="L80" i="77"/>
  <c r="I119" i="77"/>
  <c r="M144" i="77"/>
  <c r="H110" i="77"/>
  <c r="F186" i="77"/>
  <c r="L124" i="77"/>
  <c r="O155" i="77"/>
  <c r="D144" i="77"/>
  <c r="H84" i="77"/>
  <c r="F124" i="77"/>
  <c r="G112" i="77"/>
  <c r="H95" i="77"/>
  <c r="L190" i="77"/>
  <c r="M135" i="77"/>
  <c r="D163" i="77"/>
  <c r="O110" i="77"/>
  <c r="N120" i="77"/>
  <c r="M93" i="77"/>
  <c r="M100" i="77"/>
  <c r="L120" i="77"/>
  <c r="D115" i="77"/>
  <c r="N141" i="77"/>
  <c r="H155" i="77"/>
  <c r="L163" i="77"/>
  <c r="J75" i="77"/>
  <c r="AF87" i="65"/>
  <c r="AF91" i="65"/>
  <c r="AF99" i="65"/>
  <c r="AF297" i="65"/>
  <c r="AF230" i="65"/>
  <c r="AF215" i="65"/>
  <c r="AF211" i="65"/>
  <c r="N149" i="77"/>
  <c r="J108" i="77"/>
  <c r="K60" i="77"/>
  <c r="G694" i="64"/>
  <c r="G312" i="64" s="1"/>
  <c r="AF82" i="65"/>
  <c r="AF55" i="65"/>
  <c r="K151" i="77"/>
  <c r="I78" i="77"/>
  <c r="I95" i="77"/>
  <c r="O109" i="77"/>
  <c r="L70" i="77"/>
  <c r="H103" i="77"/>
  <c r="K100" i="77"/>
  <c r="K156" i="77"/>
  <c r="L181" i="77"/>
  <c r="F134" i="77"/>
  <c r="N88" i="77"/>
  <c r="E81" i="77"/>
  <c r="E192" i="77"/>
  <c r="D121" i="77"/>
  <c r="H124" i="77"/>
  <c r="J76" i="77"/>
  <c r="J105" i="77"/>
  <c r="G107" i="77"/>
  <c r="N73" i="77"/>
  <c r="O68" i="77"/>
  <c r="H72" i="77"/>
  <c r="H169" i="77"/>
  <c r="H192" i="77"/>
  <c r="E124" i="77"/>
  <c r="I135" i="77"/>
  <c r="I147" i="77"/>
  <c r="N85" i="77"/>
  <c r="J168" i="77"/>
  <c r="G68" i="77"/>
  <c r="J155" i="77"/>
  <c r="F151" i="77"/>
  <c r="N86" i="77"/>
  <c r="M160" i="77"/>
  <c r="O73" i="77"/>
  <c r="L186" i="77"/>
  <c r="O168" i="77"/>
  <c r="K118" i="77"/>
  <c r="I184" i="77"/>
  <c r="N157" i="77"/>
  <c r="L187" i="77"/>
  <c r="H120" i="77"/>
  <c r="N124" i="77"/>
  <c r="M68" i="77"/>
  <c r="L147" i="77"/>
  <c r="F157" i="77"/>
  <c r="L141" i="77"/>
  <c r="L107" i="77"/>
  <c r="M99" i="77"/>
  <c r="N84" i="77"/>
  <c r="H88" i="77"/>
  <c r="I153" i="77"/>
  <c r="G177" i="77"/>
  <c r="O186" i="77"/>
  <c r="N169" i="77"/>
  <c r="O191" i="77"/>
  <c r="E158" i="77"/>
  <c r="F80" i="77"/>
  <c r="J100" i="77"/>
  <c r="E69" i="77"/>
  <c r="H181" i="77"/>
  <c r="K141" i="77"/>
  <c r="M121" i="77"/>
  <c r="J177" i="77"/>
  <c r="N154" i="77"/>
  <c r="I157" i="77"/>
  <c r="E116" i="77"/>
  <c r="L149" i="77"/>
  <c r="F116" i="77"/>
  <c r="F75" i="77"/>
  <c r="I151" i="77"/>
  <c r="E72" i="77"/>
  <c r="L151" i="77"/>
  <c r="F84" i="77"/>
  <c r="M140" i="77"/>
  <c r="N121" i="77"/>
  <c r="N96" i="77"/>
  <c r="G71" i="77"/>
  <c r="G163" i="77"/>
  <c r="O107" i="77"/>
  <c r="E141" i="77"/>
  <c r="J144" i="77"/>
  <c r="N102" i="77"/>
  <c r="G189" i="77"/>
  <c r="O97" i="77"/>
  <c r="E119" i="77"/>
  <c r="E151" i="77"/>
  <c r="D114" i="77"/>
  <c r="F137" i="77"/>
  <c r="I186" i="77"/>
  <c r="O81" i="77"/>
  <c r="N82" i="77"/>
  <c r="O69" i="77"/>
  <c r="F182" i="77"/>
  <c r="G100" i="77"/>
  <c r="J161" i="77"/>
  <c r="G143" i="77"/>
  <c r="M114" i="77"/>
  <c r="M154" i="77"/>
  <c r="L103" i="77"/>
  <c r="H166" i="77"/>
  <c r="I116" i="77"/>
  <c r="I120" i="77"/>
  <c r="G79" i="77"/>
  <c r="F135" i="77"/>
  <c r="K99" i="77"/>
  <c r="K154" i="77"/>
  <c r="F101" i="77"/>
  <c r="N97" i="77"/>
  <c r="E136" i="77"/>
  <c r="AF9" i="65"/>
  <c r="L88" i="77"/>
  <c r="D80" i="77"/>
  <c r="D191" i="77"/>
  <c r="E79" i="77"/>
  <c r="J114" i="77"/>
  <c r="O144" i="77"/>
  <c r="E82" i="77"/>
  <c r="K76" i="77"/>
  <c r="D152" i="77"/>
  <c r="M110" i="77"/>
  <c r="J156" i="77"/>
  <c r="N144" i="77"/>
  <c r="I134" i="77"/>
  <c r="D77" i="77"/>
  <c r="I154" i="77"/>
  <c r="M124" i="77"/>
  <c r="G159" i="77"/>
  <c r="K95" i="77"/>
  <c r="N165" i="77"/>
  <c r="J154" i="77"/>
  <c r="M166" i="77"/>
  <c r="O136" i="77"/>
  <c r="J109" i="77"/>
  <c r="N148" i="77"/>
  <c r="N75" i="77"/>
  <c r="F109" i="77"/>
  <c r="D185" i="77"/>
  <c r="M115" i="77"/>
  <c r="M142" i="77"/>
  <c r="D143" i="77"/>
  <c r="F81" i="77"/>
  <c r="G182" i="77"/>
  <c r="J149" i="77"/>
  <c r="M168" i="77"/>
  <c r="N114" i="77"/>
  <c r="O165" i="77"/>
  <c r="G140" i="77"/>
  <c r="O185" i="77"/>
  <c r="G135" i="77"/>
  <c r="M147" i="77"/>
  <c r="L160" i="77"/>
  <c r="F145" i="77"/>
  <c r="O116" i="77"/>
  <c r="J182" i="77"/>
  <c r="E186" i="77"/>
  <c r="E103" i="77"/>
  <c r="N136" i="77"/>
  <c r="L122" i="77"/>
  <c r="H114" i="77"/>
  <c r="I107" i="77"/>
  <c r="F154" i="77"/>
  <c r="N119" i="77"/>
  <c r="H168" i="77"/>
  <c r="L166" i="77"/>
  <c r="M101" i="77"/>
  <c r="I112" i="77"/>
  <c r="M78" i="77"/>
  <c r="I181" i="77"/>
  <c r="E154" i="77"/>
  <c r="M139" i="77"/>
  <c r="D68" i="77"/>
  <c r="O162" i="77"/>
  <c r="L109" i="77"/>
  <c r="D190" i="77"/>
  <c r="K121" i="77"/>
  <c r="K96" i="77"/>
  <c r="L118" i="77"/>
  <c r="N72" i="77"/>
  <c r="E112" i="77"/>
  <c r="I185" i="77"/>
  <c r="M181" i="77"/>
  <c r="G111" i="77"/>
  <c r="L108" i="77"/>
  <c r="G113" i="77"/>
  <c r="E102" i="77"/>
  <c r="N184" i="77"/>
  <c r="J68" i="77"/>
  <c r="G139" i="77"/>
  <c r="K119" i="77"/>
  <c r="G73" i="77"/>
  <c r="M145" i="77"/>
  <c r="H154" i="77"/>
  <c r="H158" i="77"/>
  <c r="L168" i="77"/>
  <c r="K115" i="77"/>
  <c r="E163" i="77"/>
  <c r="H119" i="77"/>
  <c r="K143" i="77"/>
  <c r="G176" i="77"/>
  <c r="G174" i="77" s="1"/>
  <c r="G56" i="77" s="1"/>
  <c r="L114" i="77"/>
  <c r="F160" i="77"/>
  <c r="D177" i="77"/>
  <c r="O72" i="77"/>
  <c r="E142" i="77"/>
  <c r="M73" i="77"/>
  <c r="D123" i="77"/>
  <c r="D122" i="77"/>
  <c r="I69" i="77"/>
  <c r="I113" i="77"/>
  <c r="O86" i="77"/>
  <c r="I86" i="77"/>
  <c r="I74" i="77"/>
  <c r="F192" i="77"/>
  <c r="M109" i="77"/>
  <c r="H98" i="77"/>
  <c r="G95" i="77"/>
  <c r="L76" i="77"/>
  <c r="N163" i="77"/>
  <c r="I115" i="77"/>
  <c r="J166" i="77"/>
  <c r="O154" i="77"/>
  <c r="M80" i="77"/>
  <c r="J118" i="77"/>
  <c r="N139" i="77"/>
  <c r="G110" i="77"/>
  <c r="C110" i="77" s="1"/>
  <c r="O149" i="77"/>
  <c r="J145" i="77"/>
  <c r="F156" i="77"/>
  <c r="M104" i="77"/>
  <c r="K168" i="77"/>
  <c r="M116" i="77"/>
  <c r="O122" i="77"/>
  <c r="M148" i="77"/>
  <c r="H136" i="77"/>
  <c r="H115" i="77"/>
  <c r="G161" i="77"/>
  <c r="J148" i="77"/>
  <c r="L156" i="77"/>
  <c r="N176" i="77"/>
  <c r="N174" i="77" s="1"/>
  <c r="N56" i="77" s="1"/>
  <c r="D176" i="77"/>
  <c r="N153" i="77"/>
  <c r="G81" i="77"/>
  <c r="N185" i="77"/>
  <c r="F111" i="77"/>
  <c r="F138" i="77"/>
  <c r="F108" i="77"/>
  <c r="N168" i="77"/>
  <c r="O145" i="77"/>
  <c r="M70" i="77"/>
  <c r="M105" i="77"/>
  <c r="N155" i="77"/>
  <c r="I182" i="77"/>
  <c r="J103" i="77"/>
  <c r="K139" i="77"/>
  <c r="F139" i="77"/>
  <c r="L102" i="77"/>
  <c r="J70" i="77"/>
  <c r="E121" i="77"/>
  <c r="M84" i="77"/>
  <c r="O181" i="77"/>
  <c r="O180" i="77" s="1"/>
  <c r="H107" i="77"/>
  <c r="F181" i="77"/>
  <c r="O160" i="77"/>
  <c r="J191" i="77"/>
  <c r="AF290" i="65"/>
  <c r="AF289" i="65"/>
  <c r="AF288" i="65"/>
  <c r="AF287" i="65"/>
  <c r="AF285" i="65"/>
  <c r="AF280" i="65"/>
  <c r="AF279" i="65"/>
  <c r="AF277" i="65"/>
  <c r="AF275" i="65"/>
  <c r="AF272" i="65"/>
  <c r="AF271" i="65"/>
  <c r="AF270" i="65"/>
  <c r="E29" i="73"/>
  <c r="M312" i="64"/>
  <c r="D27" i="73"/>
  <c r="N122" i="77"/>
  <c r="I136" i="77"/>
  <c r="J85" i="77"/>
  <c r="N87" i="77"/>
  <c r="F144" i="77"/>
  <c r="L157" i="77"/>
  <c r="G101" i="77"/>
  <c r="M169" i="77"/>
  <c r="J139" i="77"/>
  <c r="J82" i="77"/>
  <c r="G60" i="77"/>
  <c r="K98" i="77"/>
  <c r="D102" i="77"/>
  <c r="H86" i="77"/>
  <c r="H144" i="77"/>
  <c r="D162" i="77"/>
  <c r="I111" i="77"/>
  <c r="E185" i="77"/>
  <c r="J117" i="77"/>
  <c r="I183" i="77"/>
  <c r="D112" i="77"/>
  <c r="J188" i="77"/>
  <c r="C188" i="77" s="1"/>
  <c r="N140" i="77"/>
  <c r="N78" i="77"/>
  <c r="D169" i="77"/>
  <c r="M137" i="77"/>
  <c r="C137" i="77" s="1"/>
  <c r="M158" i="77"/>
  <c r="E148" i="77"/>
  <c r="E189" i="77"/>
  <c r="O79" i="77"/>
  <c r="E115" i="77"/>
  <c r="L113" i="77"/>
  <c r="H186" i="77"/>
  <c r="M182" i="77"/>
  <c r="I80" i="77"/>
  <c r="E181" i="77"/>
  <c r="D148" i="77"/>
  <c r="E93" i="77"/>
  <c r="N77" i="77"/>
  <c r="N161" i="77"/>
  <c r="K80" i="77"/>
  <c r="I189" i="77"/>
  <c r="E86" i="77"/>
  <c r="L117" i="77"/>
  <c r="J74" i="77"/>
  <c r="I161" i="77"/>
  <c r="H143" i="77"/>
  <c r="D99" i="77"/>
  <c r="H83" i="77"/>
  <c r="K73" i="77"/>
  <c r="H82" i="77"/>
  <c r="M118" i="77"/>
  <c r="L112" i="77"/>
  <c r="L97" i="77"/>
  <c r="D120" i="77"/>
  <c r="K158" i="77"/>
  <c r="F168" i="77"/>
  <c r="H187" i="77"/>
  <c r="H101" i="77"/>
  <c r="J101" i="77"/>
  <c r="K79" i="77"/>
  <c r="N187" i="77"/>
  <c r="D88" i="77"/>
  <c r="L191" i="77"/>
  <c r="L180" i="77" s="1"/>
  <c r="K136" i="77"/>
  <c r="E156" i="77"/>
  <c r="N116" i="77"/>
  <c r="N80" i="77"/>
  <c r="H162" i="77"/>
  <c r="F165" i="77"/>
  <c r="O183" i="77"/>
  <c r="G105" i="77"/>
  <c r="O189" i="77"/>
  <c r="G76" i="77"/>
  <c r="E157" i="77"/>
  <c r="D100" i="77"/>
  <c r="L77" i="77"/>
  <c r="O151" i="77"/>
  <c r="M136" i="77"/>
  <c r="F122" i="77"/>
  <c r="L159" i="77"/>
  <c r="E150" i="77"/>
  <c r="L139" i="77"/>
  <c r="E74" i="77"/>
  <c r="J116" i="77"/>
  <c r="G119" i="77"/>
  <c r="G134" i="77"/>
  <c r="G93" i="77"/>
  <c r="D119" i="77"/>
  <c r="M164" i="77"/>
  <c r="F155" i="77"/>
  <c r="L140" i="77"/>
  <c r="H185" i="77"/>
  <c r="I100" i="77"/>
  <c r="O123" i="77"/>
  <c r="I77" i="77"/>
  <c r="I101" i="77"/>
  <c r="F113" i="77"/>
  <c r="N104" i="77"/>
  <c r="H104" i="77"/>
  <c r="O112" i="77"/>
  <c r="D168" i="77"/>
  <c r="N107" i="77"/>
  <c r="G85" i="77"/>
  <c r="J169" i="77"/>
  <c r="O114" i="77"/>
  <c r="N118" i="77"/>
  <c r="K137" i="77"/>
  <c r="I121" i="77"/>
  <c r="O94" i="77"/>
  <c r="K108" i="77"/>
  <c r="I96" i="77"/>
  <c r="O161" i="77"/>
  <c r="H94" i="77"/>
  <c r="G97" i="77"/>
  <c r="L121" i="77"/>
  <c r="J184" i="77"/>
  <c r="L123" i="77"/>
  <c r="G69" i="77"/>
  <c r="G86" i="77"/>
  <c r="L136" i="77"/>
  <c r="N137" i="77"/>
  <c r="M152" i="77"/>
  <c r="J72" i="77"/>
  <c r="G137" i="77"/>
  <c r="G102" i="77"/>
  <c r="C102" i="77" s="1"/>
  <c r="O169" i="77"/>
  <c r="D73" i="77"/>
  <c r="F163" i="77"/>
  <c r="N99" i="77"/>
  <c r="K88" i="77"/>
  <c r="J176" i="77"/>
  <c r="J174" i="77" s="1"/>
  <c r="J56" i="77" s="1"/>
  <c r="L134" i="77"/>
  <c r="E143" i="77"/>
  <c r="J84" i="77"/>
  <c r="G151" i="77"/>
  <c r="H140" i="77"/>
  <c r="O153" i="77"/>
  <c r="I163" i="77"/>
  <c r="F142" i="77"/>
  <c r="D134" i="77"/>
  <c r="F95" i="77"/>
  <c r="J71" i="77"/>
  <c r="F149" i="77"/>
  <c r="J141" i="77"/>
  <c r="N109" i="77"/>
  <c r="L104" i="77"/>
  <c r="J157" i="77"/>
  <c r="L83" i="77"/>
  <c r="H177" i="77"/>
  <c r="H174" i="77" s="1"/>
  <c r="H56" i="77" s="1"/>
  <c r="I124" i="77"/>
  <c r="D142" i="77"/>
  <c r="C142" i="77" s="1"/>
  <c r="L116" i="77"/>
  <c r="O95" i="77"/>
  <c r="G99" i="77"/>
  <c r="I137" i="77"/>
  <c r="O163" i="77"/>
  <c r="F176" i="77"/>
  <c r="F174" i="77" s="1"/>
  <c r="F56" i="77" s="1"/>
  <c r="I139" i="77"/>
  <c r="N93" i="77"/>
  <c r="O108" i="77"/>
  <c r="K84" i="77"/>
  <c r="I160" i="77"/>
  <c r="H165" i="77"/>
  <c r="L71" i="77"/>
  <c r="K162" i="77"/>
  <c r="G155" i="77"/>
  <c r="H87" i="77"/>
  <c r="I144" i="77"/>
  <c r="O120" i="77"/>
  <c r="G157" i="77"/>
  <c r="G169" i="77"/>
  <c r="L143" i="77"/>
  <c r="L87" i="77"/>
  <c r="K183" i="77"/>
  <c r="K180" i="77" s="1"/>
  <c r="O84" i="77"/>
  <c r="I82" i="77"/>
  <c r="O177" i="77"/>
  <c r="O174" i="77" s="1"/>
  <c r="O56" i="77" s="1"/>
  <c r="O104" i="77"/>
  <c r="M79" i="77"/>
  <c r="O119" i="77"/>
  <c r="M187" i="77"/>
  <c r="L155" i="77"/>
  <c r="H108" i="77"/>
  <c r="G145" i="77"/>
  <c r="K113" i="77"/>
  <c r="O150" i="77"/>
  <c r="M81" i="77"/>
  <c r="F96" i="77"/>
  <c r="H190" i="77"/>
  <c r="K97" i="77"/>
  <c r="M192" i="77"/>
  <c r="N69" i="77"/>
  <c r="G117" i="77"/>
  <c r="O70" i="77"/>
  <c r="D108" i="77"/>
  <c r="J123" i="77"/>
  <c r="N100" i="77"/>
  <c r="J143" i="77"/>
  <c r="F162" i="77"/>
  <c r="J190" i="77"/>
  <c r="O137" i="77"/>
  <c r="E183" i="77"/>
  <c r="I98" i="77"/>
  <c r="C98" i="77" s="1"/>
  <c r="K78" i="77"/>
  <c r="H152" i="77"/>
  <c r="L94" i="77"/>
  <c r="I169" i="77"/>
  <c r="G80" i="77"/>
  <c r="N143" i="77"/>
  <c r="K166" i="77"/>
  <c r="K134" i="77"/>
  <c r="M74" i="77"/>
  <c r="D159" i="77"/>
  <c r="M83" i="77"/>
  <c r="F77" i="77"/>
  <c r="G192" i="77"/>
  <c r="E101" i="77"/>
  <c r="G187" i="77"/>
  <c r="D138" i="77"/>
  <c r="H153" i="77"/>
  <c r="D186" i="77"/>
  <c r="L99" i="77"/>
  <c r="F103" i="77"/>
  <c r="O83" i="77"/>
  <c r="F161" i="77"/>
  <c r="D151" i="77"/>
  <c r="D109" i="77"/>
  <c r="G103" i="77"/>
  <c r="D117" i="77"/>
  <c r="I117" i="77"/>
  <c r="J124" i="77"/>
  <c r="O85" i="77"/>
  <c r="K71" i="77"/>
  <c r="K160" i="77"/>
  <c r="K123" i="77"/>
  <c r="AF266" i="65"/>
  <c r="AF264" i="65"/>
  <c r="AF263" i="65"/>
  <c r="AF262" i="65"/>
  <c r="AF260" i="65"/>
  <c r="AF257" i="65"/>
  <c r="AF251" i="65"/>
  <c r="AF247" i="65"/>
  <c r="AF246" i="65"/>
  <c r="AF245" i="65"/>
  <c r="AF241" i="65"/>
  <c r="AF238" i="65"/>
  <c r="AF229" i="65"/>
  <c r="AF223" i="65"/>
  <c r="AF219" i="65"/>
  <c r="P521" i="64"/>
  <c r="G543" i="64"/>
  <c r="G309" i="64" s="1"/>
  <c r="I309" i="64" s="1"/>
  <c r="E62" i="77"/>
  <c r="F62" i="77" s="1"/>
  <c r="J16" i="87"/>
  <c r="E16" i="87"/>
  <c r="E28" i="73"/>
  <c r="I32" i="73"/>
  <c r="I39" i="73" s="1"/>
  <c r="I16" i="87"/>
  <c r="I12" i="87"/>
  <c r="C176" i="77"/>
  <c r="B139" i="68"/>
  <c r="C592" i="68"/>
  <c r="B11" i="78"/>
  <c r="J16" i="72"/>
  <c r="B13" i="74"/>
  <c r="D13" i="74" s="1"/>
  <c r="H13" i="74" s="1"/>
  <c r="N16" i="72"/>
  <c r="O311" i="64"/>
  <c r="R311" i="64"/>
  <c r="C43" i="77"/>
  <c r="D26" i="73"/>
  <c r="I311" i="64"/>
  <c r="M311" i="64"/>
  <c r="G33" i="67"/>
  <c r="I28" i="67"/>
  <c r="I25" i="72"/>
  <c r="J25" i="72"/>
  <c r="B22" i="78"/>
  <c r="B24" i="74"/>
  <c r="C145" i="68"/>
  <c r="B8" i="78"/>
  <c r="C111" i="77"/>
  <c r="E25" i="72"/>
  <c r="E12" i="72"/>
  <c r="C448" i="68"/>
  <c r="F36" i="72"/>
  <c r="C30" i="67"/>
  <c r="C147" i="77"/>
  <c r="D324" i="68"/>
  <c r="D326" i="68"/>
  <c r="D22" i="38" s="1"/>
  <c r="E18" i="56"/>
  <c r="F11" i="56"/>
  <c r="E17" i="55"/>
  <c r="E38" i="55"/>
  <c r="C260" i="75"/>
  <c r="C261" i="75"/>
  <c r="G258" i="75"/>
  <c r="G260" i="75" s="1"/>
  <c r="E271" i="75" s="1"/>
  <c r="B305" i="31"/>
  <c r="C315" i="31"/>
  <c r="O8" i="83"/>
  <c r="D39" i="45"/>
  <c r="E39" i="45" s="1"/>
  <c r="F39" i="45" s="1"/>
  <c r="G39" i="45" s="1"/>
  <c r="H39" i="45" s="1"/>
  <c r="I39" i="45" s="1"/>
  <c r="J39" i="45" s="1"/>
  <c r="K39" i="45" s="1"/>
  <c r="L39" i="45" s="1"/>
  <c r="M39" i="45" s="1"/>
  <c r="C546" i="68"/>
  <c r="B23" i="71"/>
  <c r="E14" i="58"/>
  <c r="E12" i="38"/>
  <c r="H12" i="38"/>
  <c r="E281" i="68"/>
  <c r="E286" i="68" s="1"/>
  <c r="E288" i="68" s="1"/>
  <c r="E324" i="68" s="1"/>
  <c r="E326" i="68" s="1"/>
  <c r="E328" i="68" s="1"/>
  <c r="D328" i="68" s="1"/>
  <c r="C286" i="68"/>
  <c r="C288" i="68" s="1"/>
  <c r="C326" i="68" s="1"/>
  <c r="E541" i="68"/>
  <c r="C13" i="54"/>
  <c r="E537" i="68"/>
  <c r="E546" i="68" s="1"/>
  <c r="E196" i="31"/>
  <c r="E197" i="31" s="1"/>
  <c r="E199" i="31" s="1"/>
  <c r="D199" i="31" s="1"/>
  <c r="C12" i="37"/>
  <c r="C197" i="31"/>
  <c r="E223" i="68"/>
  <c r="B26" i="78"/>
  <c r="B14" i="74"/>
  <c r="D14" i="74" s="1"/>
  <c r="H14" i="74" s="1"/>
  <c r="B20" i="70" s="1"/>
  <c r="C228" i="68"/>
  <c r="I17" i="72"/>
  <c r="E17" i="72"/>
  <c r="C395" i="68"/>
  <c r="E394" i="68"/>
  <c r="E395" i="68" s="1"/>
  <c r="E397" i="68" s="1"/>
  <c r="D397" i="68" s="1"/>
  <c r="C15" i="45"/>
  <c r="E394" i="31"/>
  <c r="C9" i="27"/>
  <c r="C120" i="68"/>
  <c r="C11" i="27"/>
  <c r="C157" i="31" s="1"/>
  <c r="C7" i="65"/>
  <c r="C12" i="65" s="1"/>
  <c r="C14" i="65" s="1"/>
  <c r="G291" i="64"/>
  <c r="G26" i="37"/>
  <c r="C627" i="68"/>
  <c r="C14" i="58"/>
  <c r="C28" i="58" s="1"/>
  <c r="G201" i="75"/>
  <c r="L30" i="67"/>
  <c r="M30" i="67" s="1"/>
  <c r="B30" i="29"/>
  <c r="C420" i="31"/>
  <c r="G317" i="75"/>
  <c r="G320" i="75" s="1"/>
  <c r="F320" i="75"/>
  <c r="G234" i="75"/>
  <c r="F38" i="54"/>
  <c r="C29" i="34"/>
  <c r="C37" i="34" s="1"/>
  <c r="E354" i="31"/>
  <c r="E357" i="31" s="1"/>
  <c r="E359" i="31" s="1"/>
  <c r="D359" i="31" s="1"/>
  <c r="C357" i="31"/>
  <c r="C358" i="31" s="1"/>
  <c r="D371" i="75"/>
  <c r="E32" i="75"/>
  <c r="F12" i="35"/>
  <c r="E15" i="35"/>
  <c r="F281" i="75"/>
  <c r="E283" i="75"/>
  <c r="G118" i="75"/>
  <c r="F125" i="75"/>
  <c r="E479" i="68"/>
  <c r="E481" i="68" s="1"/>
  <c r="E483" i="68" s="1"/>
  <c r="D483" i="68" s="1"/>
  <c r="C481" i="68"/>
  <c r="C30" i="34"/>
  <c r="F37" i="34"/>
  <c r="E20" i="47"/>
  <c r="F12" i="47"/>
  <c r="G18" i="79"/>
  <c r="L31" i="67"/>
  <c r="M31" i="67" s="1"/>
  <c r="B33" i="29"/>
  <c r="O318" i="64"/>
  <c r="B319" i="64"/>
  <c r="K31" i="75"/>
  <c r="O314" i="64"/>
  <c r="H316" i="75"/>
  <c r="B13" i="29"/>
  <c r="B22" i="29" s="1"/>
  <c r="B36" i="29" s="1"/>
  <c r="B71" i="29" s="1"/>
  <c r="B74" i="29" s="1"/>
  <c r="B76" i="29" s="1"/>
  <c r="B33" i="33"/>
  <c r="F35" i="56"/>
  <c r="F31" i="50"/>
  <c r="C27" i="50"/>
  <c r="E6" i="89"/>
  <c r="E28" i="77"/>
  <c r="E29" i="77" s="1"/>
  <c r="O12" i="79"/>
  <c r="D112" i="75"/>
  <c r="D116" i="75"/>
  <c r="D125" i="75" s="1"/>
  <c r="D126" i="75" s="1"/>
  <c r="C33" i="55"/>
  <c r="D35" i="55"/>
  <c r="B35" i="78"/>
  <c r="B35" i="74"/>
  <c r="D35" i="74" s="1"/>
  <c r="L35" i="74" s="1"/>
  <c r="C431" i="31"/>
  <c r="C293" i="31"/>
  <c r="C295" i="31" s="1"/>
  <c r="C296" i="31" s="1"/>
  <c r="F234" i="75"/>
  <c r="C27" i="36"/>
  <c r="C28" i="36" s="1"/>
  <c r="E27" i="37"/>
  <c r="E30" i="37"/>
  <c r="E35" i="55"/>
  <c r="C31" i="55"/>
  <c r="E405" i="68"/>
  <c r="E406" i="68" s="1"/>
  <c r="E408" i="68" s="1"/>
  <c r="D408" i="68" s="1"/>
  <c r="C18" i="45"/>
  <c r="E18" i="45" s="1"/>
  <c r="F18" i="45" s="1"/>
  <c r="C28" i="56"/>
  <c r="C12" i="71"/>
  <c r="D499" i="68" s="1"/>
  <c r="J98" i="83"/>
  <c r="J111" i="83"/>
  <c r="I17" i="87"/>
  <c r="J18" i="87" s="1"/>
  <c r="E17" i="87"/>
  <c r="B22" i="45"/>
  <c r="H230" i="75"/>
  <c r="E18" i="65"/>
  <c r="E29" i="53"/>
  <c r="E24" i="65"/>
  <c r="G13" i="79"/>
  <c r="S499" i="68"/>
  <c r="R499" i="68" s="1"/>
  <c r="E200" i="68"/>
  <c r="C17" i="41"/>
  <c r="E156" i="75"/>
  <c r="G147" i="75"/>
  <c r="F8" i="85"/>
  <c r="F13" i="85" s="1"/>
  <c r="E15" i="85"/>
  <c r="C524" i="68"/>
  <c r="C526" i="68" s="1"/>
  <c r="G172" i="75"/>
  <c r="E181" i="75"/>
  <c r="B15" i="37"/>
  <c r="B20" i="55"/>
  <c r="B13" i="57"/>
  <c r="B15" i="40"/>
  <c r="B18" i="53"/>
  <c r="B16" i="43"/>
  <c r="B20" i="56"/>
  <c r="B17" i="35"/>
  <c r="B15" i="39"/>
  <c r="B21" i="41"/>
  <c r="B20" i="44"/>
  <c r="B20" i="38"/>
  <c r="B17" i="51"/>
  <c r="B16" i="58"/>
  <c r="B22" i="47"/>
  <c r="H233" i="75"/>
  <c r="O8" i="89"/>
  <c r="O9" i="89" s="1"/>
  <c r="D9" i="89"/>
  <c r="D10" i="89"/>
  <c r="C17" i="73"/>
  <c r="E306" i="64"/>
  <c r="E317" i="64" s="1"/>
  <c r="C28" i="53"/>
  <c r="M35" i="56"/>
  <c r="J29" i="53"/>
  <c r="J21" i="65"/>
  <c r="C21" i="65" s="1"/>
  <c r="J35" i="56"/>
  <c r="C25" i="43"/>
  <c r="C26" i="43" s="1"/>
  <c r="C28" i="43" s="1"/>
  <c r="C36" i="38"/>
  <c r="D28" i="77"/>
  <c r="P289" i="64"/>
  <c r="R228" i="68"/>
  <c r="F240" i="75"/>
  <c r="H10" i="89"/>
  <c r="E22" i="85"/>
  <c r="E24" i="85" s="1"/>
  <c r="E26" i="85" s="1"/>
  <c r="M22" i="65"/>
  <c r="C26" i="35"/>
  <c r="C27" i="35" s="1"/>
  <c r="C28" i="35" s="1"/>
  <c r="C29" i="35" s="1"/>
  <c r="K12" i="79"/>
  <c r="K14" i="79" s="1"/>
  <c r="N29" i="77"/>
  <c r="D308" i="75"/>
  <c r="M17" i="79"/>
  <c r="M18" i="79" s="1"/>
  <c r="M28" i="79" s="1"/>
  <c r="C20" i="65"/>
  <c r="G290" i="64" s="1"/>
  <c r="C13" i="77" s="1"/>
  <c r="E13" i="77" s="1"/>
  <c r="F13" i="77" s="1"/>
  <c r="C28" i="55"/>
  <c r="O25" i="77"/>
  <c r="K9" i="89"/>
  <c r="K10" i="89" s="1"/>
  <c r="J9" i="89"/>
  <c r="J10" i="89" s="1"/>
  <c r="G379" i="75"/>
  <c r="T32" i="38"/>
  <c r="E637" i="68"/>
  <c r="E638" i="68" s="1"/>
  <c r="E640" i="68" s="1"/>
  <c r="D640" i="68" s="1"/>
  <c r="G24" i="65"/>
  <c r="I13" i="79"/>
  <c r="I14" i="79" s="1"/>
  <c r="I28" i="79" s="1"/>
  <c r="R46" i="38"/>
  <c r="F245" i="75"/>
  <c r="C150" i="75"/>
  <c r="D242" i="75"/>
  <c r="D302" i="75"/>
  <c r="I91" i="75"/>
  <c r="H91" i="75"/>
  <c r="E110" i="75"/>
  <c r="E123" i="75" s="1"/>
  <c r="G123" i="75" s="1"/>
  <c r="D623" i="68"/>
  <c r="D635" i="68" s="1"/>
  <c r="D648" i="68" s="1"/>
  <c r="D458" i="68"/>
  <c r="B397" i="68"/>
  <c r="B432" i="68"/>
  <c r="B615" i="68"/>
  <c r="B129" i="68"/>
  <c r="B483" i="68"/>
  <c r="B500" i="68"/>
  <c r="B640" i="68"/>
  <c r="C317" i="75"/>
  <c r="G23" i="75"/>
  <c r="I44" i="38"/>
  <c r="H36" i="45"/>
  <c r="C28" i="44"/>
  <c r="D33" i="44"/>
  <c r="C34" i="38"/>
  <c r="H94" i="75"/>
  <c r="E109" i="75"/>
  <c r="L28" i="77"/>
  <c r="L29" i="77" s="1"/>
  <c r="L21" i="65"/>
  <c r="L22" i="65" s="1"/>
  <c r="L6" i="89"/>
  <c r="D293" i="31"/>
  <c r="D295" i="31" s="1"/>
  <c r="E297" i="31" s="1"/>
  <c r="D297" i="31" s="1"/>
  <c r="C40" i="38"/>
  <c r="N44" i="38"/>
  <c r="M29" i="77"/>
  <c r="N376" i="75"/>
  <c r="F376" i="75" s="1"/>
  <c r="N374" i="75"/>
  <c r="F374" i="75" s="1"/>
  <c r="N373" i="75"/>
  <c r="F373" i="75" s="1"/>
  <c r="H373" i="75" s="1"/>
  <c r="I94" i="75"/>
  <c r="C29" i="55"/>
  <c r="C35" i="38"/>
  <c r="K28" i="56"/>
  <c r="K35" i="56" s="1"/>
  <c r="E27" i="56"/>
  <c r="Z276" i="2"/>
  <c r="Z267" i="2"/>
  <c r="N28" i="55"/>
  <c r="N35" i="55" s="1"/>
  <c r="K28" i="55"/>
  <c r="K35" i="55" s="1"/>
  <c r="Z235" i="2"/>
  <c r="Z221" i="2"/>
  <c r="Z158" i="2"/>
  <c r="Z157" i="2"/>
  <c r="Z146" i="2"/>
  <c r="Z131" i="2"/>
  <c r="C32" i="47"/>
  <c r="N25" i="43"/>
  <c r="N26" i="43" s="1"/>
  <c r="N30" i="45"/>
  <c r="N36" i="45" s="1"/>
  <c r="C31" i="34"/>
  <c r="S5" i="2"/>
  <c r="Z15" i="2"/>
  <c r="C29" i="50"/>
  <c r="Z331" i="2"/>
  <c r="Z329" i="2"/>
  <c r="Z318" i="2"/>
  <c r="Z309" i="2"/>
  <c r="Z308" i="2"/>
  <c r="Z298" i="2"/>
  <c r="Z222" i="2"/>
  <c r="Z132" i="2"/>
  <c r="H90" i="75"/>
  <c r="C15" i="72"/>
  <c r="C39" i="38"/>
  <c r="Z325" i="2"/>
  <c r="F20" i="57"/>
  <c r="Z316" i="2"/>
  <c r="Z303" i="2"/>
  <c r="G27" i="56"/>
  <c r="Z286" i="2"/>
  <c r="Z271" i="2"/>
  <c r="Z269" i="2"/>
  <c r="G32" i="55"/>
  <c r="G35" i="55" s="1"/>
  <c r="Z264" i="2"/>
  <c r="Z260" i="2"/>
  <c r="Z247" i="2"/>
  <c r="Z228" i="2"/>
  <c r="Z185" i="2"/>
  <c r="Z101" i="2"/>
  <c r="C27" i="44"/>
  <c r="C33" i="44" s="1"/>
  <c r="C35" i="44" s="1"/>
  <c r="C34" i="56"/>
  <c r="L86" i="60"/>
  <c r="Z362" i="2"/>
  <c r="Z314" i="2"/>
  <c r="Z284" i="2"/>
  <c r="F32" i="55"/>
  <c r="Z254" i="2"/>
  <c r="Z245" i="2"/>
  <c r="L36" i="54"/>
  <c r="Z229" i="2"/>
  <c r="D36" i="54"/>
  <c r="Z227" i="2"/>
  <c r="Z207" i="2"/>
  <c r="Z206" i="2"/>
  <c r="Z204" i="2"/>
  <c r="Z188" i="2"/>
  <c r="T5" i="2"/>
  <c r="Z210" i="2"/>
  <c r="Z191" i="2"/>
  <c r="Z190" i="2"/>
  <c r="Z176" i="2"/>
  <c r="Z171" i="2"/>
  <c r="Z170" i="2"/>
  <c r="Z169" i="2"/>
  <c r="Z151" i="2"/>
  <c r="N33" i="44"/>
  <c r="H33" i="44"/>
  <c r="Z116" i="2"/>
  <c r="C34" i="47"/>
  <c r="C30" i="47"/>
  <c r="D31" i="47"/>
  <c r="Z106" i="2"/>
  <c r="Z104" i="2"/>
  <c r="Z67" i="2"/>
  <c r="Z41" i="2"/>
  <c r="Z38" i="2"/>
  <c r="Z12" i="2"/>
  <c r="Z10" i="2"/>
  <c r="E320" i="75"/>
  <c r="Z242" i="2"/>
  <c r="M36" i="54"/>
  <c r="M38" i="54" s="1"/>
  <c r="M12" i="89" s="1"/>
  <c r="Z224" i="2"/>
  <c r="N32" i="54"/>
  <c r="C32" i="54" s="1"/>
  <c r="Z177" i="2"/>
  <c r="Z156" i="2"/>
  <c r="Z142" i="2"/>
  <c r="Z124" i="2"/>
  <c r="Z123" i="2"/>
  <c r="Z118" i="2"/>
  <c r="Z114" i="2"/>
  <c r="C35" i="47"/>
  <c r="G29" i="47"/>
  <c r="G37" i="47" s="1"/>
  <c r="Z105" i="2"/>
  <c r="Z89" i="2"/>
  <c r="Z88" i="2"/>
  <c r="Z77" i="2"/>
  <c r="Z72" i="2"/>
  <c r="Z44" i="2"/>
  <c r="Z27" i="2"/>
  <c r="C396" i="31"/>
  <c r="E396" i="31" s="1"/>
  <c r="E398" i="31" s="1"/>
  <c r="E400" i="31" s="1"/>
  <c r="D400" i="31" s="1"/>
  <c r="Z232" i="2"/>
  <c r="O36" i="54"/>
  <c r="O38" i="54" s="1"/>
  <c r="N31" i="54"/>
  <c r="N38" i="54" s="1"/>
  <c r="J31" i="54"/>
  <c r="J38" i="54" s="1"/>
  <c r="J12" i="89" s="1"/>
  <c r="J15" i="89" s="1"/>
  <c r="Z186" i="2"/>
  <c r="Z173" i="2"/>
  <c r="Z163" i="2"/>
  <c r="Z161" i="2"/>
  <c r="L33" i="44"/>
  <c r="Z130" i="2"/>
  <c r="Z126" i="2"/>
  <c r="Z96" i="2"/>
  <c r="Z95" i="2"/>
  <c r="Z93" i="2"/>
  <c r="Z66" i="2"/>
  <c r="Z60" i="2"/>
  <c r="Z59" i="2"/>
  <c r="Z47" i="2"/>
  <c r="Z40" i="2"/>
  <c r="Z35" i="2"/>
  <c r="Z30" i="2"/>
  <c r="Z25" i="2"/>
  <c r="Z11" i="2"/>
  <c r="Z80" i="2"/>
  <c r="R43" i="38"/>
  <c r="Z57" i="2"/>
  <c r="O29" i="38"/>
  <c r="O44" i="38" s="1"/>
  <c r="G29" i="38"/>
  <c r="Z20" i="2"/>
  <c r="C373" i="31"/>
  <c r="B323" i="31"/>
  <c r="I31" i="54"/>
  <c r="I38" i="54" s="1"/>
  <c r="I12" i="89" s="1"/>
  <c r="E38" i="54"/>
  <c r="Z194" i="2"/>
  <c r="Z166" i="2"/>
  <c r="Z145" i="2"/>
  <c r="Z119" i="2"/>
  <c r="L37" i="47"/>
  <c r="D31" i="45"/>
  <c r="C31" i="45" s="1"/>
  <c r="Z91" i="2"/>
  <c r="Z74" i="2"/>
  <c r="E33" i="38"/>
  <c r="Z49" i="2"/>
  <c r="Z33" i="2"/>
  <c r="U5" i="2"/>
  <c r="G69" i="65"/>
  <c r="E14" i="87"/>
  <c r="Z127" i="2"/>
  <c r="H30" i="38"/>
  <c r="H44" i="38" s="1"/>
  <c r="Z31" i="2"/>
  <c r="E33" i="34"/>
  <c r="C33" i="34" s="1"/>
  <c r="Z17" i="2"/>
  <c r="E181" i="31"/>
  <c r="D181" i="31" s="1"/>
  <c r="D59" i="74"/>
  <c r="M91" i="61"/>
  <c r="L92" i="61" s="1"/>
  <c r="M25" i="61"/>
  <c r="L26" i="61" s="1"/>
  <c r="J32" i="75"/>
  <c r="D60" i="74"/>
  <c r="D17" i="74"/>
  <c r="H17" i="74" s="1"/>
  <c r="D43" i="74"/>
  <c r="D41" i="74"/>
  <c r="O26" i="79"/>
  <c r="O109" i="83"/>
  <c r="O98" i="83" s="1"/>
  <c r="E12" i="41"/>
  <c r="P29" i="41"/>
  <c r="L31" i="54"/>
  <c r="L38" i="54" s="1"/>
  <c r="L12" i="89" s="1"/>
  <c r="H31" i="54"/>
  <c r="H38" i="54" s="1"/>
  <c r="H12" i="89" s="1"/>
  <c r="H15" i="89" s="1"/>
  <c r="D31" i="54"/>
  <c r="C109" i="77" l="1"/>
  <c r="C138" i="77"/>
  <c r="F67" i="77"/>
  <c r="F53" i="77" s="1"/>
  <c r="C72" i="77"/>
  <c r="C153" i="77"/>
  <c r="C78" i="77"/>
  <c r="C96" i="77"/>
  <c r="C145" i="77"/>
  <c r="I180" i="77"/>
  <c r="C75" i="77"/>
  <c r="C76" i="77"/>
  <c r="I310" i="64"/>
  <c r="C166" i="77"/>
  <c r="C183" i="77"/>
  <c r="C70" i="77"/>
  <c r="C150" i="77"/>
  <c r="C84" i="77"/>
  <c r="E133" i="77"/>
  <c r="E55" i="77" s="1"/>
  <c r="C154" i="77"/>
  <c r="M174" i="77"/>
  <c r="M56" i="77" s="1"/>
  <c r="C164" i="77"/>
  <c r="G315" i="64"/>
  <c r="C155" i="77"/>
  <c r="G62" i="77"/>
  <c r="H62" i="77" s="1"/>
  <c r="I62" i="77" s="1"/>
  <c r="J62" i="77" s="1"/>
  <c r="K62" i="77" s="1"/>
  <c r="L62" i="77" s="1"/>
  <c r="M62" i="77" s="1"/>
  <c r="N62" i="77" s="1"/>
  <c r="C85" i="77"/>
  <c r="N67" i="77"/>
  <c r="N53" i="77" s="1"/>
  <c r="I67" i="77"/>
  <c r="I53" i="77" s="1"/>
  <c r="K133" i="77"/>
  <c r="K55" i="77" s="1"/>
  <c r="C81" i="77"/>
  <c r="C87" i="77"/>
  <c r="C149" i="77"/>
  <c r="C73" i="77"/>
  <c r="C86" i="77"/>
  <c r="C104" i="77"/>
  <c r="C140" i="77"/>
  <c r="E67" i="77"/>
  <c r="E53" i="77" s="1"/>
  <c r="C100" i="77"/>
  <c r="C105" i="77"/>
  <c r="C158" i="77"/>
  <c r="M92" i="77"/>
  <c r="M54" i="77" s="1"/>
  <c r="N133" i="77"/>
  <c r="N55" i="77" s="1"/>
  <c r="C181" i="77"/>
  <c r="C122" i="77"/>
  <c r="C112" i="77"/>
  <c r="H67" i="77"/>
  <c r="H53" i="77" s="1"/>
  <c r="E180" i="77"/>
  <c r="K67" i="77"/>
  <c r="K53" i="77" s="1"/>
  <c r="C161" i="77"/>
  <c r="C186" i="77"/>
  <c r="C101" i="77"/>
  <c r="C159" i="77"/>
  <c r="M34" i="79"/>
  <c r="C156" i="77"/>
  <c r="C141" i="77"/>
  <c r="J180" i="77"/>
  <c r="F92" i="77"/>
  <c r="F54" i="77" s="1"/>
  <c r="C103" i="77"/>
  <c r="C83" i="77"/>
  <c r="C189" i="77"/>
  <c r="C169" i="77"/>
  <c r="O133" i="77"/>
  <c r="O55" i="77" s="1"/>
  <c r="K92" i="77"/>
  <c r="K54" i="77" s="1"/>
  <c r="C135" i="77"/>
  <c r="I133" i="77"/>
  <c r="I55" i="77" s="1"/>
  <c r="C192" i="77"/>
  <c r="N92" i="77"/>
  <c r="N54" i="77" s="1"/>
  <c r="C152" i="77"/>
  <c r="I92" i="77"/>
  <c r="I54" i="77" s="1"/>
  <c r="R310" i="64"/>
  <c r="C42" i="77"/>
  <c r="E42" i="77" s="1"/>
  <c r="F42" i="77" s="1"/>
  <c r="D92" i="77"/>
  <c r="D54" i="77" s="1"/>
  <c r="M67" i="77"/>
  <c r="M53" i="77" s="1"/>
  <c r="G133" i="77"/>
  <c r="G55" i="77" s="1"/>
  <c r="H133" i="77"/>
  <c r="C74" i="77"/>
  <c r="C151" i="77"/>
  <c r="C187" i="77"/>
  <c r="L92" i="77"/>
  <c r="L54" i="77" s="1"/>
  <c r="O67" i="77"/>
  <c r="O53" i="77" s="1"/>
  <c r="C97" i="77"/>
  <c r="C88" i="77"/>
  <c r="C120" i="77"/>
  <c r="C115" i="77"/>
  <c r="F180" i="77"/>
  <c r="F57" i="77" s="1"/>
  <c r="N180" i="77"/>
  <c r="N57" i="77" s="1"/>
  <c r="C190" i="77"/>
  <c r="C116" i="77"/>
  <c r="J92" i="77"/>
  <c r="J54" i="77" s="1"/>
  <c r="K32" i="79" s="1"/>
  <c r="R312" i="64"/>
  <c r="C312" i="64"/>
  <c r="I312" i="64"/>
  <c r="C44" i="77"/>
  <c r="E44" i="77" s="1"/>
  <c r="F44" i="77" s="1"/>
  <c r="L174" i="77"/>
  <c r="L56" i="77" s="1"/>
  <c r="K34" i="79" s="1"/>
  <c r="E174" i="77"/>
  <c r="E56" i="77" s="1"/>
  <c r="J133" i="77"/>
  <c r="J55" i="77" s="1"/>
  <c r="C95" i="77"/>
  <c r="C168" i="77"/>
  <c r="C113" i="77"/>
  <c r="C165" i="77"/>
  <c r="C160" i="77"/>
  <c r="C185" i="77"/>
  <c r="C182" i="77"/>
  <c r="C31" i="67"/>
  <c r="I31" i="67"/>
  <c r="I33" i="67" s="1"/>
  <c r="I174" i="77"/>
  <c r="I56" i="77" s="1"/>
  <c r="I34" i="79" s="1"/>
  <c r="L57" i="77"/>
  <c r="M133" i="77"/>
  <c r="M55" i="77" s="1"/>
  <c r="C157" i="77"/>
  <c r="M180" i="77"/>
  <c r="M57" i="77" s="1"/>
  <c r="C191" i="77"/>
  <c r="C136" i="77"/>
  <c r="C71" i="77"/>
  <c r="G67" i="77"/>
  <c r="G53" i="77" s="1"/>
  <c r="L67" i="77"/>
  <c r="L53" i="77" s="1"/>
  <c r="C108" i="77"/>
  <c r="C117" i="77"/>
  <c r="H92" i="77"/>
  <c r="H54" i="77" s="1"/>
  <c r="O92" i="77"/>
  <c r="O54" i="77" s="1"/>
  <c r="E92" i="77"/>
  <c r="E54" i="77" s="1"/>
  <c r="C82" i="77"/>
  <c r="D180" i="77"/>
  <c r="D57" i="77" s="1"/>
  <c r="D174" i="77"/>
  <c r="D56" i="77" s="1"/>
  <c r="C163" i="77"/>
  <c r="C143" i="77"/>
  <c r="C77" i="77"/>
  <c r="C80" i="77"/>
  <c r="H180" i="77"/>
  <c r="H57" i="77" s="1"/>
  <c r="C124" i="77"/>
  <c r="C79" i="77"/>
  <c r="D24" i="73"/>
  <c r="D23" i="73" s="1"/>
  <c r="C41" i="77"/>
  <c r="E41" i="77" s="1"/>
  <c r="F41" i="77" s="1"/>
  <c r="C93" i="77"/>
  <c r="R309" i="64"/>
  <c r="C134" i="77"/>
  <c r="D133" i="77"/>
  <c r="D55" i="77" s="1"/>
  <c r="L133" i="77"/>
  <c r="L55" i="77" s="1"/>
  <c r="C119" i="77"/>
  <c r="C148" i="77"/>
  <c r="C144" i="77"/>
  <c r="C139" i="77"/>
  <c r="C118" i="77"/>
  <c r="J67" i="77"/>
  <c r="J53" i="77" s="1"/>
  <c r="K31" i="79" s="1"/>
  <c r="D67" i="77"/>
  <c r="D53" i="77" s="1"/>
  <c r="C68" i="77"/>
  <c r="C114" i="77"/>
  <c r="C69" i="77"/>
  <c r="G92" i="77"/>
  <c r="G54" i="77" s="1"/>
  <c r="C99" i="77"/>
  <c r="C162" i="77"/>
  <c r="F27" i="73"/>
  <c r="E27" i="73"/>
  <c r="C123" i="77"/>
  <c r="C177" i="77"/>
  <c r="C174" i="77" s="1"/>
  <c r="G180" i="77"/>
  <c r="G57" i="77" s="1"/>
  <c r="C184" i="77"/>
  <c r="C107" i="77"/>
  <c r="C121" i="77"/>
  <c r="F133" i="77"/>
  <c r="C94" i="77"/>
  <c r="M15" i="89"/>
  <c r="M14" i="89"/>
  <c r="H60" i="79"/>
  <c r="C30" i="35"/>
  <c r="G10" i="35"/>
  <c r="F8" i="49" s="1"/>
  <c r="C29" i="58"/>
  <c r="G10" i="58"/>
  <c r="F38" i="49" s="1"/>
  <c r="D38" i="54"/>
  <c r="D12" i="89" s="1"/>
  <c r="C31" i="54"/>
  <c r="F12" i="41"/>
  <c r="I14" i="89"/>
  <c r="I15" i="89"/>
  <c r="C36" i="44"/>
  <c r="C38" i="44"/>
  <c r="G38" i="56"/>
  <c r="G35" i="56"/>
  <c r="G12" i="89" s="1"/>
  <c r="D317" i="75"/>
  <c r="D320" i="75" s="1"/>
  <c r="D251" i="75"/>
  <c r="G131" i="75"/>
  <c r="G134" i="75" s="1"/>
  <c r="D194" i="75"/>
  <c r="D231" i="75"/>
  <c r="G27" i="75"/>
  <c r="K23" i="75"/>
  <c r="C175" i="75"/>
  <c r="F150" i="75"/>
  <c r="C29" i="43"/>
  <c r="G10" i="43"/>
  <c r="F21" i="49" s="1"/>
  <c r="C13" i="73"/>
  <c r="C30" i="73" s="1"/>
  <c r="F15" i="85"/>
  <c r="G8" i="85"/>
  <c r="G13" i="85" s="1"/>
  <c r="C15" i="53"/>
  <c r="U481" i="68"/>
  <c r="T481" i="68"/>
  <c r="B11" i="71"/>
  <c r="S481" i="68"/>
  <c r="V481" i="68"/>
  <c r="C12" i="34"/>
  <c r="E120" i="68"/>
  <c r="E127" i="68" s="1"/>
  <c r="E129" i="68" s="1"/>
  <c r="D129" i="68" s="1"/>
  <c r="C127" i="68"/>
  <c r="F14" i="58"/>
  <c r="E16" i="58"/>
  <c r="D16" i="58" s="1"/>
  <c r="I57" i="77"/>
  <c r="N12" i="89"/>
  <c r="C31" i="47"/>
  <c r="D37" i="47"/>
  <c r="C36" i="54"/>
  <c r="E122" i="75"/>
  <c r="E112" i="75"/>
  <c r="C320" i="75"/>
  <c r="H317" i="75"/>
  <c r="I98" i="75"/>
  <c r="H245" i="75"/>
  <c r="J14" i="89"/>
  <c r="E28" i="85"/>
  <c r="F22" i="85"/>
  <c r="F24" i="85" s="1"/>
  <c r="F26" i="85" s="1"/>
  <c r="D14" i="89"/>
  <c r="H172" i="75"/>
  <c r="H147" i="75"/>
  <c r="G10" i="79"/>
  <c r="C18" i="65"/>
  <c r="B54" i="70"/>
  <c r="B59" i="70" s="1"/>
  <c r="L96" i="74"/>
  <c r="H320" i="75"/>
  <c r="F20" i="47"/>
  <c r="E22" i="47"/>
  <c r="D22" i="47" s="1"/>
  <c r="B25" i="78"/>
  <c r="C17" i="38"/>
  <c r="E17" i="38" s="1"/>
  <c r="F17" i="38" s="1"/>
  <c r="T30" i="38"/>
  <c r="E37" i="34"/>
  <c r="I291" i="64"/>
  <c r="C14" i="77"/>
  <c r="E14" i="77" s="1"/>
  <c r="F14" i="77" s="1"/>
  <c r="B192" i="31"/>
  <c r="C198" i="31"/>
  <c r="E13" i="54"/>
  <c r="C22" i="54"/>
  <c r="F42" i="72"/>
  <c r="B84" i="74"/>
  <c r="H84" i="74" s="1"/>
  <c r="F43" i="87"/>
  <c r="C30" i="45"/>
  <c r="E25" i="73"/>
  <c r="F25" i="73"/>
  <c r="J57" i="77"/>
  <c r="E26" i="73"/>
  <c r="F26" i="73"/>
  <c r="I304" i="75"/>
  <c r="I300" i="75"/>
  <c r="I303" i="75"/>
  <c r="I299" i="75"/>
  <c r="I301" i="75"/>
  <c r="G181" i="75"/>
  <c r="G30" i="37"/>
  <c r="G31" i="37" s="1"/>
  <c r="H26" i="37"/>
  <c r="E15" i="45"/>
  <c r="C20" i="45"/>
  <c r="C33" i="38"/>
  <c r="H17" i="38" s="1"/>
  <c r="R33" i="38"/>
  <c r="T33" i="38"/>
  <c r="E373" i="31"/>
  <c r="E378" i="31" s="1"/>
  <c r="E380" i="31" s="1"/>
  <c r="D380" i="31" s="1"/>
  <c r="C378" i="31"/>
  <c r="E39" i="41"/>
  <c r="F39" i="41" s="1"/>
  <c r="N39" i="41" s="1"/>
  <c r="C32" i="55"/>
  <c r="F38" i="55" s="1"/>
  <c r="F35" i="55"/>
  <c r="H48" i="65"/>
  <c r="C12" i="74"/>
  <c r="D12" i="74" s="1"/>
  <c r="H12" i="74" s="1"/>
  <c r="C18" i="72"/>
  <c r="J15" i="72"/>
  <c r="N15" i="72"/>
  <c r="N18" i="72" s="1"/>
  <c r="I15" i="72"/>
  <c r="J18" i="72" s="1"/>
  <c r="J19" i="72" s="1"/>
  <c r="C311" i="64"/>
  <c r="E15" i="72"/>
  <c r="K12" i="89"/>
  <c r="K15" i="89" s="1"/>
  <c r="E38" i="56"/>
  <c r="E35" i="56"/>
  <c r="C27" i="56"/>
  <c r="C35" i="56" s="1"/>
  <c r="C37" i="56" s="1"/>
  <c r="L10" i="89"/>
  <c r="L14" i="89" s="1"/>
  <c r="L15" i="89"/>
  <c r="D306" i="75"/>
  <c r="I302" i="75"/>
  <c r="H14" i="89"/>
  <c r="D29" i="77"/>
  <c r="D31" i="77" s="1"/>
  <c r="E31" i="77" s="1"/>
  <c r="F31" i="77" s="1"/>
  <c r="G31" i="77" s="1"/>
  <c r="H31" i="77" s="1"/>
  <c r="I31" i="77" s="1"/>
  <c r="J31" i="77" s="1"/>
  <c r="K31" i="77" s="1"/>
  <c r="L31" i="77" s="1"/>
  <c r="M31" i="77" s="1"/>
  <c r="N31" i="77" s="1"/>
  <c r="C28" i="77"/>
  <c r="K17" i="79"/>
  <c r="J22" i="65"/>
  <c r="E29" i="65"/>
  <c r="C29" i="53"/>
  <c r="G156" i="75"/>
  <c r="O13" i="79"/>
  <c r="C29" i="47"/>
  <c r="C37" i="47" s="1"/>
  <c r="C39" i="47" s="1"/>
  <c r="F371" i="75"/>
  <c r="F379" i="75" s="1"/>
  <c r="D379" i="75"/>
  <c r="E44" i="38"/>
  <c r="E22" i="65"/>
  <c r="E26" i="65" s="1"/>
  <c r="F26" i="65" s="1"/>
  <c r="G26" i="65" s="1"/>
  <c r="H26" i="65" s="1"/>
  <c r="I26" i="65" s="1"/>
  <c r="G299" i="64"/>
  <c r="G18" i="67"/>
  <c r="C398" i="31"/>
  <c r="B34" i="87"/>
  <c r="S395" i="68"/>
  <c r="R395" i="68" s="1"/>
  <c r="B388" i="68" s="1"/>
  <c r="U395" i="68"/>
  <c r="B33" i="72"/>
  <c r="T395" i="68"/>
  <c r="V395" i="68"/>
  <c r="E12" i="37"/>
  <c r="C13" i="37"/>
  <c r="C26" i="37" s="1"/>
  <c r="B17" i="71"/>
  <c r="C547" i="68"/>
  <c r="E548" i="68"/>
  <c r="D548" i="68" s="1"/>
  <c r="O111" i="83"/>
  <c r="F18" i="56"/>
  <c r="E20" i="56"/>
  <c r="D20" i="56" s="1"/>
  <c r="C310" i="64"/>
  <c r="O57" i="77"/>
  <c r="H55" i="77"/>
  <c r="H24" i="74"/>
  <c r="D24" i="74"/>
  <c r="K57" i="77"/>
  <c r="K58" i="77" s="1"/>
  <c r="K61" i="77" s="1"/>
  <c r="K197" i="77"/>
  <c r="E43" i="77"/>
  <c r="F43" i="77" s="1"/>
  <c r="E18" i="87"/>
  <c r="F16" i="87"/>
  <c r="G44" i="38"/>
  <c r="T29" i="38"/>
  <c r="C29" i="38"/>
  <c r="P12" i="79"/>
  <c r="C29" i="41"/>
  <c r="C36" i="41" s="1"/>
  <c r="P36" i="41"/>
  <c r="E12" i="89"/>
  <c r="E15" i="89" s="1"/>
  <c r="F21" i="57"/>
  <c r="C20" i="57"/>
  <c r="C21" i="57" s="1"/>
  <c r="C23" i="57" s="1"/>
  <c r="H98" i="75"/>
  <c r="C43" i="38"/>
  <c r="F242" i="75"/>
  <c r="F246" i="75" s="1"/>
  <c r="D246" i="75"/>
  <c r="C149" i="75" s="1"/>
  <c r="C148" i="75"/>
  <c r="O29" i="77"/>
  <c r="C25" i="77"/>
  <c r="C29" i="77" s="1"/>
  <c r="H62" i="79"/>
  <c r="E17" i="41"/>
  <c r="F17" i="41" s="1"/>
  <c r="C19" i="41"/>
  <c r="B633" i="68"/>
  <c r="C73" i="74"/>
  <c r="G12" i="71"/>
  <c r="C14" i="71"/>
  <c r="D14" i="33"/>
  <c r="E10" i="89"/>
  <c r="O6" i="89"/>
  <c r="C33" i="33"/>
  <c r="B34" i="33"/>
  <c r="C34" i="33" s="1"/>
  <c r="E17" i="35"/>
  <c r="D17" i="35" s="1"/>
  <c r="F15" i="35"/>
  <c r="C30" i="38"/>
  <c r="F12" i="89"/>
  <c r="G203" i="75"/>
  <c r="D212" i="75" s="1"/>
  <c r="C161" i="31"/>
  <c r="E157" i="31"/>
  <c r="E161" i="31" s="1"/>
  <c r="E163" i="31" s="1"/>
  <c r="D163" i="31" s="1"/>
  <c r="F12" i="38"/>
  <c r="D36" i="45"/>
  <c r="F17" i="55"/>
  <c r="E18" i="55"/>
  <c r="C324" i="68"/>
  <c r="G31" i="79" l="1"/>
  <c r="I315" i="64"/>
  <c r="M32" i="79"/>
  <c r="I35" i="79"/>
  <c r="I44" i="77"/>
  <c r="E197" i="77"/>
  <c r="N58" i="77"/>
  <c r="N61" i="77" s="1"/>
  <c r="E58" i="77"/>
  <c r="E61" i="77" s="1"/>
  <c r="E57" i="77"/>
  <c r="G35" i="79" s="1"/>
  <c r="I197" i="77"/>
  <c r="H58" i="77"/>
  <c r="H61" i="77" s="1"/>
  <c r="I31" i="79"/>
  <c r="M58" i="77"/>
  <c r="M61" i="77" s="1"/>
  <c r="G32" i="79"/>
  <c r="H197" i="77"/>
  <c r="N197" i="77"/>
  <c r="J58" i="77"/>
  <c r="J61" i="77" s="1"/>
  <c r="M31" i="79"/>
  <c r="C46" i="77"/>
  <c r="J197" i="77"/>
  <c r="C180" i="77"/>
  <c r="I32" i="79"/>
  <c r="O32" i="79" s="1"/>
  <c r="P32" i="79" s="1"/>
  <c r="C133" i="77"/>
  <c r="K33" i="79"/>
  <c r="D197" i="77"/>
  <c r="O197" i="77"/>
  <c r="G197" i="77"/>
  <c r="D58" i="77"/>
  <c r="D61" i="77" s="1"/>
  <c r="M197" i="77"/>
  <c r="C54" i="77"/>
  <c r="B64" i="77" s="1"/>
  <c r="C53" i="77"/>
  <c r="B63" i="77" s="1"/>
  <c r="M33" i="79"/>
  <c r="C67" i="77"/>
  <c r="I41" i="77" s="1"/>
  <c r="R315" i="64"/>
  <c r="C200" i="77"/>
  <c r="I45" i="77"/>
  <c r="P312" i="64"/>
  <c r="P311" i="64"/>
  <c r="I42" i="77"/>
  <c r="C57" i="77"/>
  <c r="C92" i="77"/>
  <c r="I43" i="77" s="1"/>
  <c r="F55" i="77"/>
  <c r="C55" i="77" s="1"/>
  <c r="F197" i="77"/>
  <c r="C318" i="64"/>
  <c r="I58" i="77"/>
  <c r="I61" i="77" s="1"/>
  <c r="L197" i="77"/>
  <c r="E24" i="73"/>
  <c r="F24" i="73"/>
  <c r="F23" i="73" s="1"/>
  <c r="C56" i="77"/>
  <c r="G34" i="79"/>
  <c r="O34" i="79" s="1"/>
  <c r="L58" i="77"/>
  <c r="L61" i="77" s="1"/>
  <c r="G15" i="89"/>
  <c r="G14" i="89"/>
  <c r="G289" i="64"/>
  <c r="G9" i="67"/>
  <c r="F15" i="65"/>
  <c r="F14" i="65" s="1"/>
  <c r="C22" i="65"/>
  <c r="C23" i="65" s="1"/>
  <c r="C24" i="65" s="1"/>
  <c r="E12" i="34"/>
  <c r="C19" i="34"/>
  <c r="C39" i="34" s="1"/>
  <c r="H231" i="75"/>
  <c r="H234" i="75" s="1"/>
  <c r="D234" i="75"/>
  <c r="I33" i="79"/>
  <c r="G58" i="77"/>
  <c r="G61" i="77" s="1"/>
  <c r="I28" i="73"/>
  <c r="I24" i="73"/>
  <c r="C75" i="74"/>
  <c r="G14" i="71"/>
  <c r="D15" i="33"/>
  <c r="D21" i="33"/>
  <c r="D20" i="33"/>
  <c r="C30" i="71"/>
  <c r="D66" i="33"/>
  <c r="D19" i="33"/>
  <c r="D22" i="33"/>
  <c r="D68" i="33"/>
  <c r="C173" i="75"/>
  <c r="C152" i="75"/>
  <c r="F148" i="75"/>
  <c r="G16" i="87"/>
  <c r="F17" i="87"/>
  <c r="G17" i="87" s="1"/>
  <c r="B24" i="71"/>
  <c r="F69" i="2"/>
  <c r="F70" i="2" s="1"/>
  <c r="C309" i="64"/>
  <c r="B78" i="74"/>
  <c r="H78" i="74" s="1"/>
  <c r="B22" i="70" s="1"/>
  <c r="K17" i="71"/>
  <c r="F34" i="87"/>
  <c r="F42" i="87" s="1"/>
  <c r="B42" i="87"/>
  <c r="B53" i="87" s="1"/>
  <c r="B62" i="77"/>
  <c r="C40" i="47"/>
  <c r="G10" i="47"/>
  <c r="F23" i="49" s="1"/>
  <c r="K18" i="79"/>
  <c r="O17" i="79"/>
  <c r="K14" i="89"/>
  <c r="J20" i="72"/>
  <c r="E46" i="77"/>
  <c r="P34" i="79"/>
  <c r="F25" i="45"/>
  <c r="D41" i="45"/>
  <c r="C36" i="45"/>
  <c r="C38" i="45" s="1"/>
  <c r="O10" i="79"/>
  <c r="G14" i="79"/>
  <c r="G28" i="79" s="1"/>
  <c r="H8" i="85"/>
  <c r="H13" i="85" s="1"/>
  <c r="G15" i="85"/>
  <c r="F175" i="75"/>
  <c r="C196" i="75"/>
  <c r="C197" i="75" s="1"/>
  <c r="G194" i="75"/>
  <c r="C38" i="54"/>
  <c r="D39" i="33"/>
  <c r="C29" i="72"/>
  <c r="D6" i="33" s="1"/>
  <c r="D45" i="33"/>
  <c r="D38" i="33"/>
  <c r="C15" i="74"/>
  <c r="D41" i="33"/>
  <c r="H30" i="37"/>
  <c r="H31" i="37" s="1"/>
  <c r="I26" i="37"/>
  <c r="E20" i="55"/>
  <c r="D20" i="55" s="1"/>
  <c r="F18" i="55"/>
  <c r="O15" i="89"/>
  <c r="O10" i="89"/>
  <c r="F15" i="89"/>
  <c r="F14" i="89"/>
  <c r="C174" i="75"/>
  <c r="F149" i="75"/>
  <c r="G8" i="57"/>
  <c r="F37" i="49" s="1"/>
  <c r="C24" i="57"/>
  <c r="C38" i="41"/>
  <c r="C27" i="37"/>
  <c r="G10" i="37"/>
  <c r="F10" i="49" s="1"/>
  <c r="B41" i="72"/>
  <c r="F33" i="72"/>
  <c r="F41" i="72" s="1"/>
  <c r="B34" i="74"/>
  <c r="D34" i="74" s="1"/>
  <c r="H34" i="74" s="1"/>
  <c r="B25" i="70" s="1"/>
  <c r="B32" i="78"/>
  <c r="B36" i="78" s="1"/>
  <c r="C20" i="28"/>
  <c r="F86" i="65"/>
  <c r="G87" i="65" s="1"/>
  <c r="G49" i="65"/>
  <c r="C19" i="28"/>
  <c r="C35" i="55"/>
  <c r="C37" i="55" s="1"/>
  <c r="E22" i="54"/>
  <c r="F13" i="54"/>
  <c r="W127" i="68"/>
  <c r="T127" i="68"/>
  <c r="B11" i="87"/>
  <c r="B11" i="72"/>
  <c r="U127" i="68"/>
  <c r="V127" i="68"/>
  <c r="R481" i="68"/>
  <c r="B475" i="68" s="1"/>
  <c r="E15" i="53"/>
  <c r="C16" i="53"/>
  <c r="C31" i="53" s="1"/>
  <c r="B38" i="70"/>
  <c r="B45" i="70" s="1"/>
  <c r="K27" i="75"/>
  <c r="K32" i="75" s="1"/>
  <c r="J19" i="87"/>
  <c r="G135" i="75"/>
  <c r="K135" i="75" s="1"/>
  <c r="K134" i="75"/>
  <c r="K140" i="75" s="1"/>
  <c r="D15" i="89"/>
  <c r="O12" i="89"/>
  <c r="M35" i="79"/>
  <c r="O58" i="77"/>
  <c r="O61" i="77" s="1"/>
  <c r="I299" i="64"/>
  <c r="I300" i="64" s="1"/>
  <c r="G300" i="64"/>
  <c r="K16" i="45"/>
  <c r="G55" i="79" s="1"/>
  <c r="G45" i="79" s="1"/>
  <c r="M16" i="45"/>
  <c r="K55" i="79" s="1"/>
  <c r="K45" i="79" s="1"/>
  <c r="K44" i="79" s="1"/>
  <c r="N16" i="45"/>
  <c r="M55" i="79" s="1"/>
  <c r="M45" i="79" s="1"/>
  <c r="L16" i="45"/>
  <c r="I55" i="79" s="1"/>
  <c r="I45" i="79" s="1"/>
  <c r="I44" i="79" s="1"/>
  <c r="C162" i="31"/>
  <c r="B154" i="31"/>
  <c r="E14" i="89"/>
  <c r="C44" i="38"/>
  <c r="H13" i="38"/>
  <c r="E7" i="38"/>
  <c r="G7" i="38" s="1"/>
  <c r="D24" i="38"/>
  <c r="E24" i="38" s="1"/>
  <c r="G20" i="38"/>
  <c r="C24" i="38"/>
  <c r="E13" i="37"/>
  <c r="F12" i="37"/>
  <c r="G19" i="67"/>
  <c r="I18" i="67"/>
  <c r="I19" i="67" s="1"/>
  <c r="J26" i="65"/>
  <c r="K26" i="65" s="1"/>
  <c r="L26" i="65" s="1"/>
  <c r="M26" i="65" s="1"/>
  <c r="N26" i="65" s="1"/>
  <c r="O26" i="65" s="1"/>
  <c r="O31" i="77"/>
  <c r="G8" i="56"/>
  <c r="F36" i="49" s="1"/>
  <c r="C38" i="56"/>
  <c r="E18" i="72"/>
  <c r="F15" i="72"/>
  <c r="F17" i="72" s="1"/>
  <c r="G17" i="72" s="1"/>
  <c r="F15" i="45"/>
  <c r="E20" i="45"/>
  <c r="I26" i="73"/>
  <c r="K35" i="79"/>
  <c r="K36" i="79" s="1"/>
  <c r="I61" i="79" s="1"/>
  <c r="I25" i="73"/>
  <c r="J19" i="34"/>
  <c r="I54" i="79" s="1"/>
  <c r="I42" i="79" s="1"/>
  <c r="I41" i="79" s="1"/>
  <c r="L19" i="34"/>
  <c r="M54" i="79" s="1"/>
  <c r="M42" i="79" s="1"/>
  <c r="K19" i="34"/>
  <c r="K54" i="79" s="1"/>
  <c r="K42" i="79" s="1"/>
  <c r="K41" i="79" s="1"/>
  <c r="I19" i="34"/>
  <c r="G54" i="79" s="1"/>
  <c r="G42" i="79" s="1"/>
  <c r="F28" i="85"/>
  <c r="G22" i="85"/>
  <c r="G24" i="85" s="1"/>
  <c r="G26" i="85" s="1"/>
  <c r="G122" i="75"/>
  <c r="G125" i="75" s="1"/>
  <c r="E125" i="75"/>
  <c r="N15" i="89"/>
  <c r="N14" i="89"/>
  <c r="B15" i="70"/>
  <c r="B72" i="74"/>
  <c r="H72" i="74" s="1"/>
  <c r="C296" i="64"/>
  <c r="B15" i="33"/>
  <c r="C15" i="33" s="1"/>
  <c r="B14" i="71"/>
  <c r="C482" i="68"/>
  <c r="G150" i="75"/>
  <c r="H150" i="75" s="1"/>
  <c r="E161" i="75"/>
  <c r="G161" i="75" s="1"/>
  <c r="G32" i="75"/>
  <c r="C281" i="75"/>
  <c r="C264" i="75"/>
  <c r="C265" i="75" s="1"/>
  <c r="C254" i="75"/>
  <c r="G251" i="75"/>
  <c r="G253" i="75" s="1"/>
  <c r="C253" i="75"/>
  <c r="E19" i="41"/>
  <c r="I36" i="79" l="1"/>
  <c r="D64" i="77"/>
  <c r="E64" i="77" s="1"/>
  <c r="M36" i="79"/>
  <c r="C64" i="77"/>
  <c r="O31" i="79"/>
  <c r="P31" i="79" s="1"/>
  <c r="C58" i="77"/>
  <c r="D63" i="77" s="1"/>
  <c r="C62" i="77"/>
  <c r="C197" i="77"/>
  <c r="C199" i="77" s="1"/>
  <c r="O35" i="79"/>
  <c r="P35" i="79" s="1"/>
  <c r="F58" i="77"/>
  <c r="F61" i="77" s="1"/>
  <c r="G33" i="79"/>
  <c r="G9" i="53"/>
  <c r="F33" i="49" s="1"/>
  <c r="C32" i="53"/>
  <c r="G28" i="85"/>
  <c r="H22" i="85"/>
  <c r="H24" i="85" s="1"/>
  <c r="H26" i="85" s="1"/>
  <c r="C284" i="75"/>
  <c r="G281" i="75"/>
  <c r="G283" i="75" s="1"/>
  <c r="F308" i="75" s="1"/>
  <c r="C283" i="75"/>
  <c r="P42" i="79"/>
  <c r="M41" i="79"/>
  <c r="P41" i="79" s="1"/>
  <c r="G44" i="79"/>
  <c r="O45" i="79"/>
  <c r="B24" i="72"/>
  <c r="B25" i="87"/>
  <c r="G61" i="75"/>
  <c r="AT45" i="2"/>
  <c r="AT46" i="2" s="1"/>
  <c r="B68" i="33"/>
  <c r="C68" i="33" s="1"/>
  <c r="I11" i="72"/>
  <c r="I18" i="72" s="1"/>
  <c r="B18" i="72"/>
  <c r="B40" i="33"/>
  <c r="C40" i="33" s="1"/>
  <c r="B8" i="74"/>
  <c r="B7" i="78"/>
  <c r="B12" i="78" s="1"/>
  <c r="L28" i="67"/>
  <c r="C25" i="28"/>
  <c r="L309" i="64"/>
  <c r="C28" i="67"/>
  <c r="B29" i="29"/>
  <c r="L29" i="67"/>
  <c r="M29" i="67" s="1"/>
  <c r="L310" i="64"/>
  <c r="M310" i="64" s="1"/>
  <c r="C29" i="67"/>
  <c r="B42" i="74"/>
  <c r="D42" i="74" s="1"/>
  <c r="B52" i="72"/>
  <c r="D40" i="54"/>
  <c r="C40" i="54"/>
  <c r="E186" i="75"/>
  <c r="G186" i="75" s="1"/>
  <c r="G175" i="75"/>
  <c r="H175" i="75" s="1"/>
  <c r="H59" i="79"/>
  <c r="H96" i="74"/>
  <c r="C177" i="75"/>
  <c r="F173" i="75"/>
  <c r="G262" i="75"/>
  <c r="E269" i="75" s="1"/>
  <c r="E272" i="75" s="1"/>
  <c r="D270" i="75"/>
  <c r="D272" i="75" s="1"/>
  <c r="H240" i="75"/>
  <c r="B20" i="78"/>
  <c r="B27" i="78" s="1"/>
  <c r="B28" i="78" s="1"/>
  <c r="C14" i="38"/>
  <c r="B14" i="33"/>
  <c r="C14" i="33" s="1"/>
  <c r="B21" i="33"/>
  <c r="C21" i="33" s="1"/>
  <c r="F63" i="2"/>
  <c r="B30" i="71"/>
  <c r="B20" i="33"/>
  <c r="C20" i="33" s="1"/>
  <c r="B75" i="74"/>
  <c r="B22" i="33"/>
  <c r="C22" i="33" s="1"/>
  <c r="B29" i="70"/>
  <c r="I60" i="79"/>
  <c r="I38" i="79"/>
  <c r="E15" i="37"/>
  <c r="D15" i="37" s="1"/>
  <c r="F13" i="37"/>
  <c r="I49" i="79"/>
  <c r="I51" i="79" s="1"/>
  <c r="C128" i="68"/>
  <c r="Y128" i="68" s="1"/>
  <c r="B18" i="87"/>
  <c r="I11" i="87"/>
  <c r="I18" i="87" s="1"/>
  <c r="F22" i="54"/>
  <c r="E24" i="54"/>
  <c r="D24" i="54" s="1"/>
  <c r="G205" i="75"/>
  <c r="G196" i="75"/>
  <c r="E211" i="75" s="1"/>
  <c r="E213" i="75" s="1"/>
  <c r="G206" i="75"/>
  <c r="G208" i="75" s="1"/>
  <c r="O14" i="79"/>
  <c r="P10" i="79"/>
  <c r="P14" i="79" s="1"/>
  <c r="H4" i="74"/>
  <c r="I24" i="71"/>
  <c r="E23" i="71"/>
  <c r="E25" i="71" s="1"/>
  <c r="AT106" i="2"/>
  <c r="AT117" i="2"/>
  <c r="D38" i="65"/>
  <c r="D39" i="65" s="1"/>
  <c r="F66" i="2"/>
  <c r="B23" i="33"/>
  <c r="C23" i="33" s="1"/>
  <c r="B24" i="33"/>
  <c r="C24" i="33" s="1"/>
  <c r="B85" i="74"/>
  <c r="G320" i="64"/>
  <c r="G321" i="64" s="1"/>
  <c r="O315" i="64"/>
  <c r="E158" i="75"/>
  <c r="F152" i="75"/>
  <c r="G148" i="75"/>
  <c r="F12" i="34"/>
  <c r="E19" i="34"/>
  <c r="I289" i="64"/>
  <c r="I292" i="64" s="1"/>
  <c r="G292" i="64"/>
  <c r="O289" i="64"/>
  <c r="O291" i="64" s="1"/>
  <c r="C12" i="77"/>
  <c r="O42" i="79"/>
  <c r="G41" i="79"/>
  <c r="O41" i="79" s="1"/>
  <c r="F20" i="45"/>
  <c r="E22" i="45"/>
  <c r="D22" i="45" s="1"/>
  <c r="P45" i="79"/>
  <c r="M44" i="79"/>
  <c r="K136" i="75"/>
  <c r="K139" i="75"/>
  <c r="R127" i="68"/>
  <c r="B114" i="68" s="1"/>
  <c r="C38" i="55"/>
  <c r="G8" i="55"/>
  <c r="F35" i="49" s="1"/>
  <c r="D28" i="58"/>
  <c r="G149" i="75"/>
  <c r="H149" i="75" s="1"/>
  <c r="E160" i="75"/>
  <c r="G160" i="75" s="1"/>
  <c r="D8" i="33"/>
  <c r="D7" i="33"/>
  <c r="D9" i="33"/>
  <c r="D52" i="33"/>
  <c r="C29" i="74"/>
  <c r="I8" i="85"/>
  <c r="I13" i="85" s="1"/>
  <c r="H15" i="85"/>
  <c r="G11" i="45"/>
  <c r="F19" i="49" s="1"/>
  <c r="C39" i="45"/>
  <c r="P17" i="79"/>
  <c r="P18" i="79" s="1"/>
  <c r="D67" i="33"/>
  <c r="C33" i="71"/>
  <c r="D53" i="33"/>
  <c r="G30" i="71"/>
  <c r="C91" i="74"/>
  <c r="D462" i="68"/>
  <c r="I62" i="79"/>
  <c r="M38" i="79"/>
  <c r="F19" i="41"/>
  <c r="E21" i="41"/>
  <c r="D21" i="41" s="1"/>
  <c r="K49" i="79"/>
  <c r="J21" i="87"/>
  <c r="J20" i="87"/>
  <c r="F15" i="53"/>
  <c r="E16" i="53"/>
  <c r="C379" i="31"/>
  <c r="C399" i="31"/>
  <c r="C39" i="41"/>
  <c r="G10" i="41"/>
  <c r="F14" i="49" s="1"/>
  <c r="F174" i="75"/>
  <c r="O14" i="89"/>
  <c r="J26" i="37"/>
  <c r="I30" i="37"/>
  <c r="I31" i="37" s="1"/>
  <c r="E48" i="77"/>
  <c r="D48" i="77" s="1"/>
  <c r="F46" i="77"/>
  <c r="J21" i="72"/>
  <c r="K28" i="79"/>
  <c r="O18" i="79"/>
  <c r="B19" i="33"/>
  <c r="C19" i="33" s="1"/>
  <c r="G9" i="34"/>
  <c r="F7" i="49" s="1"/>
  <c r="C40" i="34"/>
  <c r="G11" i="67"/>
  <c r="I9" i="67"/>
  <c r="I11" i="67" s="1"/>
  <c r="C63" i="77" l="1"/>
  <c r="C60" i="77"/>
  <c r="G38" i="77" s="1"/>
  <c r="F40" i="49" s="1"/>
  <c r="F64" i="77"/>
  <c r="G64" i="77" s="1"/>
  <c r="H64" i="77" s="1"/>
  <c r="I64" i="77" s="1"/>
  <c r="J64" i="77" s="1"/>
  <c r="K64" i="77" s="1"/>
  <c r="L64" i="77" s="1"/>
  <c r="M64" i="77" s="1"/>
  <c r="N64" i="77" s="1"/>
  <c r="O64" i="77" s="1"/>
  <c r="G36" i="79"/>
  <c r="O33" i="79"/>
  <c r="G158" i="75"/>
  <c r="G164" i="75" s="1"/>
  <c r="D155" i="75"/>
  <c r="E164" i="75"/>
  <c r="E14" i="38"/>
  <c r="C18" i="38"/>
  <c r="H14" i="38"/>
  <c r="C41" i="54"/>
  <c r="G10" i="54"/>
  <c r="F34" i="49" s="1"/>
  <c r="L33" i="67"/>
  <c r="M28" i="67"/>
  <c r="M33" i="67" s="1"/>
  <c r="AT32" i="2"/>
  <c r="B45" i="33"/>
  <c r="C45" i="33" s="1"/>
  <c r="AT28" i="2"/>
  <c r="B39" i="33"/>
  <c r="C39" i="33" s="1"/>
  <c r="B15" i="74"/>
  <c r="D15" i="74" s="1"/>
  <c r="B38" i="33"/>
  <c r="C38" i="33" s="1"/>
  <c r="J30" i="37"/>
  <c r="J31" i="37" s="1"/>
  <c r="K26" i="37"/>
  <c r="F16" i="53"/>
  <c r="E18" i="53"/>
  <c r="D18" i="53" s="1"/>
  <c r="P28" i="79"/>
  <c r="I25" i="87"/>
  <c r="J25" i="87"/>
  <c r="E25" i="87"/>
  <c r="E28" i="87" s="1"/>
  <c r="F28" i="87" s="1"/>
  <c r="B28" i="87"/>
  <c r="G49" i="79"/>
  <c r="O44" i="79"/>
  <c r="F304" i="75"/>
  <c r="G304" i="75" s="1"/>
  <c r="G329" i="75" s="1"/>
  <c r="F302" i="75"/>
  <c r="G302" i="75" s="1"/>
  <c r="G327" i="75" s="1"/>
  <c r="F303" i="75"/>
  <c r="G303" i="75" s="1"/>
  <c r="G328" i="75" s="1"/>
  <c r="F299" i="75"/>
  <c r="F301" i="75"/>
  <c r="G301" i="75" s="1"/>
  <c r="G326" i="75" s="1"/>
  <c r="F300" i="75"/>
  <c r="G300" i="75" s="1"/>
  <c r="G325" i="75" s="1"/>
  <c r="C16" i="77"/>
  <c r="C31" i="77" s="1"/>
  <c r="E12" i="77"/>
  <c r="N18" i="79"/>
  <c r="M49" i="79"/>
  <c r="P44" i="79"/>
  <c r="D17" i="73"/>
  <c r="C292" i="64"/>
  <c r="G306" i="64"/>
  <c r="G152" i="75"/>
  <c r="H148" i="75"/>
  <c r="H152" i="75" s="1"/>
  <c r="B61" i="70"/>
  <c r="J22" i="72"/>
  <c r="J23" i="72" s="1"/>
  <c r="B58" i="74"/>
  <c r="D58" i="74" s="1"/>
  <c r="AT64" i="2"/>
  <c r="C16" i="65"/>
  <c r="C17" i="65" s="1"/>
  <c r="L315" i="64"/>
  <c r="M309" i="64"/>
  <c r="M315" i="64" s="1"/>
  <c r="B63" i="70"/>
  <c r="B65" i="70" s="1"/>
  <c r="D8" i="74"/>
  <c r="B27" i="72"/>
  <c r="J24" i="72"/>
  <c r="B22" i="74"/>
  <c r="D22" i="74" s="1"/>
  <c r="J22" i="74" s="1"/>
  <c r="J96" i="74" s="1"/>
  <c r="H97" i="74" s="1"/>
  <c r="I24" i="72"/>
  <c r="E24" i="72"/>
  <c r="E27" i="72" s="1"/>
  <c r="F27" i="72" s="1"/>
  <c r="E44" i="65" s="1"/>
  <c r="F19" i="34"/>
  <c r="E21" i="34"/>
  <c r="D21" i="34" s="1"/>
  <c r="H61" i="79"/>
  <c r="K38" i="79"/>
  <c r="G174" i="75"/>
  <c r="H174" i="75" s="1"/>
  <c r="E185" i="75"/>
  <c r="G185" i="75" s="1"/>
  <c r="J22" i="87"/>
  <c r="J23" i="87" s="1"/>
  <c r="E20" i="69"/>
  <c r="C460" i="68"/>
  <c r="D463" i="68"/>
  <c r="D16" i="50"/>
  <c r="C35" i="71"/>
  <c r="C57" i="87"/>
  <c r="C94" i="74"/>
  <c r="C57" i="72"/>
  <c r="G33" i="71"/>
  <c r="I15" i="85"/>
  <c r="J8" i="85"/>
  <c r="J13" i="85" s="1"/>
  <c r="D42" i="65"/>
  <c r="N14" i="79"/>
  <c r="O28" i="79"/>
  <c r="B33" i="71"/>
  <c r="B91" i="74"/>
  <c r="B53" i="33"/>
  <c r="C53" i="33" s="1"/>
  <c r="G173" i="75"/>
  <c r="E183" i="75"/>
  <c r="F177" i="75"/>
  <c r="C41" i="66"/>
  <c r="E41" i="66" s="1"/>
  <c r="C60" i="66" s="1"/>
  <c r="F35" i="29"/>
  <c r="C27" i="28"/>
  <c r="C30" i="28" s="1"/>
  <c r="K315" i="64"/>
  <c r="K33" i="67"/>
  <c r="K33" i="75"/>
  <c r="I22" i="85"/>
  <c r="I24" i="85" s="1"/>
  <c r="I26" i="85" s="1"/>
  <c r="H28" i="85"/>
  <c r="C61" i="77" l="1"/>
  <c r="P33" i="79"/>
  <c r="P36" i="79" s="1"/>
  <c r="P38" i="79" s="1"/>
  <c r="O36" i="79"/>
  <c r="I59" i="79"/>
  <c r="G38" i="79"/>
  <c r="K51" i="79" s="1"/>
  <c r="B43" i="78"/>
  <c r="E460" i="68"/>
  <c r="C32" i="77"/>
  <c r="G9" i="77"/>
  <c r="F39" i="49" s="1"/>
  <c r="D27" i="65"/>
  <c r="G51" i="79"/>
  <c r="O49" i="79"/>
  <c r="O51" i="79" s="1"/>
  <c r="L26" i="37"/>
  <c r="K30" i="37"/>
  <c r="K31" i="37" s="1"/>
  <c r="F14" i="38"/>
  <c r="E18" i="38"/>
  <c r="I28" i="85"/>
  <c r="J22" i="85"/>
  <c r="J24" i="85" s="1"/>
  <c r="J26" i="85" s="1"/>
  <c r="C48" i="66"/>
  <c r="E48" i="66" s="1"/>
  <c r="C61" i="66" s="1"/>
  <c r="B51" i="33"/>
  <c r="C51" i="33" s="1"/>
  <c r="G35" i="71"/>
  <c r="C96" i="74"/>
  <c r="F20" i="69"/>
  <c r="F21" i="69" s="1"/>
  <c r="AT66" i="2"/>
  <c r="E21" i="69"/>
  <c r="E25" i="69" s="1"/>
  <c r="K306" i="64"/>
  <c r="C307" i="64"/>
  <c r="G317" i="64"/>
  <c r="P49" i="79"/>
  <c r="P51" i="79" s="1"/>
  <c r="M51" i="79"/>
  <c r="J28" i="87"/>
  <c r="I28" i="87"/>
  <c r="B30" i="87"/>
  <c r="J24" i="87"/>
  <c r="B29" i="72"/>
  <c r="B27" i="74"/>
  <c r="D27" i="74" s="1"/>
  <c r="I27" i="72"/>
  <c r="G51" i="65"/>
  <c r="G52" i="65" s="1"/>
  <c r="E39" i="65" s="1"/>
  <c r="F39" i="65" s="1"/>
  <c r="C313" i="64"/>
  <c r="B7" i="33"/>
  <c r="C7" i="33" s="1"/>
  <c r="J27" i="72"/>
  <c r="B66" i="33"/>
  <c r="C66" i="33" s="1"/>
  <c r="F155" i="75"/>
  <c r="F164" i="75" s="1"/>
  <c r="D164" i="75"/>
  <c r="O57" i="87"/>
  <c r="C58" i="87"/>
  <c r="O58" i="87" s="1"/>
  <c r="C60" i="87"/>
  <c r="G183" i="75"/>
  <c r="G189" i="75" s="1"/>
  <c r="E189" i="75"/>
  <c r="D180" i="75"/>
  <c r="B57" i="72"/>
  <c r="B35" i="71"/>
  <c r="B57" i="87"/>
  <c r="B94" i="74"/>
  <c r="C60" i="72"/>
  <c r="C58" i="72"/>
  <c r="D14" i="51"/>
  <c r="C14" i="50"/>
  <c r="P30" i="50"/>
  <c r="P31" i="50" s="1"/>
  <c r="D17" i="50"/>
  <c r="C63" i="66"/>
  <c r="G177" i="75"/>
  <c r="H173" i="75"/>
  <c r="H177" i="75" s="1"/>
  <c r="N22" i="79"/>
  <c r="N23" i="79"/>
  <c r="N11" i="79"/>
  <c r="N27" i="79"/>
  <c r="N24" i="79"/>
  <c r="N21" i="79"/>
  <c r="N28" i="79"/>
  <c r="N25" i="79"/>
  <c r="N20" i="79"/>
  <c r="O38" i="79"/>
  <c r="N26" i="79"/>
  <c r="N12" i="79"/>
  <c r="N13" i="79"/>
  <c r="N10" i="79"/>
  <c r="N17" i="79"/>
  <c r="J15" i="85"/>
  <c r="K8" i="85"/>
  <c r="K13" i="85" s="1"/>
  <c r="D464" i="68"/>
  <c r="U464" i="68"/>
  <c r="V464" i="68"/>
  <c r="T464" i="68"/>
  <c r="S464" i="68"/>
  <c r="R464" i="68" s="1"/>
  <c r="G303" i="64"/>
  <c r="G22" i="67"/>
  <c r="D13" i="73"/>
  <c r="E17" i="73"/>
  <c r="F17" i="73"/>
  <c r="F13" i="73" s="1"/>
  <c r="F30" i="73" s="1"/>
  <c r="E16" i="77"/>
  <c r="F12" i="77"/>
  <c r="G299" i="75"/>
  <c r="F306" i="75"/>
  <c r="C22" i="38"/>
  <c r="C46" i="38"/>
  <c r="N32" i="79" l="1"/>
  <c r="N33" i="79"/>
  <c r="N36" i="79"/>
  <c r="N34" i="79"/>
  <c r="N35" i="79"/>
  <c r="N31" i="79"/>
  <c r="G306" i="75"/>
  <c r="G331" i="75" s="1"/>
  <c r="G324" i="75"/>
  <c r="G332" i="75" s="1"/>
  <c r="F16" i="77"/>
  <c r="E18" i="77"/>
  <c r="D18" i="77" s="1"/>
  <c r="I22" i="67"/>
  <c r="I23" i="67" s="1"/>
  <c r="I25" i="67" s="1"/>
  <c r="I35" i="67" s="1"/>
  <c r="G23" i="67"/>
  <c r="G25" i="67" s="1"/>
  <c r="C65" i="74"/>
  <c r="C62" i="72"/>
  <c r="D10" i="33"/>
  <c r="D47" i="33"/>
  <c r="D46" i="33"/>
  <c r="C63" i="72"/>
  <c r="C462" i="68"/>
  <c r="J79" i="65"/>
  <c r="B96" i="74"/>
  <c r="J80" i="65"/>
  <c r="O317" i="64"/>
  <c r="O319" i="64" s="1"/>
  <c r="F18" i="38"/>
  <c r="E20" i="38"/>
  <c r="D20" i="38" s="1"/>
  <c r="I303" i="64"/>
  <c r="I304" i="64" s="1"/>
  <c r="I306" i="64" s="1"/>
  <c r="I317" i="64" s="1"/>
  <c r="G304" i="64"/>
  <c r="E14" i="50"/>
  <c r="C12" i="51"/>
  <c r="C28" i="50"/>
  <c r="B58" i="72"/>
  <c r="C62" i="87"/>
  <c r="C65" i="87" s="1"/>
  <c r="C63" i="87"/>
  <c r="O63" i="87" s="1"/>
  <c r="B318" i="64"/>
  <c r="C316" i="64"/>
  <c r="P314" i="64"/>
  <c r="C315" i="64"/>
  <c r="E29" i="72"/>
  <c r="B29" i="74"/>
  <c r="D29" i="74" s="1"/>
  <c r="B52" i="33"/>
  <c r="C52" i="33" s="1"/>
  <c r="B9" i="33"/>
  <c r="C9" i="33" s="1"/>
  <c r="B8" i="33"/>
  <c r="C8" i="33" s="1"/>
  <c r="I29" i="72"/>
  <c r="B67" i="33"/>
  <c r="C67" i="33" s="1"/>
  <c r="B6" i="33"/>
  <c r="C6" i="33" s="1"/>
  <c r="B41" i="33"/>
  <c r="C41" i="33" s="1"/>
  <c r="J30" i="87"/>
  <c r="J29" i="87"/>
  <c r="C71" i="66"/>
  <c r="D15" i="51"/>
  <c r="C25" i="51"/>
  <c r="P27" i="51"/>
  <c r="P28" i="51" s="1"/>
  <c r="D189" i="75"/>
  <c r="F180" i="75"/>
  <c r="F189" i="75" s="1"/>
  <c r="J28" i="85"/>
  <c r="K22" i="85"/>
  <c r="K24" i="85" s="1"/>
  <c r="K26" i="85" s="1"/>
  <c r="C47" i="38"/>
  <c r="D47" i="38"/>
  <c r="G10" i="38"/>
  <c r="F11" i="49" s="1"/>
  <c r="H7" i="38"/>
  <c r="D30" i="73"/>
  <c r="E13" i="73"/>
  <c r="I13" i="73"/>
  <c r="O306" i="64"/>
  <c r="K15" i="85"/>
  <c r="L8" i="85"/>
  <c r="L13" i="85" s="1"/>
  <c r="O58" i="72"/>
  <c r="C63" i="74"/>
  <c r="B58" i="87"/>
  <c r="B60" i="87" s="1"/>
  <c r="J28" i="72"/>
  <c r="J29" i="72" s="1"/>
  <c r="E30" i="87"/>
  <c r="I30" i="87"/>
  <c r="F25" i="69"/>
  <c r="L30" i="37"/>
  <c r="L31" i="37" s="1"/>
  <c r="M26" i="37"/>
  <c r="M30" i="37" s="1"/>
  <c r="M31" i="37" s="1"/>
  <c r="B62" i="87" l="1"/>
  <c r="B65" i="87" s="1"/>
  <c r="B63" i="87"/>
  <c r="E12" i="51"/>
  <c r="K28" i="85"/>
  <c r="L22" i="85"/>
  <c r="L24" i="85" s="1"/>
  <c r="L26" i="85" s="1"/>
  <c r="E71" i="66"/>
  <c r="C78" i="66"/>
  <c r="E78" i="66" s="1"/>
  <c r="B63" i="74"/>
  <c r="D63" i="74" s="1"/>
  <c r="A134" i="27"/>
  <c r="L15" i="85"/>
  <c r="M8" i="85"/>
  <c r="M13" i="85" s="1"/>
  <c r="M15" i="85" s="1"/>
  <c r="B60" i="72"/>
  <c r="F14" i="50"/>
  <c r="J81" i="65"/>
  <c r="J82" i="65" s="1"/>
  <c r="K25" i="67"/>
  <c r="G35" i="67"/>
  <c r="G37" i="67" s="1"/>
  <c r="C26" i="67"/>
  <c r="M57" i="79"/>
  <c r="D31" i="73"/>
  <c r="O321" i="64" s="1"/>
  <c r="E462" i="68"/>
  <c r="E463" i="68" s="1"/>
  <c r="E465" i="68" s="1"/>
  <c r="D465" i="68" s="1"/>
  <c r="B44" i="78"/>
  <c r="B45" i="78" s="1"/>
  <c r="B46" i="78" s="1"/>
  <c r="B48" i="78" s="1"/>
  <c r="C16" i="50"/>
  <c r="E30" i="69"/>
  <c r="C463" i="68"/>
  <c r="G38" i="67" l="1"/>
  <c r="G39" i="67" s="1"/>
  <c r="C14" i="51"/>
  <c r="E16" i="50"/>
  <c r="C30" i="50"/>
  <c r="C31" i="50" s="1"/>
  <c r="C17" i="50"/>
  <c r="B62" i="72"/>
  <c r="B47" i="33"/>
  <c r="C47" i="33" s="1"/>
  <c r="B65" i="74"/>
  <c r="D65" i="74" s="1"/>
  <c r="B10" i="33"/>
  <c r="C10" i="33" s="1"/>
  <c r="B46" i="33"/>
  <c r="C46" i="33" s="1"/>
  <c r="B63" i="72"/>
  <c r="CK3" i="2" s="1"/>
  <c r="E22" i="2"/>
  <c r="D124" i="2"/>
  <c r="D292" i="2"/>
  <c r="E230" i="2"/>
  <c r="E131" i="2"/>
  <c r="D216" i="2"/>
  <c r="E24" i="2"/>
  <c r="E283" i="2"/>
  <c r="D233" i="2"/>
  <c r="E48" i="2"/>
  <c r="E60" i="2"/>
  <c r="E207" i="2"/>
  <c r="D156" i="2"/>
  <c r="D263" i="2"/>
  <c r="D62" i="2"/>
  <c r="D87" i="2"/>
  <c r="D255" i="2"/>
  <c r="E54" i="2"/>
  <c r="D214" i="2"/>
  <c r="E196" i="2"/>
  <c r="D57" i="2"/>
  <c r="D265" i="2"/>
  <c r="D283" i="2"/>
  <c r="D78" i="2"/>
  <c r="D131" i="2"/>
  <c r="E147" i="2"/>
  <c r="D41" i="2"/>
  <c r="E118" i="2"/>
  <c r="E255" i="2"/>
  <c r="D226" i="2"/>
  <c r="E41" i="2"/>
  <c r="E275" i="2"/>
  <c r="D136" i="2"/>
  <c r="D172" i="2"/>
  <c r="E229" i="2"/>
  <c r="D44" i="2"/>
  <c r="E280" i="2"/>
  <c r="D239" i="2"/>
  <c r="D300" i="2"/>
  <c r="E93" i="2"/>
  <c r="D30" i="2"/>
  <c r="E111" i="2"/>
  <c r="D296" i="2"/>
  <c r="D16" i="2"/>
  <c r="E272" i="2"/>
  <c r="D274" i="2"/>
  <c r="E217" i="2"/>
  <c r="E299" i="2"/>
  <c r="D55" i="2"/>
  <c r="D40" i="2"/>
  <c r="D137" i="2"/>
  <c r="D252" i="2"/>
  <c r="D46" i="2"/>
  <c r="E68" i="2"/>
  <c r="D289" i="2"/>
  <c r="E144" i="2"/>
  <c r="D32" i="2"/>
  <c r="D19" i="2"/>
  <c r="D178" i="2"/>
  <c r="D153" i="2"/>
  <c r="D189" i="2"/>
  <c r="D150" i="2"/>
  <c r="D220" i="2"/>
  <c r="E268" i="2"/>
  <c r="D171" i="2"/>
  <c r="D66" i="2"/>
  <c r="E258" i="2"/>
  <c r="D166" i="2"/>
  <c r="D37" i="2"/>
  <c r="D60" i="2"/>
  <c r="D184" i="2"/>
  <c r="D122" i="2"/>
  <c r="E162" i="2"/>
  <c r="E39" i="2"/>
  <c r="D213" i="2"/>
  <c r="E211" i="2"/>
  <c r="D260" i="2"/>
  <c r="D243" i="2"/>
  <c r="D125" i="2"/>
  <c r="E154" i="2"/>
  <c r="E152" i="2"/>
  <c r="E260" i="2"/>
  <c r="D138" i="2"/>
  <c r="D149" i="2"/>
  <c r="E155" i="2"/>
  <c r="E71" i="2"/>
  <c r="E153" i="2"/>
  <c r="D76" i="2"/>
  <c r="E135" i="2"/>
  <c r="D298" i="2"/>
  <c r="E47" i="2"/>
  <c r="E112" i="2"/>
  <c r="E166" i="2"/>
  <c r="D294" i="2"/>
  <c r="E282" i="2"/>
  <c r="E210" i="2"/>
  <c r="E89" i="2"/>
  <c r="E163" i="2"/>
  <c r="E231" i="2"/>
  <c r="E43" i="2"/>
  <c r="D92" i="2"/>
  <c r="D217" i="2"/>
  <c r="D141" i="2"/>
  <c r="E277" i="2"/>
  <c r="E279" i="2"/>
  <c r="D121" i="2"/>
  <c r="D181" i="2"/>
  <c r="E246" i="2"/>
  <c r="D107" i="2"/>
  <c r="E78" i="2"/>
  <c r="D73" i="2"/>
  <c r="E98" i="2"/>
  <c r="D179" i="2"/>
  <c r="E70" i="2"/>
  <c r="E27" i="2"/>
  <c r="D56" i="2"/>
  <c r="E77" i="2"/>
  <c r="D206" i="2"/>
  <c r="E259" i="2"/>
  <c r="E160" i="2"/>
  <c r="E51" i="2"/>
  <c r="D162" i="2"/>
  <c r="D234" i="2"/>
  <c r="E225" i="2"/>
  <c r="D242" i="2"/>
  <c r="E158" i="2"/>
  <c r="D24" i="2"/>
  <c r="D70" i="2"/>
  <c r="D273" i="2"/>
  <c r="E59" i="2"/>
  <c r="E28" i="2"/>
  <c r="E200" i="2"/>
  <c r="D39" i="2"/>
  <c r="E134" i="2"/>
  <c r="D224" i="2"/>
  <c r="E264" i="2"/>
  <c r="E145" i="2"/>
  <c r="E95" i="2"/>
  <c r="D247" i="2"/>
  <c r="E290" i="2"/>
  <c r="E56" i="2"/>
  <c r="E170" i="2"/>
  <c r="D188" i="2"/>
  <c r="D77" i="2"/>
  <c r="E263" i="2"/>
  <c r="E96" i="2"/>
  <c r="E274" i="2"/>
  <c r="D91" i="2"/>
  <c r="D158" i="2"/>
  <c r="E81" i="2"/>
  <c r="D204" i="2"/>
  <c r="D47" i="2"/>
  <c r="E117" i="2"/>
  <c r="E281" i="2"/>
  <c r="E26" i="2"/>
  <c r="D254" i="2"/>
  <c r="D180" i="2"/>
  <c r="D146" i="2"/>
  <c r="D64" i="2"/>
  <c r="D25" i="2"/>
  <c r="D105" i="2"/>
  <c r="E15" i="2"/>
  <c r="E287" i="2"/>
  <c r="D157" i="2"/>
  <c r="D85" i="2"/>
  <c r="D12" i="2"/>
  <c r="D119" i="2"/>
  <c r="E172" i="2"/>
  <c r="D13" i="2"/>
  <c r="E266" i="2"/>
  <c r="E72" i="2"/>
  <c r="D271" i="2"/>
  <c r="E90" i="2"/>
  <c r="E243" i="2"/>
  <c r="E151" i="2"/>
  <c r="E109" i="2"/>
  <c r="E25" i="2"/>
  <c r="E199" i="2"/>
  <c r="E132" i="2"/>
  <c r="D127" i="2"/>
  <c r="D104" i="2"/>
  <c r="E168" i="2"/>
  <c r="D174" i="2"/>
  <c r="D43" i="2"/>
  <c r="D20" i="2"/>
  <c r="D116" i="2"/>
  <c r="D284" i="2"/>
  <c r="D133" i="2"/>
  <c r="E149" i="2"/>
  <c r="D132" i="2"/>
  <c r="D61" i="2"/>
  <c r="E55" i="2"/>
  <c r="D194" i="2"/>
  <c r="E85" i="2"/>
  <c r="D195" i="2"/>
  <c r="E159" i="2"/>
  <c r="D185" i="2"/>
  <c r="D89" i="2"/>
  <c r="D240" i="2"/>
  <c r="D288" i="2"/>
  <c r="E194" i="2"/>
  <c r="E92" i="2"/>
  <c r="D93" i="2"/>
  <c r="D245" i="2"/>
  <c r="D165" i="2"/>
  <c r="E63" i="2"/>
  <c r="D99" i="2"/>
  <c r="E224" i="2"/>
  <c r="D182" i="2"/>
  <c r="E188" i="2"/>
  <c r="E181" i="2"/>
  <c r="D86" i="2"/>
  <c r="E248" i="2"/>
  <c r="E233" i="2"/>
  <c r="E50" i="2"/>
  <c r="E61" i="2"/>
  <c r="E76" i="2"/>
  <c r="D215" i="2"/>
  <c r="E142" i="2"/>
  <c r="D147" i="2"/>
  <c r="E215" i="2"/>
  <c r="D241" i="2"/>
  <c r="D280" i="2"/>
  <c r="E178" i="2"/>
  <c r="D268" i="2"/>
  <c r="D82" i="2"/>
  <c r="E301" i="2"/>
  <c r="E179" i="2"/>
  <c r="E19" i="2"/>
  <c r="E219" i="2"/>
  <c r="E57" i="2"/>
  <c r="D97" i="2"/>
  <c r="D212" i="2"/>
  <c r="D244" i="2"/>
  <c r="E198" i="2"/>
  <c r="E14" i="2"/>
  <c r="E193" i="2"/>
  <c r="E86" i="2"/>
  <c r="E208" i="2"/>
  <c r="D69" i="2"/>
  <c r="E247" i="2"/>
  <c r="D33" i="2"/>
  <c r="E169" i="2"/>
  <c r="D301" i="2"/>
  <c r="D96" i="2"/>
  <c r="D23" i="2"/>
  <c r="E227" i="2"/>
  <c r="D266" i="2"/>
  <c r="D29" i="2"/>
  <c r="E148" i="2"/>
  <c r="D17" i="2"/>
  <c r="D253" i="2"/>
  <c r="E241" i="2"/>
  <c r="D120" i="2"/>
  <c r="E34" i="2"/>
  <c r="D261" i="2"/>
  <c r="E129" i="2"/>
  <c r="D176" i="2"/>
  <c r="D221" i="2"/>
  <c r="E218" i="2"/>
  <c r="E32" i="2"/>
  <c r="E69" i="2"/>
  <c r="D211" i="2"/>
  <c r="D68" i="2"/>
  <c r="E12" i="2"/>
  <c r="D205" i="2"/>
  <c r="D170" i="2"/>
  <c r="E221" i="2"/>
  <c r="E52" i="2"/>
  <c r="D191" i="2"/>
  <c r="E167" i="2"/>
  <c r="D163" i="2"/>
  <c r="E175" i="2"/>
  <c r="D200" i="2"/>
  <c r="D232" i="2"/>
  <c r="E161" i="2"/>
  <c r="E278" i="2"/>
  <c r="E284" i="2"/>
  <c r="E140" i="2"/>
  <c r="E99" i="2"/>
  <c r="D225" i="2"/>
  <c r="E203" i="2"/>
  <c r="D258" i="2"/>
  <c r="E74" i="2"/>
  <c r="D151" i="2"/>
  <c r="D187" i="2"/>
  <c r="D100" i="2"/>
  <c r="D299" i="2"/>
  <c r="D219" i="2"/>
  <c r="E202" i="2"/>
  <c r="E296" i="2"/>
  <c r="E150" i="2"/>
  <c r="D112" i="2"/>
  <c r="D102" i="2"/>
  <c r="D63" i="2"/>
  <c r="D58" i="2"/>
  <c r="D275" i="2"/>
  <c r="D140" i="2"/>
  <c r="D48" i="2"/>
  <c r="E204" i="2"/>
  <c r="E102" i="2"/>
  <c r="D190" i="2"/>
  <c r="D230" i="2"/>
  <c r="E174" i="2"/>
  <c r="E253" i="2"/>
  <c r="E201" i="2"/>
  <c r="E205" i="2"/>
  <c r="D250" i="2"/>
  <c r="D59" i="2"/>
  <c r="E21" i="2"/>
  <c r="E45" i="2"/>
  <c r="D168" i="2"/>
  <c r="D272" i="2"/>
  <c r="E191" i="2"/>
  <c r="D285" i="2"/>
  <c r="E46" i="2"/>
  <c r="D152" i="2"/>
  <c r="E139" i="2"/>
  <c r="E249" i="2"/>
  <c r="E192" i="2"/>
  <c r="E214" i="2"/>
  <c r="D169" i="2"/>
  <c r="E87" i="2"/>
  <c r="E165" i="2"/>
  <c r="E222" i="2"/>
  <c r="D287" i="2"/>
  <c r="E261" i="2"/>
  <c r="D142" i="2"/>
  <c r="D98" i="2"/>
  <c r="E36" i="2"/>
  <c r="E94" i="2"/>
  <c r="D117" i="2"/>
  <c r="D192" i="2"/>
  <c r="D175" i="2"/>
  <c r="D256" i="2"/>
  <c r="E239" i="2"/>
  <c r="D293" i="2"/>
  <c r="E122" i="2"/>
  <c r="D267" i="2"/>
  <c r="D227" i="2"/>
  <c r="E137" i="2"/>
  <c r="E113" i="2"/>
  <c r="E49" i="2"/>
  <c r="D21" i="2"/>
  <c r="E156" i="2"/>
  <c r="E138" i="2"/>
  <c r="D110" i="2"/>
  <c r="E286" i="2"/>
  <c r="D101" i="2"/>
  <c r="E183" i="2"/>
  <c r="D103" i="2"/>
  <c r="D237" i="2"/>
  <c r="D209" i="2"/>
  <c r="E223" i="2"/>
  <c r="E195" i="2"/>
  <c r="E20" i="2"/>
  <c r="E143" i="2"/>
  <c r="D270" i="2"/>
  <c r="E289" i="2"/>
  <c r="D276" i="2"/>
  <c r="D231" i="2"/>
  <c r="E236" i="2"/>
  <c r="D90" i="2"/>
  <c r="D248" i="2"/>
  <c r="D135" i="2"/>
  <c r="E232" i="2"/>
  <c r="E91" i="2"/>
  <c r="E251" i="2"/>
  <c r="E128" i="2"/>
  <c r="E285" i="2"/>
  <c r="D114" i="2"/>
  <c r="E164" i="2"/>
  <c r="E185" i="2"/>
  <c r="E31" i="2"/>
  <c r="E53" i="2"/>
  <c r="D290" i="2"/>
  <c r="D198" i="2"/>
  <c r="D71" i="2"/>
  <c r="D75" i="2"/>
  <c r="E136" i="2"/>
  <c r="E176" i="2"/>
  <c r="E123" i="2"/>
  <c r="E254" i="2"/>
  <c r="E107" i="2"/>
  <c r="D246" i="2"/>
  <c r="E190" i="2"/>
  <c r="D159" i="2"/>
  <c r="E297" i="2"/>
  <c r="E44" i="2"/>
  <c r="D229" i="2"/>
  <c r="E235" i="2"/>
  <c r="D54" i="2"/>
  <c r="D207" i="2"/>
  <c r="D236" i="2"/>
  <c r="E220" i="2"/>
  <c r="D79" i="2"/>
  <c r="E114" i="2"/>
  <c r="D118" i="2"/>
  <c r="E271" i="2"/>
  <c r="D259" i="2"/>
  <c r="E177" i="2"/>
  <c r="D291" i="2"/>
  <c r="E84" i="2"/>
  <c r="D129" i="2"/>
  <c r="E65" i="2"/>
  <c r="D34" i="2"/>
  <c r="E16" i="2"/>
  <c r="D203" i="2"/>
  <c r="D53" i="2"/>
  <c r="D262" i="2"/>
  <c r="E58" i="2"/>
  <c r="E82" i="2"/>
  <c r="D281" i="2"/>
  <c r="E300" i="2"/>
  <c r="E298" i="2"/>
  <c r="E13" i="2"/>
  <c r="D35" i="2"/>
  <c r="E180" i="2"/>
  <c r="D18" i="2"/>
  <c r="D193" i="2"/>
  <c r="D45" i="2"/>
  <c r="E226" i="2"/>
  <c r="D83" i="2"/>
  <c r="E228" i="2"/>
  <c r="E269" i="2"/>
  <c r="E130" i="2"/>
  <c r="D208" i="2"/>
  <c r="D94" i="2"/>
  <c r="E157" i="2"/>
  <c r="E265" i="2"/>
  <c r="D155" i="2"/>
  <c r="D286" i="2"/>
  <c r="E80" i="2"/>
  <c r="D139" i="2"/>
  <c r="E79" i="2"/>
  <c r="D26" i="2"/>
  <c r="D113" i="2"/>
  <c r="D228" i="2"/>
  <c r="D51" i="2"/>
  <c r="D65" i="2"/>
  <c r="E73" i="2"/>
  <c r="E189" i="2"/>
  <c r="E295" i="2"/>
  <c r="E115" i="2"/>
  <c r="E127" i="2"/>
  <c r="D279" i="2"/>
  <c r="D282" i="2"/>
  <c r="E245" i="2"/>
  <c r="E252" i="2"/>
  <c r="D50" i="2"/>
  <c r="E108" i="2"/>
  <c r="D249" i="2"/>
  <c r="E206" i="2"/>
  <c r="D197" i="2"/>
  <c r="E294" i="2"/>
  <c r="E97" i="2"/>
  <c r="E133" i="2"/>
  <c r="D161" i="2"/>
  <c r="E83" i="2"/>
  <c r="D67" i="2"/>
  <c r="E103" i="2"/>
  <c r="E273" i="2"/>
  <c r="D144" i="2"/>
  <c r="D278" i="2"/>
  <c r="E67" i="2"/>
  <c r="D223" i="2"/>
  <c r="E106" i="2"/>
  <c r="D202" i="2"/>
  <c r="E37" i="2"/>
  <c r="D238" i="2"/>
  <c r="D183" i="2"/>
  <c r="E40" i="2"/>
  <c r="D27" i="2"/>
  <c r="D177" i="2"/>
  <c r="D251" i="2"/>
  <c r="E171" i="2"/>
  <c r="E17" i="2"/>
  <c r="E146" i="2"/>
  <c r="E110" i="2"/>
  <c r="D164" i="2"/>
  <c r="E66" i="2"/>
  <c r="E42" i="2"/>
  <c r="E116" i="2"/>
  <c r="E18" i="2"/>
  <c r="E105" i="2"/>
  <c r="D264" i="2"/>
  <c r="D269" i="2"/>
  <c r="E104" i="2"/>
  <c r="E125" i="2"/>
  <c r="E244" i="2"/>
  <c r="D88" i="2"/>
  <c r="D84" i="2"/>
  <c r="D154" i="2"/>
  <c r="E101" i="2"/>
  <c r="E267" i="2"/>
  <c r="D52" i="2"/>
  <c r="E291" i="2"/>
  <c r="E262" i="2"/>
  <c r="D108" i="2"/>
  <c r="D14" i="2"/>
  <c r="E197" i="2"/>
  <c r="E100" i="2"/>
  <c r="E238" i="2"/>
  <c r="E64" i="2"/>
  <c r="D115" i="2"/>
  <c r="D196" i="2"/>
  <c r="D222" i="2"/>
  <c r="D74" i="2"/>
  <c r="E119" i="2"/>
  <c r="D111" i="2"/>
  <c r="E75" i="2"/>
  <c r="D109" i="2"/>
  <c r="D106" i="2"/>
  <c r="E276" i="2"/>
  <c r="E256" i="2"/>
  <c r="D277" i="2"/>
  <c r="E23" i="2"/>
  <c r="E288" i="2"/>
  <c r="D80" i="2"/>
  <c r="E182" i="2"/>
  <c r="E38" i="2"/>
  <c r="D145" i="2"/>
  <c r="E173" i="2"/>
  <c r="D126" i="2"/>
  <c r="D31" i="2"/>
  <c r="E242" i="2"/>
  <c r="E213" i="2"/>
  <c r="E184" i="2"/>
  <c r="D22" i="2"/>
  <c r="E35" i="2"/>
  <c r="D201" i="2"/>
  <c r="D235" i="2"/>
  <c r="D130" i="2"/>
  <c r="D42" i="2"/>
  <c r="E141" i="2"/>
  <c r="D218" i="2"/>
  <c r="E212" i="2"/>
  <c r="E62" i="2"/>
  <c r="D81" i="2"/>
  <c r="D28" i="2"/>
  <c r="D297" i="2"/>
  <c r="E33" i="2"/>
  <c r="D199" i="2"/>
  <c r="E257" i="2"/>
  <c r="E234" i="2"/>
  <c r="E216" i="2"/>
  <c r="D173" i="2"/>
  <c r="E237" i="2"/>
  <c r="E187" i="2"/>
  <c r="D167" i="2"/>
  <c r="E121" i="2"/>
  <c r="E250" i="2"/>
  <c r="D295" i="2"/>
  <c r="D49" i="2"/>
  <c r="E30" i="2"/>
  <c r="D210" i="2"/>
  <c r="E124" i="2"/>
  <c r="D186" i="2"/>
  <c r="D148" i="2"/>
  <c r="D123" i="2"/>
  <c r="D95" i="2"/>
  <c r="D15" i="2"/>
  <c r="E240" i="2"/>
  <c r="E126" i="2"/>
  <c r="E270" i="2"/>
  <c r="D38" i="2"/>
  <c r="D257" i="2"/>
  <c r="E120" i="2"/>
  <c r="E293" i="2"/>
  <c r="E88" i="2"/>
  <c r="D134" i="2"/>
  <c r="E186" i="2"/>
  <c r="E292" i="2"/>
  <c r="E209" i="2"/>
  <c r="D36" i="2"/>
  <c r="D143" i="2"/>
  <c r="D160" i="2"/>
  <c r="D128" i="2"/>
  <c r="D72" i="2"/>
  <c r="E29" i="2"/>
  <c r="B85" i="66"/>
  <c r="F12" i="51"/>
  <c r="M22" i="85"/>
  <c r="M24" i="85" s="1"/>
  <c r="M26" i="85" s="1"/>
  <c r="M28" i="85" s="1"/>
  <c r="L28" i="85"/>
  <c r="F30" i="69"/>
  <c r="F31" i="69" s="1"/>
  <c r="E31" i="69"/>
  <c r="V463" i="68"/>
  <c r="T463" i="68"/>
  <c r="C464" i="68"/>
  <c r="U463" i="68"/>
  <c r="W463" i="68"/>
  <c r="S463" i="68"/>
  <c r="F16" i="50" l="1"/>
  <c r="E17" i="50"/>
  <c r="E14" i="51"/>
  <c r="C27" i="51"/>
  <c r="C28" i="51" s="1"/>
  <c r="C30" i="51" s="1"/>
  <c r="C15" i="51"/>
  <c r="F33" i="69"/>
  <c r="F34" i="69"/>
  <c r="R463" i="68"/>
  <c r="B456" i="68" s="1"/>
  <c r="C33" i="50"/>
  <c r="G10" i="51" l="1"/>
  <c r="F28" i="49" s="1"/>
  <c r="C31" i="51"/>
  <c r="F17" i="50"/>
  <c r="E19" i="50"/>
  <c r="D19" i="50" s="1"/>
  <c r="F14" i="51"/>
  <c r="E15" i="51"/>
  <c r="G11" i="50"/>
  <c r="F27" i="49" s="1"/>
  <c r="C34" i="50"/>
  <c r="F15" i="51" l="1"/>
  <c r="E17" i="51"/>
  <c r="D17" i="51" s="1"/>
  <c r="D16" i="75"/>
  <c r="C16" i="75"/>
</calcChain>
</file>

<file path=xl/comments1.xml><?xml version="1.0" encoding="utf-8"?>
<comments xmlns="http://schemas.openxmlformats.org/spreadsheetml/2006/main">
  <authors>
    <author>Juan Jose Sanchez</author>
  </authors>
  <commentList>
    <comment ref="G54" authorId="0" shapeId="0">
      <text>
        <r>
          <rPr>
            <b/>
            <sz val="9"/>
            <color indexed="81"/>
            <rFont val="Tahoma"/>
            <family val="2"/>
          </rPr>
          <t>Juan Jose Sanchez:</t>
        </r>
        <r>
          <rPr>
            <sz val="9"/>
            <color indexed="81"/>
            <rFont val="Tahoma"/>
            <family val="2"/>
          </rPr>
          <t xml:space="preserve">
Digitar la prima de seguro adquirido
</t>
        </r>
      </text>
    </comment>
    <comment ref="H54" authorId="0" shapeId="0">
      <text>
        <r>
          <rPr>
            <b/>
            <sz val="9"/>
            <color indexed="81"/>
            <rFont val="Tahoma"/>
            <family val="2"/>
          </rPr>
          <t>Juan Jose Sanchez:</t>
        </r>
        <r>
          <rPr>
            <sz val="9"/>
            <color indexed="81"/>
            <rFont val="Tahoma"/>
            <family val="2"/>
          </rPr>
          <t xml:space="preserve">
Digitar la amortizacion de los seguros
</t>
        </r>
      </text>
    </comment>
    <comment ref="I54" authorId="0" shapeId="0">
      <text>
        <r>
          <rPr>
            <b/>
            <sz val="9"/>
            <color indexed="81"/>
            <rFont val="Tahoma"/>
            <family val="2"/>
          </rPr>
          <t>Juan Jose Sanchez:</t>
        </r>
        <r>
          <rPr>
            <sz val="9"/>
            <color indexed="81"/>
            <rFont val="Tahoma"/>
            <family val="2"/>
          </rPr>
          <t xml:space="preserve">
Digitar los depositos de alquiler
</t>
        </r>
      </text>
    </comment>
    <comment ref="J54" authorId="0" shapeId="0">
      <text>
        <r>
          <rPr>
            <b/>
            <sz val="9"/>
            <color indexed="81"/>
            <rFont val="Tahoma"/>
            <family val="2"/>
          </rPr>
          <t>Juan Jose Sanchez:</t>
        </r>
        <r>
          <rPr>
            <sz val="9"/>
            <color indexed="81"/>
            <rFont val="Tahoma"/>
            <family val="2"/>
          </rPr>
          <t xml:space="preserve">
Digitar los depositos de alquiler consumido de locales entregados</t>
        </r>
      </text>
    </comment>
    <comment ref="G72" authorId="0" shapeId="0">
      <text>
        <r>
          <rPr>
            <b/>
            <sz val="9"/>
            <color indexed="81"/>
            <rFont val="Tahoma"/>
            <family val="2"/>
          </rPr>
          <t>Juan Jose Sanchez:</t>
        </r>
        <r>
          <rPr>
            <sz val="9"/>
            <color indexed="81"/>
            <rFont val="Tahoma"/>
            <family val="2"/>
          </rPr>
          <t xml:space="preserve">
Digiar la diferencia de Inventario</t>
        </r>
      </text>
    </comment>
    <comment ref="H72" authorId="0" shapeId="0">
      <text>
        <r>
          <rPr>
            <b/>
            <sz val="9"/>
            <color indexed="81"/>
            <rFont val="Tahoma"/>
            <family val="2"/>
          </rPr>
          <t>Juan Jose Sanchez:</t>
        </r>
        <r>
          <rPr>
            <sz val="9"/>
            <color indexed="81"/>
            <rFont val="Tahoma"/>
            <family val="2"/>
          </rPr>
          <t xml:space="preserve">
la diferencia de inventario se carga a esta partida
</t>
        </r>
      </text>
    </comment>
  </commentList>
</comments>
</file>

<file path=xl/comments2.xml><?xml version="1.0" encoding="utf-8"?>
<comments xmlns="http://schemas.openxmlformats.org/spreadsheetml/2006/main">
  <authors>
    <author>JUAN J. SANCHEZ</author>
  </authors>
  <commentList>
    <comment ref="C393" authorId="0" shapeId="0">
      <text>
        <r>
          <rPr>
            <b/>
            <sz val="9"/>
            <color indexed="81"/>
            <rFont val="Tahoma"/>
            <family val="2"/>
          </rPr>
          <t>JUAN J. SANCHEZ:</t>
        </r>
        <r>
          <rPr>
            <sz val="9"/>
            <color indexed="81"/>
            <rFont val="Tahoma"/>
            <family val="2"/>
          </rPr>
          <t xml:space="preserve">
ayuntamiento y edenorte
</t>
        </r>
      </text>
    </comment>
  </commentList>
</comments>
</file>

<file path=xl/comments3.xml><?xml version="1.0" encoding="utf-8"?>
<comments xmlns="http://schemas.openxmlformats.org/spreadsheetml/2006/main">
  <authors>
    <author>Auditoria Interna</author>
  </authors>
  <commentList>
    <comment ref="B40" authorId="0" shapeId="0">
      <text>
        <r>
          <rPr>
            <b/>
            <sz val="9"/>
            <color indexed="81"/>
            <rFont val="Tahoma"/>
            <family val="2"/>
          </rPr>
          <t>Auditoria Interna:</t>
        </r>
        <r>
          <rPr>
            <sz val="9"/>
            <color indexed="81"/>
            <rFont val="Tahoma"/>
            <family val="2"/>
          </rPr>
          <t xml:space="preserve">
AJUSTES  RESULTADOS AÑOS ANTERIORES</t>
        </r>
      </text>
    </comment>
  </commentList>
</comments>
</file>

<file path=xl/comments4.xml><?xml version="1.0" encoding="utf-8"?>
<comments xmlns="http://schemas.openxmlformats.org/spreadsheetml/2006/main">
  <authors>
    <author>JUAN J. SANCHEZ</author>
  </authors>
  <commentList>
    <comment ref="D28" authorId="0" shapeId="0">
      <text>
        <r>
          <rPr>
            <b/>
            <sz val="9"/>
            <color indexed="81"/>
            <rFont val="Tahoma"/>
            <family val="2"/>
          </rPr>
          <t>JUAN J. SANCHEZ:</t>
        </r>
        <r>
          <rPr>
            <sz val="9"/>
            <color indexed="81"/>
            <rFont val="Tahoma"/>
            <family val="2"/>
          </rPr>
          <t xml:space="preserve">
mobiliario de oficina</t>
        </r>
      </text>
    </comment>
    <comment ref="E28" authorId="0" shapeId="0">
      <text>
        <r>
          <rPr>
            <b/>
            <sz val="9"/>
            <color indexed="81"/>
            <rFont val="Tahoma"/>
            <family val="2"/>
          </rPr>
          <t xml:space="preserve">JUAN J. SANC
</t>
        </r>
        <r>
          <rPr>
            <sz val="9"/>
            <color indexed="81"/>
            <rFont val="Tahoma"/>
            <family val="2"/>
          </rPr>
          <t xml:space="preserve">equipos
</t>
        </r>
      </text>
    </comment>
    <comment ref="G28" authorId="0" shapeId="0">
      <text>
        <r>
          <rPr>
            <b/>
            <sz val="9"/>
            <color indexed="81"/>
            <rFont val="Tahoma"/>
            <family val="2"/>
          </rPr>
          <t>JUAN J. SANCHEZ:</t>
        </r>
        <r>
          <rPr>
            <sz val="9"/>
            <color indexed="81"/>
            <rFont val="Tahoma"/>
            <family val="2"/>
          </rPr>
          <t xml:space="preserve">
bombas p/pozos</t>
        </r>
      </text>
    </comment>
    <comment ref="H28" authorId="0" shapeId="0">
      <text>
        <r>
          <rPr>
            <b/>
            <sz val="9"/>
            <color indexed="81"/>
            <rFont val="Tahoma"/>
            <family val="2"/>
          </rPr>
          <t>JUAN J. SANCHEZ:</t>
        </r>
        <r>
          <rPr>
            <sz val="9"/>
            <color indexed="81"/>
            <rFont val="Tahoma"/>
            <family val="2"/>
          </rPr>
          <t xml:space="preserve">
Tranformadores</t>
        </r>
      </text>
    </comment>
    <comment ref="I28" authorId="0" shapeId="0">
      <text>
        <r>
          <rPr>
            <b/>
            <sz val="9"/>
            <color indexed="81"/>
            <rFont val="Tahoma"/>
            <family val="2"/>
          </rPr>
          <t>JUAN J. SANCHEZ:</t>
        </r>
        <r>
          <rPr>
            <sz val="9"/>
            <color indexed="81"/>
            <rFont val="Tahoma"/>
            <family val="2"/>
          </rPr>
          <t xml:space="preserve">
electrobomba</t>
        </r>
      </text>
    </comment>
    <comment ref="K28" authorId="0" shapeId="0">
      <text>
        <r>
          <rPr>
            <b/>
            <sz val="9"/>
            <color indexed="81"/>
            <rFont val="Tahoma"/>
            <family val="2"/>
          </rPr>
          <t>JUAN J. SANCHEZ:</t>
        </r>
        <r>
          <rPr>
            <sz val="9"/>
            <color indexed="81"/>
            <rFont val="Tahoma"/>
            <family val="2"/>
          </rPr>
          <t xml:space="preserve">
bombas</t>
        </r>
      </text>
    </comment>
    <comment ref="M28" authorId="0" shapeId="0">
      <text>
        <r>
          <rPr>
            <b/>
            <sz val="9"/>
            <color indexed="81"/>
            <rFont val="Tahoma"/>
            <family val="2"/>
          </rPr>
          <t>JUAN J. SANCHEZ:</t>
        </r>
        <r>
          <rPr>
            <sz val="9"/>
            <color indexed="81"/>
            <rFont val="Tahoma"/>
            <family val="2"/>
          </rPr>
          <t xml:space="preserve">
bombas sumergible</t>
        </r>
      </text>
    </comment>
    <comment ref="E29" authorId="0" shapeId="0">
      <text>
        <r>
          <rPr>
            <b/>
            <sz val="9"/>
            <color indexed="81"/>
            <rFont val="Tahoma"/>
            <family val="2"/>
          </rPr>
          <t>JUAN J. SANCHEZ:</t>
        </r>
        <r>
          <rPr>
            <sz val="9"/>
            <color indexed="81"/>
            <rFont val="Tahoma"/>
            <family val="2"/>
          </rPr>
          <t xml:space="preserve">
SIERRA RECIPROCA, MOTOBOMBA, BOMBA CENTRIFUGA ENTRE OTROS
</t>
        </r>
      </text>
    </comment>
    <comment ref="G29" authorId="0" shapeId="0">
      <text>
        <r>
          <rPr>
            <b/>
            <sz val="9"/>
            <color indexed="81"/>
            <rFont val="Tahoma"/>
            <family val="2"/>
          </rPr>
          <t>JUAN J. SANCHEZ:</t>
        </r>
        <r>
          <rPr>
            <sz val="9"/>
            <color indexed="81"/>
            <rFont val="Tahoma"/>
            <family val="2"/>
          </rPr>
          <t xml:space="preserve">
Avance vehiculo
</t>
        </r>
      </text>
    </comment>
    <comment ref="H29" authorId="0" shapeId="0">
      <text>
        <r>
          <rPr>
            <b/>
            <sz val="9"/>
            <color indexed="81"/>
            <rFont val="Tahoma"/>
            <family val="2"/>
          </rPr>
          <t>JUAN J. SANCHEZ:</t>
        </r>
        <r>
          <rPr>
            <sz val="9"/>
            <color indexed="81"/>
            <rFont val="Tahoma"/>
            <family val="2"/>
          </rPr>
          <t xml:space="preserve">
 3 microhondas</t>
        </r>
      </text>
    </comment>
    <comment ref="I29" authorId="0" shapeId="0">
      <text>
        <r>
          <rPr>
            <b/>
            <sz val="9"/>
            <color indexed="81"/>
            <rFont val="Tahoma"/>
            <family val="2"/>
          </rPr>
          <t>JUAN J. SANCHEZ:</t>
        </r>
        <r>
          <rPr>
            <sz val="9"/>
            <color indexed="81"/>
            <rFont val="Tahoma"/>
            <family val="2"/>
          </rPr>
          <t xml:space="preserve">
saldo vehiculo
</t>
        </r>
      </text>
    </comment>
    <comment ref="M29" authorId="0" shapeId="0">
      <text>
        <r>
          <rPr>
            <b/>
            <sz val="9"/>
            <color indexed="81"/>
            <rFont val="Tahoma"/>
            <family val="2"/>
          </rPr>
          <t>JUAN J. SANCHEZ:</t>
        </r>
        <r>
          <rPr>
            <sz val="9"/>
            <color indexed="81"/>
            <rFont val="Tahoma"/>
            <family val="2"/>
          </rPr>
          <t xml:space="preserve">
 10 nevera bebedero</t>
        </r>
      </text>
    </comment>
    <comment ref="G30" authorId="0" shapeId="0">
      <text>
        <r>
          <rPr>
            <b/>
            <sz val="9"/>
            <color indexed="81"/>
            <rFont val="Tahoma"/>
            <family val="2"/>
          </rPr>
          <t>JUAN J. SANCHEZ:</t>
        </r>
        <r>
          <rPr>
            <sz val="9"/>
            <color indexed="81"/>
            <rFont val="Tahoma"/>
            <family val="2"/>
          </rPr>
          <t xml:space="preserve">
telefonos IP
</t>
        </r>
      </text>
    </comment>
    <comment ref="D31" authorId="0" shapeId="0">
      <text>
        <r>
          <rPr>
            <b/>
            <sz val="9"/>
            <color indexed="81"/>
            <rFont val="Tahoma"/>
            <family val="2"/>
          </rPr>
          <t>JUAN J. SANCHEZ:</t>
        </r>
        <r>
          <rPr>
            <sz val="9"/>
            <color indexed="81"/>
            <rFont val="Tahoma"/>
            <family val="2"/>
          </rPr>
          <t xml:space="preserve">
aire acondicionados
</t>
        </r>
      </text>
    </comment>
    <comment ref="G31" authorId="0" shapeId="0">
      <text>
        <r>
          <rPr>
            <b/>
            <sz val="9"/>
            <color indexed="81"/>
            <rFont val="Tahoma"/>
            <family val="2"/>
          </rPr>
          <t>JUAN J. SANCHEZ:</t>
        </r>
        <r>
          <rPr>
            <sz val="9"/>
            <color indexed="81"/>
            <rFont val="Tahoma"/>
            <family val="2"/>
          </rPr>
          <t xml:space="preserve">
equipos de computos</t>
        </r>
      </text>
    </comment>
    <comment ref="K31" authorId="0" shapeId="0">
      <text>
        <r>
          <rPr>
            <b/>
            <sz val="9"/>
            <color indexed="81"/>
            <rFont val="Tahoma"/>
            <family val="2"/>
          </rPr>
          <t>JUAN J. SANCHEZ:</t>
        </r>
        <r>
          <rPr>
            <sz val="9"/>
            <color indexed="81"/>
            <rFont val="Tahoma"/>
            <family val="2"/>
          </rPr>
          <t xml:space="preserve">
mobiliario de oficina</t>
        </r>
      </text>
    </comment>
    <comment ref="L31" authorId="0" shapeId="0">
      <text>
        <r>
          <rPr>
            <b/>
            <sz val="9"/>
            <color indexed="81"/>
            <rFont val="Tahoma"/>
            <family val="2"/>
          </rPr>
          <t>JUAN J. SANCHEZ:</t>
        </r>
        <r>
          <rPr>
            <sz val="9"/>
            <color indexed="81"/>
            <rFont val="Tahoma"/>
            <family val="2"/>
          </rPr>
          <t xml:space="preserve">
equipos de computos</t>
        </r>
      </text>
    </comment>
    <comment ref="M31" authorId="0" shapeId="0">
      <text>
        <r>
          <rPr>
            <b/>
            <sz val="9"/>
            <color indexed="81"/>
            <rFont val="Tahoma"/>
            <family val="2"/>
          </rPr>
          <t>JUAN J. SANCHEZ:</t>
        </r>
        <r>
          <rPr>
            <sz val="9"/>
            <color indexed="81"/>
            <rFont val="Tahoma"/>
            <family val="2"/>
          </rPr>
          <t xml:space="preserve">
mobiliarios de oficina</t>
        </r>
      </text>
    </comment>
  </commentList>
</comments>
</file>

<file path=xl/comments5.xml><?xml version="1.0" encoding="utf-8"?>
<comments xmlns="http://schemas.openxmlformats.org/spreadsheetml/2006/main">
  <authors>
    <author>Auditoria Interna</author>
  </authors>
  <commentList>
    <comment ref="H23" authorId="0" shapeId="0">
      <text>
        <r>
          <rPr>
            <b/>
            <sz val="9"/>
            <color indexed="81"/>
            <rFont val="Tahoma"/>
            <family val="2"/>
          </rPr>
          <t>Auditoria Interna:</t>
        </r>
        <r>
          <rPr>
            <sz val="9"/>
            <color indexed="81"/>
            <rFont val="Tahoma"/>
            <family val="2"/>
          </rPr>
          <t xml:space="preserve">
Adquisicion terreno en Higuerito</t>
        </r>
      </text>
    </comment>
  </commentList>
</comments>
</file>

<file path=xl/sharedStrings.xml><?xml version="1.0" encoding="utf-8"?>
<sst xmlns="http://schemas.openxmlformats.org/spreadsheetml/2006/main" count="14279" uniqueCount="4283">
  <si>
    <t/>
  </si>
  <si>
    <t>CORPORACION DE ACUEDUCTO Y ALCANTARILLADO DE MOCA</t>
  </si>
  <si>
    <t xml:space="preserve">Pag. </t>
  </si>
  <si>
    <t>1</t>
  </si>
  <si>
    <t>Catálogo de Cuentas</t>
  </si>
  <si>
    <t>05/02/2016</t>
  </si>
  <si>
    <t>Cuenta</t>
  </si>
  <si>
    <t>Pertenece</t>
  </si>
  <si>
    <t>Descripción</t>
  </si>
  <si>
    <t>Clasificador</t>
  </si>
  <si>
    <t>TC</t>
  </si>
  <si>
    <t>O</t>
  </si>
  <si>
    <t>C</t>
  </si>
  <si>
    <t>T</t>
  </si>
  <si>
    <t>E</t>
  </si>
  <si>
    <t>ACTIVOS</t>
  </si>
  <si>
    <t>D</t>
  </si>
  <si>
    <t>N</t>
  </si>
  <si>
    <t>A</t>
  </si>
  <si>
    <t>11</t>
  </si>
  <si>
    <t>1101</t>
  </si>
  <si>
    <t xml:space="preserve"> DISPONIBILIDADES</t>
  </si>
  <si>
    <t>110101</t>
  </si>
  <si>
    <t xml:space="preserve"> CAJA</t>
  </si>
  <si>
    <t>110101001</t>
  </si>
  <si>
    <t xml:space="preserve"> CAJA GENERAL  </t>
  </si>
  <si>
    <t>110101002</t>
  </si>
  <si>
    <t xml:space="preserve"> CAJA CHICA </t>
  </si>
  <si>
    <t>11010100201</t>
  </si>
  <si>
    <t xml:space="preserve"> CAJA CHICA PARA MENUDO</t>
  </si>
  <si>
    <t>11010100202</t>
  </si>
  <si>
    <t xml:space="preserve"> CAJA CHICA COMPRAS</t>
  </si>
  <si>
    <t>11010100203</t>
  </si>
  <si>
    <t xml:space="preserve"> CAJA CHICA GASPAR HERNANDEZ</t>
  </si>
  <si>
    <t>11010100204</t>
  </si>
  <si>
    <t xml:space="preserve"> CAJA CHICA PLANTA LA DURA</t>
  </si>
  <si>
    <t>11010100205</t>
  </si>
  <si>
    <t xml:space="preserve"> CAJA CHICA JAMAO</t>
  </si>
  <si>
    <t>11010100206</t>
  </si>
  <si>
    <t xml:space="preserve"> CAJA CHICA CAYETANO GERMOSEN</t>
  </si>
  <si>
    <t>11010100207</t>
  </si>
  <si>
    <t xml:space="preserve"> CAJA CHICA VERAGUA</t>
  </si>
  <si>
    <t>110104</t>
  </si>
  <si>
    <t xml:space="preserve"> BANCOS- FONDOS DE TERCEROS</t>
  </si>
  <si>
    <t>110106</t>
  </si>
  <si>
    <t>1101060001</t>
  </si>
  <si>
    <t xml:space="preserve"> RESERVAS CTA. 100011701024184</t>
  </si>
  <si>
    <t>1101060002</t>
  </si>
  <si>
    <t xml:space="preserve"> RESERVAS CTA. 100011701025466</t>
  </si>
  <si>
    <t>1101060003</t>
  </si>
  <si>
    <t xml:space="preserve"> RESERVAS CTA. 100011701024303</t>
  </si>
  <si>
    <t>1101060004</t>
  </si>
  <si>
    <t xml:space="preserve"> RESERVAS CTA. 100011701027264</t>
  </si>
  <si>
    <t>1102</t>
  </si>
  <si>
    <t>110201</t>
  </si>
  <si>
    <t xml:space="preserve"> DEPóSITO A PLAZO FIJO</t>
  </si>
  <si>
    <t>110201001</t>
  </si>
  <si>
    <t xml:space="preserve"> DEPóSITOS A PLAZO FIJO INTERNO BANRESERVAS</t>
  </si>
  <si>
    <t>110201002</t>
  </si>
  <si>
    <t xml:space="preserve"> DEPóSITOS A PLAZO FIJO EXTERNO </t>
  </si>
  <si>
    <t>1102010998</t>
  </si>
  <si>
    <t xml:space="preserve"> OTROS DEPóSITOS A PLAZO FIJO S</t>
  </si>
  <si>
    <t>110203</t>
  </si>
  <si>
    <t>1102030001</t>
  </si>
  <si>
    <t xml:space="preserve"> INVERSIONES TEMPORALES EN RD$ </t>
  </si>
  <si>
    <t>1102030002</t>
  </si>
  <si>
    <t xml:space="preserve"> INVERSIONES TEMPORALES EN US$ </t>
  </si>
  <si>
    <t>110204</t>
  </si>
  <si>
    <t xml:space="preserve"> FONDOS Y BIENES EN FIDEICOMISO</t>
  </si>
  <si>
    <t>1104</t>
  </si>
  <si>
    <t>110401003</t>
  </si>
  <si>
    <t>1104010030001</t>
  </si>
  <si>
    <t xml:space="preserve"> ANTICIPOS A PROVEEDORES Y CONTRATISTAS  </t>
  </si>
  <si>
    <t>1104010998</t>
  </si>
  <si>
    <t xml:space="preserve"> OTROS ANTICIPO </t>
  </si>
  <si>
    <t>110402</t>
  </si>
  <si>
    <t xml:space="preserve"> CUENTAS A COBRAR A CORTO PLAZO</t>
  </si>
  <si>
    <t>110402001</t>
  </si>
  <si>
    <t xml:space="preserve"> CUENTAS  POR COBRAR AL SECTOR PUBLICO NO FINANCIE</t>
  </si>
  <si>
    <t>110402002</t>
  </si>
  <si>
    <t xml:space="preserve"> CUENTAS A COBRAR AL SECTOR PUBLICO FINANCIERO </t>
  </si>
  <si>
    <t>110402003</t>
  </si>
  <si>
    <t xml:space="preserve"> CUENTAS A COBRAR AL SECTOR PRIVADO </t>
  </si>
  <si>
    <t>110402004</t>
  </si>
  <si>
    <t xml:space="preserve"> CUENTA POR COBRAR AL SECTOR EXTERNO </t>
  </si>
  <si>
    <t>1104020998</t>
  </si>
  <si>
    <t>110402099801</t>
  </si>
  <si>
    <t xml:space="preserve"> CUENTAS POR COBRAR EMPLEADOS</t>
  </si>
  <si>
    <t>110404</t>
  </si>
  <si>
    <t xml:space="preserve"> DOCUMENTOS OTORGADOS A CORTO PLAZO</t>
  </si>
  <si>
    <t>1104040001</t>
  </si>
  <si>
    <t xml:space="preserve"> DOCUMENTOS POR COBRAR AL SECTOR PUBLICO NO FINANC</t>
  </si>
  <si>
    <t>1104040002</t>
  </si>
  <si>
    <t xml:space="preserve"> DOCUMENTOS POR COBRAR AL SECTOR PUBLICO FINANCIER</t>
  </si>
  <si>
    <t>1104040003</t>
  </si>
  <si>
    <t xml:space="preserve"> DOCUMENTOS POR COBRAR AL SECTOR PRIVADO A CORTO P</t>
  </si>
  <si>
    <t>1104040004</t>
  </si>
  <si>
    <t xml:space="preserve"> DOCUMENTOS POR COBRAR AL SECTOR EXTERNO A CORTO P</t>
  </si>
  <si>
    <t>1104050998</t>
  </si>
  <si>
    <t xml:space="preserve"> OTROS DOCUMENTOS POR COBRAR CORTO PLAZO POR CLASI</t>
  </si>
  <si>
    <t>110406</t>
  </si>
  <si>
    <t xml:space="preserve"> PRéSTAMOS OTORGADOS A CORTO PLAZO</t>
  </si>
  <si>
    <t>1104060001</t>
  </si>
  <si>
    <t xml:space="preserve"> PRéSTAMOS A COBRAR AL SECTOR PúBLICO A CORTO PLAZ</t>
  </si>
  <si>
    <t>1104060002</t>
  </si>
  <si>
    <t xml:space="preserve"> PRéSTAMOS A COBRAR AL SECTOR PRIVADO A CORTO PLAZ</t>
  </si>
  <si>
    <t>1104060004</t>
  </si>
  <si>
    <t xml:space="preserve"> PRéSTAMOS A COBRAR AL SECTOR EXTERNO A CORTO PLAZ</t>
  </si>
  <si>
    <t>1104060998</t>
  </si>
  <si>
    <t xml:space="preserve"> OTROS PRéSTAMOS A COBRAR A CORTO PLAZO POR CLASIF</t>
  </si>
  <si>
    <t>110410</t>
  </si>
  <si>
    <t xml:space="preserve"> GASTOS PAGADOS POR ADELANTADO</t>
  </si>
  <si>
    <t>110499</t>
  </si>
  <si>
    <t xml:space="preserve"> PROVISIóN PARA CUENTAS INCOBRABLES</t>
  </si>
  <si>
    <t>1104990999</t>
  </si>
  <si>
    <t xml:space="preserve"> PROVISIóN PARA PRéSTAMOS Y CUENTAS DIRECTAS INCOB</t>
  </si>
  <si>
    <t>1106</t>
  </si>
  <si>
    <t xml:space="preserve"> INVENTARIOS</t>
  </si>
  <si>
    <t>110601</t>
  </si>
  <si>
    <t xml:space="preserve"> EXISTENCIA DE BIENES DE CAMBIOS Y CONSUMO </t>
  </si>
  <si>
    <t>110602</t>
  </si>
  <si>
    <t xml:space="preserve"> EXISTENCIAS DE PRODUCTOS TERMINADOS Y EN PROCESO </t>
  </si>
  <si>
    <t>110603</t>
  </si>
  <si>
    <t xml:space="preserve"> COMPRAS DE BIENES EN TRáNSITO  </t>
  </si>
  <si>
    <t>110699</t>
  </si>
  <si>
    <t xml:space="preserve"> PROVISIóN PARA PERDIDAS EN INVENTARIO </t>
  </si>
  <si>
    <t>12</t>
  </si>
  <si>
    <t xml:space="preserve"> ACTIVOS CORRIENTE</t>
  </si>
  <si>
    <t>1206</t>
  </si>
  <si>
    <t xml:space="preserve"> BIENES DE USO</t>
  </si>
  <si>
    <t>120601</t>
  </si>
  <si>
    <t xml:space="preserve"> MAQUINARIAS EQUIPOS Y MOBILIARIOS</t>
  </si>
  <si>
    <t>120601001</t>
  </si>
  <si>
    <t xml:space="preserve"> MAQUINARIAS Y EQUIPOS DE PRODUCCIóN </t>
  </si>
  <si>
    <t>2.6.5.3.01</t>
  </si>
  <si>
    <t>120601002</t>
  </si>
  <si>
    <t xml:space="preserve"> EQUIPO EDUCACIONAL CIENTIFICO Y RECREATIVO </t>
  </si>
  <si>
    <t>2.6.5.8.01</t>
  </si>
  <si>
    <t>TC-Tipo Cuenta (M,C,A) , O-Orígen(D,C),  C-Cierra(S,N), T:Tipo(1,2,3,4,5,6,7,8), E:Estado (A,I)</t>
  </si>
  <si>
    <t>2</t>
  </si>
  <si>
    <t>120601003</t>
  </si>
  <si>
    <t xml:space="preserve"> EQUIPO DE TRANSPORTE TRACCIóN Y ELEVACIóN  </t>
  </si>
  <si>
    <t>2.6.4.1.01</t>
  </si>
  <si>
    <t>120601004</t>
  </si>
  <si>
    <t xml:space="preserve"> EQUIPOS DE COMPUTACIóN </t>
  </si>
  <si>
    <t>2.6.1.4.01</t>
  </si>
  <si>
    <t>120601005</t>
  </si>
  <si>
    <t xml:space="preserve"> EQUIPOS MéDICOS SANITARIOS Y VETERINARIO </t>
  </si>
  <si>
    <t>2.6.3.2.01</t>
  </si>
  <si>
    <t>120601006</t>
  </si>
  <si>
    <t xml:space="preserve"> EQUIPOS DE COMUNICACIóN Y SEñALAMIENTO </t>
  </si>
  <si>
    <t>2.6.5.5.01</t>
  </si>
  <si>
    <t>120601007</t>
  </si>
  <si>
    <t xml:space="preserve"> EQUIPOS Y MUEBLES PARA OFICINA </t>
  </si>
  <si>
    <t>2.6.1.1.01</t>
  </si>
  <si>
    <t>120601008</t>
  </si>
  <si>
    <t xml:space="preserve"> HERRAMIENTAS Y RESPUESTOS MAYORE </t>
  </si>
  <si>
    <t>2.6.5.7.01</t>
  </si>
  <si>
    <t>1206010998</t>
  </si>
  <si>
    <t xml:space="preserve"> EQUIPOS Y MOBILIARIOS  DE ALOJAMIENTO </t>
  </si>
  <si>
    <t>2.6.1.2.01</t>
  </si>
  <si>
    <t>120602</t>
  </si>
  <si>
    <t xml:space="preserve"> INMUEBLES</t>
  </si>
  <si>
    <t>120602001</t>
  </si>
  <si>
    <t xml:space="preserve"> TERRENO </t>
  </si>
  <si>
    <t>2.6.7.1.01</t>
  </si>
  <si>
    <t>120602002</t>
  </si>
  <si>
    <t xml:space="preserve"> EDIFICIO </t>
  </si>
  <si>
    <t>2.6.7.4.01</t>
  </si>
  <si>
    <t>1206020998</t>
  </si>
  <si>
    <t xml:space="preserve"> INMUEBLES VARIO </t>
  </si>
  <si>
    <t>2.6.8.5.01</t>
  </si>
  <si>
    <t>120603</t>
  </si>
  <si>
    <t xml:space="preserve"> CONTRUCCIONES Y MEJORAS EN PROCESO</t>
  </si>
  <si>
    <t>1206030004</t>
  </si>
  <si>
    <t xml:space="preserve"> OBRAS HIDRáULICAS Y  SANITARIAS  </t>
  </si>
  <si>
    <t>2.7.2.1.01</t>
  </si>
  <si>
    <t>1206030005</t>
  </si>
  <si>
    <t xml:space="preserve"> EDIFICACIONES  </t>
  </si>
  <si>
    <t>2.7.1.2.01</t>
  </si>
  <si>
    <t>1206030006</t>
  </si>
  <si>
    <t xml:space="preserve"> OBRAS DE ENERGíA </t>
  </si>
  <si>
    <t>2.7.2.2.01</t>
  </si>
  <si>
    <t>1206030007</t>
  </si>
  <si>
    <t xml:space="preserve"> OBRAS DE TELECOMUICACIONE </t>
  </si>
  <si>
    <t>2.7.2.3.01</t>
  </si>
  <si>
    <t>120604</t>
  </si>
  <si>
    <t xml:space="preserve"> CONSTRUCCIONES POR CONCESIONES EN PROCESO</t>
  </si>
  <si>
    <t>1206040001</t>
  </si>
  <si>
    <t xml:space="preserve"> CONTRUCCIONES POR CONCESIONES DE BIENES DE USO </t>
  </si>
  <si>
    <t>2.7.3.1.01</t>
  </si>
  <si>
    <t>120698</t>
  </si>
  <si>
    <t xml:space="preserve"> OTROS BIENES DE USO</t>
  </si>
  <si>
    <t>1206980001</t>
  </si>
  <si>
    <t xml:space="preserve"> EQUIPOS DE SEGURIDAD </t>
  </si>
  <si>
    <t>2.6.9.2.01</t>
  </si>
  <si>
    <t>1206980004</t>
  </si>
  <si>
    <t xml:space="preserve"> OBRAS DE ARTE Y ELEMENTOS COLECCIONABLE </t>
  </si>
  <si>
    <t>2.6.1.3.01</t>
  </si>
  <si>
    <t>120699</t>
  </si>
  <si>
    <t xml:space="preserve"> DEPRECIACIóN DE BIENES DE USO</t>
  </si>
  <si>
    <t>1206990999</t>
  </si>
  <si>
    <t xml:space="preserve"> DEPRECIACIóN DE BIENES DE USO </t>
  </si>
  <si>
    <t>1208</t>
  </si>
  <si>
    <t xml:space="preserve"> BIENES INTANGIBLES</t>
  </si>
  <si>
    <t>120801</t>
  </si>
  <si>
    <t xml:space="preserve"> ACTIVOS INTANGIBLES</t>
  </si>
  <si>
    <t>120801003</t>
  </si>
  <si>
    <t xml:space="preserve"> PAQUETES Y PRAGRAMAS DE COMPUTACIóN </t>
  </si>
  <si>
    <t>2.6.8.3.01</t>
  </si>
  <si>
    <t>120899</t>
  </si>
  <si>
    <t xml:space="preserve"> DEPRECIACIóN DE BIENES INTANGIBLE </t>
  </si>
  <si>
    <t>1208990999</t>
  </si>
  <si>
    <t xml:space="preserve"> DEPRECIACIóN DE BIENES INTAGIBLE </t>
  </si>
  <si>
    <t>1298</t>
  </si>
  <si>
    <t xml:space="preserve"> OTROS ACTIVOS CORRIENTES</t>
  </si>
  <si>
    <t>129801</t>
  </si>
  <si>
    <t>129801003</t>
  </si>
  <si>
    <t xml:space="preserve"> DEPóSITOS EN GARANTíA  </t>
  </si>
  <si>
    <t>2.2.5.1.01</t>
  </si>
  <si>
    <t>129898</t>
  </si>
  <si>
    <t xml:space="preserve"> ACTIVOS DIVERSOS</t>
  </si>
  <si>
    <t>1298980001</t>
  </si>
  <si>
    <t xml:space="preserve"> ACTIVOS DIFERIDOS  </t>
  </si>
  <si>
    <t xml:space="preserve"> PASIVOS  </t>
  </si>
  <si>
    <t>21</t>
  </si>
  <si>
    <t xml:space="preserve"> PASIVOS CORRIENTES </t>
  </si>
  <si>
    <t>210201</t>
  </si>
  <si>
    <t xml:space="preserve"> ANTICIPOS RECIBIDOS</t>
  </si>
  <si>
    <t>2103</t>
  </si>
  <si>
    <t xml:space="preserve"> CUENTAS POR PAGAR A CORTO PLAZO</t>
  </si>
  <si>
    <t>210301</t>
  </si>
  <si>
    <t xml:space="preserve"> GASTOS DE PERSONAL POR PAGAR</t>
  </si>
  <si>
    <t>210301001</t>
  </si>
  <si>
    <t xml:space="preserve"> SUELDOS Y JORNALES A PAGAR </t>
  </si>
  <si>
    <t>210301002</t>
  </si>
  <si>
    <t xml:space="preserve"> HONORARIOS A PAGAR </t>
  </si>
  <si>
    <t>210301002001</t>
  </si>
  <si>
    <t>210301002002</t>
  </si>
  <si>
    <t xml:space="preserve"> HONORARIO A PAGAR EXTERNO </t>
  </si>
  <si>
    <t>210301003</t>
  </si>
  <si>
    <t xml:space="preserve"> DIETAS Y VIATICOS A PAGAR </t>
  </si>
  <si>
    <t>210301004</t>
  </si>
  <si>
    <t xml:space="preserve"> CONTRIBUCIONES A LA SEGURIDAD  SOCIAL A PAGAR </t>
  </si>
  <si>
    <t>210301005</t>
  </si>
  <si>
    <t xml:space="preserve"> OTROS GASTOS EN PERSONAL A PAGAR </t>
  </si>
  <si>
    <t>210301006</t>
  </si>
  <si>
    <t xml:space="preserve"> REMUNERACIONES; OTROS GASTOS EN PERSONAL PROYECTO</t>
  </si>
  <si>
    <t>2103010998</t>
  </si>
  <si>
    <t xml:space="preserve"> OTROS GASTOS DE PERSONAL A PAGAR A CORTO PLAZO PO</t>
  </si>
  <si>
    <t>210302</t>
  </si>
  <si>
    <t xml:space="preserve"> CUENTAS A PAGAR DIRECTA A CORTO PLAZO  </t>
  </si>
  <si>
    <t>210302001</t>
  </si>
  <si>
    <t xml:space="preserve"> PROVEEDORES DIRECTOS INTERNO A PAGAR A CORTO PLAZ</t>
  </si>
  <si>
    <t>210302002</t>
  </si>
  <si>
    <t xml:space="preserve"> PROVEEDORES DIRECTOS EXTERNOS A PAGAR A CORTO PLA</t>
  </si>
  <si>
    <t>210302003</t>
  </si>
  <si>
    <t xml:space="preserve"> PROVEEDORES INTERNOS PROYECTOS DE INVERSIóERVICIO</t>
  </si>
  <si>
    <t>210302004</t>
  </si>
  <si>
    <t xml:space="preserve"> PROVEEDORES EXTERNO PROYECTO DE INVERSIóERVICIOO </t>
  </si>
  <si>
    <t>210302005</t>
  </si>
  <si>
    <t xml:space="preserve"> PROVEEDORES POR PROYECTOS DE INVERSIóN INTERNO MA</t>
  </si>
  <si>
    <t>210302006</t>
  </si>
  <si>
    <t xml:space="preserve"> PROEEDORES POR PROYEC. DE INVER. EXTER. MAQ. Y EQ</t>
  </si>
  <si>
    <t>2103020998</t>
  </si>
  <si>
    <t xml:space="preserve"> OTROS PROVEEDORES DIRECTOS A PAGAR A CORTO PLAZO </t>
  </si>
  <si>
    <t>210304</t>
  </si>
  <si>
    <t xml:space="preserve"> CONTRATISTA DIRECTOS A PAGAR A COTO PLAZO</t>
  </si>
  <si>
    <t>2103040001</t>
  </si>
  <si>
    <t xml:space="preserve"> CONTRATISTAS INTERNOS A PAGAR A CORTO PLAZO </t>
  </si>
  <si>
    <t>2103040002</t>
  </si>
  <si>
    <t xml:space="preserve"> CONTRATISTAS EXTERNOS A PAGAR A CORTO PLAZO </t>
  </si>
  <si>
    <t>2103040003</t>
  </si>
  <si>
    <t xml:space="preserve"> CONTRATISTA INTERNOS PROYECTOS DE INVERSIóN A PAG</t>
  </si>
  <si>
    <t>2103040004</t>
  </si>
  <si>
    <t xml:space="preserve"> CONTRATISTA EXTERNOS PROYECTOS DE INVERSIóN A PAG</t>
  </si>
  <si>
    <t>2103040005</t>
  </si>
  <si>
    <t>CUENTAS POR PAGAR USO INTERNO</t>
  </si>
  <si>
    <t>2103040998</t>
  </si>
  <si>
    <t xml:space="preserve"> OTROS CONTRATISTAS A PAGAR A CORTO PLAZO POR CLAS</t>
  </si>
  <si>
    <t>210306</t>
  </si>
  <si>
    <t xml:space="preserve"> DEDUCCIONES Y RETENCIONES POR PAGAR </t>
  </si>
  <si>
    <t>2103060001</t>
  </si>
  <si>
    <t xml:space="preserve"> RETENCIONES IMPOSITIVAS POR PAGAR </t>
  </si>
  <si>
    <t>3</t>
  </si>
  <si>
    <t>210306000101</t>
  </si>
  <si>
    <t>210306000102</t>
  </si>
  <si>
    <t xml:space="preserve"> RET. IMPOS. POR PAGAR ISR IR-3</t>
  </si>
  <si>
    <t>210306000103</t>
  </si>
  <si>
    <t xml:space="preserve"> RET IMPOSIT POR PAGAR SEGURO S.</t>
  </si>
  <si>
    <t>210306000104</t>
  </si>
  <si>
    <t xml:space="preserve"> RET IMPOS POR PAGAR IR 17 (5%)</t>
  </si>
  <si>
    <t>210306000105</t>
  </si>
  <si>
    <t xml:space="preserve"> RET IMPOSIT POR PAGAR IR 17 (10%)</t>
  </si>
  <si>
    <t>210306000106</t>
  </si>
  <si>
    <t xml:space="preserve"> RET IMPOSIT POR PAGAR ITBIS</t>
  </si>
  <si>
    <t>2103060002</t>
  </si>
  <si>
    <t xml:space="preserve"> DEDUCCIONES PERSONALES A PAGAR </t>
  </si>
  <si>
    <t>210306000201</t>
  </si>
  <si>
    <t xml:space="preserve"> DEDUCCIONES PERSONALES A PAGAR P.P.</t>
  </si>
  <si>
    <t>210306000202</t>
  </si>
  <si>
    <t>2103060003</t>
  </si>
  <si>
    <t xml:space="preserve"> DEDUCCIONES POR GARANTíA DE OBRAS  </t>
  </si>
  <si>
    <t>210308</t>
  </si>
  <si>
    <t xml:space="preserve"> COMISIONES Y CARGOS BANCARIOS A PAGAR</t>
  </si>
  <si>
    <t>2103080001</t>
  </si>
  <si>
    <t xml:space="preserve"> COMISIONES Y CARGOS BANCARIOS INTERNOS A PAGAR </t>
  </si>
  <si>
    <t>2103080002</t>
  </si>
  <si>
    <t xml:space="preserve"> COMISIONES Y CARGOS BANCARIOS EXTERNOS A PAGAR </t>
  </si>
  <si>
    <t>2103080003</t>
  </si>
  <si>
    <t xml:space="preserve"> COMISIONES Y GASTOS BANCARIOS A PAGAR </t>
  </si>
  <si>
    <t>210311</t>
  </si>
  <si>
    <t xml:space="preserve"> TRANSFERENCIAS Y DONACIONES A PAGAR </t>
  </si>
  <si>
    <t>210311001</t>
  </si>
  <si>
    <t xml:space="preserve"> PRESTACIONES DE LA SEGURIDAD SOCIAL A PAGAR </t>
  </si>
  <si>
    <t>210311002</t>
  </si>
  <si>
    <t xml:space="preserve"> TRANSFERENCIAS AL SECTOR PRIVADO A PAGAR </t>
  </si>
  <si>
    <t>210311003</t>
  </si>
  <si>
    <t xml:space="preserve"> TRANSFERENCIAS AL SECTOR PúBLICO A PAGAR </t>
  </si>
  <si>
    <t>2103110998</t>
  </si>
  <si>
    <t xml:space="preserve"> OTRAS TRANSFERENCIAS Y DONACIONES A PAGAR </t>
  </si>
  <si>
    <t>210398</t>
  </si>
  <si>
    <t xml:space="preserve"> OTRAS CUENTAS A PAGAR  CORTO PLAZO</t>
  </si>
  <si>
    <t>2103980001</t>
  </si>
  <si>
    <t xml:space="preserve"> INVERSIONES A PAGAR INTERNAS  </t>
  </si>
  <si>
    <t>2103980002</t>
  </si>
  <si>
    <t xml:space="preserve"> INVERSIONES A PAGAR EN MONEDAS EXTRANJERAS </t>
  </si>
  <si>
    <t>2103980003</t>
  </si>
  <si>
    <t xml:space="preserve"> FONDOS DE TERCEROS EN PROCESO DE PAGO </t>
  </si>
  <si>
    <t>2103980005</t>
  </si>
  <si>
    <t xml:space="preserve"> AMORTIZACIóN  PORCIóN  CORRIENTE P/L PLAZO INTERN</t>
  </si>
  <si>
    <t>2103980006</t>
  </si>
  <si>
    <t xml:space="preserve"> AMORTIZACIóN  PORCIóN  CORRIENTE P/L PLAZO EXTERN</t>
  </si>
  <si>
    <t>2103980007</t>
  </si>
  <si>
    <t xml:space="preserve"> AMORTIZACIóN IMPAGOS AñO ANTERIORES INTERNAS </t>
  </si>
  <si>
    <t>2103980008</t>
  </si>
  <si>
    <t xml:space="preserve"> AMORTIZACIóN IMPAGOS AñO ANTERIORES EXTERNA </t>
  </si>
  <si>
    <t>2103980009</t>
  </si>
  <si>
    <t xml:space="preserve"> AMORTIZACIóN PRESTAMOS DE CORTO PLAZO </t>
  </si>
  <si>
    <t>2103980011</t>
  </si>
  <si>
    <t xml:space="preserve"> PRESTAMOS OTORGADOS POR PAGAR </t>
  </si>
  <si>
    <t>2103980012</t>
  </si>
  <si>
    <t xml:space="preserve"> AMORTIZACIóN PORCIóN CORRIENTE  PASIVOS ONTIGENTE</t>
  </si>
  <si>
    <t>2104</t>
  </si>
  <si>
    <t xml:space="preserve"> PASIVOS A LARGO PLAZO – PORCIóN CORRIENTE</t>
  </si>
  <si>
    <t>2105</t>
  </si>
  <si>
    <t xml:space="preserve"> DOCUMENTOS INTERNOS A PAGAR A CORTO PLAZO</t>
  </si>
  <si>
    <t>2106</t>
  </si>
  <si>
    <t xml:space="preserve"> DOCUMENTOS EXTERNO A PAGAR A CORTO PLAZO</t>
  </si>
  <si>
    <t>2107</t>
  </si>
  <si>
    <t xml:space="preserve">PRéSTAMOS INTERNO A PAGAR A CORTO PLAZO </t>
  </si>
  <si>
    <t>210701</t>
  </si>
  <si>
    <t xml:space="preserve"> PRéSTAMOS INTERNOS A PAGAR A CORTO PLAZO </t>
  </si>
  <si>
    <t>210701001</t>
  </si>
  <si>
    <t xml:space="preserve"> PRéSTAMOS INTERNOS DIRECTOS A PAGAR AL SECTOR PRI</t>
  </si>
  <si>
    <t>21070100101</t>
  </si>
  <si>
    <t xml:space="preserve"> PRÉSTAMOS INTERNOS - INVERSIONES AVILMAN</t>
  </si>
  <si>
    <t>21070100102</t>
  </si>
  <si>
    <t xml:space="preserve"> PRÉSTAMOS INTERNOS - NEGOSIADO SIGLO XXI</t>
  </si>
  <si>
    <t>21070100103</t>
  </si>
  <si>
    <t xml:space="preserve"> PRÉSTAMOS INTERNOS -LUIS MANUEL PAULINO</t>
  </si>
  <si>
    <t>21070100104</t>
  </si>
  <si>
    <t xml:space="preserve"> PRÉSTAMOS INTERNOS - JULIAN R GRULLON</t>
  </si>
  <si>
    <t>21070100105</t>
  </si>
  <si>
    <t xml:space="preserve"> PRÉSTAMOS INTERNOS - COOPMOGOTE</t>
  </si>
  <si>
    <t>21070100106</t>
  </si>
  <si>
    <t>PRÉSTAMOS INTERNOS-COOP-ADEPE</t>
  </si>
  <si>
    <t>21070100107</t>
  </si>
  <si>
    <t>COOP. FEGRUCA</t>
  </si>
  <si>
    <t>210701002</t>
  </si>
  <si>
    <t xml:space="preserve"> PRÉSTAMOS INTERNOS - RESERVAS</t>
  </si>
  <si>
    <t>210702</t>
  </si>
  <si>
    <t xml:space="preserve"> PRéSTAMOS INTERNOS INDIRECTOS A PAGAR A CORTO PLA</t>
  </si>
  <si>
    <t>2108</t>
  </si>
  <si>
    <t xml:space="preserve"> PRéSTAMOS EXTERNO A PAGAR A CORTO PLAZO</t>
  </si>
  <si>
    <t>210801</t>
  </si>
  <si>
    <t xml:space="preserve"> PRESTAMOS EXTERNO DIRECTOS A PAGAR A CORTO PLAZO</t>
  </si>
  <si>
    <t>210802</t>
  </si>
  <si>
    <t xml:space="preserve"> PRESTAMOS EXTERNOS INDIRECTOS A PAGAR A CORTO PLA</t>
  </si>
  <si>
    <t>210898</t>
  </si>
  <si>
    <t xml:space="preserve"> OTROS PRESTAMOS EXTERNOS PAGAR A CORTO PLAZO</t>
  </si>
  <si>
    <t>211102</t>
  </si>
  <si>
    <t xml:space="preserve"> FONDOS EN CONSIGNACIóN A PAGAR A CORTO PLAZO</t>
  </si>
  <si>
    <t>211105</t>
  </si>
  <si>
    <t xml:space="preserve"> FONDOS EN CONSIGNACIóN A PAGAR A LARGO PLAZO- POR</t>
  </si>
  <si>
    <t>2198</t>
  </si>
  <si>
    <t xml:space="preserve"> OTROS PASIVOS CORRIENTES</t>
  </si>
  <si>
    <t>219802</t>
  </si>
  <si>
    <t xml:space="preserve"> PROVISIóN DE NóMINA A PAGAR</t>
  </si>
  <si>
    <t>219802001</t>
  </si>
  <si>
    <t xml:space="preserve"> REGALíA PASCUAL </t>
  </si>
  <si>
    <t>22</t>
  </si>
  <si>
    <t xml:space="preserve"> PASIVO NO CORRIENTES</t>
  </si>
  <si>
    <t>2201</t>
  </si>
  <si>
    <t xml:space="preserve"> CUENTAS INTERNAS A PAGAR A LARGO PLAZO</t>
  </si>
  <si>
    <t>2202</t>
  </si>
  <si>
    <t xml:space="preserve"> CUENTAS EXTERNAS A PAGAR A LARGO PLAZO</t>
  </si>
  <si>
    <t>2203</t>
  </si>
  <si>
    <t xml:space="preserve"> DOCUMENTOS INTERNOS A PAGAR A LARGO PLAZO</t>
  </si>
  <si>
    <t>2204</t>
  </si>
  <si>
    <t xml:space="preserve"> DOCUMENTOS EXRTERNOS A PAGAR A LARGO PLAZO</t>
  </si>
  <si>
    <t>2205</t>
  </si>
  <si>
    <t xml:space="preserve"> PRESTAMOS INTERNOS A PAGAR A LARGO PLAZO</t>
  </si>
  <si>
    <t>220902</t>
  </si>
  <si>
    <t xml:space="preserve"> FONDOS EN CONSIGNACIóN A PAGAR A LARGO PLAZO</t>
  </si>
  <si>
    <t>2210</t>
  </si>
  <si>
    <t xml:space="preserve"> PASIVOS DIFERIDOS A PAGAR A LARGO PLAZO</t>
  </si>
  <si>
    <t>221001</t>
  </si>
  <si>
    <t xml:space="preserve"> ANTICIPOS FINANCIEROS A LARGO PLAZO</t>
  </si>
  <si>
    <t>221002</t>
  </si>
  <si>
    <t xml:space="preserve"> ANTICIPOS POR VENTAS DE BIENES Y SERVICIOS A LARG</t>
  </si>
  <si>
    <t>4</t>
  </si>
  <si>
    <t>221003</t>
  </si>
  <si>
    <t xml:space="preserve"> ANTICIPOS POR VENTAS DE INMUEBLES A LARGO PLAZO</t>
  </si>
  <si>
    <t>221004</t>
  </si>
  <si>
    <t xml:space="preserve"> ANTICIPOS POR COMISIONES A LARGO PLAZO</t>
  </si>
  <si>
    <t>221098</t>
  </si>
  <si>
    <t xml:space="preserve"> OTROS PASIVOS DIFERIDOS A LARGO PLAZO</t>
  </si>
  <si>
    <t>2298</t>
  </si>
  <si>
    <t xml:space="preserve"> OTROS PASIVOO CORRIENTES</t>
  </si>
  <si>
    <t>229801</t>
  </si>
  <si>
    <t xml:space="preserve"> PROVISIóN PARA PAGOS DE PRESTACIONES LABORALES</t>
  </si>
  <si>
    <t>229801001</t>
  </si>
  <si>
    <t xml:space="preserve"> PROVISIóN PARA PAGO DE LAS PRESTACIONES LABORALES</t>
  </si>
  <si>
    <t>229801002</t>
  </si>
  <si>
    <t xml:space="preserve"> PROVISIóN PARA PAGOS DE VACACIONES</t>
  </si>
  <si>
    <t>229801003</t>
  </si>
  <si>
    <t xml:space="preserve"> PROVISIóN PARA PAGOS DE BONIFICACIONES</t>
  </si>
  <si>
    <t xml:space="preserve"> PATRIMONIO  </t>
  </si>
  <si>
    <t>310101</t>
  </si>
  <si>
    <t xml:space="preserve"> AJUSTE AL PATRIMONIO INICIAL </t>
  </si>
  <si>
    <t>310101001</t>
  </si>
  <si>
    <t xml:space="preserve"> AJUSTE AL PATRIMONIO INICIAL POR DISPONIBILIDADES</t>
  </si>
  <si>
    <t>32</t>
  </si>
  <si>
    <t xml:space="preserve"> PATRIMONIO INSTITUCIONAL</t>
  </si>
  <si>
    <t>3201</t>
  </si>
  <si>
    <t xml:space="preserve"> CAPITAL INSTITUCIONAL</t>
  </si>
  <si>
    <t>320101005</t>
  </si>
  <si>
    <t xml:space="preserve"> AJUSTE AL PATRIMONIO INCIAL POR INCORPORACIóN DE </t>
  </si>
  <si>
    <t>3202</t>
  </si>
  <si>
    <t xml:space="preserve"> TRANSFERENCIA Y CONTRIBUCIONES DE CAPITAL RECIBID</t>
  </si>
  <si>
    <t>320201</t>
  </si>
  <si>
    <t xml:space="preserve"> TRANSFERENCIAS DE CAPITAL RECIBIDAS </t>
  </si>
  <si>
    <t>320201001</t>
  </si>
  <si>
    <t xml:space="preserve"> TRANSFERENCIAS DE CAPITAL DEL SECTOR INTERNO </t>
  </si>
  <si>
    <t>320201002</t>
  </si>
  <si>
    <t xml:space="preserve"> TRANSFERENCIAS DE CAPITAL DE LA ADMINISTRACIóN CE</t>
  </si>
  <si>
    <t>1.4.2.2.01</t>
  </si>
  <si>
    <t>320201003</t>
  </si>
  <si>
    <t xml:space="preserve"> TRANSFERENCIAS DE CAPITAL DE INSTITUCIONES PúBLIC</t>
  </si>
  <si>
    <t>1.4.2.3.01</t>
  </si>
  <si>
    <t>320201004</t>
  </si>
  <si>
    <t xml:space="preserve"> TRANSFERENCIAS DE CAPITAL DE INSTITUCIONES DE LA </t>
  </si>
  <si>
    <t>1.4.2.4.01</t>
  </si>
  <si>
    <t>320201005</t>
  </si>
  <si>
    <t xml:space="preserve"> TRANSFERENCIAS DE CAPITAL DE LOS MUNICIPIOS </t>
  </si>
  <si>
    <t>1.4.2.6.01</t>
  </si>
  <si>
    <t>320201006</t>
  </si>
  <si>
    <t xml:space="preserve"> TRANSFERENCIAS DE CAPITAL DE EMPRESAS PúBLICCAO F</t>
  </si>
  <si>
    <t>1.4.2.8.01</t>
  </si>
  <si>
    <t>320201007</t>
  </si>
  <si>
    <t xml:space="preserve"> TRANSFERENCIAS DE CAPITAL DE EMPRESAS PúBLICCAS F</t>
  </si>
  <si>
    <t>1.4.2.8.02</t>
  </si>
  <si>
    <t>320202</t>
  </si>
  <si>
    <t xml:space="preserve"> CONTRIBUCIONES DE CAPITAL RECIBIDAS</t>
  </si>
  <si>
    <t>320202001</t>
  </si>
  <si>
    <t xml:space="preserve"> CONTRIBUCIóN DE CAPITAL DE GOBIERNOS EXTRANJERO </t>
  </si>
  <si>
    <t>1.3.2.1.01</t>
  </si>
  <si>
    <t>320202002</t>
  </si>
  <si>
    <t xml:space="preserve"> CONTRIBUCIONES DE CAPITAL DE ORGANISMOS INTERNACI</t>
  </si>
  <si>
    <t>1.3.2.2.01</t>
  </si>
  <si>
    <t>320202003</t>
  </si>
  <si>
    <t xml:space="preserve"> CONTRIBUCIONES DE CAPITAL DEL SECTOR PRIVADO EXTE</t>
  </si>
  <si>
    <t>1.3.2.3.01</t>
  </si>
  <si>
    <t>3203</t>
  </si>
  <si>
    <t xml:space="preserve"> RESULTADO DE LAS CUENTAS CORRIENTES</t>
  </si>
  <si>
    <t>320301</t>
  </si>
  <si>
    <t xml:space="preserve"> RESULTADOS DE EJERCICIOS ANTERIORES</t>
  </si>
  <si>
    <t>320302</t>
  </si>
  <si>
    <t xml:space="preserve"> RESULTADO DEL EJERCICIOS  </t>
  </si>
  <si>
    <t xml:space="preserve"> INGRESOS</t>
  </si>
  <si>
    <t>S</t>
  </si>
  <si>
    <t>41</t>
  </si>
  <si>
    <t xml:space="preserve"> INGRESOS CORRIENTES</t>
  </si>
  <si>
    <t>4102</t>
  </si>
  <si>
    <t xml:space="preserve"> INGRESOO TRIBUTARIOS</t>
  </si>
  <si>
    <t>410203</t>
  </si>
  <si>
    <t xml:space="preserve"> RENTA DE PROPIEDAD</t>
  </si>
  <si>
    <t>4102030002</t>
  </si>
  <si>
    <t xml:space="preserve"> INGRESOS POR INTERESES </t>
  </si>
  <si>
    <t>1.6.1.2.01</t>
  </si>
  <si>
    <t>4102030004</t>
  </si>
  <si>
    <t xml:space="preserve"> INGRESOS POR ALQUILERES </t>
  </si>
  <si>
    <t>4102030005</t>
  </si>
  <si>
    <t xml:space="preserve"> INGRESOS POR CONCESIONES </t>
  </si>
  <si>
    <t>1.6.1.4.99</t>
  </si>
  <si>
    <t>410298</t>
  </si>
  <si>
    <t xml:space="preserve"> OTROS INGRESOO TRIBUTARIOS</t>
  </si>
  <si>
    <t>4102980001</t>
  </si>
  <si>
    <t xml:space="preserve"> INGRESOS POR RECARGOS </t>
  </si>
  <si>
    <t>1.5.1.2.99</t>
  </si>
  <si>
    <t>4102980002</t>
  </si>
  <si>
    <t xml:space="preserve"> INGRESOS POR MULTAS </t>
  </si>
  <si>
    <t>4102980003</t>
  </si>
  <si>
    <t xml:space="preserve"> INGRESOS POR CONTRIBUCIONES </t>
  </si>
  <si>
    <t>4102980998</t>
  </si>
  <si>
    <t xml:space="preserve"> OTROS INGRESOS  </t>
  </si>
  <si>
    <t>4103</t>
  </si>
  <si>
    <t xml:space="preserve"> INGRESOS DE OPERACIONES</t>
  </si>
  <si>
    <t>41030001</t>
  </si>
  <si>
    <t xml:space="preserve"> INGRESOS DE OPERACIONES - SERVICIO MEDIDO</t>
  </si>
  <si>
    <t>41030002</t>
  </si>
  <si>
    <t xml:space="preserve"> INGRESOS DE OPERACIONES - SERVICIO NO MEDIDO</t>
  </si>
  <si>
    <t>41030003</t>
  </si>
  <si>
    <t xml:space="preserve"> INGRESOS DE OPERACIONES - ALCANTARILLADO</t>
  </si>
  <si>
    <t>41030004</t>
  </si>
  <si>
    <t xml:space="preserve"> INGRESOS DE OPERACIONES - RECONEXION</t>
  </si>
  <si>
    <t>41030005</t>
  </si>
  <si>
    <t xml:space="preserve"> INGRESOS DE OPERACIONES - CONTRATOS</t>
  </si>
  <si>
    <t>41030006</t>
  </si>
  <si>
    <t xml:space="preserve"> INGRESOS DE OPERACIONES - FIANZAS</t>
  </si>
  <si>
    <t>41030007</t>
  </si>
  <si>
    <t xml:space="preserve"> INGRESOS DE OPERACIONES - INCORPORACION</t>
  </si>
  <si>
    <t>41030008</t>
  </si>
  <si>
    <t xml:space="preserve"> INGRESOS DE OPERACIONES - OTROS</t>
  </si>
  <si>
    <t>4104</t>
  </si>
  <si>
    <t xml:space="preserve"> TRANSFERENCIAS RECIBIDAS</t>
  </si>
  <si>
    <t>410401</t>
  </si>
  <si>
    <t xml:space="preserve"> TRANSFERENCIAS CORRIENTE</t>
  </si>
  <si>
    <t>410401001</t>
  </si>
  <si>
    <t xml:space="preserve"> TRANSFERENCIAS CORRIENTES DEL SECTOR PRIVADO INTE</t>
  </si>
  <si>
    <t>1.4.4.4.99</t>
  </si>
  <si>
    <t>410401002</t>
  </si>
  <si>
    <t xml:space="preserve"> TRANSFERENCIAS CORRIENTES DE LA ADMINISTRACIóN CE</t>
  </si>
  <si>
    <t>1.4.1.2.01</t>
  </si>
  <si>
    <t>410401003</t>
  </si>
  <si>
    <t xml:space="preserve"> TRANSFERENCIAS CORRIENTES DE INSTITUCIONES PúBLIC</t>
  </si>
  <si>
    <t>1.4.1.3.01</t>
  </si>
  <si>
    <t>410401004</t>
  </si>
  <si>
    <t xml:space="preserve"> TRANSFERENCIAS CORRIENTES DE INSTITUCIONES DE LA </t>
  </si>
  <si>
    <t>1.4.1.4.01</t>
  </si>
  <si>
    <t>410401005</t>
  </si>
  <si>
    <t xml:space="preserve"> TRANSFERENCIAS CORRIENTES DE MUNICIPIOS </t>
  </si>
  <si>
    <t>1.4.1.5.99</t>
  </si>
  <si>
    <t>4104010998</t>
  </si>
  <si>
    <t xml:space="preserve"> OTRAS TRANSFERENCIAS CORRIENTES - PRESIDENCIA DE </t>
  </si>
  <si>
    <t>1.4.4.2.3</t>
  </si>
  <si>
    <t>4105</t>
  </si>
  <si>
    <t xml:space="preserve"> DONACIONES RECIBIDAS</t>
  </si>
  <si>
    <t>410501</t>
  </si>
  <si>
    <t xml:space="preserve"> DONACIONES CORRIENTES </t>
  </si>
  <si>
    <t>410501001</t>
  </si>
  <si>
    <t xml:space="preserve"> DONACIONES CORRIENTES DE GOBIERNOS EXTRANJEROS</t>
  </si>
  <si>
    <t>410501002</t>
  </si>
  <si>
    <t xml:space="preserve"> DONACIONES CORRIENTES DE ORGANISMOS INTERNACIONAL</t>
  </si>
  <si>
    <t>410501003</t>
  </si>
  <si>
    <t xml:space="preserve"> DONACIONES CORRIENTES DEL SECTOR PRIVADO EXTERNO </t>
  </si>
  <si>
    <t>5</t>
  </si>
  <si>
    <t>4105010998</t>
  </si>
  <si>
    <t xml:space="preserve"> OTRAS DONACIONES CORRIENTES </t>
  </si>
  <si>
    <t>GASTOS</t>
  </si>
  <si>
    <t>6</t>
  </si>
  <si>
    <t>5101</t>
  </si>
  <si>
    <t xml:space="preserve"> GASTOS OPERATIVOS</t>
  </si>
  <si>
    <t>510101</t>
  </si>
  <si>
    <t xml:space="preserve"> REMUNERACIONES</t>
  </si>
  <si>
    <t>510101001</t>
  </si>
  <si>
    <t xml:space="preserve"> SUELDOS PARA CARGOS FIJOS</t>
  </si>
  <si>
    <t>510101001001</t>
  </si>
  <si>
    <t xml:space="preserve"> SUELDOS FIJO </t>
  </si>
  <si>
    <t>2.1.1.1.01</t>
  </si>
  <si>
    <t>510101001002</t>
  </si>
  <si>
    <t xml:space="preserve"> SUELDOS FIJOS PERSONAL EN TRAMITES DE PENSIóN </t>
  </si>
  <si>
    <t>2.1.1.3.01</t>
  </si>
  <si>
    <t>510101002</t>
  </si>
  <si>
    <t xml:space="preserve"> SUELDO PERSONAL TEMPORERO </t>
  </si>
  <si>
    <t>2.1.1.2.01</t>
  </si>
  <si>
    <t>510101003</t>
  </si>
  <si>
    <t xml:space="preserve"> COMPENSACIONES DIRECTAS AL PERSONAL </t>
  </si>
  <si>
    <t>5101010030001</t>
  </si>
  <si>
    <t xml:space="preserve"> COMPENSACIONES HORAS EXTRAS</t>
  </si>
  <si>
    <t>2.1.2.2.02</t>
  </si>
  <si>
    <t>5101010030002</t>
  </si>
  <si>
    <t xml:space="preserve"> COMPENSACIONES DE TRANSPORTE</t>
  </si>
  <si>
    <t>2.1.2.2.04</t>
  </si>
  <si>
    <t>5101010030003</t>
  </si>
  <si>
    <t xml:space="preserve"> COMPENSACIONES POR RESULTADOS</t>
  </si>
  <si>
    <t>2.1.2.2.06</t>
  </si>
  <si>
    <t>5101010030004</t>
  </si>
  <si>
    <t xml:space="preserve"> COMPENSACIONES POR DISTANCIAS</t>
  </si>
  <si>
    <t>2.1.2.2.07</t>
  </si>
  <si>
    <t>5101010030005</t>
  </si>
  <si>
    <t xml:space="preserve"> COMPENSACIONES ESPECIALES PASANTIAS</t>
  </si>
  <si>
    <t>2.1.2.2.08</t>
  </si>
  <si>
    <t>510101004</t>
  </si>
  <si>
    <t xml:space="preserve"> JORNALES </t>
  </si>
  <si>
    <t>2.1.1.2.06</t>
  </si>
  <si>
    <t>510101005</t>
  </si>
  <si>
    <t xml:space="preserve"> HONORARIOS</t>
  </si>
  <si>
    <t>2.1.1.2.04</t>
  </si>
  <si>
    <t>510101006</t>
  </si>
  <si>
    <t xml:space="preserve"> DIETAS Y GASTOS DE REPRESENTACIóN  </t>
  </si>
  <si>
    <t>5101010060001</t>
  </si>
  <si>
    <t xml:space="preserve"> DIETA EN EL PAIS</t>
  </si>
  <si>
    <t>2.1.3.1.01</t>
  </si>
  <si>
    <t>5101010060002</t>
  </si>
  <si>
    <t xml:space="preserve"> DIETA EN EL EXTERIOR</t>
  </si>
  <si>
    <t>2.1.3.1.02</t>
  </si>
  <si>
    <t>5101010060003</t>
  </si>
  <si>
    <t xml:space="preserve"> GASTOS DE REPRESENTACION EN EL PAIS</t>
  </si>
  <si>
    <t>2.1.3.2.01</t>
  </si>
  <si>
    <t>5101010060004</t>
  </si>
  <si>
    <t xml:space="preserve"> GASTOS DE REPRESENTACION EN EL EXTERIOR</t>
  </si>
  <si>
    <t>2.1.3.2.02</t>
  </si>
  <si>
    <t>510101007</t>
  </si>
  <si>
    <t xml:space="preserve"> PRESTACIONES Y BONIFICACIONES</t>
  </si>
  <si>
    <t>5101010070001</t>
  </si>
  <si>
    <t>2.1.1.4.01</t>
  </si>
  <si>
    <t>5101010070002</t>
  </si>
  <si>
    <t xml:space="preserve"> BONIFICACIONES</t>
  </si>
  <si>
    <t>2.1.4.1.01</t>
  </si>
  <si>
    <t>5101010070003</t>
  </si>
  <si>
    <t xml:space="preserve"> PRESTACIONES LABORALES </t>
  </si>
  <si>
    <t>2.1.1.5.01</t>
  </si>
  <si>
    <t>5101010070004</t>
  </si>
  <si>
    <t xml:space="preserve"> VACACIONES</t>
  </si>
  <si>
    <t>2.1.1.6.01</t>
  </si>
  <si>
    <t>510101008</t>
  </si>
  <si>
    <t xml:space="preserve"> CONTRIBUCIONES A LA SEGURIDAD  SOCIAL</t>
  </si>
  <si>
    <t>5101010080001</t>
  </si>
  <si>
    <t xml:space="preserve"> CONTRIBUCIONES AL SEGURO DE SALUD </t>
  </si>
  <si>
    <t>2.1.5.1.01</t>
  </si>
  <si>
    <t>5101010080002</t>
  </si>
  <si>
    <t xml:space="preserve"> CONTRIBUCIONES AL SEGURO DE PENSIONE S</t>
  </si>
  <si>
    <t>2.1.5.2.01</t>
  </si>
  <si>
    <t>5101010080003</t>
  </si>
  <si>
    <t xml:space="preserve"> CONTRIBUCIONES AL SEGURO DE RIESGO LABORAL </t>
  </si>
  <si>
    <t>2.1.5.3.01</t>
  </si>
  <si>
    <t>5101010998</t>
  </si>
  <si>
    <t xml:space="preserve"> OTROS SERVICIOS PERSONALES</t>
  </si>
  <si>
    <t>51010109980001</t>
  </si>
  <si>
    <t xml:space="preserve"> EVENTOS GENERALES</t>
  </si>
  <si>
    <t>2.2.8.6.01</t>
  </si>
  <si>
    <t>51010109980002</t>
  </si>
  <si>
    <t xml:space="preserve"> FESTIVIDADES</t>
  </si>
  <si>
    <t>2.2.8.6.02</t>
  </si>
  <si>
    <t>51010109980003</t>
  </si>
  <si>
    <t xml:space="preserve"> ACTUACIONES DEPORTIVAS</t>
  </si>
  <si>
    <t>2.2.8.6.03</t>
  </si>
  <si>
    <t>51010109980004</t>
  </si>
  <si>
    <t xml:space="preserve"> ACTUACIONES ARTISTICAS</t>
  </si>
  <si>
    <t>2.2.8.6.04</t>
  </si>
  <si>
    <t>510102</t>
  </si>
  <si>
    <t xml:space="preserve"> BIENES Y SERVICIOS</t>
  </si>
  <si>
    <t>510102001</t>
  </si>
  <si>
    <t xml:space="preserve"> SERVICIOS PERSONALES</t>
  </si>
  <si>
    <t>510102001001</t>
  </si>
  <si>
    <t xml:space="preserve"> SERVICIOS DE COMUNICACIONES</t>
  </si>
  <si>
    <t>2.2.1.3.01</t>
  </si>
  <si>
    <t>510102001002</t>
  </si>
  <si>
    <t xml:space="preserve"> SERVICIOS BáSICO - ELECTRICIDAD</t>
  </si>
  <si>
    <t>2.2.1.6.02</t>
  </si>
  <si>
    <t>510102001003</t>
  </si>
  <si>
    <t xml:space="preserve"> PúBLICIDAD  IMPRESIONES Y ENCUADERNACIONE </t>
  </si>
  <si>
    <t>2.2.2.1.01</t>
  </si>
  <si>
    <t>510102001004</t>
  </si>
  <si>
    <t xml:space="preserve"> VIATICOS DENTRO Y FUERA DEL PAIS </t>
  </si>
  <si>
    <t>2.2.3.1.01</t>
  </si>
  <si>
    <t>510102001005</t>
  </si>
  <si>
    <t xml:space="preserve"> TRANSPORTE Y ALMACENAJE </t>
  </si>
  <si>
    <t>2.2.4.2.01</t>
  </si>
  <si>
    <t>510102001006</t>
  </si>
  <si>
    <t xml:space="preserve"> ALQUILERES</t>
  </si>
  <si>
    <t>5101020010061</t>
  </si>
  <si>
    <t xml:space="preserve"> ALQUILERES Y RENTAS DE EDIFICIOS Y LOCALES</t>
  </si>
  <si>
    <t>5101020010062</t>
  </si>
  <si>
    <t xml:space="preserve"> ALQUILERES Y RENTAS DE EQUIPOS DE PRODUCCION</t>
  </si>
  <si>
    <t>2.2.5.2.01</t>
  </si>
  <si>
    <t>5101020010063</t>
  </si>
  <si>
    <t xml:space="preserve"> ALQUILERES Y RENTAS DE EQUIPOS DE COMPUTOS</t>
  </si>
  <si>
    <t>2.2.5.3.02</t>
  </si>
  <si>
    <t>5101020010064</t>
  </si>
  <si>
    <t xml:space="preserve"> ALQUILERES Y RENTAS DE EQUIPOS DE COMUNICACION</t>
  </si>
  <si>
    <t>2.2.5.3.03</t>
  </si>
  <si>
    <t>5101020010065</t>
  </si>
  <si>
    <t xml:space="preserve"> ALQUILERES Y RENTAS DE EQUIPOS DE OFICINA Y MUEBL</t>
  </si>
  <si>
    <t>2.2.5.3.04</t>
  </si>
  <si>
    <t>5101020010066</t>
  </si>
  <si>
    <t xml:space="preserve"> ALQUILERES Y RENTAS DE EQUIPOS SANITARIOS Y DE LA</t>
  </si>
  <si>
    <t>2.2.5.3.05</t>
  </si>
  <si>
    <t>5101020010067</t>
  </si>
  <si>
    <t xml:space="preserve"> ALQUILERES Y RENTAS DE EQUIPOS TRANSPORTE TRACCIO</t>
  </si>
  <si>
    <t>2.2.5.4.01</t>
  </si>
  <si>
    <t>5101020010068</t>
  </si>
  <si>
    <t xml:space="preserve"> ALQUILERES Y RENTAS DE EQUIPOS CONSTRUCCION Y MOV</t>
  </si>
  <si>
    <t>2.2.5.7.01</t>
  </si>
  <si>
    <t>5101020010069</t>
  </si>
  <si>
    <t xml:space="preserve"> OTROS ALQUILERES</t>
  </si>
  <si>
    <t>2.2.5.8.01</t>
  </si>
  <si>
    <t>510102001007</t>
  </si>
  <si>
    <t xml:space="preserve"> SEGURO</t>
  </si>
  <si>
    <t>2.2.6.2.01</t>
  </si>
  <si>
    <t>510102001008</t>
  </si>
  <si>
    <t xml:space="preserve"> CONSERVACIóN REPARACIONES MENORES Y CONTRUCCIONES</t>
  </si>
  <si>
    <t>51010200100801</t>
  </si>
  <si>
    <t xml:space="preserve"> OBRAS MENORES EN EDIFICACIONES</t>
  </si>
  <si>
    <t>2.2.7.1.01</t>
  </si>
  <si>
    <t>51010200100802</t>
  </si>
  <si>
    <t xml:space="preserve"> SERVICIOS ESPECIALES DE MANTENIMIENTO Y REPARACIO</t>
  </si>
  <si>
    <t>2.2.7.1.02</t>
  </si>
  <si>
    <t>51010200100803</t>
  </si>
  <si>
    <t xml:space="preserve"> LIMPIEZA DESMANTELAMIENTO DE TIERRAS Y TERRENOS</t>
  </si>
  <si>
    <t>2.2.7.1.03</t>
  </si>
  <si>
    <t>51010200100804</t>
  </si>
  <si>
    <t xml:space="preserve"> MANTENIMIENTOY REPARACION DE OBRAS CIVILES EN INS</t>
  </si>
  <si>
    <t>2.2.7.1.04</t>
  </si>
  <si>
    <t>51010200100805</t>
  </si>
  <si>
    <t xml:space="preserve"> OBRAS EN BIEN DE DOMINIO PUBLICO</t>
  </si>
  <si>
    <t>2.2.7.1.05</t>
  </si>
  <si>
    <t>51010200100806</t>
  </si>
  <si>
    <t xml:space="preserve"> INSTALACIONES ELECTRICAS</t>
  </si>
  <si>
    <t>2.2.7.1.06</t>
  </si>
  <si>
    <t>51010200100807</t>
  </si>
  <si>
    <t xml:space="preserve"> SERVICIOS DE PINTURAS Y DERIVADOS CON FINES DE HI</t>
  </si>
  <si>
    <t>2.2.7.1.07</t>
  </si>
  <si>
    <t>51010200100808</t>
  </si>
  <si>
    <t xml:space="preserve"> MANTENIMIENTO Y REPARACIONES EQUIPOS DE OFICINA</t>
  </si>
  <si>
    <t>2.2.7.2.01</t>
  </si>
  <si>
    <t>51010200100809</t>
  </si>
  <si>
    <t xml:space="preserve"> MANTENIMIENTO Y REPARACIONES EQUIPOS DE COMPUTO</t>
  </si>
  <si>
    <t>2.2.7.2.02</t>
  </si>
  <si>
    <t>51010200100810</t>
  </si>
  <si>
    <t xml:space="preserve"> MANTENIMIENTO Y REPARACIONES EQUIPOS DE EDUCACION</t>
  </si>
  <si>
    <t>2.2.7.2.03</t>
  </si>
  <si>
    <t>51010200100811</t>
  </si>
  <si>
    <t xml:space="preserve"> MANTENIMIENTO Y REPARACIONES EQUIPOS SANITARIOS Y</t>
  </si>
  <si>
    <t>2.2.7.2.04</t>
  </si>
  <si>
    <t>51010200100812</t>
  </si>
  <si>
    <t xml:space="preserve"> MANTENIMIENTO Y REPARACIONES EQUIPOS DE COMUNICAC</t>
  </si>
  <si>
    <t>2.2.7.2.05</t>
  </si>
  <si>
    <t>51010200100813</t>
  </si>
  <si>
    <t xml:space="preserve"> MANTENIMIENTO Y REPARACIONES EQUIPOS TRACCION</t>
  </si>
  <si>
    <t>2.2.7.2.06</t>
  </si>
  <si>
    <t>51010200100814</t>
  </si>
  <si>
    <t xml:space="preserve"> FUMIGACION</t>
  </si>
  <si>
    <t>2.2.8.5.01</t>
  </si>
  <si>
    <t>51010200100815</t>
  </si>
  <si>
    <t xml:space="preserve"> LIMPIEZA E HIGIENE</t>
  </si>
  <si>
    <t>2.2.8.5.03</t>
  </si>
  <si>
    <t>51010200100816</t>
  </si>
  <si>
    <t xml:space="preserve"> CONTRUCCIONES TEMPORALES</t>
  </si>
  <si>
    <t>2.2.7.3.01</t>
  </si>
  <si>
    <t>510102001999</t>
  </si>
  <si>
    <t xml:space="preserve"> OTRO SERVICIOS PERSONALES</t>
  </si>
  <si>
    <t>51010200199901</t>
  </si>
  <si>
    <t xml:space="preserve"> GASTOS JUDICIALES</t>
  </si>
  <si>
    <t>2.2.8.7.02</t>
  </si>
  <si>
    <t>51010200199902</t>
  </si>
  <si>
    <t xml:space="preserve"> COMISIONES Y GASTOS BANCARIO</t>
  </si>
  <si>
    <t>2.2.8.2.01</t>
  </si>
  <si>
    <t>51010200199903</t>
  </si>
  <si>
    <t xml:space="preserve"> AUDITORíAS Y ESTUDIOS FINACIEROS</t>
  </si>
  <si>
    <t>2.2.8.7.03</t>
  </si>
  <si>
    <t>51010200199904</t>
  </si>
  <si>
    <t xml:space="preserve"> SERVICIOS FUNERARIOS Y GASTOS CONEXOS </t>
  </si>
  <si>
    <t>2.2.8.4.01</t>
  </si>
  <si>
    <t>51010200199905</t>
  </si>
  <si>
    <t xml:space="preserve"> SERVICIOS ESPECIALES - CAPACITACION</t>
  </si>
  <si>
    <t>2.2.8.7.04</t>
  </si>
  <si>
    <t>51010200199906</t>
  </si>
  <si>
    <t xml:space="preserve"> SERVICIOS TéCNICOS PROFESIONALES</t>
  </si>
  <si>
    <t>2.2.8.7.06</t>
  </si>
  <si>
    <t>51010200199907</t>
  </si>
  <si>
    <t xml:space="preserve"> IMPUESTOS DERECHOS Y TASA</t>
  </si>
  <si>
    <t>2.2.8.8.01</t>
  </si>
  <si>
    <t>51010200199908</t>
  </si>
  <si>
    <t xml:space="preserve"> INTERESES DE INSTITUCIONES FINANCIERAS</t>
  </si>
  <si>
    <t>2.9.3.1.01</t>
  </si>
  <si>
    <t>51010200199909</t>
  </si>
  <si>
    <t xml:space="preserve"> OTROS SERVICIOS PERSONALES POR CLASIFICAR </t>
  </si>
  <si>
    <t>2.2.8.9.03</t>
  </si>
  <si>
    <t>510102002</t>
  </si>
  <si>
    <t>MATERIALES Y SUMINISTRO</t>
  </si>
  <si>
    <t>510102002001</t>
  </si>
  <si>
    <t xml:space="preserve"> ALIMENTOS Y PRODUCTOS AGROFORESTALES</t>
  </si>
  <si>
    <t>2.3.1.1.01</t>
  </si>
  <si>
    <t>510102002002</t>
  </si>
  <si>
    <t xml:space="preserve"> TEXTILES Y VESTUARIOS</t>
  </si>
  <si>
    <t>2.3.2.3.01</t>
  </si>
  <si>
    <t>510102002003</t>
  </si>
  <si>
    <t xml:space="preserve"> PRODUCTOS DE PAPEL CARTON E IMPRESOS</t>
  </si>
  <si>
    <t>2.3.3.2.01</t>
  </si>
  <si>
    <t>510102002004</t>
  </si>
  <si>
    <t xml:space="preserve"> COMBUSTIBLES LUBRICANTES PRODUCTOS QUIMICOS Y CON</t>
  </si>
  <si>
    <t>5101020020041</t>
  </si>
  <si>
    <t xml:space="preserve"> GASOLINA</t>
  </si>
  <si>
    <t>2.3.7.1.01</t>
  </si>
  <si>
    <t>5101020020042</t>
  </si>
  <si>
    <t xml:space="preserve"> DIESEL</t>
  </si>
  <si>
    <t>2.3.7.1.02</t>
  </si>
  <si>
    <t>5101020020043</t>
  </si>
  <si>
    <t xml:space="preserve"> LUBRICANTES</t>
  </si>
  <si>
    <t>2.3.7.1.06</t>
  </si>
  <si>
    <t>5101020020044</t>
  </si>
  <si>
    <t xml:space="preserve"> PRODUCTOS QUIMICOS Y CONEXOS</t>
  </si>
  <si>
    <t>2.3.7.2.02</t>
  </si>
  <si>
    <t>5101020020045</t>
  </si>
  <si>
    <t>GAS GLP</t>
  </si>
  <si>
    <t>510102002005</t>
  </si>
  <si>
    <t xml:space="preserve"> PRODUCTOS DE CUERO CAUCHO Y PLASTICO </t>
  </si>
  <si>
    <t>2.3.5.3.01</t>
  </si>
  <si>
    <t>510102002006</t>
  </si>
  <si>
    <t xml:space="preserve"> PRODUCTOS DE MINERALES METáLICOS Y NO METALICOS</t>
  </si>
  <si>
    <t>2.3.6.1.01</t>
  </si>
  <si>
    <t>510102002007</t>
  </si>
  <si>
    <t xml:space="preserve"> PRODUCTOS Y UTILES VARIOS</t>
  </si>
  <si>
    <t>5101020020071</t>
  </si>
  <si>
    <t xml:space="preserve"> MATERIALES PARA LIMPIEZA</t>
  </si>
  <si>
    <t>2.3.9.1.01</t>
  </si>
  <si>
    <t>5101020020072</t>
  </si>
  <si>
    <t xml:space="preserve"> UTILES DE ESCRITORIOS OFICINA INF. OTROS</t>
  </si>
  <si>
    <t>2.3.9.2.01</t>
  </si>
  <si>
    <t>5101020020073</t>
  </si>
  <si>
    <t xml:space="preserve"> UTILES DE COSINA Y COMEDOR</t>
  </si>
  <si>
    <t>2.3.9.5.01</t>
  </si>
  <si>
    <t>5101020020074</t>
  </si>
  <si>
    <t xml:space="preserve"> PRODUCTOS ELECTRICOS Y AFINES</t>
  </si>
  <si>
    <t>2.3.9.6.01</t>
  </si>
  <si>
    <t>5101020020075</t>
  </si>
  <si>
    <t xml:space="preserve"> OTROS REPUESTOS Y ASESORIOS MENORES</t>
  </si>
  <si>
    <t>2.3.9.8.01</t>
  </si>
  <si>
    <t>5101020020076</t>
  </si>
  <si>
    <t xml:space="preserve"> PRODUCTOS Y UTILES VARIADOS N.I.P.</t>
  </si>
  <si>
    <t>2.3.9.9.01</t>
  </si>
  <si>
    <t>510102002008</t>
  </si>
  <si>
    <t xml:space="preserve"> GASTOS IMPREVISTOS Y CALAMIDAD PúBLICA </t>
  </si>
  <si>
    <t>2.3.8.2.01</t>
  </si>
  <si>
    <t>5101020020900</t>
  </si>
  <si>
    <t xml:space="preserve"> CONSUMO DE EXISTENCIAS DE MATERIALES Y SUMINISTRO</t>
  </si>
  <si>
    <t>51010200209001</t>
  </si>
  <si>
    <t xml:space="preserve"> MATERIALES Y SUMINISTROS A REGULARIZAR </t>
  </si>
  <si>
    <t>510104</t>
  </si>
  <si>
    <t xml:space="preserve"> GASTOS POR CUENTAS INCOBRABLES</t>
  </si>
  <si>
    <t>5101040002</t>
  </si>
  <si>
    <t xml:space="preserve"> PéRDIDAS EN PRéSTAMOS Y CUENTAS DIRECTAS POR COBR</t>
  </si>
  <si>
    <t>510199</t>
  </si>
  <si>
    <t xml:space="preserve"> DEPRECIACIONES Y PREVISIONES</t>
  </si>
  <si>
    <t>5101990001</t>
  </si>
  <si>
    <t xml:space="preserve"> DEPRECIACIONES  </t>
  </si>
  <si>
    <t>5104</t>
  </si>
  <si>
    <t xml:space="preserve"> TRANSFERENCIAS Y DONACIONES CORRIENTES</t>
  </si>
  <si>
    <t>510401</t>
  </si>
  <si>
    <t xml:space="preserve"> TRANSFERENCIAS CORRIENTES</t>
  </si>
  <si>
    <t>2.4.1</t>
  </si>
  <si>
    <t>510401001</t>
  </si>
  <si>
    <t xml:space="preserve"> PRESTACIONES DE LA SEGURIDAD SOCIAL  </t>
  </si>
  <si>
    <t>2.4.1.1</t>
  </si>
  <si>
    <t>510401001001</t>
  </si>
  <si>
    <t xml:space="preserve"> PENSIONES Y JUBILACIONES</t>
  </si>
  <si>
    <t>2.4.1.1.01</t>
  </si>
  <si>
    <t>510401001002</t>
  </si>
  <si>
    <t xml:space="preserve"> INDEMNIZACIóN LABORAL </t>
  </si>
  <si>
    <t>2.4.1.1.03</t>
  </si>
  <si>
    <t>510501</t>
  </si>
  <si>
    <t xml:space="preserve"> OTROS GASTOS INSTITUCIONALES</t>
  </si>
  <si>
    <t>510501001</t>
  </si>
  <si>
    <t>51050100101</t>
  </si>
  <si>
    <t xml:space="preserve"> DONACIONES CORRIENTES A PERSONAS E INSTITUCIONES</t>
  </si>
  <si>
    <t>2.4.1.2.01</t>
  </si>
  <si>
    <t>51050100102</t>
  </si>
  <si>
    <t xml:space="preserve"> BECAS NACIONALES</t>
  </si>
  <si>
    <t>2.4.1.4.01</t>
  </si>
  <si>
    <t xml:space="preserve"> CUENTAS DE CIERRE</t>
  </si>
  <si>
    <t>7</t>
  </si>
  <si>
    <t>61</t>
  </si>
  <si>
    <t xml:space="preserve"> CUENTAS DE RESULTADOS</t>
  </si>
  <si>
    <t>6101</t>
  </si>
  <si>
    <t xml:space="preserve"> RESUMEN DE INGRESOS Y GASTOS </t>
  </si>
  <si>
    <t>62</t>
  </si>
  <si>
    <t xml:space="preserve"> RESULTADOS POSITIVOS DEL PERIODO</t>
  </si>
  <si>
    <t>6201</t>
  </si>
  <si>
    <t xml:space="preserve"> AHORRO DE LA GESTIóN </t>
  </si>
  <si>
    <t>63</t>
  </si>
  <si>
    <t xml:space="preserve"> RESULTADO NEGATIVO DEL PERíODO </t>
  </si>
  <si>
    <t>6301</t>
  </si>
  <si>
    <t xml:space="preserve"> DESAHORRO DE LA GESTIóN </t>
  </si>
  <si>
    <t xml:space="preserve"> CUENTAS DE ORDEN</t>
  </si>
  <si>
    <t>8</t>
  </si>
  <si>
    <t>71</t>
  </si>
  <si>
    <t xml:space="preserve"> CUENTAS DE ORDEN DEUDORAS</t>
  </si>
  <si>
    <t>72</t>
  </si>
  <si>
    <t xml:space="preserve"> CUENTAS DE ORDEN ACREEDORAS </t>
  </si>
  <si>
    <t>DETALLE</t>
  </si>
  <si>
    <t>VALOR</t>
  </si>
  <si>
    <t>BANCOS</t>
  </si>
  <si>
    <t>SERVICIOS PERSONALES</t>
  </si>
  <si>
    <t>SERVICIOS NO PERSONALES</t>
  </si>
  <si>
    <t>MATERIALES Y SUMINISTROS</t>
  </si>
  <si>
    <t>INSERTAR BASE DE DATO EN EL RECUADOR DE ABAJO</t>
  </si>
  <si>
    <t>CORAAMOCA</t>
  </si>
  <si>
    <t>TRANSFERENCIAS Y DONACIONES CORRIENTES</t>
  </si>
  <si>
    <t>PERIODO=</t>
  </si>
  <si>
    <t>21070100108</t>
  </si>
  <si>
    <t>PRESTAMO INTERNO - PRESTANEG, SRL</t>
  </si>
  <si>
    <t>ESTRUCTURA, EDIFICACIONES  E INSTALACIONES</t>
  </si>
  <si>
    <t>41030009</t>
  </si>
  <si>
    <t xml:space="preserve">DESCUENTO Y AJUSTES DE FACTURAS </t>
  </si>
  <si>
    <t>CAPITAL INSTITUCIONAL</t>
  </si>
  <si>
    <t>TOTAL</t>
  </si>
  <si>
    <t>210306000107</t>
  </si>
  <si>
    <t>RET. P/SEGURO COMPLEMENTARIO</t>
  </si>
  <si>
    <t xml:space="preserve"> REGALÍA PASCUAL POR PAGAR</t>
  </si>
  <si>
    <t>2103060001051</t>
  </si>
  <si>
    <t>RET IMPOSIT POR PAGAR IR 17 10% ALQUILER</t>
  </si>
  <si>
    <t>CUENTAS DE ORDEN</t>
  </si>
  <si>
    <t>Cuentas por cobrar clientes</t>
  </si>
  <si>
    <t>CORPORACION DEL ACUEDUCTO Y ALCANTARILLADO DE MOCA</t>
  </si>
  <si>
    <t>ESTADOS FINANCIEROS</t>
  </si>
  <si>
    <t>↓</t>
  </si>
  <si>
    <t>ESTADO DE RESULTADOS</t>
  </si>
  <si>
    <t>INSTITUCION</t>
  </si>
  <si>
    <t>AÑOS</t>
  </si>
  <si>
    <t>RESUMEN</t>
  </si>
  <si>
    <t>Dr</t>
  </si>
  <si>
    <t>Cr</t>
  </si>
  <si>
    <t xml:space="preserve">BALANCE GENERAL </t>
  </si>
  <si>
    <t>(VALORES EN RD$)</t>
  </si>
  <si>
    <t>ACTIVOS CORRIENTES</t>
  </si>
  <si>
    <t xml:space="preserve">INVENTARIOS DE MERCANCIAS </t>
  </si>
  <si>
    <t>ACTIVOS NO CORRIENTES</t>
  </si>
  <si>
    <t>PASIVOS CORRIENTES</t>
  </si>
  <si>
    <t>PASIVOS  NO CORRIENTES</t>
  </si>
  <si>
    <t>PATRIMONIO</t>
  </si>
  <si>
    <t>Director Financiero</t>
  </si>
  <si>
    <t>ESTADOS DE RESULTADOS</t>
  </si>
  <si>
    <t>INGRESOS CORRIENTES</t>
  </si>
  <si>
    <t>TRANSFERENCIAS CORRIENTES RECIBIDAS:</t>
  </si>
  <si>
    <t>DE OTRAS INSTITUCIONES  PUBLICAS (NOTA)</t>
  </si>
  <si>
    <t>DONACIONES CORRIENTES RECIBIDAS (NOTA)</t>
  </si>
  <si>
    <t>TOTAL DE INGRESOS</t>
  </si>
  <si>
    <t>GASTOS CORRIENTES</t>
  </si>
  <si>
    <t>OTROS GASTOS INSTITUCIONALES (NOTA)</t>
  </si>
  <si>
    <t>TOTAL DE GASTOS</t>
  </si>
  <si>
    <t>RESULTADO CORRIENTE DEL PERIODO</t>
  </si>
  <si>
    <t>DEPRECIACION Y AMORTIZACIONES</t>
  </si>
  <si>
    <t>RESULTADOS NETO DEL PERIODO</t>
  </si>
  <si>
    <t>Flujo de Efectivo procedentes de actividades operativas:</t>
  </si>
  <si>
    <t>Flujo de Entradas de Efectivo</t>
  </si>
  <si>
    <t>Impuesto sobre Mercancías y Servicios</t>
  </si>
  <si>
    <t>Contribuciones de Empleados al Seguro de Pensiones</t>
  </si>
  <si>
    <t>Venta de Servicios de las Empresas Públicas</t>
  </si>
  <si>
    <t>Transferencias Corrientes del Sector Privado Interno</t>
  </si>
  <si>
    <t>Transferencias Corrientes de Instituciones del Gobierno Central</t>
  </si>
  <si>
    <t>Ingresos por Alquiler</t>
  </si>
  <si>
    <t>Ingresos por Dividendos en Inversiones Empresariales</t>
  </si>
  <si>
    <t>Ingresos por Intereses</t>
  </si>
  <si>
    <t>Otros Ingresos No Tributarios (Multas)</t>
  </si>
  <si>
    <t>Otros Ingresos</t>
  </si>
  <si>
    <t>Donaciones Corrientes del Exterior</t>
  </si>
  <si>
    <t>Total Flujos de Entradas de Efectivo</t>
  </si>
  <si>
    <t>Flujo de Salidas de Efectivo</t>
  </si>
  <si>
    <t>Debitos Bancarios no Devueltos por  el  Banco</t>
  </si>
  <si>
    <t>Pagos de Remuneraciones al Personal</t>
  </si>
  <si>
    <t>Contribuciones a la Seguridad Social</t>
  </si>
  <si>
    <t>Pensiones y Jubilaciones</t>
  </si>
  <si>
    <t>Servicios No Personales</t>
  </si>
  <si>
    <t>Materiales y Suministros</t>
  </si>
  <si>
    <t>Intereses y Comisiones Pagadas Sobre Préstamos y Divisas</t>
  </si>
  <si>
    <t>Pago a Proveedores de Bienes y Servicios</t>
  </si>
  <si>
    <t>Transferencias Corrientes al Sector Público, Privado y Externo</t>
  </si>
  <si>
    <t>Donaciones Corrientes al Exterior</t>
  </si>
  <si>
    <t>Total Flujos de Salidas de Efectivo</t>
  </si>
  <si>
    <t>Flujo de Efectivo precedentes de actividades de inversión.</t>
  </si>
  <si>
    <t>Flujo de Entradas de Efectivos</t>
  </si>
  <si>
    <t>Transferencias de Capital Recibidas del Sector Privado</t>
  </si>
  <si>
    <t>Capitalización por Incorp. De Disponibilidades</t>
  </si>
  <si>
    <t>Ventas de Activos Fijos</t>
  </si>
  <si>
    <t>Rescate de Títulos y Valores</t>
  </si>
  <si>
    <t>Recuperación de Préstamo Internos de LP sector privado</t>
  </si>
  <si>
    <t>Total Flujo de Entradas de Efectivos</t>
  </si>
  <si>
    <t>Flujo de Salidas de Efectivos</t>
  </si>
  <si>
    <t>Inversiones Real Directa en Activos No Financieros</t>
  </si>
  <si>
    <t>Compras en Tránsito de Maquinarias y Equipos</t>
  </si>
  <si>
    <t>Incremento en otros Activos no Financieros</t>
  </si>
  <si>
    <t>Transferencia de Capital al Sector Privado</t>
  </si>
  <si>
    <t>Inversión Financiera- Corto Plazo</t>
  </si>
  <si>
    <t>Donaciones de capital a terceros</t>
  </si>
  <si>
    <t>Compra de Acciones y Participaciones de Capital</t>
  </si>
  <si>
    <t>Aportes de Capital a Inst. y Empresas Públicas Descentralizadas</t>
  </si>
  <si>
    <t>Total Flujo de Salidas de Efectivos</t>
  </si>
  <si>
    <t>Flujo de Efectivo provistos por las actividades de Inversión</t>
  </si>
  <si>
    <t>Flujo de Efectivo de las actividades de Financiamiento.</t>
  </si>
  <si>
    <t>Incremento de Cuentas por Pagar de Corto Plazo</t>
  </si>
  <si>
    <t>Obtención Préstamos Corto Plazo</t>
  </si>
  <si>
    <t>Otras Fuentes de Financiamiento Externo</t>
  </si>
  <si>
    <t>Total Flujos de Entrada de Efectivo</t>
  </si>
  <si>
    <t>Disminución de Sobregiros Bancarios</t>
  </si>
  <si>
    <t>Disminución de Cuentas por Pagar Internas de Corto Plazo</t>
  </si>
  <si>
    <t>Amortización de Títulos y Valores Directos e Indirectos</t>
  </si>
  <si>
    <t>Flujo de Efectivo provisto en actividades de Financiamiento.</t>
  </si>
  <si>
    <t>Incremento (disminución) neto en el efectivo y equivalente en el efectivo.</t>
  </si>
  <si>
    <t>Efectivo equivalente en al inicio del ejercicio.</t>
  </si>
  <si>
    <t>Efectivo equivalente al final del ejercicio</t>
  </si>
  <si>
    <t>GOBIERNO DE LA REPÚBLICA  DOMINICANA</t>
  </si>
  <si>
    <t>ESTADO DE CAMBIO DEL PATRIMONIO NETO</t>
  </si>
  <si>
    <t>MOVIMIENTOS – CONCEPTOS</t>
  </si>
  <si>
    <t>CAPITAL  DE CONSTITUCIÓN</t>
  </si>
  <si>
    <t>AJUSTE AL    CAPITAL DEL   GOBIERNO   CENTRAL</t>
  </si>
  <si>
    <t>TRANSFERENCIAS                                  Y DONACIONES DE CAPITAL RECIBIDAS</t>
  </si>
  <si>
    <t>TRANSFERENCIAS Y DONACIONES DE CAPITAL REALIZADAS</t>
  </si>
  <si>
    <t>RESULTADOS</t>
  </si>
  <si>
    <t>ACUMULADOS</t>
  </si>
  <si>
    <t>DEL EJERCICIO</t>
  </si>
  <si>
    <t xml:space="preserve">Ajuste al Capital Inicial por Disponibilidades </t>
  </si>
  <si>
    <t xml:space="preserve">Ajuste por Deuda Pública  de la Administración Central </t>
  </si>
  <si>
    <t xml:space="preserve">Ajuste por Incorporación de Activos </t>
  </si>
  <si>
    <t xml:space="preserve">Transferencias y Donaciones Recibidas </t>
  </si>
  <si>
    <t xml:space="preserve">Transferencias y Donaciones Realizadas </t>
  </si>
  <si>
    <t>Ajuste a Resultados de Años Anteriores</t>
  </si>
  <si>
    <t xml:space="preserve">Resultados de Ejercicios Anteriores </t>
  </si>
  <si>
    <t xml:space="preserve">Resultados del Ejercicio </t>
  </si>
  <si>
    <t xml:space="preserve"> Las notas adjuntas son parte integral de los Estados Financieros. </t>
  </si>
  <si>
    <t xml:space="preserve">  </t>
  </si>
  <si>
    <t>Director General</t>
  </si>
  <si>
    <t>Lic. Alegandro Perez</t>
  </si>
  <si>
    <t>Ing. Rafael Evangelista Martinez</t>
  </si>
  <si>
    <t>Enc. de contabilidad</t>
  </si>
  <si>
    <t>Lic. Yuberkis Garcia</t>
  </si>
  <si>
    <t>NOTAS</t>
  </si>
  <si>
    <t xml:space="preserve">INVENTARIOS  </t>
  </si>
  <si>
    <t>OTROS ACTIVOS CORRIENTES</t>
  </si>
  <si>
    <t>Ingresos por servicios por cobrar</t>
  </si>
  <si>
    <t>PRINCIPALES PRINCIPIOS Y POLÍTICAS CONTABLES</t>
  </si>
  <si>
    <t>A) Entidad Económica</t>
  </si>
  <si>
    <t>Corporación del Acueducto y Alcantarillado de Moca, CORAAMOCA.</t>
  </si>
  <si>
    <t>B) Base de preparación de los Estados Financieros</t>
  </si>
  <si>
    <t>C) Bienes Económicos</t>
  </si>
  <si>
    <t>D) Reconocimiento de las Transacciones</t>
  </si>
  <si>
    <t xml:space="preserve"> </t>
  </si>
  <si>
    <t>E) Registro e Imputación Presupuestaria</t>
  </si>
  <si>
    <t>F) Exposición</t>
  </si>
  <si>
    <t>H) Unidad y Universalidad</t>
  </si>
  <si>
    <t>H) Uniformidad</t>
  </si>
  <si>
    <t xml:space="preserve">La identificación de las transacciones de la entidad económica se efectúa sobre la base de la utilización de los clasificadores de cuentas presupuestarias y contables. </t>
  </si>
  <si>
    <t>I) Prudencia</t>
  </si>
  <si>
    <r>
      <t>Cuando existen alternativas de procedimiento contable idóneo, igualmente válidas para tratar la medición de un mismo hecho económico-financiero, se adopta el que muestre un resultado y la posición financiera más cercana a la realidad</t>
    </r>
    <r>
      <rPr>
        <sz val="14"/>
        <color indexed="14"/>
        <rFont val="Times New Roman"/>
        <family val="1"/>
      </rPr>
      <t>.</t>
    </r>
  </si>
  <si>
    <t>J) No Compensación</t>
  </si>
  <si>
    <t>K) Integridad</t>
  </si>
  <si>
    <t>L) Oportunidad</t>
  </si>
  <si>
    <t>El Sistema de Contabilidad de CORAAMOCA, comprende el registro, procesamiento y presentación de la información contable en los momentos y circunstancias debidas.</t>
  </si>
  <si>
    <t>M) Transparencia</t>
  </si>
  <si>
    <t>N) Legalidad</t>
  </si>
  <si>
    <r>
      <t>Cuando producto de la aplicación y/o interpretación de un principio de contabilidad, se produzcan situaciones que contravengan disposiciones legales vigentes, se considerar</t>
    </r>
    <r>
      <rPr>
        <sz val="14"/>
        <color indexed="8"/>
        <rFont val="Times New Roman"/>
        <family val="1"/>
      </rPr>
      <t>á</t>
    </r>
    <r>
      <rPr>
        <sz val="14"/>
        <color indexed="8"/>
        <rFont val="Times New Roman"/>
        <family val="1"/>
      </rPr>
      <t xml:space="preserve"> la primacía de la legislación respecto a las normas contables. La primacía de registrar y exponer el hecho económico de acuerdo a las disposiciones legales, si se produjere, se consignará en Nota a los Estados Financieros.</t>
    </r>
  </si>
  <si>
    <t>O) Período Contable</t>
  </si>
  <si>
    <t>P) Información Comparativa</t>
  </si>
  <si>
    <t>Q) Normas de Valuación</t>
  </si>
  <si>
    <t xml:space="preserve">   </t>
  </si>
  <si>
    <t>Normas de Valuación del Activo:</t>
  </si>
  <si>
    <t>Q-1) Disponibilidades</t>
  </si>
  <si>
    <t xml:space="preserve">La moneda de curso legal es el Peso Dominicano (RD$) y se expresa a su valor nominal.  </t>
  </si>
  <si>
    <t>Q-2) Bienes de Uso y Depreciación</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</si>
  <si>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</si>
  <si>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Q-3) Bienes Intangibles</t>
  </si>
  <si>
    <t>Adquisición o su valor corriente cuando no existe contraprestación, como es el caso de la donación.</t>
  </si>
  <si>
    <r>
      <t xml:space="preserve">Para la </t>
    </r>
    <r>
      <rPr>
        <b/>
        <sz val="14"/>
        <color indexed="8"/>
        <rFont val="Times New Roman"/>
        <family val="1"/>
      </rPr>
      <t>Depreciación</t>
    </r>
    <r>
      <rPr>
        <sz val="14"/>
        <color indexed="8"/>
        <rFont val="Times New Roman"/>
        <family val="1"/>
      </rPr>
      <t xml:space="preserve"> de esta categoría de bienes se aplica el mismo método de línea recta.</t>
    </r>
  </si>
  <si>
    <t>Q-4) Inversiones Corrientes e Inversiones a Largo Plazo</t>
  </si>
  <si>
    <t>Cuando se trate de participaciones permanentes en las que se ejerza control o influencia significativa en las decisiones, se valuarán a su valor patrimonial proporcional.</t>
  </si>
  <si>
    <t>Normas de Valuación de Pasivos y Patrimonio</t>
  </si>
  <si>
    <t>Q-5) Deudas</t>
  </si>
  <si>
    <t>Q-6) Pasivos Diferidos</t>
  </si>
  <si>
    <t>Q-7) Provisiones</t>
  </si>
  <si>
    <t>Q-8) Patrimonio</t>
  </si>
  <si>
    <t>Q-9) Reconocimiento de Ingresos y Gastos</t>
  </si>
  <si>
    <t>Q-10) Ganancias y Pérdidas en Cambio y Saldos en Moneda Extranjera</t>
  </si>
  <si>
    <t>R-) Método de lo Devengado de los Estados Financieros del CORAAMOCA</t>
  </si>
  <si>
    <t xml:space="preserve">Nota 2.1: Disponibilidades </t>
  </si>
  <si>
    <t>DESCRIPCIÓN</t>
  </si>
  <si>
    <t>Total Disponible en Bancos</t>
  </si>
  <si>
    <t>Inventarios de Mercancías</t>
  </si>
  <si>
    <t>Total en Inventario</t>
  </si>
  <si>
    <t>TOTAL DE FIANZA</t>
  </si>
  <si>
    <t>Nota 3:   Bienes de Uso y Bienes Intangibles (Activos No Financieros)</t>
  </si>
  <si>
    <t xml:space="preserve">DESCRIPCION </t>
  </si>
  <si>
    <t>ACTIVOS NO FINANCIEROS</t>
  </si>
  <si>
    <t xml:space="preserve">MAQUINARIAS Y EQUIPOS </t>
  </si>
  <si>
    <t xml:space="preserve">Maquinaria y Equipos de producción </t>
  </si>
  <si>
    <t>Equipo Educacional y Recreativo</t>
  </si>
  <si>
    <t>Sistemas de aire acondicionado, calefacción y refrig. industrial y comercial</t>
  </si>
  <si>
    <t xml:space="preserve">TOTAL MAQUINARIAS Y EQUIPOS </t>
  </si>
  <si>
    <t>DEPRECIACION MAQUINARIAS Y EQUIPOS</t>
  </si>
  <si>
    <t>TOTAL DE MAQUINARIAS Y EQUIPOS MENOS DEPRECIACION</t>
  </si>
  <si>
    <t>EQUIPO DE TRANSPORTE, TRACCION Y ELEVACION</t>
  </si>
  <si>
    <t>Equipo de Transporte</t>
  </si>
  <si>
    <t>Equipo de Computación</t>
  </si>
  <si>
    <t>Equipo Médicos Sanitarios</t>
  </si>
  <si>
    <t>TOTAL EQUIPO DE TRANSPORTE, TRACCION Y ELEVACION</t>
  </si>
  <si>
    <t>DEPRE. EQUIPO DE TRANSP., TRACCION Y ELEVACION</t>
  </si>
  <si>
    <t>TOTAL EQUIPO DE TRANSP., TRACCION Y ELEVACION MENOS DEPRE.</t>
  </si>
  <si>
    <t>EQUIPO DE COMUNICACIÓN Y SEÑALAMIENTO</t>
  </si>
  <si>
    <t>Equipo de Comunicaciones y Señalamiento</t>
  </si>
  <si>
    <t>TOTAL EQUIPO DE COMUNICACIÓN Y SEÑALAMIENTO</t>
  </si>
  <si>
    <t>DEPRECIACION EQUIPO DE COM. Y SEÑALAMIENTO</t>
  </si>
  <si>
    <t>TOTAL DE EQUIPO DE COM. Y SEÑAL MENOS DEPRECIACION</t>
  </si>
  <si>
    <t>EQUIPO Y MUEBLES DE OFICINA</t>
  </si>
  <si>
    <t>Equipos y Muebles de Oficinas</t>
  </si>
  <si>
    <t>Herramientas y Repuestos mayores</t>
  </si>
  <si>
    <t>Muebles de alojamientos</t>
  </si>
  <si>
    <t>Equipos Varios</t>
  </si>
  <si>
    <t>Otros Mobiliarios y Equipos no identificados Preferentemente</t>
  </si>
  <si>
    <t>Cámara Fotográficas y de Video</t>
  </si>
  <si>
    <t>Equipos de Generación Eléctrica</t>
  </si>
  <si>
    <t>Electrodomésticos</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</si>
  <si>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</si>
  <si>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</si>
  <si>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</si>
  <si>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</si>
  <si>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</si>
  <si>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</si>
  <si>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</si>
  <si>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</si>
  <si>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</si>
  <si>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INMUEBLES</t>
  </si>
  <si>
    <t>Edificaciones</t>
  </si>
  <si>
    <t>TOTAL INMUEBLES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</si>
  <si>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</si>
  <si>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</si>
  <si>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</si>
  <si>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</si>
  <si>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</si>
  <si>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</si>
  <si>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</si>
  <si>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</si>
  <si>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</si>
  <si>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</si>
  <si>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</si>
  <si>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</si>
  <si>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</si>
  <si>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</si>
  <si>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TOTAL DE BIENES EN USO E INTANGIBLES</t>
  </si>
  <si>
    <t>TOTAL DEPRECIACION ACUMULADA</t>
  </si>
  <si>
    <t>TOTAL ACTIVOS NO CORRIENTES</t>
  </si>
  <si>
    <t xml:space="preserve">PASIVOS   </t>
  </si>
  <si>
    <t>Nota 4: Cuentas por Pagar a Corto Plazo.</t>
  </si>
  <si>
    <t>DESCRIPCION</t>
  </si>
  <si>
    <t>Resultados periodo anterior</t>
  </si>
  <si>
    <t>Ajuste al Resultados periodo anterior</t>
  </si>
  <si>
    <t xml:space="preserve">Resultado Neto del Período </t>
  </si>
  <si>
    <t>Total Patrimonio Institucional</t>
  </si>
  <si>
    <t>Nota.  6: Ingresos</t>
  </si>
  <si>
    <t>PARTIDAS</t>
  </si>
  <si>
    <t>Transferencias Corrientes Recibidas:</t>
  </si>
  <si>
    <t>Transferencias de la Administración Central:</t>
  </si>
  <si>
    <t xml:space="preserve">Total de Ingresos </t>
  </si>
  <si>
    <t xml:space="preserve">Nota. 7: </t>
  </si>
  <si>
    <t>Nota. 7.1: Servicios Personales</t>
  </si>
  <si>
    <t>Sueldos para cargos Fijos</t>
  </si>
  <si>
    <t>Sobresueldos</t>
  </si>
  <si>
    <t>Dietas y Gastos de Representación</t>
  </si>
  <si>
    <t>Gratificaciones y Bonificaciones</t>
  </si>
  <si>
    <t>Contribución a la Seguridad Social</t>
  </si>
  <si>
    <t>Total Servicios Personales</t>
  </si>
  <si>
    <t xml:space="preserve">Nota 7.2: Servicios no Personales      </t>
  </si>
  <si>
    <t>PARTIDA</t>
  </si>
  <si>
    <t>Servicios básicos</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</si>
  <si>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</si>
  <si>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</si>
  <si>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</si>
  <si>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</si>
  <si>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</si>
  <si>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</si>
  <si>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</si>
  <si>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Servicios no Personales</t>
  </si>
  <si>
    <t>Nota 7.3: Materiales y Suministros.</t>
  </si>
  <si>
    <t>Alimentos y productos agroforestales</t>
  </si>
  <si>
    <t>Textiles y vestuarios</t>
  </si>
  <si>
    <t xml:space="preserve">Productos de papel, cartón e impresos   </t>
  </si>
  <si>
    <t>Productos y útiles varios</t>
  </si>
  <si>
    <t>Nota 7.4: Transferencias y Donaciones Corrientes</t>
  </si>
  <si>
    <t xml:space="preserve">Transferencias al Sector Privado  </t>
  </si>
  <si>
    <t>Total Transferencias Corrientes</t>
  </si>
  <si>
    <t>Nota 8: Estado de Cambios en el Patrimonio Neto</t>
  </si>
  <si>
    <t>Balance acumulativo del Patrimonio</t>
  </si>
  <si>
    <t>Ajuste al Patrimonio Institucional</t>
  </si>
  <si>
    <t>Total Resultados periodo anterior</t>
  </si>
  <si>
    <t xml:space="preserve">Ajuste del Resultado Neto del Período </t>
  </si>
  <si>
    <t xml:space="preserve">Total Resultado Neto del Período </t>
  </si>
  <si>
    <t>Nota 9: Estado de Flujo de Efectivo.</t>
  </si>
  <si>
    <t>Cajas</t>
  </si>
  <si>
    <t>Inventarios de consumo</t>
  </si>
  <si>
    <t>Nota 5: Patrimonio Institucional (CORAAMOCA) </t>
  </si>
  <si>
    <t>JAMAO AL NORTE</t>
  </si>
  <si>
    <t>C00056565</t>
  </si>
  <si>
    <t>VERAGUA</t>
  </si>
  <si>
    <t>CK0064857</t>
  </si>
  <si>
    <t>JUAN LOPEZ</t>
  </si>
  <si>
    <t>LAS LAGUNAS</t>
  </si>
  <si>
    <t>CANCA LA REYNA</t>
  </si>
  <si>
    <t>C00047490</t>
  </si>
  <si>
    <t>VILLA TRINA</t>
  </si>
  <si>
    <t>CK0064816</t>
  </si>
  <si>
    <t>HIGUERITO</t>
  </si>
  <si>
    <t>C00046957</t>
  </si>
  <si>
    <t>Doc. Sustento</t>
  </si>
  <si>
    <t>Centro de  Servicio al Cliente</t>
  </si>
  <si>
    <t>Deposito</t>
  </si>
  <si>
    <t>Valor</t>
  </si>
  <si>
    <r>
      <t xml:space="preserve">Balance acumulativo </t>
    </r>
    <r>
      <rPr>
        <sz val="8"/>
        <color indexed="8"/>
        <rFont val="Times New Roman"/>
        <family val="1"/>
      </rPr>
      <t> </t>
    </r>
    <r>
      <rPr>
        <sz val="11"/>
        <color indexed="8"/>
        <rFont val="Times New Roman"/>
        <family val="1"/>
      </rPr>
      <t>del Patrimonio</t>
    </r>
  </si>
  <si>
    <t>Los recursos recibidos por las ventas de servicios y transferencias recibidas fueron por los montos según el siguiente detalle:</t>
  </si>
  <si>
    <t>Transf. de la Adm. Central (Fondo 104)</t>
  </si>
  <si>
    <t>Ventas de servicios</t>
  </si>
  <si>
    <t>Sueldos personal temporero y contratado</t>
  </si>
  <si>
    <r>
      <t>Los gastos por concepto de servicios personales  se detalla a continuación</t>
    </r>
    <r>
      <rPr>
        <sz val="12"/>
        <color indexed="8"/>
        <rFont val="Times New Roman"/>
        <family val="1"/>
      </rPr>
      <t xml:space="preserve">: </t>
    </r>
  </si>
  <si>
    <r>
      <t>Servicios no Personales</t>
    </r>
    <r>
      <rPr>
        <sz val="12"/>
        <color indexed="8"/>
        <rFont val="Times New Roman"/>
        <family val="1"/>
      </rPr>
      <t xml:space="preserve"> </t>
    </r>
    <r>
      <rPr>
        <sz val="12"/>
        <color indexed="8"/>
        <rFont val="Times New Roman"/>
        <family val="1"/>
      </rPr>
      <t>detalla a continuación:</t>
    </r>
  </si>
  <si>
    <t>VARIACION</t>
  </si>
  <si>
    <t>Combustibles, lubricantes</t>
  </si>
  <si>
    <t>Productos químicos y conexos</t>
  </si>
  <si>
    <t>Terreno</t>
  </si>
  <si>
    <t>sistema de distribucion de APS</t>
  </si>
  <si>
    <t>CLACIFICACION DE LOS ACTIVOS FIJOS</t>
  </si>
  <si>
    <t>Los pasivos diferidos serán  valuados al valor nominal de los anticipos recibidos por obligaciones que deberán cumplirse en ejercicios siguientes.</t>
  </si>
  <si>
    <t>Diferencia</t>
  </si>
  <si>
    <t>Sobregiro Bancarios</t>
  </si>
  <si>
    <t>Documentos por pagar</t>
  </si>
  <si>
    <t>Retenciones por pagar</t>
  </si>
  <si>
    <t>Cuentas por pagar Suplidores (anexos)</t>
  </si>
  <si>
    <t>Relación de Cuentas por pagar a suplidores anexos</t>
  </si>
  <si>
    <t>La partida Capitalización por Incorp. De Disponibilidades es el resultado por anulaciones de cheques emitidos y ajustes en la partida de cuantas por pagar.</t>
  </si>
  <si>
    <t>Total sobregiro en Bancos  **</t>
  </si>
  <si>
    <t>** Valores cargado a cuentas por pagar</t>
  </si>
  <si>
    <t>El ajuste al resultado anterior se generó por anulaciones de cheques y otros ajustes.</t>
  </si>
  <si>
    <r>
      <t xml:space="preserve">Durante los ejercicios  fiscales </t>
    </r>
    <r>
      <rPr>
        <sz val="12"/>
        <color indexed="8"/>
        <rFont val="Times New Roman"/>
        <family val="1"/>
      </rPr>
      <t>los gastos por concepto de transferencias y donaciones corrientes presenta un importante incremento, producto de que en el periodo pasado la nómina especial se estaba cargando a sueldo fijo y en este periodo se presenta en esta partida, el cual se desglosa a continuación:</t>
    </r>
  </si>
  <si>
    <t>La partida rescate de títulos y valores corresponde ajustes realizado en la  partida de depósitos de alquiler y anulación de cuentas por cobrar empleados.</t>
  </si>
  <si>
    <r>
      <t>E</t>
    </r>
    <r>
      <rPr>
        <sz val="12"/>
        <color indexed="8"/>
        <rFont val="Times New Roman"/>
        <family val="1"/>
      </rPr>
      <t>l patrimonio institucional tiene los  balances que detallamos a continuación</t>
    </r>
    <r>
      <rPr>
        <sz val="12"/>
        <color indexed="8"/>
        <rFont val="Times New Roman"/>
        <family val="1"/>
      </rPr>
      <t xml:space="preserve">. Los </t>
    </r>
    <r>
      <rPr>
        <sz val="12"/>
        <color indexed="8"/>
        <rFont val="Times New Roman"/>
        <family val="1"/>
      </rPr>
      <t xml:space="preserve">Ajustes los resultados de  periodos anteriores es producto de anulaciones de cheques emitidos en pagos de servicios que luego no se hicieron efectivo. El patrimonio está conformado con las siguientes partidas: </t>
    </r>
  </si>
  <si>
    <r>
      <t>L</t>
    </r>
    <r>
      <rPr>
        <sz val="12"/>
        <color indexed="8"/>
        <rFont val="Times New Roman"/>
        <family val="1"/>
      </rPr>
      <t>os balances de las cuentas de Activos No Financieros están integrados por los valores históricos registrados, el cual detallamos a continuación.</t>
    </r>
  </si>
  <si>
    <r>
      <t xml:space="preserve">Deducciones al personal </t>
    </r>
    <r>
      <rPr>
        <sz val="8"/>
        <color indexed="8"/>
        <rFont val="Times New Roman"/>
        <family val="1"/>
      </rPr>
      <t>(Histórico Antiguo PP)</t>
    </r>
  </si>
  <si>
    <t>Variación en el Inventario</t>
  </si>
  <si>
    <t>Otras Cuentas por pagar (anexos)</t>
  </si>
  <si>
    <r>
      <t xml:space="preserve">El método de cálculo para el registro  de  la  </t>
    </r>
    <r>
      <rPr>
        <b/>
        <sz val="14"/>
        <color indexed="8"/>
        <rFont val="Times New Roman"/>
        <family val="1"/>
      </rPr>
      <t>Depreciación</t>
    </r>
    <r>
      <rPr>
        <sz val="14"/>
        <color indexed="8"/>
        <rFont val="Times New Roman"/>
        <family val="1"/>
      </rPr>
      <t xml:space="preserve">  es  el  de  </t>
    </r>
    <r>
      <rPr>
        <b/>
        <sz val="14"/>
        <color indexed="8"/>
        <rFont val="Times New Roman"/>
        <family val="1"/>
      </rPr>
      <t>Línea  Recta</t>
    </r>
    <r>
      <rPr>
        <sz val="14"/>
        <color indexed="8"/>
        <rFont val="Times New Roman"/>
        <family val="1"/>
      </rPr>
      <t>,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r>
  </si>
  <si>
    <t xml:space="preserve">Las  inversiones   con   cotización   en   mercados   de   valores  y  las  participaciones permanentes en sociedades en la que se ejerza influencia significativa, se valuarán a sus respectivas cotizaciones  a  la  fecha  de  cierre  del  período, exceptuando  los  gastos estimados de venta e impuestos. </t>
  </si>
  <si>
    <t>Asimismo, si durante el período  se  realizan  transferencias  de  capital  a  instituciones descentralizadas  y  empresas  públicas, éstas  serán  clasificadas  y  registradas  como Participaciones y Aportes de Capital, sujetas a verificación a través de la consolidación de los Estados Financieros.</t>
  </si>
  <si>
    <t>Los  pasivos  por  concepto  de  deudas  se  contabilizan  por  el  valor  de  los  bienes adquiridos y los servicios recibidos, deduciendo los descuentos comerciales obtenidos, si aplican.</t>
  </si>
  <si>
    <t>Los pasivos asumidos por concepto de  préstamos  en  efectivo  por  la  colocación  de títulos de deuda pública y por contratos de préstamos con  Organismos Internacionales, Bilaterales y Multilaterales de Crédito, son registrados por el importe  del  valor  nominal de los títulos colocados y por los tramos efectivamente desembolsados de los contratos de préstamos suscritos.</t>
  </si>
  <si>
    <t>Los pasivos en moneda extranjera se valúan de acuerdo a la cotización de la moneda de que se trate, al tipo de cambio comprador a la fecha del ingreso de los fondos. Al cierre del ejercicio contable los montos no  pagados  o  pendientes  de  pago  se  ajustan  a  la cotización de la moneda vigente a esa fecha.</t>
  </si>
  <si>
    <t>Las  provisiones  se  determinan  como  el  resultado  de  estimaciones  basadas  en  la experiencia sobre la incobrabilidad o riesgo del rubro de que se trate.</t>
  </si>
  <si>
    <r>
      <t xml:space="preserve">La partida de Patrimonio institucional está conformada  por  el  rubro  de  </t>
    </r>
    <r>
      <rPr>
        <b/>
        <sz val="14"/>
        <color indexed="8"/>
        <rFont val="Times New Roman"/>
        <family val="1"/>
      </rPr>
      <t>Patrimonio Público Dominicano</t>
    </r>
    <r>
      <rPr>
        <sz val="14"/>
        <color indexed="8"/>
        <rFont val="Times New Roman"/>
        <family val="1"/>
      </rPr>
      <t>, derivada de la diferencia entre el total del activo y del pasivo de la entidad  económica  denominada  “CORAAMOCA”,  más  el  ahorro  o  desahorro acumulado proveniente de los sucesivos ejercicios fiscales, así como las donaciones y contribuciones de capital interna y externas recibidas</t>
    </r>
  </si>
  <si>
    <r>
      <t>Las transferencias de capital recibidas en efectivo, procedentes del Sector Privado y del Sector  Público,  se  registran  y  exponen  a  su  valor  nominal,  y   en   los   casos   de transferencias de bienes,</t>
    </r>
    <r>
      <rPr>
        <sz val="14"/>
        <color indexed="8"/>
        <rFont val="Times New Roman"/>
        <family val="1"/>
      </rPr>
      <t xml:space="preserve"> por su valor de mercado.</t>
    </r>
    <r>
      <rPr>
        <sz val="14"/>
        <color indexed="10"/>
        <rFont val="Times New Roman"/>
        <family val="1"/>
      </rPr>
      <t xml:space="preserve"> </t>
    </r>
  </si>
  <si>
    <t>Los resultados de la cuenta corriente expresan las diferencias entre  los  ingresos  y  los egresos obtenidos a través de la gestión fiscal de la entidad económica, para el ejercicio contable de que se trate.</t>
  </si>
  <si>
    <t>Los ingresos son reconocidos en los resultados del ejercicio a medida que se perciben, y los  gastos  se  reconocen  como  devengado  cuando  son  emitidos  los  pagos,  ya aprobados por la Presidenta Ejecutiva o la institución recibe un bien o servicios.</t>
  </si>
  <si>
    <t>Los activos y pasivos en moneda extranjera se registran al tipo de cambio de la fecha en que se realizan las transacciones  y  se  expresan  en  pesos  dominicanos  al  cierre  del período   contable,   utilizando   la   tasa   oficial   del  Banco  Central  de  la  República Dominicana a esa fecha.</t>
  </si>
  <si>
    <r>
      <t xml:space="preserve">Para la elaboración de los Estados Financieros de </t>
    </r>
    <r>
      <rPr>
        <b/>
        <sz val="14"/>
        <color indexed="8"/>
        <rFont val="Times New Roman"/>
        <family val="1"/>
      </rPr>
      <t xml:space="preserve">CORAAMOCA, </t>
    </r>
    <r>
      <rPr>
        <sz val="14"/>
        <color indexed="8"/>
        <rFont val="Times New Roman"/>
        <family val="1"/>
      </rPr>
      <t>se estableció  el Método del percibido para los ingresos y los gastos al momento que ocurrieron, con independencias de sus fechas de sus pagos según el Decreto No. 526-09 Reglamento Aplicación de la Ley No. 126-0, artículos 38 y 39.</t>
    </r>
  </si>
  <si>
    <t>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La Ley No. 89-97 de marzo   de   1997   crea   la   Corporación   del  Acueducto  y  Alcantarillado  de  Moca (CORAAMOCA).</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</si>
  <si>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</si>
  <si>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Los  Estados  Financieros  de  las  instituciones  descentralizadas, están  elaborados  de conformidad con la Ley 126-01, su Reglamento de Aplicación y las Normas  de  Cierre, emitidas por la Dirección General de Contabilidad Gubernamental (DIGECOG) para los años 2017 y 2016.</t>
  </si>
  <si>
    <t>La moneda funcional de la Entidad es Peso Dominicano (RD$),  por  lo  que  todas  las cifras presentadas en el presente informe están expresadas en dicha moneda.</t>
  </si>
  <si>
    <t>La información contable presentada se refiere  a  bienes, derechos  y  obligaciones  que poseen  valor  económico,   susceptibles  de  ser  valuados  objetivamente  en  términos monetarios.</t>
  </si>
  <si>
    <r>
      <t>Las transacciones que afectan a las entidades económicas determinan modificaciones en el patrimonio, así como en los resultados de las operaciones. El momento en el  cual  se considera   modificado   el   patrimonio   y   los   resultados   de  la  entidad, es  con  el devengamiento,   además   se   considera   consumida   la   apropiación  y  ejecutado  el presupuesto</t>
    </r>
    <r>
      <rPr>
        <sz val="14"/>
        <color indexed="14"/>
        <rFont val="Times New Roman"/>
        <family val="1"/>
      </rPr>
      <t xml:space="preserve">.   </t>
    </r>
  </si>
  <si>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</si>
  <si>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en  reconocimiento  de  la  obligación  o  gasto  devengado  y  pagado  o extinción de la obligación. Así mismo, las transacciones relativas a los ingresos deberán registrarse en la etapa percibida.    </t>
  </si>
  <si>
    <t xml:space="preserve">Los Estados Financieros, deben contener o exponer toda la información necesaria para expresar adecuadamente la situación económica-financiera, los recursos y gastos de  la entidad económica de manera que  los  usuarios  de  la  información  puedan  tomar las decisiones pertinentes.  </t>
  </si>
  <si>
    <t>El Sistema de Contabilidad de CORAAMOCA, constituye un sistema único e integral que registra los hechos económicos y  financieros  que  afectan  o  puedan  afectar  el patrimonio, los recursos y gastos de CORAAMOCA.</t>
  </si>
  <si>
    <t>La interpretación  y  análisis  de  los  Estados  Financieros,  requieren  la  posibilidad  de comparar la situación financiera de la entidad económica y los resultados de operaciones en distintas épocas de actividad, en consecuencia, es necesario que la aplicación  de  las prácticas y procedimientos contables se haga de manera  uniforme  y  consistente,  tanto para el período a que se refieren los Estados Financieros así como para los anteriores.</t>
  </si>
  <si>
    <t>En ningún caso se realiza compensación de partidas del activo y del pasivo del Balance General,   ni   de  las  partidas  de  ingresos  y  gastos,  que  constituyen  el  Estado  de Resultados económico-patrimonial, ni los gastos e ingresos que integran  el  Estado  de Liquidación del Presupuesto.  Los elementos que componen las  distintas  partidas  del activo y del pasivo son valoradas separadamente.</t>
  </si>
  <si>
    <t>Los Estados Financieros de  CORAAMOCA,  constituyen  la  expresión  final  de  los registros sistemáticos, correspondientes  a  la  totalidad  de  los  hechos  financieros  y económicos.</t>
  </si>
  <si>
    <t>Los Estados Financieros, informes técnicos y otros reportes emanados del  Sistema  de Contabilidad de CORAAMOCA, son elaborados para ser presentados a la  Cámara  de Cuentas, Dirección General de Contabilidad Gubernamental (DIGECOG), Ministerio de Hacienda y disponible a terceros interesados de acuerdo a nuestra ley y a la ley de  libre acceso a la información.</t>
  </si>
  <si>
    <r>
      <t xml:space="preserve">Los Estados Financieros así como las Notas que  son  parte  integral  de  los  mismos, presentan  información  </t>
    </r>
    <r>
      <rPr>
        <sz val="14"/>
        <color indexed="8"/>
        <rFont val="Times New Roman"/>
        <family val="1"/>
      </rPr>
      <t xml:space="preserve">comparativa,  respecto  al  período  anterior. </t>
    </r>
    <r>
      <rPr>
        <sz val="14"/>
        <color indexed="8"/>
        <rFont val="Times New Roman"/>
        <family val="1"/>
      </rPr>
      <t xml:space="preserve"> La  información comparativa se presenta en la parte narrativa y descriptiva.</t>
    </r>
  </si>
  <si>
    <t>De acuerdo a la Ley 126-01 del 27 de julio del 2001 estable como  periodo  fiscal  desde  el 1ero de enero al 31 de diciembre. Para este cierre anual desde el 01 de enero  al 31  de diciembre del 2016 y también abarca desde el primero 01 de enero al 30 de junio del año 2017.</t>
  </si>
  <si>
    <t>Los costos de construcción incluyen  los  costos  directos e indirectos, incluyendo los costos de administración  de  la  obra,  incurridos  y  devengados  durante  el  período efectivo de la construcción.</t>
  </si>
  <si>
    <t>Los bienes recibidos en donación son contabilizados a valor corriente,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</si>
  <si>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</si>
  <si>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</si>
  <si>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NOTA</t>
  </si>
  <si>
    <t xml:space="preserve">MATERIALES Y SUMINISTROS </t>
  </si>
  <si>
    <t>DEL GOBIERNO CENTRAL</t>
  </si>
  <si>
    <t>OTROS INGRESOS</t>
  </si>
  <si>
    <t>Nota 2.2: Cuentas y Documentos por Cobrar</t>
  </si>
  <si>
    <t>Total Cuentas y Documentos por Cobrar</t>
  </si>
  <si>
    <t>Deposito a plazo fijo</t>
  </si>
  <si>
    <t>Cuentas por Cobrar empleados</t>
  </si>
  <si>
    <t>Nota 2.3: Inventarios de Mercancías</t>
  </si>
  <si>
    <t>Nota 2.4: Otros Activos (Fianzas)</t>
  </si>
  <si>
    <t>Cambio porcentual con relación al 2016</t>
  </si>
  <si>
    <t>Liquidez</t>
  </si>
  <si>
    <t>Detalle</t>
  </si>
  <si>
    <t>Capital de trabajo</t>
  </si>
  <si>
    <t>Prueba acida</t>
  </si>
  <si>
    <t>Relevancia Activo Corriente</t>
  </si>
  <si>
    <t>Actividad</t>
  </si>
  <si>
    <t>Rotacion c x c</t>
  </si>
  <si>
    <t>Periodo promedio de cobro</t>
  </si>
  <si>
    <t>Rotacion de inventario</t>
  </si>
  <si>
    <t>Periodo de rotacion de inventarios</t>
  </si>
  <si>
    <t>Rotacion de cuentas por pagar</t>
  </si>
  <si>
    <t>Periodo promedio de pago</t>
  </si>
  <si>
    <t>Ciclo operativo</t>
  </si>
  <si>
    <t>Ciclo de conversion de efectivo</t>
  </si>
  <si>
    <t>Rotacion de activos fijos</t>
  </si>
  <si>
    <t>Rotacion de activos totales</t>
  </si>
  <si>
    <t>Caja y Bancos / Ventas</t>
  </si>
  <si>
    <t>Endeudamiento</t>
  </si>
  <si>
    <t>Grado de endeudamiento</t>
  </si>
  <si>
    <t>Endeudamiento sobre patrimonio</t>
  </si>
  <si>
    <t>Grado de propiedad</t>
  </si>
  <si>
    <t>Rentabilidad</t>
  </si>
  <si>
    <t>Margen neto</t>
  </si>
  <si>
    <t>ROA</t>
  </si>
  <si>
    <t>ROE</t>
  </si>
  <si>
    <t>N/A</t>
  </si>
  <si>
    <t>Razon corriente</t>
  </si>
  <si>
    <t>Razones financieras</t>
  </si>
  <si>
    <t>Activo circulante menos Pasivos Circulantes</t>
  </si>
  <si>
    <t>Activo circulante entre Pasivos Circulantes</t>
  </si>
  <si>
    <t>Equivalente a efectivo entre Pasivos Circulantes</t>
  </si>
  <si>
    <t>Total de Activos circulante entre el total de activos</t>
  </si>
  <si>
    <t>Razones</t>
  </si>
  <si>
    <t>Ventas entre la cuentas por cobrar Clientes</t>
  </si>
  <si>
    <t>360 dias entre la Rotacion de cuentas por cobrar clientes</t>
  </si>
  <si>
    <t>Costo de Ventas entre el inventarios</t>
  </si>
  <si>
    <t>360 dias entre la rotacion de inventario</t>
  </si>
  <si>
    <t>Total de cuentas por pagar entre el costo de Ventas</t>
  </si>
  <si>
    <t>360 dias entre la rotacion de de cuentas por pagar</t>
  </si>
  <si>
    <t>Periodo promedio de cobro entre el Periodo de rotacion de inventarios</t>
  </si>
  <si>
    <t>Ciclo operativo menos Periodo promedio de pago</t>
  </si>
  <si>
    <t>Total de ingresos entre los Activos Fijos</t>
  </si>
  <si>
    <t>Total de ingresos entre en Total de Activos</t>
  </si>
  <si>
    <t>Total de efectivo entre el Total de Ingresos</t>
  </si>
  <si>
    <t>Activos circulante entre el total de pasivos</t>
  </si>
  <si>
    <t>Total del pasivo entre el total del Patrimonio</t>
  </si>
  <si>
    <t>Total del  Patrimonio entre el total de Activos</t>
  </si>
  <si>
    <t>Resultado Operacional entre Total de Ingresos</t>
  </si>
  <si>
    <t>Total de Activos entre total de Ingresos</t>
  </si>
  <si>
    <t>Resultado del periodo entre el Capital</t>
  </si>
  <si>
    <t>Aporte de Gobierno entre Total de ingresos</t>
  </si>
  <si>
    <t>Recadaciones Propias  entre Total de ingresos</t>
  </si>
  <si>
    <t>Analisis de los Ingresos</t>
  </si>
  <si>
    <t>Analisis del gasto</t>
  </si>
  <si>
    <t>Servicios personales entre Total de ingresos</t>
  </si>
  <si>
    <t>Materiales y Suministros entre Total de ingresos</t>
  </si>
  <si>
    <t>Analisis del gasto - Recursos Humanos</t>
  </si>
  <si>
    <t>No. de empleados</t>
  </si>
  <si>
    <t>NÚMERO DE EMPLEADOS</t>
  </si>
  <si>
    <t>GASTOS DE PERSONAL</t>
  </si>
  <si>
    <t>MARGEN POR EMPLEADO</t>
  </si>
  <si>
    <t>COSTO PROMEDIO EMPLEADO</t>
  </si>
  <si>
    <t>Diferencia de costo y ventas de empleado entre costo medio empleado</t>
  </si>
  <si>
    <t>Analisis de los Activos y pasivos</t>
  </si>
  <si>
    <t>Total de activos corrientes entre Total de Activos</t>
  </si>
  <si>
    <t>Total de activos no corrientes entre Total de Activos</t>
  </si>
  <si>
    <t>Total de pasivos corrientes entre Total de Activos</t>
  </si>
  <si>
    <t>Total de pasivos no corrientes entre Total de Activos</t>
  </si>
  <si>
    <t>Total del patrimonio entre Total de Activos</t>
  </si>
  <si>
    <t>Total de Empleados en Nomina TSS</t>
  </si>
  <si>
    <t>Total de pago a  Empleados en Nomina entre Total de Empleados/12</t>
  </si>
  <si>
    <t>Total de recaudacion entre Total de Empleados/12</t>
  </si>
  <si>
    <t>RECAUDACION POR EMPLEADO</t>
  </si>
  <si>
    <t>Total de pago a  Empleados en Nomina mas TSS</t>
  </si>
  <si>
    <t>INDICE</t>
  </si>
  <si>
    <t>Concepto</t>
  </si>
  <si>
    <t>Debe</t>
  </si>
  <si>
    <t>Haber</t>
  </si>
  <si>
    <t>Papeles de trabajo de auditoria</t>
  </si>
  <si>
    <t>Activo</t>
  </si>
  <si>
    <t>Efectivo</t>
  </si>
  <si>
    <t>B</t>
  </si>
  <si>
    <t>Cuentas por Cobrar</t>
  </si>
  <si>
    <t>B-1</t>
  </si>
  <si>
    <t>Inventarios</t>
  </si>
  <si>
    <t>Activo Fijo</t>
  </si>
  <si>
    <t>D-1</t>
  </si>
  <si>
    <t>D-2</t>
  </si>
  <si>
    <t>Maquinaria y Equipo</t>
  </si>
  <si>
    <t>F</t>
  </si>
  <si>
    <t>Pasivo</t>
  </si>
  <si>
    <t>AA</t>
  </si>
  <si>
    <t>Cuentas por Pagar</t>
  </si>
  <si>
    <t>AA-1</t>
  </si>
  <si>
    <t>Documentos por Pagar a Bancos</t>
  </si>
  <si>
    <t>AA-2</t>
  </si>
  <si>
    <t>Proveedores</t>
  </si>
  <si>
    <t>AA-3</t>
  </si>
  <si>
    <t>Acreedores Diversos</t>
  </si>
  <si>
    <t>AA-4</t>
  </si>
  <si>
    <t>Impuestos Acumulados por Pagar</t>
  </si>
  <si>
    <t>AA-5</t>
  </si>
  <si>
    <t>Iva por Pagar</t>
  </si>
  <si>
    <t>Cap. Contable</t>
  </si>
  <si>
    <t>CC</t>
  </si>
  <si>
    <t>Capital Contable</t>
  </si>
  <si>
    <t>RR</t>
  </si>
  <si>
    <t>Reserva Legal y Utilidades por aplicar</t>
  </si>
  <si>
    <t>Capital Social</t>
  </si>
  <si>
    <t>Estado de Resultados</t>
  </si>
  <si>
    <t>AA-10</t>
  </si>
  <si>
    <t>Ingresos</t>
  </si>
  <si>
    <t>AA-20</t>
  </si>
  <si>
    <t>AA-30</t>
  </si>
  <si>
    <t>AA-40</t>
  </si>
  <si>
    <t>AA-50</t>
  </si>
  <si>
    <t>AA-60</t>
  </si>
  <si>
    <t>A/A</t>
  </si>
  <si>
    <t>Cedula de Ajustes</t>
  </si>
  <si>
    <t>A/R</t>
  </si>
  <si>
    <t>Cedula de Reclasificacion</t>
  </si>
  <si>
    <t>C/O</t>
  </si>
  <si>
    <t>Cedula de Observaciones</t>
  </si>
  <si>
    <t>CS</t>
  </si>
  <si>
    <t>CPC</t>
  </si>
  <si>
    <t>Diferencias</t>
  </si>
  <si>
    <t>Q</t>
  </si>
  <si>
    <t>Cedula Sumaria de Cuentas por Cobrar</t>
  </si>
  <si>
    <t>(</t>
  </si>
  <si>
    <t>Octubre</t>
  </si>
  <si>
    <t>Noviembre</t>
  </si>
  <si>
    <t>Diciembre</t>
  </si>
  <si>
    <t>Cédula Sumaria de Inventario</t>
  </si>
  <si>
    <t>Inversiones</t>
  </si>
  <si>
    <t>Total</t>
  </si>
  <si>
    <t>R</t>
  </si>
  <si>
    <t>@</t>
  </si>
  <si>
    <t>Enero</t>
  </si>
  <si>
    <t>PP</t>
  </si>
  <si>
    <t>Þ</t>
  </si>
  <si>
    <t>Se ha realizado la revisión de la documentación original, las escrituras de propiedad y los presupuestos y relaciones de avance de obra de honorarios de la compañía constructora, los cuales prueban la propiedad del terreno y del edificio. La documentación previa consta en el Expediente continuo de Auditoría.</t>
  </si>
  <si>
    <t>Se ha corroborado la no existencia de gravámen, a través del certificado recibido por parte del Registro Público y de la Propiedad.</t>
  </si>
  <si>
    <t>Las tasas de depresiación utilizadas para efectos contabales coinciden con las que utiliza la empresa para efectos fiscales</t>
  </si>
  <si>
    <t>Cédula Analitica de Terreno y Edificio</t>
  </si>
  <si>
    <t>Ajuste</t>
  </si>
  <si>
    <t>[</t>
  </si>
  <si>
    <t>Cedula Sumaria de Cuentas por Pagar</t>
  </si>
  <si>
    <t>P</t>
  </si>
  <si>
    <t>SI</t>
  </si>
  <si>
    <t>NO</t>
  </si>
  <si>
    <t>Gastos de Depreciación y Amortización</t>
  </si>
  <si>
    <t>Cedula sumaria de ITBIS acreditable</t>
  </si>
  <si>
    <t>Movimientos relevantes</t>
  </si>
  <si>
    <t>Febrero</t>
  </si>
  <si>
    <t>Marzo</t>
  </si>
  <si>
    <t>Abril</t>
  </si>
  <si>
    <t>Mayo</t>
  </si>
  <si>
    <t>Junio</t>
  </si>
  <si>
    <t>Julio</t>
  </si>
  <si>
    <t>Agosto</t>
  </si>
  <si>
    <t>Septiembre</t>
  </si>
  <si>
    <t>Movimientos mensuales relevantes</t>
  </si>
  <si>
    <t>Marca de Trabajo Realizado</t>
  </si>
  <si>
    <t>COMPRAS</t>
  </si>
  <si>
    <t>Materia prima</t>
  </si>
  <si>
    <t>Materiales indirectos</t>
  </si>
  <si>
    <t>Energía Eléctrica</t>
  </si>
  <si>
    <t>Refacciones</t>
  </si>
  <si>
    <t>ü</t>
  </si>
  <si>
    <t>SERVICIOS</t>
  </si>
  <si>
    <t>Telefono</t>
  </si>
  <si>
    <t>Energía electrica</t>
  </si>
  <si>
    <t>Papelería</t>
  </si>
  <si>
    <t>IVA x Recuperar</t>
  </si>
  <si>
    <t>VENTAS</t>
  </si>
  <si>
    <t>IVA x Pagar</t>
  </si>
  <si>
    <t>Compensación</t>
  </si>
  <si>
    <t>n/a</t>
  </si>
  <si>
    <t>Anexar contrato de cada prestamo</t>
  </si>
  <si>
    <t>Cédula Analitica de Acreedores Diversos</t>
  </si>
  <si>
    <t>El saldo de la cuenta de gastos generales, con subcuenta honorarios a profesionistas con un importe de $100,000 corresponde al total del pago que se liquidará hasta el año 2011. Es por esto que el saldo acreedor para el 2010 es de $50,000 ya que son los pagos que efectivamente se efecutaron. EL importe restante se origininó como una reserva para el pago ya mencionado.</t>
  </si>
  <si>
    <t>La reclasificación de PTU se realiza para separar la cuenta y presentarla como cuenta independiente en Estado de Resultados.</t>
  </si>
  <si>
    <t xml:space="preserve">Cedula Sumaria de Reserva Legal y Utilidades </t>
  </si>
  <si>
    <t>Analisis de Varaciones</t>
  </si>
  <si>
    <t>Porcentaje de Incremento</t>
  </si>
  <si>
    <t>Marcas de trabajo</t>
  </si>
  <si>
    <t>Revision del Periodo Especifico</t>
  </si>
  <si>
    <t>Corte de Documentación de Fin de año</t>
  </si>
  <si>
    <t>No. de Factura</t>
  </si>
  <si>
    <t>No. de factura</t>
  </si>
  <si>
    <t>Servicios Personales</t>
  </si>
  <si>
    <t>Servicios no Personales</t>
  </si>
  <si>
    <t xml:space="preserve">Materiales y Suministros </t>
  </si>
  <si>
    <t>Transferencias y Donaciones</t>
  </si>
  <si>
    <t>Analisis de Variaciones</t>
  </si>
  <si>
    <t>Marcar de trabajo</t>
  </si>
  <si>
    <t>No</t>
  </si>
  <si>
    <t>Referencia</t>
  </si>
  <si>
    <t>A-1</t>
  </si>
  <si>
    <t>Cédula de Observaciones</t>
  </si>
  <si>
    <t>No.</t>
  </si>
  <si>
    <t>Descripcion de la Observación</t>
  </si>
  <si>
    <t xml:space="preserve">Causa </t>
  </si>
  <si>
    <t>Efecto</t>
  </si>
  <si>
    <t>Medida
Preventivas</t>
  </si>
  <si>
    <t>Medidas 
Correctivas</t>
  </si>
  <si>
    <t xml:space="preserve">Fecha </t>
  </si>
  <si>
    <t>Responsable</t>
  </si>
  <si>
    <t>Incumplimiento a 
politicas y problemas 
de posibles ajustes</t>
  </si>
  <si>
    <t>Cedula sumaria de Ingresos</t>
  </si>
  <si>
    <t>Cedula sumaria de gastos  servicios personales</t>
  </si>
  <si>
    <t>Cedula analitica de gastos  servicios personales</t>
  </si>
  <si>
    <t xml:space="preserve">              MARCAS</t>
  </si>
  <si>
    <t>Simbolo</t>
  </si>
  <si>
    <t xml:space="preserve">Significado </t>
  </si>
  <si>
    <t>Cedula Preparada Por la Compañía</t>
  </si>
  <si>
    <t>Sumas Correctas</t>
  </si>
  <si>
    <t>Calculo Correcto</t>
  </si>
  <si>
    <t>Cotejado vs Documentos o Factura</t>
  </si>
  <si>
    <t>v</t>
  </si>
  <si>
    <t>Concluye con requisitos fiscales</t>
  </si>
  <si>
    <t>Aclaracion de Información</t>
  </si>
  <si>
    <t>Solicitud de confirmacion enviada</t>
  </si>
  <si>
    <t>Respuesta de conformidad con su saldo con respecto a la solicitud de confirmación</t>
  </si>
  <si>
    <t>Respuesta de inconformidad con su saldo con respecto a la solicitud de confirmación</t>
  </si>
  <si>
    <t>J</t>
  </si>
  <si>
    <t>Aclaracion a las respuesta de inconformidad de las solicitudes enviadas</t>
  </si>
  <si>
    <t>Datos Correctos</t>
  </si>
  <si>
    <t>Cotejado físicamente</t>
  </si>
  <si>
    <t>q</t>
  </si>
  <si>
    <t>Prueba de Obsolecencia y Lento Movimiento Aprobada</t>
  </si>
  <si>
    <t>n</t>
  </si>
  <si>
    <t>Prueba de Obsolecencia Reprobada</t>
  </si>
  <si>
    <t>Realizacion de Cruces Correspondientes</t>
  </si>
  <si>
    <t>Cedula sumaria de gastos  servicios no personales</t>
  </si>
  <si>
    <t>Cedula analitica de gastos  servicios no personales</t>
  </si>
  <si>
    <t>Cedula sumaria de gastos  Materiales y Suministro</t>
  </si>
  <si>
    <t>Cedula analitica de gastos  materiales y Suministro</t>
  </si>
  <si>
    <t>Cedula sumaria de gastos  Transferencias y Donaciones</t>
  </si>
  <si>
    <t>Cedula analitica de gastos  Transferencias y Donaciones</t>
  </si>
  <si>
    <t>Cedula sumaria de Retenciones de Impuestos</t>
  </si>
  <si>
    <t>Cedula analitica de  Retenciones de Impuestos</t>
  </si>
  <si>
    <t>Cedula analitica de  Proveedores</t>
  </si>
  <si>
    <t>Tasa de Interes</t>
  </si>
  <si>
    <t>Interes Generado</t>
  </si>
  <si>
    <t>Balance</t>
  </si>
  <si>
    <t>Cedula sumaria de Efectivo</t>
  </si>
  <si>
    <t>Cedula analitica de  Efectivo</t>
  </si>
  <si>
    <t>Cedula sumaria de Inversiones</t>
  </si>
  <si>
    <t>Cedula analitica de  Inversiones</t>
  </si>
  <si>
    <t>Verificado</t>
  </si>
  <si>
    <t>Pendiente</t>
  </si>
  <si>
    <t>Revisando</t>
  </si>
  <si>
    <t>ENERO</t>
  </si>
  <si>
    <t>FEBRERO</t>
  </si>
  <si>
    <t>MARZO</t>
  </si>
  <si>
    <t>ABRIL</t>
  </si>
  <si>
    <t>MAYO</t>
  </si>
  <si>
    <t>JUNIO</t>
  </si>
  <si>
    <t>JULIO</t>
  </si>
  <si>
    <t>AGOSTO</t>
  </si>
  <si>
    <t>SEPTIEMBRE</t>
  </si>
  <si>
    <t>OCTUBRE</t>
  </si>
  <si>
    <t>NOVIEMBRE</t>
  </si>
  <si>
    <t>DICIEMBRE</t>
  </si>
  <si>
    <t>Cedula analitica de  Inventario</t>
  </si>
  <si>
    <t>Cedula sumaria de Activos Fijos</t>
  </si>
  <si>
    <t>Cedula analitica de  Activos fijos</t>
  </si>
  <si>
    <t>Cedula sumaria de Documentos por Pagar</t>
  </si>
  <si>
    <t>Cedula analitica de  Documentos por Pagar</t>
  </si>
  <si>
    <t>Cedula sumaria de Maquinaria y Equipos</t>
  </si>
  <si>
    <t>Total Maquinarias y Equipos</t>
  </si>
  <si>
    <t>Cedula analitica de  Maquinaria y Equipos</t>
  </si>
  <si>
    <t>Cedula analitica de   Depreciacion</t>
  </si>
  <si>
    <t>Itbis Acreeditable</t>
  </si>
  <si>
    <t>Cedula analitica de  Capital Institucional</t>
  </si>
  <si>
    <t>Cedula analitica de  Utilidades</t>
  </si>
  <si>
    <t>AUDITORIA INTERNA</t>
  </si>
  <si>
    <t>Datos</t>
  </si>
  <si>
    <t>I  P  T</t>
  </si>
  <si>
    <t>Reclacificacion</t>
  </si>
  <si>
    <t>a</t>
  </si>
  <si>
    <t>caja</t>
  </si>
  <si>
    <t>Cédula sumaria de Proveedores</t>
  </si>
  <si>
    <t>Cédula  sumaria de Capital Institucional</t>
  </si>
  <si>
    <t>√</t>
  </si>
  <si>
    <t>ERROR</t>
  </si>
  <si>
    <t>Cedula de Reclacificacion</t>
  </si>
  <si>
    <t>b</t>
  </si>
  <si>
    <t>c</t>
  </si>
  <si>
    <t>Total Terreno</t>
  </si>
  <si>
    <t xml:space="preserve">Se realizo el cruce de cifras con la balanza de comprobación. </t>
  </si>
  <si>
    <t>Nota:</t>
  </si>
  <si>
    <t>AUDITOR: JJSM</t>
  </si>
  <si>
    <t>ÞÞ</t>
  </si>
  <si>
    <t>**</t>
  </si>
  <si>
    <t xml:space="preserve">Incumplimiento a la politica 
de control interno
 de fondo </t>
  </si>
  <si>
    <t>Imprevistos y
No aplicación del prodecimiento</t>
  </si>
  <si>
    <t>Darle a firmar politicas
 de fondo. 
Capacitación</t>
  </si>
  <si>
    <t>Utilización de Fondos transitorios</t>
  </si>
  <si>
    <t xml:space="preserve">Superiores
</t>
  </si>
  <si>
    <t xml:space="preserve">P </t>
  </si>
  <si>
    <t>Informe de Auditoria Interna a los Estados de Ejecucion Presupuestaria y Estados Financieros</t>
  </si>
  <si>
    <t>SIGLAS Y ABREVIATURAS</t>
  </si>
  <si>
    <t>CCRD</t>
  </si>
  <si>
    <t>DIGECOG</t>
  </si>
  <si>
    <t>DACC</t>
  </si>
  <si>
    <t>RNC</t>
  </si>
  <si>
    <t>NCF</t>
  </si>
  <si>
    <t>CIE</t>
  </si>
  <si>
    <t>ISR</t>
  </si>
  <si>
    <t>DGII</t>
  </si>
  <si>
    <t>SIAFE</t>
  </si>
  <si>
    <t>INAPA</t>
  </si>
  <si>
    <t>Registro Nacional de Contribuyente</t>
  </si>
  <si>
    <t>Dreccion General de Impuestos Internos</t>
  </si>
  <si>
    <t>Instituto Nacional de Aguas Potables y Alcantarillados</t>
  </si>
  <si>
    <t>Número de Comprobante Fiscal</t>
  </si>
  <si>
    <t>Cédula de Identidad y Electoral</t>
  </si>
  <si>
    <t>Impuesto sobre la Renta</t>
  </si>
  <si>
    <t>Sistema integrado de información Financiera del Estado</t>
  </si>
  <si>
    <t>Cámara de Cuentas de la República Dominicana</t>
  </si>
  <si>
    <t>Corporación del Acueducto y Alcantarillado de Moca</t>
  </si>
  <si>
    <t>Dirección General de Contabilidad Gubernamental</t>
  </si>
  <si>
    <t>Dirección de Auditorioa de la Camara de Cuentas</t>
  </si>
  <si>
    <t>1- INFORMACION INTRODUCTORIA</t>
  </si>
  <si>
    <t>1- Antecedentes</t>
  </si>
  <si>
    <t>2- Objetivos de la Auditoría</t>
  </si>
  <si>
    <t>2.1 - Objetivo General</t>
  </si>
  <si>
    <r>
      <t>La ley 10-04, de fecha 20 de enero del 2004, de la CCRD, establece: Articulo 30. Clases de Control Externo…. Parrafo 1. "</t>
    </r>
    <r>
      <rPr>
        <i/>
        <sz val="11"/>
        <color indexed="8"/>
        <rFont val="Times New Roman"/>
        <family val="1"/>
      </rPr>
      <t>La Auditoria Financiera se realiza con el proposito de emitir observaciones, conclusiones, opiniones, disposiciones y recomendaciones sobre la legalidad y confiabilidad de la información presentada en los Estados Financieros y Presupuestarios de las entidades sujetas al control de la Camara de Cuentas."</t>
    </r>
  </si>
  <si>
    <t>Examinar, utilizando las guias profesionales y de control, las transacciones, registros, documentos, informes, del Estado de Ejecución Presupuestaria, con el proposito de comprobar el cumplimiento de la entidad con las dispociciones legales vigentes aplicables, incluyendo las normativas contables, presupestaria y de control interno, para asi sustentar el dictamen sobre la razonabilidad y legalidad de las cifras e informaciones contenidas en el Estado de Ejecución Presupuestaria de la Entidad, de parte del departamento de Auditoría Interna de la Intitución</t>
  </si>
  <si>
    <t>2.2 - Objetivo Especifico</t>
  </si>
  <si>
    <t>3 - Alcance de la Auditoria</t>
  </si>
  <si>
    <t>La Auditoría se realizo de conformidad con las Normas y Guias de Auditorias del departamento de Auditoría Interna.</t>
  </si>
  <si>
    <t>Se ejecutaron procedimientos para obtener evidencias de auditoria acerca de los montos y revelaciones de los Estados de Ejecución Presupuestaria. Los procedimientos seleccionados dependen del juicio del auditor, incluyendo la evaluación de los riesgos de representación errónea de importancia relativa de los Estados de Ejecución Presupuestaria, debido ya sea a fraude o error. Al efectuar esas evaluaciones de riesgos, los auditores consideran el control interno relevante para la preparación y presentación razonable de los Estados de Ejecución Presupuestaria de la Entidad, a fin de diseñar procedimientos de auditoria que sean apropiados en las circunstancias, pero no con el propósito de expresar una opinión sobre la efectividad del control interno de la institución. Una auditoria incluye evaluar lo apropiado de las políticas contables utilizadas y la razonabilidad de las estimaciones contables hechas por los funcionarios responsables, así como evaluar la presentación en conjunto de los Estados de Ejecución Presupuestaria.</t>
  </si>
  <si>
    <t>4- base Legal y Disposiciones legales aplicable a la Entidad</t>
  </si>
  <si>
    <r>
      <t>La</t>
    </r>
    <r>
      <rPr>
        <b/>
        <sz val="11"/>
        <color indexed="8"/>
        <rFont val="Times New Roman"/>
        <family val="1"/>
      </rPr>
      <t xml:space="preserve"> Corporación del Acueducto y Alcantarillado de Moca(CORAAMOCA) </t>
    </r>
    <r>
      <rPr>
        <sz val="11"/>
        <color indexed="8"/>
        <rFont val="Times New Roman"/>
        <family val="1"/>
      </rPr>
      <t>se rige por:</t>
    </r>
  </si>
  <si>
    <t xml:space="preserve"> - Constitucion de la Republica Dominicana, de Fecha 26 de Enero de 2010</t>
  </si>
  <si>
    <r>
      <t xml:space="preserve"> - Ley 89-97, que crea la </t>
    </r>
    <r>
      <rPr>
        <b/>
        <sz val="11"/>
        <color indexed="8"/>
        <rFont val="Times New Roman"/>
        <family val="1"/>
      </rPr>
      <t xml:space="preserve">Corporación del Acueducto y Alcantarillado de Moca, </t>
    </r>
    <r>
      <rPr>
        <sz val="11"/>
        <color indexed="8"/>
        <rFont val="Times New Roman"/>
        <family val="1"/>
      </rPr>
      <t>de fecha 12 de marzo de 1997.</t>
    </r>
  </si>
  <si>
    <t xml:space="preserve"> - Otras disposiciones legales aplicable a la intidad, se detallan en el Anexo 1 de este informe</t>
  </si>
  <si>
    <r>
      <t>La</t>
    </r>
    <r>
      <rPr>
        <b/>
        <sz val="11"/>
        <color indexed="8"/>
        <rFont val="Times New Roman"/>
        <family val="1"/>
      </rPr>
      <t xml:space="preserve"> Corporación del Acueducto y Alcantarillado de Moca(CORAAMOCA) </t>
    </r>
    <r>
      <rPr>
        <sz val="11"/>
        <color indexed="8"/>
        <rFont val="Times New Roman"/>
        <family val="1"/>
      </rPr>
      <t>tendra por objeto la realizacion de los fines expuestos en los motivos contenido en el preambulo de la ley 89-97, para lo cual:</t>
    </r>
  </si>
  <si>
    <t>a) tendra a su cargo la administracion, operación y mantenimiento del acueducto y alcantarillado de la provincia Espaillat;</t>
  </si>
  <si>
    <t>c) Coordinara y ejecutara las demas actividades relacionadas con sus fines.</t>
  </si>
  <si>
    <t>Los principales nivenes operativos y administrativos de la entidad se describen a continuacion:</t>
  </si>
  <si>
    <t xml:space="preserve"> - Nivel de Direccion maximo</t>
  </si>
  <si>
    <t xml:space="preserve"> - Nivel Ejecutivo</t>
  </si>
  <si>
    <t xml:space="preserve"> - Operacional</t>
  </si>
  <si>
    <t>Consejo de Directores</t>
  </si>
  <si>
    <t>Direccion General</t>
  </si>
  <si>
    <t>Departamentos, Divisiones y Secciones</t>
  </si>
  <si>
    <t>En el Anexo 2 se presenta el Organigrama de la Entidad</t>
  </si>
  <si>
    <t>En el Anexo 3,  se presenta un detalle de los principales funcionarios que conforman la estructura funcional de la institución con el nombre completo, CIE, posición que desempeña, fecha de ingreso y periodo de permanencia a fecha de la auditoría</t>
  </si>
  <si>
    <t>II.  DICTAMEN DE  AUDITORIA INTERNA</t>
  </si>
  <si>
    <t>III. INFORMACION FINANCIERA DE LA ENTIDAD</t>
  </si>
  <si>
    <t>Las informaciones financieras de la entidad se presenta en los Estados de Ejecución Presupuestaria, presentado a continiación, así como las principales políticas de contabilidad y las notas explicativas.</t>
  </si>
  <si>
    <t>ESTADO DE EJECUCION PRESUPUESTARIA</t>
  </si>
  <si>
    <t>(VALORES</t>
  </si>
  <si>
    <t>Notas</t>
  </si>
  <si>
    <t>Presupuesto</t>
  </si>
  <si>
    <t>Ejecutado</t>
  </si>
  <si>
    <t>Exceso / Faltante</t>
  </si>
  <si>
    <t>Transferencias</t>
  </si>
  <si>
    <t>Transferencias Corrientes</t>
  </si>
  <si>
    <t>Transferencias de Capital</t>
  </si>
  <si>
    <t>Denominación</t>
  </si>
  <si>
    <t>Ventas de Servicios del Estado de las Empresas Públicas no Financieras</t>
  </si>
  <si>
    <t>Total Transferencias</t>
  </si>
  <si>
    <t>Total Otros Ingresos</t>
  </si>
  <si>
    <t>Activos Financieros</t>
  </si>
  <si>
    <t>Disminucion de caja y banco</t>
  </si>
  <si>
    <t>Total Activos Financieros</t>
  </si>
  <si>
    <t>Pasivos Financieros</t>
  </si>
  <si>
    <t>Incremento de ctas. Por paragar Internas de corto plazo</t>
  </si>
  <si>
    <t>Total ingresos</t>
  </si>
  <si>
    <t>Egresos</t>
  </si>
  <si>
    <t>Servisios Personales</t>
  </si>
  <si>
    <t>Servisios no Personales</t>
  </si>
  <si>
    <t>Materiales y Suministro</t>
  </si>
  <si>
    <t>Transferencias corrientes</t>
  </si>
  <si>
    <t>Activos no Financieros</t>
  </si>
  <si>
    <t>Total  Egresos</t>
  </si>
  <si>
    <t>Superavit / Dédicit</t>
  </si>
  <si>
    <t>2. NOTAS</t>
  </si>
  <si>
    <t xml:space="preserve"> Sueldos Fijo </t>
  </si>
  <si>
    <t xml:space="preserve"> Sueldo Personal Temporero </t>
  </si>
  <si>
    <t xml:space="preserve"> Regalía Pascual </t>
  </si>
  <si>
    <t xml:space="preserve"> Vacaciones</t>
  </si>
  <si>
    <t xml:space="preserve"> Compensaciones de transporte</t>
  </si>
  <si>
    <t xml:space="preserve"> Compensaciones por resultados</t>
  </si>
  <si>
    <t xml:space="preserve"> Compensaciones especiales pasantias</t>
  </si>
  <si>
    <t xml:space="preserve"> Dieta en el Pais</t>
  </si>
  <si>
    <t xml:space="preserve"> Gasto de Representacion en el Pais</t>
  </si>
  <si>
    <t xml:space="preserve"> Gasto de Representacion en el Exterior</t>
  </si>
  <si>
    <t xml:space="preserve"> Contribuciones al Seguro de Salud </t>
  </si>
  <si>
    <t xml:space="preserve"> Contribuciones al Seguro de Pensione S</t>
  </si>
  <si>
    <t xml:space="preserve"> Contribuciones al Seguro de Riesgo Laboral </t>
  </si>
  <si>
    <t xml:space="preserve"> Servicios de Comunicaciones</t>
  </si>
  <si>
    <t xml:space="preserve"> Públicidad  Impresiones y Encuadernacione </t>
  </si>
  <si>
    <t xml:space="preserve"> Viaticos Dentro y Fuera del Paí </t>
  </si>
  <si>
    <t xml:space="preserve"> Alquileres y rentas de Edificios y Locales</t>
  </si>
  <si>
    <t xml:space="preserve"> Alquileres y rentas de Equipos de oficina y Muebl</t>
  </si>
  <si>
    <t xml:space="preserve"> Alquileres y rentas de Equipos transporte traccio</t>
  </si>
  <si>
    <t xml:space="preserve"> Alquileres y rentas de Equipos construccion y mov</t>
  </si>
  <si>
    <t xml:space="preserve"> Otros Alquileres</t>
  </si>
  <si>
    <t xml:space="preserve"> Obras menores en edificaciones</t>
  </si>
  <si>
    <t xml:space="preserve"> Servicios especiales de mantenimiento y reparacio</t>
  </si>
  <si>
    <t xml:space="preserve"> Mantenimientoy reparacion de obras civiles en ins</t>
  </si>
  <si>
    <t xml:space="preserve"> Obras en bien de dominio publico</t>
  </si>
  <si>
    <t xml:space="preserve"> Mantenimiento y Reparaciones Equipos de Oficina</t>
  </si>
  <si>
    <t xml:space="preserve"> Mantenimiento y Reparaciones Equipos de Computo</t>
  </si>
  <si>
    <t xml:space="preserve"> Mantenimiento y Reparaciones Equipos Sanitarios y</t>
  </si>
  <si>
    <t xml:space="preserve"> Mantenimiento y Reparaciones Equipos de Comunicac</t>
  </si>
  <si>
    <t xml:space="preserve"> Mantenimiento y Reparaciones Equipos Traccion</t>
  </si>
  <si>
    <t xml:space="preserve"> Comisiones y Gastos Bancario</t>
  </si>
  <si>
    <t xml:space="preserve"> Fumigacion</t>
  </si>
  <si>
    <t xml:space="preserve"> Limpieza E Higiene</t>
  </si>
  <si>
    <t xml:space="preserve"> Eventos Generales</t>
  </si>
  <si>
    <t xml:space="preserve"> Festividades</t>
  </si>
  <si>
    <t xml:space="preserve"> Gastos Judiciales</t>
  </si>
  <si>
    <t xml:space="preserve"> Servicios Especiales - capacitacion</t>
  </si>
  <si>
    <t xml:space="preserve"> Servicios Técnicos Profesionales</t>
  </si>
  <si>
    <t xml:space="preserve"> Alimentos y Productos Agroforestales</t>
  </si>
  <si>
    <t xml:space="preserve"> Textiles y Vestuarios</t>
  </si>
  <si>
    <t xml:space="preserve"> Productos de Papel Carton e Impresos</t>
  </si>
  <si>
    <t xml:space="preserve"> Gasolina</t>
  </si>
  <si>
    <t xml:space="preserve"> Lubricantes</t>
  </si>
  <si>
    <t xml:space="preserve"> Productos Quimicos Y Conexos</t>
  </si>
  <si>
    <t xml:space="preserve"> Materiales para Limpieza</t>
  </si>
  <si>
    <t xml:space="preserve"> Utiles de Escritorios Oficina Inf. Otros</t>
  </si>
  <si>
    <t xml:space="preserve"> Materiales y Suministros a Regularizar </t>
  </si>
  <si>
    <t xml:space="preserve"> Productos Electricos y Afines</t>
  </si>
  <si>
    <t xml:space="preserve"> Otros Repuestos y Asesorios Menores</t>
  </si>
  <si>
    <t xml:space="preserve"> Productos y Utiles Variados N.I.P.</t>
  </si>
  <si>
    <t xml:space="preserve"> Indemnización Laboral </t>
  </si>
  <si>
    <t xml:space="preserve"> Donaciones Corrientes a Personas E Instituciones</t>
  </si>
  <si>
    <t xml:space="preserve"> Becas Nacionales</t>
  </si>
  <si>
    <t xml:space="preserve"> Equipos y Muebles para Oficina </t>
  </si>
  <si>
    <t xml:space="preserve"> Maquinarias y Equipos de Producción </t>
  </si>
  <si>
    <t xml:space="preserve"> Equipos de Comunicación y Señalamiento </t>
  </si>
  <si>
    <t xml:space="preserve"> Intereses de Instituciones Financieras</t>
  </si>
  <si>
    <t>2.3 Materiales y Sumisnistros</t>
  </si>
  <si>
    <t>Materiales y Sumisnistros</t>
  </si>
  <si>
    <t>Total Materiales y Sumisnistros</t>
  </si>
  <si>
    <t>2.4 Transferencias corrientas</t>
  </si>
  <si>
    <t>Transferencias corrientas</t>
  </si>
  <si>
    <t>2.5 Activos No Financieros</t>
  </si>
  <si>
    <t>Activos No Financieros</t>
  </si>
  <si>
    <t>Total Activos No Financieros</t>
  </si>
  <si>
    <t>OTRAS DISPOSICIONES LEGALES APLICABLES A LA ENTIDAD</t>
  </si>
  <si>
    <t>ANEXO 1</t>
  </si>
  <si>
    <t>LEY</t>
  </si>
  <si>
    <t>DECRETO /      RESOLICION</t>
  </si>
  <si>
    <t>Compras y Contrataciones de bienes, Servicios, Obras y Concesiones</t>
  </si>
  <si>
    <t>340-06</t>
  </si>
  <si>
    <t>490-07</t>
  </si>
  <si>
    <t>543-12</t>
  </si>
  <si>
    <t>492-07</t>
  </si>
  <si>
    <t>605-06</t>
  </si>
  <si>
    <t>526-09</t>
  </si>
  <si>
    <t>188-07</t>
  </si>
  <si>
    <t>189-07</t>
  </si>
  <si>
    <t>379-81</t>
  </si>
  <si>
    <t>498-06</t>
  </si>
  <si>
    <t>200-04</t>
  </si>
  <si>
    <t>1832-48</t>
  </si>
  <si>
    <t>11-92</t>
  </si>
  <si>
    <t>10-04</t>
  </si>
  <si>
    <t>6-06</t>
  </si>
  <si>
    <t>05-07</t>
  </si>
  <si>
    <t>41-08</t>
  </si>
  <si>
    <t>NICSP-27</t>
  </si>
  <si>
    <t>130-05</t>
  </si>
  <si>
    <t>630-06</t>
  </si>
  <si>
    <t>(*)</t>
  </si>
  <si>
    <t>06-06</t>
  </si>
  <si>
    <t>523-09</t>
  </si>
  <si>
    <t>524-09</t>
  </si>
  <si>
    <t>525-09</t>
  </si>
  <si>
    <t>527-09</t>
  </si>
  <si>
    <t>528-09</t>
  </si>
  <si>
    <t>Funcion Publica y Crea la Secretaría de Estado de Administración Pública</t>
  </si>
  <si>
    <t>Ley Organica de Presupuesto para el Sector Público</t>
  </si>
  <si>
    <t>449-06</t>
  </si>
  <si>
    <t>423-06</t>
  </si>
  <si>
    <t>126-01</t>
  </si>
  <si>
    <t>87-01</t>
  </si>
  <si>
    <t>El sistema Dominicana de Seguridad Social</t>
  </si>
  <si>
    <t>Nuevo Regimen de Jubilaciones y pensiones del Estado Dominicano para Funcionarios y Empleados Publicos</t>
  </si>
  <si>
    <t>Planificacion e Inversion Publica</t>
  </si>
  <si>
    <t>Ley General de Libre Acceso a la informacion Publica</t>
  </si>
  <si>
    <t>Direccion General de Bienes Nacionales</t>
  </si>
  <si>
    <t>De Credito Publico</t>
  </si>
  <si>
    <t>Sistema de Administracion Financiera del Estado (SIAFE)</t>
  </si>
  <si>
    <t>Codigo Tributario de la Republica Dominicana</t>
  </si>
  <si>
    <t>Camara de Cuentas de la Republica Dominicana</t>
  </si>
  <si>
    <t>Normas Internacionales de Contabilidad para el Sector Publico</t>
  </si>
  <si>
    <t>NOMBRE DE LA DISPOSICION LEGAL Y SU REGRAMENTOS</t>
  </si>
  <si>
    <t>Nota: Tambien forman parte de las disposiciones legales aplicables, todas las normativas, reglamentaciones y recomendaciones emitidas por las diversas entidades ejecutoras, rectoras y de control</t>
  </si>
  <si>
    <t>(*) Leyes que lo modifican, Reglamentos y normas emitidas por la DGII.</t>
  </si>
  <si>
    <t>ORGANIGRAMA DE LA INSTITUCION</t>
  </si>
  <si>
    <t>ANEXO 2</t>
  </si>
  <si>
    <t>ANEXO 3</t>
  </si>
  <si>
    <t>PRINCIPALES FUNCIONARIOS</t>
  </si>
  <si>
    <t>NOMBRE</t>
  </si>
  <si>
    <t>CIE No.</t>
  </si>
  <si>
    <t>CARGOS</t>
  </si>
  <si>
    <t>FECHA INGRESO</t>
  </si>
  <si>
    <t>054-0018644-0</t>
  </si>
  <si>
    <t>Juan José Sánchez</t>
  </si>
  <si>
    <t>054-0061564-6</t>
  </si>
  <si>
    <t>Enc. Auditoría</t>
  </si>
  <si>
    <t>Janler Pérez</t>
  </si>
  <si>
    <t>054-0108116-0</t>
  </si>
  <si>
    <t>Alejandro Pérez</t>
  </si>
  <si>
    <t>054-0039067-9</t>
  </si>
  <si>
    <t>Enc. Adm. Y Finanza</t>
  </si>
  <si>
    <t>054-0062302-0</t>
  </si>
  <si>
    <t>Enc. Administrativa</t>
  </si>
  <si>
    <t>Altagracia Romano</t>
  </si>
  <si>
    <t>047-0028396-5</t>
  </si>
  <si>
    <t>Enc. RR HH</t>
  </si>
  <si>
    <t>054-0060295-8</t>
  </si>
  <si>
    <t>054-0039002-6</t>
  </si>
  <si>
    <t>Zoraima Lantigua</t>
  </si>
  <si>
    <t>Enc. Div.  Finanza</t>
  </si>
  <si>
    <t>Stephany Almonte</t>
  </si>
  <si>
    <t>054-0124056-8</t>
  </si>
  <si>
    <t>Enc. RR PP</t>
  </si>
  <si>
    <t>054-0022201-3</t>
  </si>
  <si>
    <t>054-0067618-4</t>
  </si>
  <si>
    <t>Enc. Comercial</t>
  </si>
  <si>
    <t>Luis Manuel Paulino</t>
  </si>
  <si>
    <t>001-0395328-7</t>
  </si>
  <si>
    <t>Enc. Compras</t>
  </si>
  <si>
    <r>
      <t>Las transacciones que afectan a las entidades económicas determinan modificaciones en el patrimonio, así como en los resultados de las operaciones. El momento en el  cual  se considera   modificado   el   patrimonio   y   los   resultados   de  la  entidad, es  con  el devengamiento,   además   se   considera   consumida   la   apropiación  y  ejecutado  el presupuesto</t>
    </r>
    <r>
      <rPr>
        <sz val="11"/>
        <color indexed="14"/>
        <rFont val="Times New Roman"/>
        <family val="1"/>
      </rPr>
      <t xml:space="preserve">.   </t>
    </r>
  </si>
  <si>
    <r>
      <t>Cuando existen alternativas de procedimiento contable idóneo, igualmente válidas para tratar la medición de un mismo hecho económico-financiero, se adopta el que muestre un resultado y la posición financiera más cercana a la realidad</t>
    </r>
    <r>
      <rPr>
        <sz val="11"/>
        <color indexed="14"/>
        <rFont val="Times New Roman"/>
        <family val="1"/>
      </rPr>
      <t>.</t>
    </r>
  </si>
  <si>
    <r>
      <t>Cuando producto de la aplicación y/o interpretación de un principio de contabilidad, se produzcan situaciones que contravengan disposiciones legales vigentes, se considerar</t>
    </r>
    <r>
      <rPr>
        <sz val="11"/>
        <color indexed="8"/>
        <rFont val="Times New Roman"/>
        <family val="1"/>
      </rPr>
      <t>á la primacía de la legislación respecto a las normas contables. La primacía de registrar y exponer el hecho económico de acuerdo a las disposiciones legales, si se produjere, se consignará en Nota a los Estados Financieros.</t>
    </r>
  </si>
  <si>
    <r>
      <t xml:space="preserve">El método de cálculo para el registro  de  la  </t>
    </r>
    <r>
      <rPr>
        <b/>
        <sz val="11"/>
        <color indexed="8"/>
        <rFont val="Times New Roman"/>
        <family val="1"/>
      </rPr>
      <t>Depreciación</t>
    </r>
    <r>
      <rPr>
        <sz val="11"/>
        <color indexed="8"/>
        <rFont val="Times New Roman"/>
        <family val="1"/>
      </rPr>
      <t xml:space="preserve">  es  el  de  </t>
    </r>
    <r>
      <rPr>
        <b/>
        <sz val="11"/>
        <color indexed="8"/>
        <rFont val="Times New Roman"/>
        <family val="1"/>
      </rPr>
      <t>Línea  Recta</t>
    </r>
    <r>
      <rPr>
        <sz val="11"/>
        <color indexed="8"/>
        <rFont val="Times New Roman"/>
        <family val="1"/>
      </rPr>
      <t>,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r>
  </si>
  <si>
    <r>
      <t xml:space="preserve">Para la </t>
    </r>
    <r>
      <rPr>
        <b/>
        <sz val="11"/>
        <color indexed="8"/>
        <rFont val="Times New Roman"/>
        <family val="1"/>
      </rPr>
      <t>Depreciación</t>
    </r>
    <r>
      <rPr>
        <sz val="11"/>
        <color indexed="8"/>
        <rFont val="Times New Roman"/>
        <family val="1"/>
      </rPr>
      <t xml:space="preserve"> de esta categoría de bienes se aplica el mismo método de línea recta.</t>
    </r>
  </si>
  <si>
    <r>
      <t xml:space="preserve">La partida de Patrimonio institucional está conformada  por  el  rubro  de  </t>
    </r>
    <r>
      <rPr>
        <b/>
        <sz val="11"/>
        <color indexed="8"/>
        <rFont val="Times New Roman"/>
        <family val="1"/>
      </rPr>
      <t>Patrimonio Público Dominicano</t>
    </r>
    <r>
      <rPr>
        <sz val="11"/>
        <color indexed="8"/>
        <rFont val="Times New Roman"/>
        <family val="1"/>
      </rPr>
      <t>, derivada de la diferencia entre el total del activo y del pasivo de la entidad  económica  denominada  “CORAAMOCA”,  más  el  ahorro  o  desahorro acumulado proveniente de los sucesivos ejercicios fiscales, así como las donaciones y contribuciones de capital interna y externas recibidas</t>
    </r>
  </si>
  <si>
    <r>
      <t>Las transferencias de capital recibidas en efectivo, procedentes del Sector Privado y del Sector  Público,  se  registran  y  exponen  a  su  valor  nominal,  y   en   los   casos   de transferencias de bienes,</t>
    </r>
    <r>
      <rPr>
        <sz val="11"/>
        <color indexed="8"/>
        <rFont val="Times New Roman"/>
        <family val="1"/>
      </rPr>
      <t xml:space="preserve"> por su valor de mercado.</t>
    </r>
    <r>
      <rPr>
        <sz val="11"/>
        <color indexed="10"/>
        <rFont val="Times New Roman"/>
        <family val="1"/>
      </rPr>
      <t xml:space="preserve"> </t>
    </r>
  </si>
  <si>
    <r>
      <t xml:space="preserve">Para la elaboración de los Estados Financieros de </t>
    </r>
    <r>
      <rPr>
        <b/>
        <sz val="11"/>
        <color indexed="8"/>
        <rFont val="Times New Roman"/>
        <family val="1"/>
      </rPr>
      <t xml:space="preserve">CORAAMOCA, </t>
    </r>
    <r>
      <rPr>
        <sz val="11"/>
        <color indexed="8"/>
        <rFont val="Times New Roman"/>
        <family val="1"/>
      </rPr>
      <t>se estableció  el Método del percibido para los ingresos y los gastos al momento que ocurrieron, con independencias de sus fechas de sus pagos según el Decreto No. 526-09 Reglamento Aplicación de la Ley No. 126-0, artículos 38 y 39.</t>
    </r>
  </si>
  <si>
    <t>1-</t>
  </si>
  <si>
    <t>1.1 Base de Presentación</t>
  </si>
  <si>
    <t>C O R A A M O C A</t>
  </si>
  <si>
    <t>CODIGO</t>
  </si>
  <si>
    <t>6 1 0 7</t>
  </si>
  <si>
    <t>MES DE EJECUCION</t>
  </si>
  <si>
    <t>EFECTIVOS</t>
  </si>
  <si>
    <t>FONDO DE CAJAS</t>
  </si>
  <si>
    <t>CTA. 170-102546-6</t>
  </si>
  <si>
    <t>CTA. 170-102430-3</t>
  </si>
  <si>
    <t>TOTAL EFECTIVOS</t>
  </si>
  <si>
    <t>TOTAL EFECTIVOS ANTERIOR</t>
  </si>
  <si>
    <t>AUMENTO O DISMINUCION</t>
  </si>
  <si>
    <t>BALANCE ANTERIOR DE CUENSTAS POR PAGAR</t>
  </si>
  <si>
    <t>APORTES DEL GOBIERNO PARA GASTOS CORRIENTES</t>
  </si>
  <si>
    <t>APORTES DEL GOBIERNO PARA GASTOS DE CAPITAL</t>
  </si>
  <si>
    <t>INGRESOS POR SERVISIOS</t>
  </si>
  <si>
    <t>TOTAL INGRESOS</t>
  </si>
  <si>
    <t>INGRESOS</t>
  </si>
  <si>
    <t>EGRESOS</t>
  </si>
  <si>
    <t>CAJA</t>
  </si>
  <si>
    <t xml:space="preserve"> Diferencia de inventario</t>
  </si>
  <si>
    <t>054-0062881-3</t>
  </si>
  <si>
    <t>054-0074909-8</t>
  </si>
  <si>
    <t>Leonarda María de la Cruz</t>
  </si>
  <si>
    <t>054-0067789-3</t>
  </si>
  <si>
    <t>047-0056555-1</t>
  </si>
  <si>
    <t>Enc. Form. Y Monitoreo</t>
  </si>
  <si>
    <t>Jurídico</t>
  </si>
  <si>
    <t>Rafael Martínez</t>
  </si>
  <si>
    <t>Ana Daisy García</t>
  </si>
  <si>
    <t>Julio Ramírez Cuevas</t>
  </si>
  <si>
    <t>Porfirio Anderson Mejía</t>
  </si>
  <si>
    <t>Enc. De Tecnología</t>
  </si>
  <si>
    <t>Diógenes Vásquez</t>
  </si>
  <si>
    <t>Gerencia Técnica</t>
  </si>
  <si>
    <t>Rafael Maldonado</t>
  </si>
  <si>
    <t>Enc. Planificación y D.</t>
  </si>
  <si>
    <t>Fredy Rodríguez</t>
  </si>
  <si>
    <t>Carlos Jose Ramírez</t>
  </si>
  <si>
    <t>Enc. Planta la Dura</t>
  </si>
  <si>
    <t>Analista de Proyecto</t>
  </si>
  <si>
    <t>INDICE DE CONTENIDO</t>
  </si>
  <si>
    <t>Página</t>
  </si>
  <si>
    <t>Capítulo, Descripción del Contenido</t>
  </si>
  <si>
    <t>I.</t>
  </si>
  <si>
    <t>INFORMACION INTRODUCTORIA</t>
  </si>
  <si>
    <t>1. Antecedentes</t>
  </si>
  <si>
    <t>2. Objetivo de la Auditoría</t>
  </si>
  <si>
    <t>3. Alcance de la Auditoría</t>
  </si>
  <si>
    <t>4. Base legal y Disposiciones legales aplicable a la entidad</t>
  </si>
  <si>
    <t>5. Objetivo de la Entidad</t>
  </si>
  <si>
    <t>6. Estructura organizativa de la Entidad</t>
  </si>
  <si>
    <t>7. Principales funcionarios de la Entidad</t>
  </si>
  <si>
    <t>II.</t>
  </si>
  <si>
    <t>DICTAMEN DEL AUDITOR INTERNO</t>
  </si>
  <si>
    <t>III.</t>
  </si>
  <si>
    <t>INFORMACION FINANCIERA DE LA ENTIDAD</t>
  </si>
  <si>
    <t>IV.</t>
  </si>
  <si>
    <t>OBSERVACIONES DE LA AUDITORIA</t>
  </si>
  <si>
    <t xml:space="preserve">V. </t>
  </si>
  <si>
    <t>CONCLUSION</t>
  </si>
  <si>
    <t>VI.</t>
  </si>
  <si>
    <t>RECOMENDACIÓN GENERAL</t>
  </si>
  <si>
    <t>ANEXOS</t>
  </si>
  <si>
    <t>IV. OBSERVACIONES DE AUDITORIA</t>
  </si>
  <si>
    <t>V. CONCLUSIONES</t>
  </si>
  <si>
    <t>VI. RECOMENDACIÓN GENERAL</t>
  </si>
  <si>
    <t>Con el objetivo de contribuir al mejoramiento de la gestión financiera y administrativa de CORAAMOCA, el departamento de Auditoria Interna de la institución, emite este informe de Auditoria, que incluyen las recomendaciones que son de cumplimiento obligatorio.</t>
  </si>
  <si>
    <t>JUAN JOSE SANCHEZ MARTINEZ</t>
  </si>
  <si>
    <t>Auditor Interno</t>
  </si>
  <si>
    <t>Moca. República Dominicana</t>
  </si>
  <si>
    <t>En el  Dictamen, se describen las situaciones que sirvieron de base a la mencionada Opinión.</t>
  </si>
  <si>
    <t>En el  capítulo IV, se presenta una descripción de las diversas Observaciones de Auditoría.</t>
  </si>
  <si>
    <t>Dictamen sobre el Estado de Ejecución Presupuestaria</t>
  </si>
  <si>
    <t>Moca, Provincia Espaillat,</t>
  </si>
  <si>
    <t>Lic. Juan José Sánchez Martínez</t>
  </si>
  <si>
    <t>Nuestra responsabilidad consiste en expresar  una opinión sobre los Estado de Ejecución Presupuestaria con base en nuestra auditoría. Efectuamos nuestra auditoria de conformidad con las Normas de Auditoría Gubernamental y las Guías de Auditoría Gubernamental de la CCRD. Esas Normas y Guías requieren que cumplamos con requisitos éticos y que planifiquemos y realicemos la auditoria para obtener seguridad razonable acerca de si los Estado de Ejecución Presupuestaria están libres de representaciones erróneas de importancia relativa.</t>
  </si>
  <si>
    <t>Una auditoria incluye la Ejecución de procedimientos para obtener evidencia de auditoria acerca de los montos y revelaciones en los Estado de Ejecución Presupuestaria. Los procedimientos seleccionados dependen del juicio de los auditores participantes, con la supervisión y aprobación del Auditor Interno, incluyendo la evaluación de los riesgos de representación errónea de importancia relativa en el Estado de Ejecución Presupuestaria, debido ya sea a fraude o error. Al efectuar esas evaluaciones de riesgos, los auditores consideran el control interno relevante para la preparación y presentación razonable del Estado de Ejecución Presupuestaria  de la Entidad, a fin de diseñar procedimientos de auditoria que sean apropiados en las circunstancias, pero no con el propósito de expresar una opinión sobre la efectividad del control interno de la institución. Una auditoria también incluye evaluar lo apropiado de las políticas contables utilizadas y la razonabilidad de las estimaciones contables hechas por los funcionarios responsables, así como evaluar la presentación en conjunto del Estado de Ejecución Presupuestaria.</t>
  </si>
  <si>
    <t>Responsabilidad del Departamento de Auditoría Interna</t>
  </si>
  <si>
    <t>República Dominicana</t>
  </si>
  <si>
    <t>Total Servicioas Personales</t>
  </si>
  <si>
    <t>2.1 Servicios Personales</t>
  </si>
  <si>
    <t>2.1 Servicios no Personales</t>
  </si>
  <si>
    <t>Recomendación:</t>
  </si>
  <si>
    <t>Los montos representados en el Estado de Ejecución Presupuestaria representa razonablemente, en todos sus aspectos importantes, la situación financiera de CORAAMOCA, por el año terminado el 31 de diciembre del 2017, de conformidad con las Normas de Contabilidad Aplicables al Sector Público emitidas por la Dirección General de Contabilidad Gubernamental (DIGECOG).</t>
  </si>
  <si>
    <t>4.2 Doctación de manuales, políticas y procedimientos</t>
  </si>
  <si>
    <t>La institución debe proveer los manuales, políticas y procedimientos a cada departamento, divisiones y secciones, con la finalidad de que estos puedan realizar una correcta supervisión en las actividades que realizan en las diferentes áreas.</t>
  </si>
  <si>
    <t>Planificación Preliminar</t>
  </si>
  <si>
    <t>Periodo:</t>
  </si>
  <si>
    <t>Preparado por:</t>
  </si>
  <si>
    <t>Fecha:</t>
  </si>
  <si>
    <t>FORMULARIO PARA CALCULAR LA MATERIALIDAD</t>
  </si>
  <si>
    <t>La materialidad en la auditoría financiera es un instrumento de planificación que facilita al auditor la selección de procedimientos eficientes de auditoría para detectar las omisiones, los errores o irregularidades significativas en las afirmaciones de la administración, que pudieran de alguna forma hacer que el juicio de una persona razonable, que confía en los estados e informes financieros auditados, se modifique o se influencie a causa de tales omisiones, errores e irregularidades.</t>
  </si>
  <si>
    <t xml:space="preserve">La Materialidad  de Planeación se define como la cantidad de errores máxima que el auditor está dispuesto a aceptar en los Informes Financieros sin que estos permita conducir a dichos usuarios a tomar decisiones erróneas importantes, independientemente de su naturaleza o causa. Para determinar la materialidad considere factores tales como: </t>
  </si>
  <si>
    <t>−  El tamaño de la entidad.</t>
  </si>
  <si>
    <t>− Consideraciones de costo beneficio de la auditoria.</t>
  </si>
  <si>
    <t>−  Factores relacionados con el medio en que opera la entidad.</t>
  </si>
  <si>
    <t>− La naturaleza del error.</t>
  </si>
  <si>
    <t>La determinación de la materialidad no es un cálculo plenamente matemático, el juicio del auditor juega un papel fundamental.</t>
  </si>
  <si>
    <t xml:space="preserve">I. CÁLCULO DE LA MATERIALIDAD PLANEADA </t>
  </si>
  <si>
    <r>
      <t xml:space="preserve">Método 1.    </t>
    </r>
    <r>
      <rPr>
        <sz val="11"/>
        <rFont val="Times New Roman"/>
        <family val="1"/>
      </rPr>
      <t>Materialidad basada en un Porcentaje de los Gastos Totales.  Se recomienda a entidades sin fines de lucro.</t>
    </r>
  </si>
  <si>
    <t>Base</t>
  </si>
  <si>
    <t>Monto RD $</t>
  </si>
  <si>
    <t>Aplique el Porcentaje</t>
  </si>
  <si>
    <t>Estimación de Materialidad de Planeación en RD $</t>
  </si>
  <si>
    <t>Observaciones</t>
  </si>
  <si>
    <t>Gastos Totales</t>
  </si>
  <si>
    <t xml:space="preserve">Menos de  RD $ 1.0 Millones </t>
  </si>
  <si>
    <t>De  RD $ 2.0 a 20 Millones</t>
  </si>
  <si>
    <t>Mas de  RD $ 20 Millones</t>
  </si>
  <si>
    <r>
      <t xml:space="preserve">Método 2.    </t>
    </r>
    <r>
      <rPr>
        <sz val="11"/>
        <rFont val="Times New Roman"/>
        <family val="1"/>
      </rPr>
      <t>Materialidad basada en el Ingreso Neto Normalizado antes de Impuesto.  Se recomienda a entidades lucrativas.</t>
    </r>
  </si>
  <si>
    <t>Ingresos Netos Normalizados antes de Impuesto</t>
  </si>
  <si>
    <t>Mas de RD $ 40 Millones</t>
  </si>
  <si>
    <t>Menos de RD $ 40 Millones</t>
  </si>
  <si>
    <t>de 5% a 10%</t>
  </si>
  <si>
    <r>
      <t xml:space="preserve">Método 3.    </t>
    </r>
    <r>
      <rPr>
        <sz val="11"/>
        <rFont val="Times New Roman"/>
        <family val="1"/>
      </rPr>
      <t>Materialidad basada en un Porcentaje de Ingreso Bruto Normalizado.</t>
    </r>
  </si>
  <si>
    <t xml:space="preserve">Ingresos Brutos Normalizados </t>
  </si>
  <si>
    <r>
      <rPr>
        <b/>
        <sz val="11"/>
        <rFont val="Times New Roman"/>
        <family val="1"/>
      </rPr>
      <t xml:space="preserve">Método 4ⁱ. </t>
    </r>
    <r>
      <rPr>
        <sz val="11"/>
        <rFont val="Times New Roman"/>
        <family val="1"/>
      </rPr>
      <t xml:space="preserve">   Método Mixto basado en una combinación y promedio de los métodos anteriores.  Promedia un resultado de los métodos anteriores.</t>
    </r>
  </si>
  <si>
    <t>Método  1</t>
  </si>
  <si>
    <t xml:space="preserve"> Método  2</t>
  </si>
  <si>
    <t>Método  3</t>
  </si>
  <si>
    <t xml:space="preserve"> PROMEDIO</t>
  </si>
  <si>
    <t>II. CÁLCULO DE LA MATERIALIDAD DE EJECUCIÓN</t>
  </si>
  <si>
    <t>Estimación de Materialidad de Ejecución en RD$</t>
  </si>
  <si>
    <t>Materialidad de Planeación</t>
  </si>
  <si>
    <t>75% del total planeación</t>
  </si>
  <si>
    <t>50% del total planeación</t>
  </si>
  <si>
    <t>IV. CONCLUSIÓN RESPECTO A LA MATERIALIDAD</t>
  </si>
  <si>
    <r>
      <t xml:space="preserve">Preparado por:  </t>
    </r>
    <r>
      <rPr>
        <u/>
        <sz val="11"/>
        <rFont val="Times New Roman"/>
        <family val="1"/>
      </rPr>
      <t xml:space="preserve">  </t>
    </r>
  </si>
  <si>
    <t>___________________</t>
  </si>
  <si>
    <t>ⁱ Método No.5, según la Guía para la Planificación de Auditorías Financieras Gubernamentales, emitida por la Cámara de Cuentas de la República Dominicana.</t>
  </si>
  <si>
    <t>JUAN JOSE SANCHEZ</t>
  </si>
  <si>
    <t>10 DE ENERO 2018</t>
  </si>
  <si>
    <t>Estimación del SDA en RD$</t>
  </si>
  <si>
    <t>El Sumario de Diferencia de Auditoría (SDA), son todas las discrepancias de auditoría encontradas durante nuestros procedimientos las cuales no son corregidas por la Entidad. Se designará por lo general un Sumario de Diferencia de Auditoría (SDA) estableciendo los niveles más bajos de errores que son considerados como insignificantes, y como tal los errores por debajo de estos no necesitan ser acumulados y publicados en SDA. Aplicaremos el juicio profesional para determinar mínimo de SDA.
Generalmente se espera que el SDA será de un 5% a un 10% de la Materialidad de Planeación. Esto quiere decir que no debe exceder el 10% de la Materialidad de Planeación. Cuando el SDA excede el 5% de la Materialidad de Planeación o es menos del 5% de laMaterialidad de Planeación requiere documentación revelada y aprobada por el Encargado de Departamento de Auditoría.</t>
  </si>
  <si>
    <t>b) Señalara al poder Ejecutivo los casos en los cuales debera proceder a expropiaciones por causa de utilidad pública, necesarias para la ejecución de sus programas, en conformidad con las leyes de expropiación; y</t>
  </si>
  <si>
    <t>Consideramos que la evidencia de auditoria que hemos obtenido es suficiente y apropiada para ofrecer una base para nuestra opinión de auditoría</t>
  </si>
  <si>
    <t>Base para la Opinión Calificada</t>
  </si>
  <si>
    <t>Opiníon Calificada</t>
  </si>
  <si>
    <t xml:space="preserve">1. CORAAMOCA utiliza el método de lo percibido para reconocer sus ingresos, es decir que los ingresos se registran cuando se reciben los pagos y no cuando se devengan, lo cual difiere de lo establecido en las Normas de Contabilidad Aplicables al Sector Público emitidas por la Dirección General de Contabilidad Gubernamental (DIGECOG), que requieren el uso del método de lo devengado. </t>
  </si>
  <si>
    <t>Los  Estados  Financieros  de  las  instituciones  descentralizadas, están  elaborados  de conformidad con la Ley 126-01, su Reglamento de Aplicación y las Normas  de  Cierre, emitidas por la Dirección General de Contabilidad Gubernamental (DIGECOG) para los años 2017.</t>
  </si>
  <si>
    <t xml:space="preserve">Los  Estados de Ejecución Presupuestaria y Estados Financieros, deben contener o exponer toda la información necesaria para expresar adecuadamente la situación económica-financiera, los recursos y gastos de  la entidad económica de manera que  los  usuarios  de  la  información  puedan  tomar las decisiones pertinentes.  </t>
  </si>
  <si>
    <t>La interpretación  y  análisis  de  los  Estados  Financieros,  requieren  la  posibilidad  de comparar la situación financiera de la entidad económica y los resultados de operaciones en distintas épocas de actividad, en consecuencia, es necesario que la aplicación  de  las prácticas y procedimientos contables se haga de manera  uniforme  y  consistente,  tanto para el período a que se refieren los Estados de Ejecución Presupuestaria y Estados Financieros así como para los anteriores.</t>
  </si>
  <si>
    <t>Los  Estados de Ejecución Presupuestaria y Estados Financieros de  CORAAMOCA,  constituyen  la  expresión  final  de  los registros sistemáticos, correspondientes  a  la  totalidad  de  los  hechos  financieros  y económicos.</t>
  </si>
  <si>
    <t>De acuerdo a la Ley 126-01 del 27 de julio del 2001 estable como  periodo  fiscal  desde  el 1ero de enero al 31 de diciembre. Para este cierre anual desde el 01 de enero  al 31  de diciembre del 2017 .</t>
  </si>
  <si>
    <r>
      <t xml:space="preserve">Los Estados de Ejecución Presupuestaria y  Estados Financieros así como las Notas que  son  parte  integral  de  los  mismos, presentan  información  </t>
    </r>
    <r>
      <rPr>
        <sz val="11"/>
        <color indexed="8"/>
        <rFont val="Times New Roman"/>
        <family val="1"/>
      </rPr>
      <t>comparativa,  respecto  al  período  anterior.  La  información comparativa se presenta en la parte narrativa y descriptiva.</t>
    </r>
  </si>
  <si>
    <t>En el Capitulo II, se expresa el Dictamen de Auditoria Interna, en donde se Expresa una Opinión Calificada sobre los Estados de Ejecucion Presupuestaria para el año terminado el 31 de diciembre del 2017, presentado por la entidad.</t>
  </si>
  <si>
    <t>COOP. SERUNI</t>
  </si>
  <si>
    <t xml:space="preserve"> Compensaciones Horas Extras</t>
  </si>
  <si>
    <t xml:space="preserve"> Seguro</t>
  </si>
  <si>
    <t>CTA. 170-102726-4</t>
  </si>
  <si>
    <t>Responsabilidad de la Administración por el Estado de Ejecución Presupuestaria</t>
  </si>
  <si>
    <t>Retencion isr</t>
  </si>
  <si>
    <t>CK0069795</t>
  </si>
  <si>
    <t>CK0069773</t>
  </si>
  <si>
    <r>
      <t>L</t>
    </r>
    <r>
      <rPr>
        <sz val="12"/>
        <color indexed="8"/>
        <rFont val="Times New Roman"/>
        <family val="1"/>
      </rPr>
      <t>os gastos por concepto de materiales y suministros  en el presente periodo proporcionalmente sigue la trayectoria del pasado periodo, se refleja como Variación de  inventario, el  monto  correspondiente  al Inventario de Materiales en existencia a la fecha de corte y está integrada por los las siguientes partidas</t>
    </r>
    <r>
      <rPr>
        <sz val="10"/>
        <color indexed="8"/>
        <rFont val="Times New Roman"/>
        <family val="1"/>
      </rPr>
      <t xml:space="preserve">. </t>
    </r>
  </si>
  <si>
    <t xml:space="preserve"> Instalaciones electricas</t>
  </si>
  <si>
    <r>
      <t>GASTOS</t>
    </r>
    <r>
      <rPr>
        <b/>
        <sz val="14"/>
        <color indexed="8"/>
        <rFont val="Times New Roman"/>
        <family val="1"/>
      </rPr>
      <t xml:space="preserve"> </t>
    </r>
  </si>
  <si>
    <t>5- Objetivos de la  Entidad</t>
  </si>
  <si>
    <t>6- Estructura organizativa de la  Entidad</t>
  </si>
  <si>
    <t>7- Principales funcionarios de la Entidad</t>
  </si>
  <si>
    <t>Revaluacion actualizada de los Activos Fijos</t>
  </si>
  <si>
    <t>No Hay un Sistema Integrado de Activos Fijos</t>
  </si>
  <si>
    <t>La prsentacion de los Activos no muestra la realidad de la Institucion</t>
  </si>
  <si>
    <t>Concluir con la depuracion de los activos fijos</t>
  </si>
  <si>
    <t>Año 2018</t>
  </si>
  <si>
    <t>Mantener un control efectivo de los activos fijos</t>
  </si>
  <si>
    <t xml:space="preserve"> PRÉSTAMOS INTERNOS - NEGOCIADO SIGLO XXII</t>
  </si>
  <si>
    <t>Publicidad y promociones</t>
  </si>
  <si>
    <t xml:space="preserve"> Compensaciones por distancias</t>
  </si>
  <si>
    <t xml:space="preserve"> Impuestos Derechos y Tasa</t>
  </si>
  <si>
    <t xml:space="preserve"> Terreno </t>
  </si>
  <si>
    <t xml:space="preserve"> Edificaciones  </t>
  </si>
  <si>
    <t>CKC0070977</t>
  </si>
  <si>
    <t>CKC0071686</t>
  </si>
  <si>
    <t>HINCHA</t>
  </si>
  <si>
    <t>HIGUERITO (Se cargará a gasto con la entrega)</t>
  </si>
  <si>
    <t>Cambio porcentual con relación al 2017</t>
  </si>
  <si>
    <r>
      <t xml:space="preserve">Nota: </t>
    </r>
    <r>
      <rPr>
        <sz val="11"/>
        <color indexed="8"/>
        <rFont val="Times New Roman"/>
        <family val="1"/>
      </rPr>
      <t>CORAAMOCA tiene un presupuesto aprobado para el 2018 por un valor de RD$280,377,401.00  el cual  recibirá mediante asignación de fondos del Gobierno Central RD$106,377,401.00 y por ventas de servicios  un monto de RD$174,000,000.00.</t>
    </r>
  </si>
  <si>
    <t xml:space="preserve"> Servicios de pinturas y derivados con fines de hi</t>
  </si>
  <si>
    <t xml:space="preserve"> Diesel</t>
  </si>
  <si>
    <t>La depreciación de los activos que ha establecido la DIGECOG es  el  método lineal, la  institución  no  ha aplicado depreciación en estos periodos, en la actualidad estamos realizando  una  revaluación  y  teniamos previsto incorporar en el corte de junio 2018 los valores razonables  y  a  partir  de  ellos empezar  a depreciar en libro los activos, pero en la actualidad estamos trabajando y en el proximo corte actualizaremos los activos.</t>
  </si>
  <si>
    <t>4.1 Representación de los montos que integra el Estado de Ejecucion Presupuestaria</t>
  </si>
  <si>
    <t>Al Director General le corresponde aprobar los manuales de políticas y procedimientos que deben regir el orden de las operaciones que realiza la institución, asi como instruir para la difucion y aplicación,  asignando responsabilidad para su cumplimiento.</t>
  </si>
  <si>
    <t>Balance al 01 de diciembre del 2016</t>
  </si>
  <si>
    <t>Balance al 31 de diciembre del 2017</t>
  </si>
  <si>
    <t>Balance al 31 de diciembre del 2018</t>
  </si>
  <si>
    <t>*</t>
  </si>
  <si>
    <t>De acuerdo a la Ley 126-01 del 27 de julio del 2001 estable como  periodo  fiscal  desde  el 1ero de enero al 31 de diciembre. Para este cierre anual desde el 01 de enero  al 31  de diciembre del 2018 .</t>
  </si>
  <si>
    <t>IV. OBSERVACIONES</t>
  </si>
  <si>
    <t>Los montos representados en el Estado de Ejecución Presupuestaria representa razonablemente, en todos sus aspectos importantes, la situación financiera de CORAAMOCA, por el semestre terminado el 30 de junio del 2018, de conformidad con las Normas de Contabilidad Aplicables al Sector Público emitidas por la Dirección General de Contabilidad Gubernamental (DIGECOG).</t>
  </si>
  <si>
    <t>Al Director General le corresponde aprobar los manuales de políticas y procedimientos que deben regir el orden de las operaciones que realiza la institución, asi como instruir para la difución y aplicación,  asignando responsabilidad para su cumplimiento.</t>
  </si>
  <si>
    <t>En el Capitulo II, se expresa el Dictamen , en donde se Expresa una Opinión Calificada sobre los Estados de Ejecucion Presupuestaria para el semestre terminado el 30 de junio del 2018, presentado por la entidad.</t>
  </si>
  <si>
    <t>En el  capítulo IV, se presenta una descripción de las diversas Observaciones.</t>
  </si>
  <si>
    <t>Con el objetivo de contribuir al mejoramiento de la gestión financiera y administrativa de CORAAMOCA, la seccion de presupuesto de la institución, emite este informe, que incluyen las recomendaciones que son de cumplimiento obligatorio.</t>
  </si>
  <si>
    <t>5 de Agosto de 2018</t>
  </si>
  <si>
    <t>Licda. Glorioa Figueroa</t>
  </si>
  <si>
    <t>III. CÁLCULO DE LA MATERIALIDAD PARA EL SUMARIO DE DIFERENCIAS DE AUDITORIA</t>
  </si>
  <si>
    <t>Material</t>
  </si>
  <si>
    <t>No. Mu</t>
  </si>
  <si>
    <t>Equipos de Computación</t>
  </si>
  <si>
    <t>AL 31 DE DICIEMBRE DE 2018</t>
  </si>
  <si>
    <t>Estado de Situación Financiera</t>
  </si>
  <si>
    <t xml:space="preserve"> (Valores en RD$)</t>
  </si>
  <si>
    <t>Activos</t>
  </si>
  <si>
    <t>Activos corrientes</t>
  </si>
  <si>
    <t xml:space="preserve">Efectivo y equivalente de efectivo (Notas 7) </t>
  </si>
  <si>
    <t>Inversiones a corto plazo (Nota 8)</t>
  </si>
  <si>
    <t>Porción corriente de documentos por cobrar (Nota 9)</t>
  </si>
  <si>
    <t>Total activos corrientes</t>
  </si>
  <si>
    <t>Activos no corrientes</t>
  </si>
  <si>
    <t>Cuentas por cobrar a largo plazo (Notas 14)</t>
  </si>
  <si>
    <t>Documentos por cobrar (Nota 15)</t>
  </si>
  <si>
    <t>Inversiones a largo plazo (Nota 16)</t>
  </si>
  <si>
    <t xml:space="preserve"> Otros activos financieros (Notas 17)</t>
  </si>
  <si>
    <t xml:space="preserve"> Activos intangibles (Nota 19)</t>
  </si>
  <si>
    <t>Otros activos no financieros (Nota 20)</t>
  </si>
  <si>
    <t>Total activos no corrientes</t>
  </si>
  <si>
    <t>Total activos</t>
  </si>
  <si>
    <t>Sobregiro bancario (Nota 21)</t>
  </si>
  <si>
    <t xml:space="preserve"> Préstamos a corto plazo (Nota 23)</t>
  </si>
  <si>
    <t xml:space="preserve">Parte corriente de préstamos a largo plazo (Nota 24) </t>
  </si>
  <si>
    <t>Otros pasivos corrientes (Nota 29)</t>
  </si>
  <si>
    <t>Total pasivos corrientes</t>
  </si>
  <si>
    <t>Pasivos no corrientes</t>
  </si>
  <si>
    <t>Cuentas por pagar a largo plazo (Nota 30)</t>
  </si>
  <si>
    <t>Préstamos a largo plazo (Nota 31)</t>
  </si>
  <si>
    <t xml:space="preserve">Instrumentos de deuda (Nota 32) </t>
  </si>
  <si>
    <t>Provisiones a largo plazo (Nota 33)</t>
  </si>
  <si>
    <t>Beneficios a empleados a largo plazo (Nota 34)</t>
  </si>
  <si>
    <t xml:space="preserve"> Otros pasivos no corrientes (Nota 35)</t>
  </si>
  <si>
    <t>Total pasivos no corrientes</t>
  </si>
  <si>
    <t>Total pasivos</t>
  </si>
  <si>
    <t>Capital</t>
  </si>
  <si>
    <t>Reservas</t>
  </si>
  <si>
    <t>Intereses minoritarios</t>
  </si>
  <si>
    <t>Total activos netos/patrimonio</t>
  </si>
  <si>
    <t>Estado de Rendimiento Financiero</t>
  </si>
  <si>
    <t>(Valores en RD$)</t>
  </si>
  <si>
    <t>Ingresos (Notas 37, 38, 39 y 40)</t>
  </si>
  <si>
    <t>Impuestos</t>
  </si>
  <si>
    <t>Ingresos por transacciones con contraprestación</t>
  </si>
  <si>
    <t>Transferencias y donaciones</t>
  </si>
  <si>
    <t>Recargos, multas y otros ingresos</t>
  </si>
  <si>
    <t>Sueldos, salarios y beneficios a empleados</t>
  </si>
  <si>
    <t>Subvenciones y otros pagos por transferencias</t>
  </si>
  <si>
    <t>Suministros y material para consumo</t>
  </si>
  <si>
    <t>Gasto de depreciación y amortización</t>
  </si>
  <si>
    <t>Deterioro del valor de propiedad, planta y equipo</t>
  </si>
  <si>
    <t>Otros gastos</t>
  </si>
  <si>
    <t>Gastos financieros</t>
  </si>
  <si>
    <t>Total gastos</t>
  </si>
  <si>
    <t>Ganancia (perdida) por diferencia cambiaria</t>
  </si>
  <si>
    <t>Participación en resultado de asociadas</t>
  </si>
  <si>
    <t>Resultado del período (ahorro / desahorro)</t>
  </si>
  <si>
    <t>Atribuible a:</t>
  </si>
  <si>
    <t>Propietarios de la entidad controladora</t>
  </si>
  <si>
    <t>Las notas en las páginas X a XX son parte integral de estos Estados Financieros.</t>
  </si>
  <si>
    <t>Estado de Flujo de Efectivo</t>
  </si>
  <si>
    <t>Flujo de efectivo procedentes de actividades operativas</t>
  </si>
  <si>
    <t>Cobros impuestos</t>
  </si>
  <si>
    <t>Contribuciones de la seguridad social</t>
  </si>
  <si>
    <t>Cobros por venta de bienes y servicios y arrendamientos</t>
  </si>
  <si>
    <t>Cobros de seguros por primas, reclamos y otros</t>
  </si>
  <si>
    <t>Cobros por contratos mantenidos para negocios o intercambio</t>
  </si>
  <si>
    <t>Otros cobros</t>
  </si>
  <si>
    <t xml:space="preserve">Pagos a otras entidades para financiar sus operaciones (Transferencias) </t>
  </si>
  <si>
    <t>Pagos a los trabajadores o en beneficio de ellos</t>
  </si>
  <si>
    <t xml:space="preserve">Pagos por contribuciones a la seguridad social </t>
  </si>
  <si>
    <t>Pagos de pensiones y jubilaciones</t>
  </si>
  <si>
    <t>Pagos a proveedores</t>
  </si>
  <si>
    <t>Otros pagos</t>
  </si>
  <si>
    <t>Flujos de efectivo netos de las actividades de operación</t>
  </si>
  <si>
    <t>Flujos de efectivo de las actividades de inversión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</si>
  <si>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</si>
  <si>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</si>
  <si>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</si>
  <si>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</si>
  <si>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</si>
  <si>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Pagos por adquisición de propiedad, planta y equipo</t>
  </si>
  <si>
    <t xml:space="preserve">Pagos por adquisición de intangibles y otros activos de largo plazo </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</si>
  <si>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</si>
  <si>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</si>
  <si>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</si>
  <si>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</si>
  <si>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Flujos de efectivo netos por las actividades de inversión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</si>
  <si>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</si>
  <si>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</si>
  <si>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</si>
  <si>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</si>
  <si>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</si>
  <si>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</si>
  <si>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</si>
  <si>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</si>
  <si>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</si>
  <si>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</si>
  <si>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</si>
  <si>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</si>
  <si>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 xml:space="preserve">Incremento/(Disminución) neta en el efectivo y equivalentes al efectivo </t>
  </si>
  <si>
    <t>Efectivo y equivalentes al efectivo al principio del periodo</t>
  </si>
  <si>
    <t>Efectivo y equivalentes al efectivo al final del periodo</t>
  </si>
  <si>
    <t>Estado de Cambio de Activo Neto / Patrimonio</t>
  </si>
  <si>
    <t>Capital Aportado</t>
  </si>
  <si>
    <t>Cambios en Políticas Contables</t>
  </si>
  <si>
    <t>Revaluación</t>
  </si>
  <si>
    <t>Resultados Acumulados</t>
  </si>
  <si>
    <t>Total Activos Netos / Patrimonio</t>
  </si>
  <si>
    <t xml:space="preserve">Cambio en políticas contables </t>
  </si>
  <si>
    <t>Revaluación de Propiedad, planta y equipo</t>
  </si>
  <si>
    <t>Ajuste al patrimonio</t>
  </si>
  <si>
    <t>Resultado del período</t>
  </si>
  <si>
    <t xml:space="preserve">  -</t>
  </si>
  <si>
    <t>Efecto del gasto de depreciación de los activos revaluados</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</si>
  <si>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</si>
  <si>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</si>
  <si>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</si>
  <si>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</si>
  <si>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</si>
  <si>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</si>
  <si>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</si>
  <si>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</si>
  <si>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</si>
  <si>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Impuestos</t>
    </r>
  </si>
  <si>
    <r>
      <rPr>
        <sz val="11"/>
        <rFont val="Times New Roman"/>
        <family val="1"/>
      </rPr>
      <t>Contribuciones Sociales</t>
    </r>
  </si>
  <si>
    <r>
      <rPr>
        <sz val="11"/>
        <rFont val="Times New Roman"/>
        <family val="1"/>
      </rPr>
      <t>Donaciones</t>
    </r>
  </si>
  <si>
    <r>
      <rPr>
        <sz val="11"/>
        <rFont val="Times New Roman"/>
        <family val="1"/>
      </rPr>
      <t>Transferencias</t>
    </r>
  </si>
  <si>
    <r>
      <rPr>
        <sz val="11"/>
        <rFont val="Times New Roman"/>
        <family val="1"/>
      </rPr>
      <t>Otros ingresos</t>
    </r>
  </si>
  <si>
    <r>
      <rPr>
        <sz val="11"/>
        <rFont val="Times New Roman"/>
        <family val="1"/>
      </rPr>
      <t>Venta de activos no financieros</t>
    </r>
  </si>
  <si>
    <r>
      <rPr>
        <sz val="11"/>
        <rFont val="Times New Roman"/>
        <family val="1"/>
      </rPr>
      <t>Activos financieros con fines de política</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</si>
  <si>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</si>
  <si>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</si>
  <si>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</si>
  <si>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</si>
  <si>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Bienes muebles, inmuebles e intangibles</t>
    </r>
  </si>
  <si>
    <r>
      <rPr>
        <sz val="11"/>
        <rFont val="Times New Roman"/>
        <family val="1"/>
      </rPr>
      <t>Obras</t>
    </r>
  </si>
  <si>
    <r>
      <rPr>
        <b/>
        <sz val="12"/>
        <color indexed="63"/>
        <rFont val="Times New Roman"/>
        <family val="1"/>
      </rPr>
      <t>Resultado financiero (1-2)</t>
    </r>
  </si>
  <si>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</si>
  <si>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Los Estados Financieros están presentados en pesos dominicanos (RD$) moneda de curso legal en República Dominicana.</t>
  </si>
  <si>
    <t>Las estimaciones y supuestos relevantes son revisados regularmente, las cuales son reconocidas prospectivamente.</t>
  </si>
  <si>
    <t>Juicios</t>
  </si>
  <si>
    <t>Supuesto e incertidumbre en las estimaciones</t>
  </si>
  <si>
    <t>Medición de los valores razonables.</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</si>
  <si>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</si>
  <si>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</si>
  <si>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</si>
  <si>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</si>
  <si>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</si>
  <si>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</si>
  <si>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</si>
  <si>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</si>
  <si>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</si>
  <si>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Aquí se detalla todo lo relacionado con las principales Políticas Contables significativas como podría ser, sin que esta enumeración se considere limitativa.</t>
  </si>
  <si>
    <t>Activos y pasivos financieros no derivados – reconocimiento y baja en cuentas</t>
  </si>
  <si>
    <t xml:space="preserve">Activos financieros no derivados – medición </t>
  </si>
  <si>
    <t xml:space="preserve">Pasivos financieros no derivados – medición </t>
  </si>
  <si>
    <t>Inventarios de materiales de oficina</t>
  </si>
  <si>
    <t>Propiedad, mobiliario y equipos</t>
  </si>
  <si>
    <t xml:space="preserve">Reconocimiento y medición </t>
  </si>
  <si>
    <t>Reconocimiento de ingresos</t>
  </si>
  <si>
    <t xml:space="preserve">Impuesto sobre la renta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</si>
  <si>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</si>
  <si>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</si>
  <si>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Costos de adquisición  </t>
  </si>
  <si>
    <t>Adiciones</t>
  </si>
  <si>
    <t>Retiros</t>
  </si>
  <si>
    <t>TOTAL EDIFICACIONES</t>
  </si>
  <si>
    <t xml:space="preserve">TOTAL DE BIENES EN USO </t>
  </si>
  <si>
    <t>Intereses</t>
  </si>
  <si>
    <t xml:space="preserve">Cobros de subvenciones, transferencias, y otras asignaciones </t>
  </si>
  <si>
    <t>Pagos de intereses</t>
  </si>
  <si>
    <t>Cobros de intereses financieros</t>
  </si>
  <si>
    <t>Son reconocidos a su valor razonable, más cualquier costo de transacción directamente atribuible o de alguna otra manera.</t>
  </si>
  <si>
    <t>Son reconocidos a su valor razonable, menos cualquier costo de transacción directamente atribuible o de alguna otra manera.</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</si>
  <si>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</si>
  <si>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Los Estados Financieros se elaboran sobre la base del costo histórico, sin excepción, en la actualidad los terrenos y edificios están siendo valuados mediante tasaciones realizadas por un experto externo.</t>
  </si>
  <si>
    <t>La medición es al costo de adquisición.</t>
  </si>
  <si>
    <t xml:space="preserve">Depósitos </t>
  </si>
  <si>
    <t>Depreciación Acumulada</t>
  </si>
  <si>
    <t>Depreciación del periodo</t>
  </si>
  <si>
    <t>SEGURO PAGADO POR ANTICIPADO</t>
  </si>
  <si>
    <t>Nota # 16 Préstamo a corto plazo</t>
  </si>
  <si>
    <t>Pasivos corrientes</t>
  </si>
  <si>
    <t xml:space="preserve">Pasivos </t>
  </si>
  <si>
    <t>Encargada de Contabilidad</t>
  </si>
  <si>
    <t>Poliza</t>
  </si>
  <si>
    <t>Mes-C</t>
  </si>
  <si>
    <t>Consumo</t>
  </si>
  <si>
    <t>MAQUINARIAS Y EQUIPOS DE CONSTRUCCION</t>
  </si>
  <si>
    <t>AUTOMOVILES Y CAMIONES</t>
  </si>
  <si>
    <t xml:space="preserve"> EQUIPOS DE COMPUTO</t>
  </si>
  <si>
    <t xml:space="preserve"> EQUIPO DE COMUNICACION  Y TELECOMUNICACION</t>
  </si>
  <si>
    <t xml:space="preserve"> MUEBLES DE OFICINA Y ESTANTERIA </t>
  </si>
  <si>
    <t>TIERRAS RURALES SIN MEJORAS</t>
  </si>
  <si>
    <t xml:space="preserve"> PRESTAMOS INTERNOS - RESERVAS</t>
  </si>
  <si>
    <t xml:space="preserve"> SUELDOS AL PERSONAL CONTRATADO E IGUALADO </t>
  </si>
  <si>
    <t xml:space="preserve">SUELDO DE PERSONAL NOMINAL EN PERIODO PROBATORIO </t>
  </si>
  <si>
    <t>AYUDAS Y DONACIONES PROG. A HOGARES Y PERSONAS</t>
  </si>
  <si>
    <t>PUBLICIDAD  Y PROPAGANDA</t>
  </si>
  <si>
    <t>VIATICOS DENTRO DEL PAIS</t>
  </si>
  <si>
    <t xml:space="preserve"> ALIMENTOS Y BEBIDAS PARA PERSONAS</t>
  </si>
  <si>
    <t>PRIMA  DE TRANSPORTE</t>
  </si>
  <si>
    <t xml:space="preserve"> COMPENSACION POR RESULTADOS</t>
  </si>
  <si>
    <t>IMPRESION Y ENCUADERNACION</t>
  </si>
  <si>
    <t>SERVICIOS DE ALIMENTACION</t>
  </si>
  <si>
    <t xml:space="preserve"> MATERIAL PARA LIMPIEZA</t>
  </si>
  <si>
    <t xml:space="preserve"> MANT. Y REP.  EQUIPOS TRANSPORTE, TRACCION Y ELEV</t>
  </si>
  <si>
    <t xml:space="preserve"> SERVICIOS DE CAPACITACION</t>
  </si>
  <si>
    <t xml:space="preserve"> IMPUESTOS </t>
  </si>
  <si>
    <t>SERVICIOS TELEFONICOS DE LARGA DISTANCIA</t>
  </si>
  <si>
    <t>TELEFONO LOCAL</t>
  </si>
  <si>
    <t>TELEFAX Y CORREOS</t>
  </si>
  <si>
    <t>SERVICIOS DE INTERNET Y TELEVISION POR CABLE</t>
  </si>
  <si>
    <t>Nomina por pagar</t>
  </si>
  <si>
    <t xml:space="preserve"> VIATICO FUERA DEL PAIS </t>
  </si>
  <si>
    <t>cdee</t>
  </si>
  <si>
    <t xml:space="preserve"> SUELDOS FIJOS</t>
  </si>
  <si>
    <t xml:space="preserve"> COMPENSACION POR HORAS EXTRAORDINARIAS </t>
  </si>
  <si>
    <t>TRANSPORTE Y ALMACENAJE</t>
  </si>
  <si>
    <t>ESPECIES TIMBRADOS Y VALORADAS</t>
  </si>
  <si>
    <t>PASAJES</t>
  </si>
  <si>
    <t>GASOIL</t>
  </si>
  <si>
    <t xml:space="preserve"> PRODUCTOS FOTOQUIMICOS</t>
  </si>
  <si>
    <t>GRATIFICACIONES  POR PASANTIAS</t>
  </si>
  <si>
    <t>VIATICOS FUERA DEL PAIS</t>
  </si>
  <si>
    <t xml:space="preserve"> UTILES DE ESCRITORIOS OFICINA INFORMATICA Y ENSEN</t>
  </si>
  <si>
    <t>Jornales</t>
  </si>
  <si>
    <t>Sueldos fijos</t>
  </si>
  <si>
    <t>Sueldos al personal contratado e igualado</t>
  </si>
  <si>
    <t>Sueldo al personal nominal en periodo probatorio</t>
  </si>
  <si>
    <t>Compensacion por horas extraordinarias</t>
  </si>
  <si>
    <t>Prima de transporte</t>
  </si>
  <si>
    <t>Compensacion por resultados</t>
  </si>
  <si>
    <t>Dietas en el pais</t>
  </si>
  <si>
    <t>Gastos de representacion en el pais</t>
  </si>
  <si>
    <t>Gastos de representacion en el exterior</t>
  </si>
  <si>
    <t>2.1.4.2.02</t>
  </si>
  <si>
    <t>Gratificaciones por pasantias</t>
  </si>
  <si>
    <t>Contribuciones al seguro de salud</t>
  </si>
  <si>
    <t>Contribuciones al seguro de pensiones</t>
  </si>
  <si>
    <t>Contribuciones al seguro de riesgo laboral</t>
  </si>
  <si>
    <t>2.2.1.2.01</t>
  </si>
  <si>
    <t>Servicios telefonico de larga distancia</t>
  </si>
  <si>
    <t>Telefono local</t>
  </si>
  <si>
    <t>2.2.1.4.01</t>
  </si>
  <si>
    <t>Telefax y correos</t>
  </si>
  <si>
    <t>2.2.1.5.01</t>
  </si>
  <si>
    <t>Servicio de internet y television por cable</t>
  </si>
  <si>
    <t>Publicidad y propaganda</t>
  </si>
  <si>
    <t>2.2.2.2.01</t>
  </si>
  <si>
    <t>Impresion y encuadernacion</t>
  </si>
  <si>
    <t>Viaticos dentro del pais</t>
  </si>
  <si>
    <t>2.2.4.1.01</t>
  </si>
  <si>
    <t>Pasajes</t>
  </si>
  <si>
    <t>Alquilleres y rentas de edificios y locales</t>
  </si>
  <si>
    <t>Alquiler de equipo de oficina y muebles</t>
  </si>
  <si>
    <t>Alquileres de equipos de construccion y movimiento</t>
  </si>
  <si>
    <t>Otros alquileres</t>
  </si>
  <si>
    <t>Seguro de bienes muebles</t>
  </si>
  <si>
    <t>Servicios especiales de mantenimiento y reparacion</t>
  </si>
  <si>
    <t>Mantenimiento y reparacion de obras civiles en ins</t>
  </si>
  <si>
    <t>Obras en bienes de dominio publico</t>
  </si>
  <si>
    <t>Mantenimiento y reparacion de muebles y equipos de</t>
  </si>
  <si>
    <t>Mantenimiento y reparacion de equipo para computac</t>
  </si>
  <si>
    <t>Mantenimiento y reparacion de equipos de transport</t>
  </si>
  <si>
    <t>Comisiones y gastos bancarios</t>
  </si>
  <si>
    <t>Limpieza e higiene</t>
  </si>
  <si>
    <t>Eventos generales</t>
  </si>
  <si>
    <t>Festividades</t>
  </si>
  <si>
    <t>Servicios de capacitacion</t>
  </si>
  <si>
    <t>Otros servicios tecnicos profesionales</t>
  </si>
  <si>
    <t>2.2.9.2.01</t>
  </si>
  <si>
    <t>Alimentos y bebidas para personas</t>
  </si>
  <si>
    <t>Productos de papel y carton</t>
  </si>
  <si>
    <t>Especies timbrados y valoradas</t>
  </si>
  <si>
    <t>Gasolina</t>
  </si>
  <si>
    <t>Gasoil</t>
  </si>
  <si>
    <t>2.3.7.1.04</t>
  </si>
  <si>
    <t>Gas GLP</t>
  </si>
  <si>
    <t>Lubricantes</t>
  </si>
  <si>
    <t>Productos fotoquimicos</t>
  </si>
  <si>
    <t>Material para limpieza</t>
  </si>
  <si>
    <t>Utiles de escritorio oficina informatica y de ense</t>
  </si>
  <si>
    <t>Productos electricos y afines</t>
  </si>
  <si>
    <t>Productos y Utiles Varios  n.i.p</t>
  </si>
  <si>
    <t>Indemnizacion laboral</t>
  </si>
  <si>
    <t>Ayudas y donaciones programadas a hogares y person</t>
  </si>
  <si>
    <t>Becas nacionales</t>
  </si>
  <si>
    <t>Equipo computacional</t>
  </si>
  <si>
    <t xml:space="preserve"> COMPENSACIONES ESPECIALES</t>
  </si>
  <si>
    <t>Gastos judiciales</t>
  </si>
  <si>
    <t>Obras para edificacion no residencial</t>
  </si>
  <si>
    <t>OTROS EQUIPOS</t>
  </si>
  <si>
    <t>EQUIPO  MEDICO Y LABORATORIO</t>
  </si>
  <si>
    <t>HERRAMIENTAS Y MAQUINAS-HERRAMIENTAS</t>
  </si>
  <si>
    <t>MUEBLES DE ALOJAMIENTO</t>
  </si>
  <si>
    <t xml:space="preserve">PROGRAMAS DE INFORMATICA </t>
  </si>
  <si>
    <t>CUENTAS POR PAGAR AÑOS ANTERIORES</t>
  </si>
  <si>
    <t xml:space="preserve"> RETENCIONES A EMPLEADOS</t>
  </si>
  <si>
    <t>SUPLENCIAS</t>
  </si>
  <si>
    <t>COMPENSACION POR GASTOS DE ALIMENTACION</t>
  </si>
  <si>
    <t>BONO POR DESEMPEÑO</t>
  </si>
  <si>
    <t>PRESTACION LABORAL POR DESVINCULACION</t>
  </si>
  <si>
    <t>PROPORCION DE VACACIONES NO DISFRUTADAS</t>
  </si>
  <si>
    <t>RADIOCOMUNICACION</t>
  </si>
  <si>
    <t>FLETES</t>
  </si>
  <si>
    <t>ALMACENAJE</t>
  </si>
  <si>
    <t>PEAJE</t>
  </si>
  <si>
    <t>SEGURO DE BIENES INMUEBLES E INFRAESTRUCTURA</t>
  </si>
  <si>
    <t>SERVICIOS JURIDICOS</t>
  </si>
  <si>
    <t>ESTUDIOS DE ING., ARQ.  INV. Y ANALISIS DE FACTIB.</t>
  </si>
  <si>
    <t>DERECHOS</t>
  </si>
  <si>
    <t>TASAS</t>
  </si>
  <si>
    <t>CALZADOS</t>
  </si>
  <si>
    <t>LLANTAS Y NEUMATICOS</t>
  </si>
  <si>
    <t xml:space="preserve"> PRODUCTOS DE CEMENTO</t>
  </si>
  <si>
    <t xml:space="preserve"> UTILES DE COCINA Y COMEDOR</t>
  </si>
  <si>
    <t xml:space="preserve"> PENSIONES </t>
  </si>
  <si>
    <t>Nómina por pagar</t>
  </si>
  <si>
    <t xml:space="preserve"> RET IMPOS POR PAGAR ITBIS</t>
  </si>
  <si>
    <t>Alquileres de equipos de transporte traccion y ele</t>
  </si>
  <si>
    <t>Fumigacion</t>
  </si>
  <si>
    <t>Servicios juridicos</t>
  </si>
  <si>
    <t>amortizacion</t>
  </si>
  <si>
    <t>gastos</t>
  </si>
  <si>
    <t>P/ejecucion</t>
  </si>
  <si>
    <t>Activo fijo</t>
  </si>
  <si>
    <t>Inventario</t>
  </si>
  <si>
    <t>Seguro</t>
  </si>
  <si>
    <t>ER</t>
  </si>
  <si>
    <t>Resultado Per. Ant.</t>
  </si>
  <si>
    <t>Aumento</t>
  </si>
  <si>
    <t xml:space="preserve">       Ajustes</t>
  </si>
  <si>
    <t xml:space="preserve">Balance </t>
  </si>
  <si>
    <t xml:space="preserve">Actividades de </t>
  </si>
  <si>
    <t>(Disminución)</t>
  </si>
  <si>
    <t>Debito</t>
  </si>
  <si>
    <t>Crédito</t>
  </si>
  <si>
    <t>Ajustado</t>
  </si>
  <si>
    <t>operación</t>
  </si>
  <si>
    <t>inversión</t>
  </si>
  <si>
    <t>financiamiento</t>
  </si>
  <si>
    <t>Matriz para Flujo de Efectivo</t>
  </si>
  <si>
    <t>Utiles de cocina y comedor</t>
  </si>
  <si>
    <t>Muebles de oficina y estanteria</t>
  </si>
  <si>
    <t>Bono por desempeno</t>
  </si>
  <si>
    <t>Servicios funerarios y gastos conexos</t>
  </si>
  <si>
    <t>Otros repuestos y accesorios menores</t>
  </si>
  <si>
    <t>Cuadre para la ejecución</t>
  </si>
  <si>
    <t>seguro</t>
  </si>
  <si>
    <t>Amorti.</t>
  </si>
  <si>
    <t>inventario</t>
  </si>
  <si>
    <t>PROD. n.i.p.</t>
  </si>
  <si>
    <t>Deposito alq.</t>
  </si>
  <si>
    <t>Alquiler</t>
  </si>
  <si>
    <t>Inventaria</t>
  </si>
  <si>
    <t>Activos fijos</t>
  </si>
  <si>
    <t>Superivit ER</t>
  </si>
  <si>
    <t>Superivit EP</t>
  </si>
  <si>
    <t>Infraestructura</t>
  </si>
  <si>
    <t>Edif. Y componente</t>
  </si>
  <si>
    <t>Maq. Y Equipos</t>
  </si>
  <si>
    <t>Equipo Transp y otros</t>
  </si>
  <si>
    <t>Contruciones en Proceso</t>
  </si>
  <si>
    <t>otros</t>
  </si>
  <si>
    <t>Saldo al final del periodo</t>
  </si>
  <si>
    <t xml:space="preserve">Dep. Acum. al inicio del periodo  </t>
  </si>
  <si>
    <r>
      <t>Mob. Y equipo de ofic</t>
    </r>
    <r>
      <rPr>
        <b/>
        <sz val="12"/>
        <color indexed="8"/>
        <rFont val="Times New Roman"/>
        <family val="1"/>
      </rPr>
      <t>.</t>
    </r>
  </si>
  <si>
    <t>Equipo de comunicación</t>
  </si>
  <si>
    <t>EQUIPO GENERACION ELECTRICA, APARATOS, ACC. ELECT.</t>
  </si>
  <si>
    <t>REGALIA PASCUAL POR PAGAR</t>
  </si>
  <si>
    <t>Sueldo Anual No. 13</t>
  </si>
  <si>
    <t>dif.</t>
  </si>
  <si>
    <t xml:space="preserve"> RETENCIONES POR PAGAR DGII ACUERDOS</t>
  </si>
  <si>
    <t>PERSONAL IGUALADO</t>
  </si>
  <si>
    <t>2.3.3.6.01</t>
  </si>
  <si>
    <t>Justificacion de diferencia</t>
  </si>
  <si>
    <t>Cedula de trabajo para flujo de efectivo</t>
  </si>
  <si>
    <t>Programa de Auditoria del efectivo</t>
  </si>
  <si>
    <t>OBJETIVO GENERAL</t>
  </si>
  <si>
    <t>OBJETIVOS ESPECIFICOS</t>
  </si>
  <si>
    <t>Verificar la existencia de sobrantes en caja, su esclarecimiento así como su depósito en las cuentas bancarias de la compañía.</t>
  </si>
  <si>
    <t>ALCANCE</t>
  </si>
  <si>
    <t>CICLOS</t>
  </si>
  <si>
    <t>Manejo del Disponible.</t>
  </si>
  <si>
    <t>Determinar claramente las funciones, responsabilidades y obligaciones del personal que tienen a su cargo la custodia del efectivo y la autorización de pagos previos</t>
  </si>
  <si>
    <t>En búsqueda de mayor seguridad al manejo de efectivo en caja se aconseja determinar una suma máxima para pagos individuales</t>
  </si>
  <si>
    <t>Controlar quien y como se realizan los pagos hechos por la caja.</t>
  </si>
  <si>
    <t>Realizar contratos respaldados con pólizas de garantía para el resguardo de efectivo.</t>
  </si>
  <si>
    <t>AFIRMACIONES CONTABLES</t>
  </si>
  <si>
    <t>Revisión Preliminar</t>
  </si>
  <si>
    <t>Revisión Final</t>
  </si>
  <si>
    <t>Hecho por</t>
  </si>
  <si>
    <t>Fecha</t>
  </si>
  <si>
    <t>Revisado por</t>
  </si>
  <si>
    <t>Ref</t>
  </si>
  <si>
    <t>Verificar   que   las   operaciones   aritméticas   del balance  de  saldos  de  esta  área  sean  correctas (integridad)</t>
  </si>
  <si>
    <t>Verificar  y  documentar   que    las   conciliaciones bancarias   emitidas    por    la    Compañía    estén adecuadamente  elaboradas,  que  tengan evidencia de  haber  sido firmadas de elaborado y revisado por las  personas  responsables de  este procedimiento (integridad)</t>
  </si>
  <si>
    <t>Redactar   un  memorándum de revisión del área de caja   en  revisión  preliminar  ( todas las aseveraciones )</t>
  </si>
  <si>
    <t>Efectuar las valuaciones  de  cuentas   en   dólares</t>
  </si>
  <si>
    <t>aplicando los tipos de cambio  de  referencia  publi-</t>
  </si>
  <si>
    <t>cados  por  la Banca Central y compararlas con los</t>
  </si>
  <si>
    <t>registros contables (valuación, propiedad)</t>
  </si>
  <si>
    <t xml:space="preserve">Realizar   las   comparaciones    entre  los   saldos </t>
  </si>
  <si>
    <t>registrados  en  contabilidad  y los confirmados por</t>
  </si>
  <si>
    <t>las instituciones y determinar  la  razonabilidad  de</t>
  </si>
  <si>
    <t>los mismos (valuación, integridad)</t>
  </si>
  <si>
    <t>Indagar y  divulgar si sobre  los  fondos  de  efectivo</t>
  </si>
  <si>
    <t>existen limitaciones para su uso y las limitantes por</t>
  </si>
  <si>
    <t>parte de las  instituciones  bancarias  (ocurrencia o</t>
  </si>
  <si>
    <t>existencia)</t>
  </si>
  <si>
    <t>Efectuar una conclusión sobre el  trabajo  realizado,</t>
  </si>
  <si>
    <t>indicando si  el  área  se  encuentra  presentada  y</t>
  </si>
  <si>
    <t>registrada   razonablemente,  la  misma   debe  ser</t>
  </si>
  <si>
    <t>elaborada en la cédula sumaria de la  revisión  final.</t>
  </si>
  <si>
    <t xml:space="preserve">Trasladar las  deficiencias  de  control  identificadas </t>
  </si>
  <si>
    <t>en  esta  área  a  la  cédula  de  trabajo   respectiva</t>
  </si>
  <si>
    <t>(presentación)</t>
  </si>
  <si>
    <t>Identificar posibles ajustes  y/o  reclasificaciones en</t>
  </si>
  <si>
    <t>los papeles de trabajo,  posterior  a  su  discusión y</t>
  </si>
  <si>
    <t>aprobación correrlos en papeles y trasladarlos a las</t>
  </si>
  <si>
    <t>cédulas,  según  corresponda. ( propiedad,  corte  y</t>
  </si>
  <si>
    <t>presentación )</t>
  </si>
  <si>
    <t>PRUEBAS DE CONTROL</t>
  </si>
  <si>
    <t>PRUEBAS SUSTANTIVAS</t>
  </si>
  <si>
    <t xml:space="preserve">Para llevar a cabo las pruebas sustantivas analíticas, se buscará respuesta a aquellas diferencias que sobrepasen la importancia relativa planeada en este caso para la revisión analítica. </t>
  </si>
  <si>
    <t>Adicional se analizará aquellas cuentas que tiene relación al rubro de caja, tal es el caso, ingresos y egresos.</t>
  </si>
  <si>
    <t xml:space="preserve">Datos trascritos </t>
  </si>
  <si>
    <t>Secuencia numérica de los recibos de caja. Realizar corte de formas.</t>
  </si>
  <si>
    <t>Verificación de sumas.</t>
  </si>
  <si>
    <t>Contabilización oportuna.</t>
  </si>
  <si>
    <t>Verificar la existencia de gastos pagados en efectivo y descontados de los ingresos diarios.</t>
  </si>
  <si>
    <t>Verificar si se cambien cheques de empleados u otras personas.</t>
  </si>
  <si>
    <t>Asegurarse de que los descuentos hayan sido concedidos de acuerdo con la política de la compañía.</t>
  </si>
  <si>
    <t>Obtener los duplicados de las boletas de deposito que corresponden a los ingresos revisados, y efectuar lo siguiente:</t>
  </si>
  <si>
    <t>Revisar sumas</t>
  </si>
  <si>
    <t>Verificar la integración de efectivo y cheques según la boleta de deposito con el corte de caja, investigar diferencias.</t>
  </si>
  <si>
    <t>Asegurarse que los cobros se hayan depositado al día siguiente de haber sido efectuados. Establecer excepciones.</t>
  </si>
  <si>
    <t>El objetivo de la práctica de la auditoría del rubro de efectivo, es determinar si los fondos de efectivo y depósitos a la vista, que se presentan en los estados financieros son íntegros, reales y auténticos.</t>
  </si>
  <si>
    <t>Establecer que los ingresos son exactos y que están respaldados por recibos de caja y otros documentos correspondientes.</t>
  </si>
  <si>
    <t>Establecer que los ingresos son depositados oportunamente, y en forma integra como fueron recibidos por el area de tesoreria según cuadre de caja diario.</t>
  </si>
  <si>
    <t>Establecer la correcta contabilización de las trasferencias entre cuentas de empresas y las recibidas de los clientes y del Gobierno Central.</t>
  </si>
  <si>
    <t xml:space="preserve">El propósito de nuestro examen es emitir una opinión sobre la razonabilidad del rubro de caja  de la entidad de este periodo, realizando nuestra evaluación de acuerdo a normas internacionales de auditoría. </t>
  </si>
  <si>
    <t xml:space="preserve">La evaluación de riesgos se realizará a través de una matriz de riesgo, en lacolocaran los componentes importantes y los cuales se llevarán de la mano pruebas de control, de lo cual se determinará cual es el nivel de riesgo que se presenta en el rubro del efectivo de la entidad. </t>
  </si>
  <si>
    <t xml:space="preserve">El conocimiento del control interno se realizará por medio de un cuestionario y entrevista a el personal clave.  Para probar la eficacia operativa de los controles del rubro bancos, se realizará por medio del muestreo aleatorio tomando los ítems necesarios de partidas en circulación, facturación de ventas y de como verificación del pago de un mes de planilla. </t>
  </si>
  <si>
    <t xml:space="preserve">A sí mismo examinar algunos procedimientos sobre los saldos iníciales entre los cuales es planeado inspeccionar fondos de caja chica. </t>
  </si>
  <si>
    <t>Determine el monto cobrado, mediante revisión de la sumarización de los documentos mencionados anteriormente en la relacion de ingresos respectivamente y compruebe:</t>
  </si>
  <si>
    <t>Cotejar el total de las relacion de ingresos examinadas con la contabilización al libro mayor,  y al libro auxiliar de caja.</t>
  </si>
  <si>
    <t xml:space="preserve">Cotejar los totales de las boletas contra las relacion de ingresos </t>
  </si>
  <si>
    <t>Programa de Auditoria de la cuenta por cobrar</t>
  </si>
  <si>
    <t>El objetivo de la práctica de la auditoría del rubro de cuentas por cobrar, es determinar si los derechos de la empresa,  a realizar con Clientes , Acreedores , Empleados  y  todo derecho que pueda  ser  efectivo en un plazo determinado de tiempo.</t>
  </si>
  <si>
    <t>Verificar el origen de dichos derechos, así como sus Condiciones de Tiempo, Cantidad,  Intereses, etc. y establecer su  existencia real, y darles seguimiento.</t>
  </si>
  <si>
    <t xml:space="preserve">Establecer la existencia de Restricciones en Limites de Crédito, Limites de Plazo, Restricciones en Ventas de Productos, Políticas de Descuento,  Normas de  Prestamos entre Empresas Afiliadas,  Créditos fiscales,  y  Otras Cuentas por Cobrar Especiales. </t>
  </si>
  <si>
    <t>OBTENER UN C.P.C. (Cédula Proporcionada por el Cliente) CON EL DETALLE DE LAS INTEGRACIONES DE TODAS LAS CUENTAS  SIGNIFICATIVAS.</t>
  </si>
  <si>
    <t>Verificar que las operaciones aritméticas del balance</t>
  </si>
  <si>
    <t>de saldos de esta área sean correctas (integridad)</t>
  </si>
  <si>
    <t>Solicitar   las  integraciones  de   las   cuentas   por</t>
  </si>
  <si>
    <t xml:space="preserve">cobrar atendiendo a  la  materialidad  e  importancia </t>
  </si>
  <si>
    <t>de los  saldos,  verificando  que  las  mismas  estén</t>
  </si>
  <si>
    <t xml:space="preserve">debidamente firmadas de elaboradas y revisado  por </t>
  </si>
  <si>
    <t>las personas  responsables  de este  procedimiento</t>
  </si>
  <si>
    <t>de control. (integridad)</t>
  </si>
  <si>
    <t>Verificar los cálculos aritméticos de  las  integracio-</t>
  </si>
  <si>
    <t>nes y cotejarlos con los  registros  contables  DMG</t>
  </si>
  <si>
    <t>(integridad)</t>
  </si>
  <si>
    <t>Solicitar al auxiliar de la  cartera  de  clientes  y  su</t>
  </si>
  <si>
    <t>antigüedad y aplicar lo siguiente:</t>
  </si>
  <si>
    <t>4.1 Cotejar   el   total   del   auxiliar   con   el   DMG</t>
  </si>
  <si>
    <t>4.2 Seleccionar una muestra representativa del total</t>
  </si>
  <si>
    <t xml:space="preserve">      de clientes y validar selectivamente la documen-</t>
  </si>
  <si>
    <t xml:space="preserve">      tación que soporta a los saldos.</t>
  </si>
  <si>
    <t xml:space="preserve">4.3 Efectuar    procedimientos    posteriores     para </t>
  </si>
  <si>
    <t xml:space="preserve">     validar  los  saldos,  su   integridad  y  propiedad</t>
  </si>
  <si>
    <t>4.4 Con base a la política de crédito  de  la empresa</t>
  </si>
  <si>
    <t xml:space="preserve">      identificar los siguiente:</t>
  </si>
  <si>
    <t>4.4.1  Saldos  antiguos o contrarios a su naturaleza</t>
  </si>
  <si>
    <t>4.4.2  Efectuar  trabajo de análisis  de  cobrabilidad</t>
  </si>
  <si>
    <t xml:space="preserve">         y  proponer  la  reserva  sobre  los  saldos  de </t>
  </si>
  <si>
    <t xml:space="preserve">        dudosa   recuperación   con  base  en  nuestro</t>
  </si>
  <si>
    <t xml:space="preserve">        análisis  efectuado.    (propiedad,   existencia,</t>
  </si>
  <si>
    <t xml:space="preserve">        ocurrencia, valuación, corte)</t>
  </si>
  <si>
    <t>Por los anticipos a proveedores validar la naturaleza</t>
  </si>
  <si>
    <t>y razonabilidad del saldo aplicado técnicas de docu-</t>
  </si>
  <si>
    <t>mentación y análisis (propiedad, existencia)</t>
  </si>
  <si>
    <t>Efectuar  las  valuaciones  de  cuentas  en   dólares</t>
  </si>
  <si>
    <t>aplicando   los   tipos   de   cambio   de   referencia</t>
  </si>
  <si>
    <t>publicados por la Banca Central y compararlas  con</t>
  </si>
  <si>
    <t>los registros contables (valuación, propiedad)</t>
  </si>
  <si>
    <t>Efectuar   confirmaciones  de  saldos  mediante   el</t>
  </si>
  <si>
    <t>formato establecido, seleccionando los  clientes  en</t>
  </si>
  <si>
    <t>base a su materialidad  e  importancia  ( propiedad,</t>
  </si>
  <si>
    <t>existencia, valuación ).</t>
  </si>
  <si>
    <t xml:space="preserve">Realizar   las   comparaciones  entre   los    saldos </t>
  </si>
  <si>
    <t>registrados en contabilidad y  los  confirmados  por</t>
  </si>
  <si>
    <t>los clientes y  determinar  la  razonabilidad  de  los</t>
  </si>
  <si>
    <t>mismos (valuación, integridad)</t>
  </si>
  <si>
    <t xml:space="preserve">Indagar y divulgar si  sobre  la  cartera  de   clientes </t>
  </si>
  <si>
    <t>existen pignoraciones  con  instituciones  bancarias</t>
  </si>
  <si>
    <t>(ocurrencia o existencia ).</t>
  </si>
  <si>
    <t>Por las cuentas por cobrar afiliadas  o  relacionadas</t>
  </si>
  <si>
    <t>confirmar los saldos y  procurar  obtener  respuesta</t>
  </si>
  <si>
    <t>para efectuar el cruce de información.  ( existencia,</t>
  </si>
  <si>
    <t>ocurrencia )</t>
  </si>
  <si>
    <t>En el caso de que no se consiga la respuesta a las confirmaciones enviadas, efectuar lo siguiente:</t>
  </si>
  <si>
    <t>11.1  Solicitar   el  estado  de  cuenta   del   cliente</t>
  </si>
  <si>
    <t xml:space="preserve">11.2  Solicitar los  recibos  de  caja  en  donde   se </t>
  </si>
  <si>
    <t xml:space="preserve">        pueda verificar que el saldo  del  cliente  a   la </t>
  </si>
  <si>
    <t xml:space="preserve">        fecha haya sido cancelado  en  su  totalidad.</t>
  </si>
  <si>
    <t>11.3  Caso contrario validar el saldo a través  de  el</t>
  </si>
  <si>
    <t xml:space="preserve">        cotejo de facturas a un  100 %  del  saldo  no</t>
  </si>
  <si>
    <t xml:space="preserve">        cancelado.</t>
  </si>
  <si>
    <t>En las cuentas por cobrar empleados y funcionarios validar    que    se    encuentren    soportadas   por documento legal ( pagare, etc. ), además indagar si se cuenta con plan de pagos y evaluar su adecuado cumplimiento. ( existencia, propiedad, ocurrencia )</t>
  </si>
  <si>
    <t>En los impuestos por cobrar, solicitar declaraciones y  cotejarlas  contra  la  integración   proporcionada, además  evaluar  la  recuperabilidad  de  los  saldos atendiendo    a    las   leyes   vigentes.   ( valuación, existencia, propiedad )</t>
  </si>
  <si>
    <t>Por   las   otras   cuentas   por  cobrar  explicar  su naturaleza     y    validar     el    saldo      aplicando procedimientos de validación  documental o cobros posteriores.   ( integridad,  existencia,   ocurrencia, propiedad )</t>
  </si>
  <si>
    <t>Elaborar un memorándum de  revisión  del  área  de Cuentas por Cobrar en revisión preliminar.   ( Todas las aseveraciones )</t>
  </si>
  <si>
    <t>Efectuar una conclusión sobre el trabajo  realizado, indicando  si  el  área  se  encuentra  presentada  y registrada  razonablemente,  la  misma   debe   ser elaborada en la cédula sumaria de la revisión final.</t>
  </si>
  <si>
    <t>Trasladar las deficiencias de control identificadas en</t>
  </si>
  <si>
    <t>esta área a la cédula de trabajo respectiva</t>
  </si>
  <si>
    <t>Identificar  posibles  ajustes  y/o  reclasificaciones, discutirlos con el personal adecuado  y luego de su aprobación correrlos en papeles y  trasladarlos a la cédula  (s)  que  correspondan,  aplica   solo   para revisión final. ( propiedad, corte, presentación )</t>
  </si>
  <si>
    <t>Para los saldos a cobrar en moneda extranjera a afiliadas, verificar su conversión al tipo de cambio a la fecha de cierre y proponer ajuste, si procediera.</t>
  </si>
  <si>
    <t xml:space="preserve">        Respuestas conformes</t>
  </si>
  <si>
    <t xml:space="preserve">        Respuestas inconformes aclaradas</t>
  </si>
  <si>
    <t xml:space="preserve">        Respuestas no contestadas</t>
  </si>
  <si>
    <t xml:space="preserve">        Respuestas devueltas por correo</t>
  </si>
  <si>
    <r>
      <t>3.</t>
    </r>
    <r>
      <rPr>
        <sz val="7"/>
        <rFont val="Cambria"/>
        <family val="1"/>
      </rPr>
      <t xml:space="preserve">     </t>
    </r>
    <r>
      <rPr>
        <sz val="12"/>
        <rFont val="Cambria"/>
        <family val="1"/>
      </rPr>
      <t>Realizar 2do. envío de ser necesario a la segunda semana de haber remitido el 1er. envío.</t>
    </r>
  </si>
  <si>
    <r>
      <t>4.</t>
    </r>
    <r>
      <rPr>
        <sz val="7"/>
        <rFont val="Cambria"/>
        <family val="1"/>
      </rPr>
      <t xml:space="preserve">     </t>
    </r>
    <r>
      <rPr>
        <sz val="12"/>
        <rFont val="Cambria"/>
        <family val="1"/>
      </rPr>
      <t>Verificar la exactitud aritmética de las aclaraciones.</t>
    </r>
  </si>
  <si>
    <r>
      <t>5.</t>
    </r>
    <r>
      <rPr>
        <sz val="7"/>
        <rFont val="Cambria"/>
        <family val="1"/>
      </rPr>
      <t xml:space="preserve">     </t>
    </r>
    <r>
      <rPr>
        <sz val="12"/>
        <rFont val="Cambria"/>
        <family val="1"/>
      </rPr>
      <t xml:space="preserve">Proponer ajustes que puedan resultar de la revisión. </t>
    </r>
  </si>
  <si>
    <r>
      <t>6.</t>
    </r>
    <r>
      <rPr>
        <sz val="7"/>
        <rFont val="Cambria"/>
        <family val="1"/>
      </rPr>
      <t xml:space="preserve">     </t>
    </r>
    <r>
      <rPr>
        <sz val="12"/>
        <rFont val="Cambria"/>
        <family val="1"/>
      </rPr>
      <t>Efectuar un estudio de cobrabilidad considerando los saldos por cobrar antiguos y/o con algún problema potencial o real conocido.</t>
    </r>
  </si>
  <si>
    <t>3.     Verificar su exactitud aritmética.</t>
  </si>
  <si>
    <t>4.     Identificar las cuentas por cobrar a más de un mes de antigüedad é investigar el porque de su morosidad.</t>
  </si>
  <si>
    <t xml:space="preserve">1.     Preparar control de circularización é indicar  las posibles respuestas a ser  recibidas: </t>
  </si>
  <si>
    <t xml:space="preserve">2.     Obtener los auxiliares de clientes y otras cuentas por cobrar pendientes de vencimiento.     </t>
  </si>
  <si>
    <r>
      <t>2.</t>
    </r>
    <r>
      <rPr>
        <sz val="7"/>
        <rFont val="Cambria"/>
        <family val="1"/>
      </rPr>
      <t xml:space="preserve">     </t>
    </r>
    <r>
      <rPr>
        <sz val="12"/>
        <rFont val="Cambria"/>
        <family val="1"/>
      </rPr>
      <t>Entregar modelo de circularización a la Empresa  para que sean preparadas las cartas. Efectuar 1er. envió y procurar la obtención de respuestas.</t>
    </r>
  </si>
  <si>
    <t xml:space="preserve">1.       Elaborar cédula sumaria y cruzar referencia a    cédula centralizadora de activo.     </t>
  </si>
  <si>
    <t>2. Evaluar la propiedad del cliente sobre cuentas por cobrar y las ventas contabilizadas.</t>
  </si>
  <si>
    <t>1. Obtener balance de prueba de la cartera por edades de las cuentas por cobrar comerciales y análisis de otras cuentas por cobrar y conciliar con mayores.</t>
  </si>
  <si>
    <t>1.1 Obtener análisis de documentos por cobrar e interés respectivo.</t>
  </si>
  <si>
    <t>1.2 Inspeccionar documentos disponibles y confirmar aquéllos que no están disponibles</t>
  </si>
  <si>
    <t>1.3  Confirmar cuentas por cobrar con deudores.</t>
  </si>
  <si>
    <t>1.4 Revisar el corte e fin de año de las transacciones de ventas, documentos por cobrar y recaudo de intereses.</t>
  </si>
  <si>
    <t>1.5 Realizar procedimientos analíticos sobre los documentos por cobrar y recaudo de intereses.</t>
  </si>
  <si>
    <t>1.6  Verificar el interés ganado sobre los documentos por cobrar e intereses acumulados por cobrar.</t>
  </si>
  <si>
    <t>2.2 . Verificar si las cuentas por cobrar han sido pignoradas.</t>
  </si>
  <si>
    <t>2.1  Determinar si la provisión para cuentas incobrables es adecuada.</t>
  </si>
  <si>
    <t>2.3 investigar los documentos o cuentas por cobrar con partes relacionadas.</t>
  </si>
  <si>
    <t>2.4 Evaluar la presentación y revelación en los estados financieros de las cuentas por cobrar y las ventas.</t>
  </si>
  <si>
    <t>Verificar   que   las   operaciones   aritméticas   del balance de  saldos  de  esta  área  sean  correctas.       ( integridad )</t>
  </si>
  <si>
    <t>Solicitar   las   integraciones   de   las   inversiones atendiendo a la materialidad e  importancia  de  los saldos. ( integridad )</t>
  </si>
  <si>
    <t>Verificar    los    cálculos    aritméticos    de     las integraciones  y   cotejarlos   con    los    registros contables DMG ( integridad )</t>
  </si>
  <si>
    <t>Indagar a que corresponden estas inversiones, si es entre compañías relacionadas revelarlo, documentar su  naturaleza,  verificar  el   %   de  participación  y efectuar si es posible el cruce de información cuando  sean  inversiones   en    Compañias    relacionadas.           ( integridad, derecho )</t>
  </si>
  <si>
    <t>Efectuar una conclusión sobre el trabajo  realizado, indicando si  el  área  se  encuentra  presentada  y registrada  razonablemente,  la  misma  debe   ser elaborada en la cédula sumaria de la revisión final.</t>
  </si>
  <si>
    <t>Identificar posibles ajustes y/o reclasificaciones en los papeles de trabajo, posterior a su  discusión  y aprobación correrlos en papeles y trasladarlos a la cédula,   según   corresponda.   ( presentación   y exposición )</t>
  </si>
  <si>
    <t>Trasladar las deficiencias de control identificadas en esta área a la cédula de trabajo respectiva.             ( presentación )</t>
  </si>
  <si>
    <r>
      <t>OBSERVACIONES:</t>
    </r>
    <r>
      <rPr>
        <sz val="10"/>
        <rFont val="Arial"/>
        <family val="2"/>
      </rPr>
      <t xml:space="preserve"> Dentro de cada punto a evaluar se incluye entre parentesis la aseveración contable que se esta analizando, mediante la aplicación de nuestros procedimientos y técnicas de auditoria generalmente aceptadas.</t>
    </r>
  </si>
  <si>
    <t>Solicitar las integraciones a la  fecha  de  revisión y verificar  las  operaciones  aritméticas. ( integridad )</t>
  </si>
  <si>
    <t>Cotejar los  saldos  de   las  integraciones  con  los registros contables DMG ( integridad )</t>
  </si>
  <si>
    <t>Solicitar el auxiliar de inventarios, incluyendo su antigüedad y efectuar lo siguiente:</t>
  </si>
  <si>
    <t>4.1  Verificar operaciones aritméticas</t>
  </si>
  <si>
    <t>4.3  Establecer diferencias y proceder a su análisis</t>
  </si>
  <si>
    <t xml:space="preserve">      (Integridad, existencia, ocurrencia, valuación )</t>
  </si>
  <si>
    <t>Seleccionar un  mínimo de cinco artículos y proceder de la siguiente forma:</t>
  </si>
  <si>
    <t>5.3  Establecer las diferencias y efectuar la proyec-</t>
  </si>
  <si>
    <t xml:space="preserve">      ción al inventario total.</t>
  </si>
  <si>
    <t xml:space="preserve">      (existencia, valuación, ocurrencia, propiedad)</t>
  </si>
  <si>
    <t>Efectuar un voucheo de importaciones de mercaderia, observando la correcta distribución de gastos al costo del artículo, así como también la propiedad del inventario ( integridad, propiedad, valuación )</t>
  </si>
  <si>
    <t>Efectuar trabajo sobre la mercaderia en tránsito que incluya: voucheo de esa mercaderia, ingreso a bodegas y registro en los libros contables (presentación, propiedad, existencia, integridad )</t>
  </si>
  <si>
    <t>Con base en el reporte de inventarios obsoletos o de lento movimiento, documentar la fecha del último movimiento y cuantificar la cantidad de mercaderia bajo estas condiciones y proponer la reserva correspondiente ( valuación )</t>
  </si>
  <si>
    <t>Efectuar una conclusión sobre el trabajo realizado, indicando si el área se encuentra presentada y registrada razonablemente, la misma debe ser elaborada en la cédula sumaria de la revisión final.</t>
  </si>
  <si>
    <t>Trasladar las deficiencias de control identificadas en esta área a la cédula de trabajo respectiva (presentación )</t>
  </si>
  <si>
    <t>Identificar posibles ajustes y/o reclasificaciones, discutirlos con el personal adecuado y luego de su aprobación correrlos en papeles y trasladarlos a la cédula(s) que correspondan, aplica sólo para revisión final. ( propiedad, corte, presentación )</t>
  </si>
  <si>
    <t>Solicitar el auxiliar de activos fijos y verificar las operaciones aritméticas ( integridad ), el auxiliar debe contener como mínimo la siguiente información:</t>
  </si>
  <si>
    <t>2.1  Costo de Adquisición</t>
  </si>
  <si>
    <t>2.2  Fecha de Adquisición</t>
  </si>
  <si>
    <t>2.3  Depreciación acumulada</t>
  </si>
  <si>
    <t>2.4  Depreciación mensual</t>
  </si>
  <si>
    <t>2.5  Porcentaje de depreciación</t>
  </si>
  <si>
    <t>2.6  Valor en libros a la fecha</t>
  </si>
  <si>
    <t xml:space="preserve">      ( valuación, presentación )</t>
  </si>
  <si>
    <t>Cotejar los saldos del auxiliar de activos fijos con los registros contables DMG ( integridad )</t>
  </si>
  <si>
    <t>Solicitar el movimiento de cuenta de los activos fijos y  preparar  el  movimiento  observando:  adiciones, bajas o traslados ( integridad )</t>
  </si>
  <si>
    <t>Con base al movimiento de activos  seleccionar  los saldos   más    importantes    atendiendo    a    su materialidad   y   solicitar  la  documentación  para validar   las   adiciones   del   período  ( integridad, propiedad, existencia )</t>
  </si>
  <si>
    <t>En base al movimiento de activos  seleccionar  los saldos    mas    importantes    atendiendo    a   su materialidad   y  solicitar   la  documentación  para validar las bajas del  periodo,  ademas  observar  la adecuada autorización para  su  venta  ( integridad, propiedad, existencia )</t>
  </si>
  <si>
    <t>Solicitar   el   movimiento   de   cuenta    de    las depreciaciones     acumuladas    y    preparar     el movimiento    observando:   adiciones,    bajas    o traslados (existencia, corte )</t>
  </si>
  <si>
    <t>Efectuar   una   prueba  global  de  depreciaciones, tomando   en   consideración   activos   totalmente depreciados, porcentajes aplicados  entre  otros  y comparar   los   resultados  con  los  abonos  a  la depreciación   del   período  ( valuación,  integridad, corte )</t>
  </si>
  <si>
    <t>Efectuar el ligue a resultados de las depreciaciones acumuladas del período y verificar su  razonabilidad   ( valuación, integridad )</t>
  </si>
  <si>
    <t>Efectuar una conclusión sobre el trabajo realizado, indicando si  el  área  se  encuentra  presentada  y registrada  razonablemente,  la  misma   debe  ser elaborada en la cédula sumaria de la revisión final.</t>
  </si>
  <si>
    <t>Trasladar las deficiencias  de  control  identificadas  en  esta  área  a  la  cédula  de  trabajo  respectiva ( presentación )</t>
  </si>
  <si>
    <t>Identificar posibles  ajustes  y/o  reclasificaciones, discutirlos con el personal adecuado y luego de su aprobación correrlos en papeles y trasladarlos a la cédula  (s)   que  correspondan,  aplica  sólo  para revisión final. ( propiedad, corte, presentación )</t>
  </si>
  <si>
    <t>Cédula Sumaria de Depreciación y Gastos de anticipados</t>
  </si>
  <si>
    <t>Verificar que las operaciones aritméticas del balance de  saldos de esta área sean correctas. ( integridad )</t>
  </si>
  <si>
    <t>Solicitar las integraciones de las cuentas por pagar atendiendo a la materialidad e  importancia  de  los saldos. ( integridad )</t>
  </si>
  <si>
    <t>Verificar    los    cálculos    aritméticos     de     las integraciones    y    cotejarlos   con   los   registros contables DMG ( integridad )</t>
  </si>
  <si>
    <t>Solicitar el auxiliar de proveedores locales y del exterior y su antigüedad y aplicar lo siguiente:</t>
  </si>
  <si>
    <t>4.1   Cotejar el total del auxiliar con el DMG</t>
  </si>
  <si>
    <t>4.2   Seleccionar  una  muestra  representativa  del</t>
  </si>
  <si>
    <t xml:space="preserve">        total de proveedores y  validar  selectivamente </t>
  </si>
  <si>
    <t xml:space="preserve">        documentación que soporta a los saldos.</t>
  </si>
  <si>
    <t>4.3   Con base a la  política de  créditos  que  se  le</t>
  </si>
  <si>
    <t xml:space="preserve">        otorga a la empresa identificar lo siguiente:</t>
  </si>
  <si>
    <t>4.3.1 Saldos antiguos o contrarios a su naturaleza</t>
  </si>
  <si>
    <t>4.4   Solicitar el estado de cuenta del proveedor</t>
  </si>
  <si>
    <t xml:space="preserve">4.5   Solicitar  los  cheques  voucher  en  donde  se </t>
  </si>
  <si>
    <t xml:space="preserve">       pueda verificar que el saldo del proveedor  a  la </t>
  </si>
  <si>
    <t xml:space="preserve">       fecha haya sido cancelado en su totalidad.</t>
  </si>
  <si>
    <t xml:space="preserve">4.6   Caso contrario validar el saldo a  través  de  el </t>
  </si>
  <si>
    <t xml:space="preserve">       cotejo de facturas a  un  100 %  del  saldo  no </t>
  </si>
  <si>
    <t xml:space="preserve">       cancelado.</t>
  </si>
  <si>
    <t>Por   los   anticipos   en  Tiendas  y  Depósitos  en Garantía validar la  naturaleza  y  razonabilidad  del saldo   aplicando   técnicas  de   documentación  y análisis ( propiedad, existencia )</t>
  </si>
  <si>
    <t>Efectuar   las   valuaciones   de    cuentas   en    dólares aplicando los tipos de cambio de referencia publicados por la Banca Central  y  compararlas  con  los  registros contables. ( valuación, propiedad )</t>
  </si>
  <si>
    <t>Efectuar   confirmaciones   de  saldos  mediante  el formato establecido, seleccionando los proveedores con base  a  su  materialidad  e  importancia. (propiedad, existencia, valuación )</t>
  </si>
  <si>
    <t>Realizar    las    comparaciones      entre    los    saldos registrados en contabilidad y  los  confirmados por los proveedores   y   determinar   la   razonabilidad  de  los mismos. ( valuación, integridad )</t>
  </si>
  <si>
    <t>Por  las cuentas  por  pagar afiliadas o relacionadas confirmar los saldos y procurar obtener respuesta para efectuar el cruce de información y realizar los ligues correspondientes, de existir diferencias significativas aclararlas e incluirlas en la Carta a la Gerencia a la fecha de revisión. (existencia, ocurrencia)</t>
  </si>
  <si>
    <t>En los impuestos por pagar,  solicitar  declaraciones  y cotejarlas contra la integración proporcionada, además evaluar la vigencia  de  los  saldos  atendiendo  a  las leyes vigentes. ( valuación, existencia, propiedad )</t>
  </si>
  <si>
    <t>Por las otras cuentas  por  pagar  y  cuotas  patronales solicitar las integraciones, atendiendo a la materialidad e importancia de los saldos explicando su naturaleza y validar el saldo aplicando procedimientos de validación documental o pagos posteriores ( integridad, existencia, ocurrencia, propiedad )</t>
  </si>
  <si>
    <t>Elaborar un  memorándum  en  la  revisión  preliminar, que  incluya los  rubros  de  proveedores  del  exterior, otras cuentas por pagar, cuotas patronales, compañías relacionadas e impuestos para pagar, de acuerdo a los procedimientos descritos en los numerales 1, 2, 3, 6, 9, 10 y 11. ( existencia, integridad, obligación y presentación )</t>
  </si>
  <si>
    <t>Efectuar  una  conclusión  sobre  el  trabajo  realizado, indicando  si  el   área   se   encuentra   presentada   y registrada   razonablemente,   la   misma    debe   ser elaborada en la cédula sumaria de la revisión final.</t>
  </si>
  <si>
    <t>Identificar posibles ajustes y/o reclasificaciones en los papeles  de  trabajo,  posterior  a  su  discusión   y aprobación correrlos en papeles y trasladarlas a la cédula, según corresponda. ( presentación )</t>
  </si>
  <si>
    <t>Trasladar las deficiencias de control identificadas en esta   área  a  la  cédula   de   trabajo   respectiva.             ( presentación )</t>
  </si>
  <si>
    <t>Verificar que las operaciones aritméticas del balance de saldos de esta área sean correctas ( integridad )</t>
  </si>
  <si>
    <t>Solicitar las integraciones a la fecha de revisión y verificar las operaciones aritméticas ( Integridad )</t>
  </si>
  <si>
    <t>Cotejar los saldos de las integraciones con los registros contables DMG ( integridad )</t>
  </si>
  <si>
    <t>Solicitar el movimiento de cuenta de préstamos bancarios y preparar el movimiento observando: adiciones, bajas o traslados, en adición en la elaboración de la cédula sumaria es necesario incluir la siguiente información:</t>
  </si>
  <si>
    <t>4.1   Vigencia del préstamo</t>
  </si>
  <si>
    <t>4.2   Tasa de interés</t>
  </si>
  <si>
    <t>4.3   Garantía</t>
  </si>
  <si>
    <t>4.4   Forma de amortización de capital e intereses</t>
  </si>
  <si>
    <t>Con base al movimiento elaborado, seleccionar las amortizaciones a capital más importantes atendiendo a la materialidad establecida y proceder a efectuar el voucheo de pagos, observando el adecuado registro contable.</t>
  </si>
  <si>
    <t>Verificar los intereses que se han cancelado durante el período de revisión como resultado de los préstamos contratados y realizar el trabajo correspondiente para efecto de validar los intereses.  Ligar los mismos a resultados y a la cuenta por pagar por este concepto cuando proceda. ( corte, existencia )</t>
  </si>
  <si>
    <t>Verificar con base al movimiento elaborado, las adiciones al préstamo, renovaciones o ampliaciones de capital y documentar sus autorizaciones</t>
  </si>
  <si>
    <t>Efectuar las valuaciones de préstamos en dólares aplicando los tipos de cambio de referencia publicados por la Banca Central y compararlas con los registros contables ( valuación, propiedad )</t>
  </si>
  <si>
    <t>Efectuar confirmaciones de saldos mediante el formato establecido, a todas las instituciones en donde la empresa posea préstamos bancarios (propiedad, existencia, valuación)</t>
  </si>
  <si>
    <t>Realizar las comparaciones entre los saldos registrados en contabilidad y los confirmados por las instituciones y determinar la razonabilidad de los mismos ( valuación, integridad )</t>
  </si>
  <si>
    <t>Verificar que exista punto de acta sobre la autorización de los préstamos realizados durante el período y ligarlos a donde corresponda con la respectiva lectura de actas. ( integridad, obligación )</t>
  </si>
  <si>
    <t>Efectuar una conclusión sobre el trabajo realizado, indicando si el área se encuentra presentada y registrada razonablemente, la misma debe ser elaborada en la cédula sumaria de la revisión final</t>
  </si>
  <si>
    <t>Trasladar las deficiencias de control identificadas en esta área a la cédula de trabajo respectiva (presentación)</t>
  </si>
  <si>
    <t>Verificar que las operaciones aritmeticas del balance de saldos de esta area sean correctas.       ( integridad )</t>
  </si>
  <si>
    <t>Solicitar el talonario de acciones para proceder a efectuar el arqueo respectivo, tomando en consideración lo indicado en la escritura de constitución y observar el tipo de acción y si las mismas generan intereses o remuneraciones especiales. ( integridad, existencia, propiedad, valuación )</t>
  </si>
  <si>
    <t>Cotejar el arqueo de acciones efectuado con los registros contables DMG ( integridad )</t>
  </si>
  <si>
    <t>Solicitar el movimiento de las cuentas que integran el patrimonio y preparar el movimiento observando: adiciones, bajas o traslados, de las siguientes cuentas:</t>
  </si>
  <si>
    <t>4.1   Capital autorizado, suscrito y pagado</t>
  </si>
  <si>
    <t>4.2   Reservas de Capital</t>
  </si>
  <si>
    <t>4.3   Utilidades acumuladas o retenidas</t>
  </si>
  <si>
    <t>4.4   Pago de dividendos o anticipos a utilidades</t>
  </si>
  <si>
    <t>En base al movimiento elaborado, seleccionar la documentación que respaldan a las operaciones mas importantes atendiendo a la materialidad establecida y proceder a efectuar el analisis de la información, observando el adecuado registro contable y autorizaciones respectivas.</t>
  </si>
  <si>
    <t>En base a lo descrito en el numeral 4, verificar y documentar de ser posible con extractos las actas de Consejo de Administración y de la Asamblea de Accionistas que tengan relación con este rubro y que las mismas se hayan originado durante el periodo de revisión.</t>
  </si>
  <si>
    <t>Efectuar una conclusión sobre el trabajo realizado, indicando si el area se encuentra presentada y registrada razonablemente, la misma debe ser elaborada en la cedula sumaria de la revisión final.</t>
  </si>
  <si>
    <t>Identificar posibles ajustes y/o reclasificaciones en los papeles de trabajo, posterior a su discusión y aprobación correrlos en papeles y trasladarlos a las cedulas, según corresponda.</t>
  </si>
  <si>
    <t>Trasladar las deficiencias de control identificadas en esta area a la cedula de trabajo respectiva.             ( presentación )</t>
  </si>
  <si>
    <t>Solicitar los estados de resultados mensuales y proceder a tabular las ventas en cedula sumaria que debe incluir lo siguiente:</t>
  </si>
  <si>
    <t>2.1   Tipo de ingresos</t>
  </si>
  <si>
    <t>2.2   Descuentos o devoluciones</t>
  </si>
  <si>
    <t>2.3   Ventas netas</t>
  </si>
  <si>
    <t>Obtener las declaraciones del IVA y proceder a compararlas con los registros contables, en adición solicitar los libros de ventas y efectuar la comparación con las declaraciones. ( corte, existencia, ocurrencia )</t>
  </si>
  <si>
    <t>En base a la materialidad establecida seleccionar algunos meses del ejercicio y proceder a efectuar lo siguiente:</t>
  </si>
  <si>
    <t xml:space="preserve">4.2   Proceder a la revisión de facturas observando </t>
  </si>
  <si>
    <t xml:space="preserve">       correlatividad, calculos numericos y requisitos</t>
  </si>
  <si>
    <t xml:space="preserve">       fiscales, ademas de la cronologia de ellas.</t>
  </si>
  <si>
    <t xml:space="preserve">4.3   Seleccionar algunas facturas y efectuar lo </t>
  </si>
  <si>
    <t xml:space="preserve">       siguiente:</t>
  </si>
  <si>
    <t xml:space="preserve">4.3.1 Observar la autorización de la venta y sus </t>
  </si>
  <si>
    <t xml:space="preserve">        condiciones. ( crédito, contado )</t>
  </si>
  <si>
    <t xml:space="preserve">4.3.2 Verificar que la  factura  incluya  firma  del </t>
  </si>
  <si>
    <t xml:space="preserve">         cliente o sello de recibido de conformidad</t>
  </si>
  <si>
    <t>4.3.3 Obtener el  pedido a  inventarios  y  cotejar  a</t>
  </si>
  <si>
    <t xml:space="preserve">         la factura fisica, observando que los datos de</t>
  </si>
  <si>
    <t xml:space="preserve">         salida concuerden sin excepción</t>
  </si>
  <si>
    <t>4.3.4 Por las notas de crédito observar la  nota  de</t>
  </si>
  <si>
    <t xml:space="preserve">        devolución a inventario y verificar la adecuada</t>
  </si>
  <si>
    <t xml:space="preserve">        autorización y registro</t>
  </si>
  <si>
    <t>Verificar que los precios incluidos en las facturas se encuentran actualizados y autorizados en base al listado de precios</t>
  </si>
  <si>
    <t>Por los otros ingresos aplicar pruebas globales o algunas otras aplicables con el fin de probar la razonabilidad y adecuado registro de los mismos.    ( integridad, valuación, corte )</t>
  </si>
  <si>
    <t>Identificar posibles ajustes y/o reclasificaciones en los papeles de trabajo, posterior a su discusión y aprobación correrlos en papeles y trasladarlos a las cedulas, según corresponde.</t>
  </si>
  <si>
    <t xml:space="preserve">      </t>
  </si>
  <si>
    <t>4.1   Obtener la facturación y notas de crédito de  los meses seleccionados</t>
  </si>
  <si>
    <t>En los costos de ventas, ligar los resultados de las pruebas realizadas en el area de inventarios            ( voucheo de importaciones, compras locales, fletes y otros ) y verificar que el costo se encuentre adecuadamente valuado y documentado.</t>
  </si>
  <si>
    <t>En base a la materialidad establecida, solicitar los movimientos de los principales gastos y efectuar lo siguiente:</t>
  </si>
  <si>
    <t>3.1   En base al movimiento de gastos, seleccionar</t>
  </si>
  <si>
    <t xml:space="preserve">        los     pagos mas  importantes  y  solicitar  la </t>
  </si>
  <si>
    <t xml:space="preserve">       documentación   y  efectuar  la  validación  de</t>
  </si>
  <si>
    <t xml:space="preserve">       esas operaciones.</t>
  </si>
  <si>
    <t xml:space="preserve">3.2   Efectuar pruebas globales en gastos en donde </t>
  </si>
  <si>
    <t xml:space="preserve">       se observe una constante en los registros.</t>
  </si>
  <si>
    <t>Efectuar pruebas globales de sueldos y prestaciones laborales comparando los resultados con las provisiones y gastos. (valuación, existencia, ocurrencia )</t>
  </si>
  <si>
    <t>25A</t>
  </si>
  <si>
    <t>CDE</t>
  </si>
  <si>
    <t>Cedula sumaria del Gasto</t>
  </si>
  <si>
    <t>Totales</t>
  </si>
  <si>
    <t>Ejecucion Presupuestaria Ingreso</t>
  </si>
  <si>
    <t>EPI</t>
  </si>
  <si>
    <t>EPG</t>
  </si>
  <si>
    <t>Balance General</t>
  </si>
  <si>
    <t>En RD$</t>
  </si>
  <si>
    <t>Disponibilidades</t>
  </si>
  <si>
    <t>Inversiones Financieras A Corto Plazo</t>
  </si>
  <si>
    <t>Existencia De Bienes De Cambios Y Consumo</t>
  </si>
  <si>
    <t>Cuentas Por Cobrar Empleados</t>
  </si>
  <si>
    <t>Pagos Anticipados</t>
  </si>
  <si>
    <t>Total  Activos Corrientes</t>
  </si>
  <si>
    <t>Maquinarias, Equipos Y Mobiliarios</t>
  </si>
  <si>
    <t>Maquinarias Y Equipos De Producción</t>
  </si>
  <si>
    <t>Equipo De Transporte Tracción Y Elevación</t>
  </si>
  <si>
    <t>Equipos Y Muebles Para Oficina</t>
  </si>
  <si>
    <t>Equipo De Comunicación Y Señalamiento</t>
  </si>
  <si>
    <t>Equipos De Computación</t>
  </si>
  <si>
    <t>Inmuebles</t>
  </si>
  <si>
    <t xml:space="preserve">  Terreno</t>
  </si>
  <si>
    <t>Estructura, Edificaciones  E Instalaciones</t>
  </si>
  <si>
    <t>Depósitos En Garantía</t>
  </si>
  <si>
    <t>Total Activos No Corrientes</t>
  </si>
  <si>
    <t>Total Activos</t>
  </si>
  <si>
    <t>Cuentas Por Pagar A Corto Plazo</t>
  </si>
  <si>
    <t>Retenciones Impositivas Por Pagar</t>
  </si>
  <si>
    <t>Deducciones Personales A Pagar</t>
  </si>
  <si>
    <t>Préstamos Interno A Pagar A Corto Plazo</t>
  </si>
  <si>
    <t>Total Pasivos Corrientes</t>
  </si>
  <si>
    <t>Total Pasivos No Corrientes</t>
  </si>
  <si>
    <t>Patrimonio Institucional</t>
  </si>
  <si>
    <t>Capital Institucional</t>
  </si>
  <si>
    <t>Resultados De Ejercicios Anteriores</t>
  </si>
  <si>
    <t>Resultado Del Ejercicio</t>
  </si>
  <si>
    <t>Total Patrimonio</t>
  </si>
  <si>
    <t>Total Pasivo Y Patrimonio</t>
  </si>
  <si>
    <t>Pasivos No Corrientes</t>
  </si>
  <si>
    <t>Préstamos Interno A Pagar A Largo Plazo</t>
  </si>
  <si>
    <t>SUELDOS, SALARIOS Y BENEFICIOS A EMPLEADOS</t>
  </si>
  <si>
    <t>SUBVENCIONES Y OTROS PAGOS POR TRANSFERENCIAS</t>
  </si>
  <si>
    <t>SUMINISTROS Y MATERIAL PARA CONSUMO</t>
  </si>
  <si>
    <t>GASTO DE DEPRECIACIÓN Y AMORTIZACIÓN</t>
  </si>
  <si>
    <t>OTROS GASTOS</t>
  </si>
  <si>
    <t>GASTOS FINANCIEROS</t>
  </si>
  <si>
    <t>Depreciaciones entre Total de ingresos</t>
  </si>
  <si>
    <t>Transferencias personales entre Total de ingresos</t>
  </si>
  <si>
    <t>Otros gastos entre Total de Gastos</t>
  </si>
  <si>
    <t>Gastos financieros entre Total de Gastos</t>
  </si>
  <si>
    <t>Hay que reclacificar los ingresos por transferencias recibida del gobierno central</t>
  </si>
  <si>
    <t>2.1.2.2.09</t>
  </si>
  <si>
    <t>Equipo medico y de laboratorio</t>
  </si>
  <si>
    <t>En Nuestra opinión, debido a lo expresado en el párrafo anterior, base para nuestra Opinión, el Estado de Ejecución Presupuestaria examinado,  representa razonablemente, en todos sus aspectos importantes, la situación financiera de CORAAMOCA, por el año terminado el 31 de julio del 2020, de conformidad con las Normas de Contabilidad Aplicables al Sector Público emitidas por la Dirección General de Contabilidad Gubernamental (DIGECOG).</t>
  </si>
  <si>
    <t>Consideramos que la evidencia de auditoría que hemos obtenido es suficiente y apropiada para ofrecer una base razonable para nuestra opinión de auditoría al  Estado de Ejecución Presupuestaria de la entidad, por el año terminado del 31 de Julio del 2020 y sus notas explicativas.</t>
  </si>
  <si>
    <t>La administración es responsable de la preparación y presentación razonable del Estado de Ejecución Presupuestaria de CORAAMOCA  para el año 2020  de conformidad con las Normas de Contabilidad Aplicables al Sector Público establecido por la Dirección General de Contabilidad Gubernamental (DIGECOG) y otras Leyes aplicables. Esta responsabilidad incluye: diseñar, implementar y mantener el control interno relevante para la preparación y presentación razonable de los  Estado de Ejecución Presupuestaria que estén libre de representaciones erróneas de importancia relativa, debido ya sea a fraude o error; seleccionar y aplicar Políticas Contables apropiadas y efectuar estimaciones contables que sean razonables en las circunstancias.</t>
  </si>
  <si>
    <t>He recibido el nombramiento como Auditor internos por parte del concejo de Directores de la Corporación del Acueducto y Alcantarillado de Moca, mediante la Resolución No. 32 y contenida en el acta No. 90, basada en la facultad que le confiere al organismo  el artículo 10 de la ley 89-97, en este sentido dentro de las funciones del cargo auditamos el  Estados de Ejecución Presupuestaria de la institución del año 2020.</t>
  </si>
  <si>
    <t>17 de Agosto del 2020</t>
  </si>
  <si>
    <t>La Auditoría a los Estados de Ejecución Presupuestaria de CORAAMOCA, abarcó el periodo comprendidao entre el 1ro. de Enero al 31 de julio del 2020, basado en el plan anual del departamento de Auditoría Interna.</t>
  </si>
  <si>
    <t>Este informe contiene la auditoría a los Estados de Ejecucion Presupuestaria de CORAAMOCA, por el año 2020, la cual se realizo de acuerdo al plan de auditoría que lleva a cabo el departamento de Auditoría Interna de la Institución.</t>
  </si>
  <si>
    <t>Por el periodo comprendido entre el 1ro. de enero del 2020 al 30 de julio del 2020</t>
  </si>
  <si>
    <t>Instalaciones electricas</t>
  </si>
  <si>
    <t>Activos Corrientes</t>
  </si>
  <si>
    <t>Activos No Corrientes</t>
  </si>
  <si>
    <t>Bienes De Uso</t>
  </si>
  <si>
    <t>Pasivos</t>
  </si>
  <si>
    <t>Pasivos Corrientes</t>
  </si>
  <si>
    <t>Ejecutado 1er Trimestre</t>
  </si>
  <si>
    <t>Ejecutado 2do Trimestre</t>
  </si>
  <si>
    <t>Ejecutado 3er Trimestre</t>
  </si>
  <si>
    <t>Transferencias extraordinaria</t>
  </si>
  <si>
    <t>T 1</t>
  </si>
  <si>
    <t>T 2</t>
  </si>
  <si>
    <t>T 3</t>
  </si>
  <si>
    <t>Mantenimiento y reparacion de equipo de comunicaci</t>
  </si>
  <si>
    <t>Resultados  acumulado</t>
  </si>
  <si>
    <t>Resultados positivos (ahorro)/negativo (desahorro)</t>
  </si>
  <si>
    <t>Cargo Dep.  del periodo</t>
  </si>
  <si>
    <t>Dep. Acum.</t>
  </si>
  <si>
    <t>Dep. del Periodo</t>
  </si>
  <si>
    <t>Valor Neto</t>
  </si>
  <si>
    <t>Dep. Acum. F.P.</t>
  </si>
  <si>
    <t>ESTATUS</t>
  </si>
  <si>
    <t>% dep. 2019</t>
  </si>
  <si>
    <t>Registro contable</t>
  </si>
  <si>
    <t>Utilidad periodos anteriores</t>
  </si>
  <si>
    <t>Depreciacion</t>
  </si>
  <si>
    <t>Total activos fijos</t>
  </si>
  <si>
    <t>Total de Activosd</t>
  </si>
  <si>
    <t>Calzados</t>
  </si>
  <si>
    <t>Llantas y neumaticos</t>
  </si>
  <si>
    <t>Maquinaria y equipo de construccion</t>
  </si>
  <si>
    <t>Otros equipos</t>
  </si>
  <si>
    <t xml:space="preserve">Total de Egresos </t>
  </si>
  <si>
    <t>Dep.acum</t>
  </si>
  <si>
    <t>Ejecutado 4to Trimestre</t>
  </si>
  <si>
    <t>Total Ejecutado</t>
  </si>
  <si>
    <t>T 4</t>
  </si>
  <si>
    <t>DR</t>
  </si>
  <si>
    <t>CR</t>
  </si>
  <si>
    <t>Reclasificación Registro contable</t>
  </si>
  <si>
    <t>Control y análisis</t>
  </si>
  <si>
    <t>Depreciación acumulada</t>
  </si>
  <si>
    <t>DEP. ACUM. EDIFICACIONES</t>
  </si>
  <si>
    <t>DEP. ACUM.  MAQ. Y EQUIPOS DE CONSTRUCCION</t>
  </si>
  <si>
    <t>DEP. ACUM. EQUIPO GENERACION ELECTRICA, Y AFINES</t>
  </si>
  <si>
    <t>DEP. ACUM. EQUIPOS MEDICOS</t>
  </si>
  <si>
    <t>DEP. ACUM. EQUIPOS DE COMUNICACION Y TEL.</t>
  </si>
  <si>
    <t>DEP. ACUM. MUEBLES DE OFICINA Y ESTANTERIAS</t>
  </si>
  <si>
    <t>DEP. ACUM. EQUIPOS DE COMPUTO</t>
  </si>
  <si>
    <t>DEP. ACUM. EQUIPO DE TRANSPORTE</t>
  </si>
  <si>
    <t>Depreciacion acumulada</t>
  </si>
  <si>
    <t>Aplicaciones financieras</t>
  </si>
  <si>
    <t>TOTAL APLICACIONES FINANCIERAS</t>
  </si>
  <si>
    <t>TOTAL GASTOS Y APLICACIONES FINANCIERAS</t>
  </si>
  <si>
    <t>Trimestre 1</t>
  </si>
  <si>
    <t>Trimestre 2</t>
  </si>
  <si>
    <t>Trimestre 3</t>
  </si>
  <si>
    <t>Trimestre 4</t>
  </si>
  <si>
    <t>Aplicaciones financieras correntas</t>
  </si>
  <si>
    <t>Efectivos</t>
  </si>
  <si>
    <t>pasivos</t>
  </si>
  <si>
    <t>DISMINUCIÓN DE PASIVOS CORRIENTES</t>
  </si>
  <si>
    <t>Total Efectivo</t>
  </si>
  <si>
    <t xml:space="preserve"> INCREMENTO DE ACTIVOS FINANCIEROS</t>
  </si>
  <si>
    <t xml:space="preserve"> INCREMENTO DE ACTIVOS FINANCIEROS CORRIENTES</t>
  </si>
  <si>
    <t xml:space="preserve"> INCREMENTO DE ACTIVOS FINANCIEROS NO CORRIENTES</t>
  </si>
  <si>
    <t xml:space="preserve"> DISMINUCIÓN DE PASIVOS</t>
  </si>
  <si>
    <t xml:space="preserve"> DISMINUCIÓN DE FONDOS DE TERCEROS</t>
  </si>
  <si>
    <t xml:space="preserve"> DISMINUCIÓN DEPÓSITOS FONDOS DE TERCEROS</t>
  </si>
  <si>
    <t xml:space="preserve"> DISMINUCIÓN DE PASIVOS CORRIENTES</t>
  </si>
  <si>
    <t xml:space="preserve"> DISMINUCIÓN DE PASIVOS NO CORRIENTES</t>
  </si>
  <si>
    <t>1206010031</t>
  </si>
  <si>
    <t>1206990001</t>
  </si>
  <si>
    <t>1206990002</t>
  </si>
  <si>
    <t>1206990003</t>
  </si>
  <si>
    <t>1206990004</t>
  </si>
  <si>
    <t>1206990005</t>
  </si>
  <si>
    <t>1206990006</t>
  </si>
  <si>
    <t>1206990007</t>
  </si>
  <si>
    <t>1206990008</t>
  </si>
  <si>
    <t>Las tasas de depreciación utilizadas para efectos contabales coinciden con las que utiliza la empresa para efectos fiscales</t>
  </si>
  <si>
    <t>4.2  Obtener el inventario físico  realizado  al  cierre   del   ejercicio y cotejarlo con el reporte del sistema</t>
  </si>
  <si>
    <t>5.1  Solicitar el  movimiento  de  las  últimas  cinco compras por artículo.</t>
  </si>
  <si>
    <t>5.2  Solicitar  la  documentación  que   respalden  a  esas compras y luego  proceder  a  efectuar  la  correcta  valuación  del  inventario,  de  acuerdo  al método de valuación utilizado por la empresa</t>
  </si>
  <si>
    <t>Servicios de pintura y derivados con fines de higi</t>
  </si>
  <si>
    <t>Automoviles y camiones</t>
  </si>
  <si>
    <t>2.6.6.1.01</t>
  </si>
  <si>
    <t>Equipo de seguridad</t>
  </si>
  <si>
    <t xml:space="preserve">Realizando un análisis de la facturación por venta realizada durante el mes  y que este  concilie con los depósitos bancarios y por consiguiente al efectivo por aquellas ventas al contado así como los desembolsos de las cuentas bancarias concilien con los pagos realizados a los proveedores durante el año y de nóminas. </t>
  </si>
  <si>
    <t>OBRAS PARA EDIFICACIONES NO RESIDENCIALES</t>
  </si>
  <si>
    <t>Alquiler de equipo para computacion</t>
  </si>
  <si>
    <t>INCENTIVOS POR RENDIMIENTO INDIVIDUAL</t>
  </si>
  <si>
    <t>INCENTIVOS POR RENDIMIENTO LABORAL</t>
  </si>
  <si>
    <t>Obras hidraulicas y sanitarias</t>
  </si>
  <si>
    <t>Codigo</t>
  </si>
  <si>
    <t>Depreciacion a junio 2021</t>
  </si>
  <si>
    <t xml:space="preserve">EDIFICACIONES  </t>
  </si>
  <si>
    <t>EQUIPOS DE COMPUTO</t>
  </si>
  <si>
    <t>EQUIPO DE COMUNICACION  Y TELECOMUNICACION</t>
  </si>
  <si>
    <t xml:space="preserve">MUEBLES DE OFICINA Y ESTANTERIA </t>
  </si>
  <si>
    <t>CKC0077938</t>
  </si>
  <si>
    <t>Retenciones y acumulaciones por pagar (Nota 14)</t>
  </si>
  <si>
    <t>Cambio porcentual con relación al 2020</t>
  </si>
  <si>
    <t xml:space="preserve">EQUIPO DE TRACCION O ELEVACION </t>
  </si>
  <si>
    <t>ELECTRICIDAD NO CORTABLE</t>
  </si>
  <si>
    <t>Electricidad</t>
  </si>
  <si>
    <t>Seguros bienes muebles</t>
  </si>
  <si>
    <t>Ret. Impos. Por Pagar Isr Ir-3</t>
  </si>
  <si>
    <t>Ret Imposit Por Pagar Ir 17 10% Alquiler</t>
  </si>
  <si>
    <t>Ret. P/Seguro Complementario</t>
  </si>
  <si>
    <t>Retenciones Por Pagar Dgii Acuerdos</t>
  </si>
  <si>
    <t>Ret Imposit Por Pagar Ir 17 (10%)</t>
  </si>
  <si>
    <t>Ret Imposit Por Pagar Itbis</t>
  </si>
  <si>
    <t>Resultados acumulado</t>
  </si>
  <si>
    <t>Total pasivos y activos netos/patrimonio</t>
  </si>
  <si>
    <t>Transferencias de la Adm. Central: corriente</t>
  </si>
  <si>
    <t>Transferencias de la Adm. Central: capital</t>
  </si>
  <si>
    <t>Los bienes recibidos en donación son contabilizados a valor razonable, representado por el importe de efectivo y otras partidas equivalentes, que debería pagarse  para  adquirirlo en las condiciones en que se encuentren.</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</si>
  <si>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</si>
  <si>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Electricidad no cortable</t>
  </si>
  <si>
    <t>Equipo de elevacion</t>
  </si>
  <si>
    <t>PERIODOs=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</si>
  <si>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</si>
  <si>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Nota #7</t>
  </si>
  <si>
    <t>Efectivo y equivalentes de efectivo.</t>
  </si>
  <si>
    <t xml:space="preserve"> Nota #8</t>
  </si>
  <si>
    <t>Inversiones a corto plazo</t>
  </si>
  <si>
    <t>Cuentas por cobrar a corto plazo</t>
  </si>
  <si>
    <t>Pagos anticipados</t>
  </si>
  <si>
    <t>Otros activos corrientes</t>
  </si>
  <si>
    <t>Propiedad planta y equipo</t>
  </si>
  <si>
    <t>Cuentas por pagar a corto plazo</t>
  </si>
  <si>
    <t>Acumulaciones por pagar</t>
  </si>
  <si>
    <t>Nota # 15</t>
  </si>
  <si>
    <t>Activos Netos/Patrimonio</t>
  </si>
  <si>
    <t>Nota # 16</t>
  </si>
  <si>
    <t>Ingresos por transacciones con contraprestaciones</t>
  </si>
  <si>
    <t>Ventas de servicios de APS</t>
  </si>
  <si>
    <t>Nota # 17</t>
  </si>
  <si>
    <t>Sueldos, Salarios y beneficios a empleados</t>
  </si>
  <si>
    <t>Suministro y materiales para consumo</t>
  </si>
  <si>
    <t>Nota # 22</t>
  </si>
  <si>
    <t xml:space="preserve">Otros gastos </t>
  </si>
  <si>
    <t>Nota # 23</t>
  </si>
  <si>
    <t xml:space="preserve">Gastos Financieros </t>
  </si>
  <si>
    <t>Compromisos y contingencias</t>
  </si>
  <si>
    <t>Clientes Gubernamentales</t>
  </si>
  <si>
    <t>Clientes privados</t>
  </si>
  <si>
    <t>Nota #1</t>
  </si>
  <si>
    <t xml:space="preserve">Base de presentación </t>
  </si>
  <si>
    <t xml:space="preserve">Nota #2 </t>
  </si>
  <si>
    <t>Nota # 3</t>
  </si>
  <si>
    <t xml:space="preserve">Moneda funcional y de presentación </t>
  </si>
  <si>
    <t>Nota #6</t>
  </si>
  <si>
    <t>Resumen de Políticas Contables significativas</t>
  </si>
  <si>
    <r>
      <t>L</t>
    </r>
    <r>
      <rPr>
        <sz val="11"/>
        <color indexed="8"/>
        <rFont val="Times New Roman"/>
        <family val="1"/>
      </rPr>
      <t>os balances de las cuentas de Propiedad planta y equipo están integrados por los valores históricos registrados.</t>
    </r>
  </si>
  <si>
    <r>
      <t xml:space="preserve">Deducciones al personal </t>
    </r>
    <r>
      <rPr>
        <sz val="11"/>
        <color indexed="8"/>
        <rFont val="Times New Roman"/>
        <family val="1"/>
      </rPr>
      <t>(Histórico Antiguo PP)</t>
    </r>
  </si>
  <si>
    <t>Entidad Económica</t>
  </si>
  <si>
    <t>Nota #4</t>
  </si>
  <si>
    <t>Uso de estimados y Juicios</t>
  </si>
  <si>
    <t>APORTES DEL GOBIERNO PARA GASTOS DE Electricidad</t>
  </si>
  <si>
    <t>RESERVAS CTA.100011701024303 (plan de pensión)</t>
  </si>
  <si>
    <t>Enc. Seccion Contabilidad</t>
  </si>
  <si>
    <t>Directora Adm.-Financiero</t>
  </si>
  <si>
    <t>Joel Andrés Bautista Gómez</t>
  </si>
  <si>
    <t>Robinson Expedito Durán Barcacel</t>
  </si>
  <si>
    <t>Julio  Henríquez Tejada</t>
  </si>
  <si>
    <t>Reynaldo Constantino Méndez Sánchez</t>
  </si>
  <si>
    <t>Cuenta por cobrar a corto plazo (Notas 9)</t>
  </si>
  <si>
    <t xml:space="preserve"> Inventarios (Nota 10)</t>
  </si>
  <si>
    <t>Pagos anticipados (Nota 11)</t>
  </si>
  <si>
    <t>Otros activos corrientes (Nota 12)</t>
  </si>
  <si>
    <t>Propiedad, planta y equipo neto (Nota 13)</t>
  </si>
  <si>
    <t>Cuentas por pagar a corto plazo (Nota 14)</t>
  </si>
  <si>
    <t>Acumulaciones por pagar (Nota 15)</t>
  </si>
  <si>
    <t>Retenciones por pagar (Nota 16)</t>
  </si>
  <si>
    <t>Activos Netos/Patrimonio (Notas 17)</t>
  </si>
  <si>
    <t>Nota # 10</t>
  </si>
  <si>
    <t>Nota # 11</t>
  </si>
  <si>
    <t>Nota # 12</t>
  </si>
  <si>
    <t>Nota # 18</t>
  </si>
  <si>
    <t>Nota # 24</t>
  </si>
  <si>
    <t>Nota # 25</t>
  </si>
  <si>
    <t>Depreciacion  diciembre 2021</t>
  </si>
  <si>
    <t>Deprec.Adq. 2021</t>
  </si>
  <si>
    <t>Contribución al seguro de salud</t>
  </si>
  <si>
    <t>Contribución al seguro pensión</t>
  </si>
  <si>
    <t>Contribución al seguro riesgo laboral</t>
  </si>
  <si>
    <t>Lic. Guillermina Florentino Pérez</t>
  </si>
  <si>
    <t>Instrumentos Financieros</t>
  </si>
  <si>
    <t>COMERCIAL</t>
  </si>
  <si>
    <t>ESPECIAL</t>
  </si>
  <si>
    <t>PUBLICO</t>
  </si>
  <si>
    <t>RESIDENCIAL</t>
  </si>
  <si>
    <t>SIN DATOS</t>
  </si>
  <si>
    <t>HOTELES</t>
  </si>
  <si>
    <t>INDUSTRIAL</t>
  </si>
  <si>
    <t>TOTAL GENERAL</t>
  </si>
  <si>
    <t>Listado de Articulos ordenado por CODIGO</t>
  </si>
  <si>
    <t>Inventario de Articulos al 31/12/2021 Segun 3-UEPS</t>
  </si>
  <si>
    <t>Tipo Inventario : GENERAL</t>
  </si>
  <si>
    <t>orden</t>
  </si>
  <si>
    <t>cantidad</t>
  </si>
  <si>
    <t>costo</t>
  </si>
  <si>
    <t>total</t>
  </si>
  <si>
    <t>TAPONES DE 1/2 PVC</t>
  </si>
  <si>
    <t>TAPONES DE 3/4 PVC</t>
  </si>
  <si>
    <t>TAPONES DE 1 PVC</t>
  </si>
  <si>
    <t>TAPONES DE 1 1/2 PVC</t>
  </si>
  <si>
    <t>TAPONES DE 3 PVC</t>
  </si>
  <si>
    <t>UNIONES DE 1 PVC</t>
  </si>
  <si>
    <t>UNIONES DE 1 1/2 PVC</t>
  </si>
  <si>
    <t>UNIONES DE 2 PVC</t>
  </si>
  <si>
    <t>CODO  DE 1/2 PVC</t>
  </si>
  <si>
    <t>CODO  DE 3/4 PVC</t>
  </si>
  <si>
    <t>CODO  DE 1 PVC</t>
  </si>
  <si>
    <t>CODO  DE 1 1/2 PVC</t>
  </si>
  <si>
    <t>CODO  DE 2 PVC</t>
  </si>
  <si>
    <t>ADAPTADORES M DE 1/2 PVC</t>
  </si>
  <si>
    <t>ADAPTADORES M DE 3/4 PVC</t>
  </si>
  <si>
    <t>ADAPTADORES H DE 1/2 PVC</t>
  </si>
  <si>
    <t>ADAPTADORES H DE 3/4 PVC</t>
  </si>
  <si>
    <t>JUNTA DRESSER DE 1/2 PVC</t>
  </si>
  <si>
    <t>JUNTA DRESSER DE 3/4 PVC</t>
  </si>
  <si>
    <t>JUNTA DRESSER DE 1 PVC</t>
  </si>
  <si>
    <t>JUNTA DRESSER DE 1 1/2 PVC</t>
  </si>
  <si>
    <t>JUNTA DRESSER DE 2 PVC</t>
  </si>
  <si>
    <t>CLAN DE 3 A 1/2 PVC</t>
  </si>
  <si>
    <t>CLAN  DE 4 A 1/2 PVC</t>
  </si>
  <si>
    <t>REDUCIONES DE 3/4 A 1/2 PVC</t>
  </si>
  <si>
    <t>REDUCIONES DE 1 A 1/2 PVC</t>
  </si>
  <si>
    <t>REDUCCIONES DE 1 A 3/4 PVC</t>
  </si>
  <si>
    <t>TUBOS DE PRESION DE 1/2 PVC</t>
  </si>
  <si>
    <t>TUBOS DE PRESION DE 3/4 PVC</t>
  </si>
  <si>
    <t>TUBOS DE PRESION DE 1 PVC</t>
  </si>
  <si>
    <t>TUBOS DE PRESION DE 1 1/2 PVC O P.MANTEN</t>
  </si>
  <si>
    <t>CEMENTO TANGIT DE 1/4 950ML PVC</t>
  </si>
  <si>
    <t>CAJITA DE CLIP GRANDE</t>
  </si>
  <si>
    <t>CAJITA DE CLIP PEQ.</t>
  </si>
  <si>
    <t>CAJA DE LIGA</t>
  </si>
  <si>
    <t>CAJA DE GANCHO M/H</t>
  </si>
  <si>
    <t>CERAS DE CONTAR</t>
  </si>
  <si>
    <t>ALMOHADILLA P/ SELLO</t>
  </si>
  <si>
    <t>RESALTADORES</t>
  </si>
  <si>
    <t>BORRAS</t>
  </si>
  <si>
    <t>SACA PUNTAS</t>
  </si>
  <si>
    <t>SOBRES DE USUARIOS PEQ</t>
  </si>
  <si>
    <t>CINTA PARA IMPRESORAS STAR SP200</t>
  </si>
  <si>
    <t>CINTA  DE SUMADORA</t>
  </si>
  <si>
    <t>CAJA D PAPEL D ORDEN D COMPRA CONTINUAS</t>
  </si>
  <si>
    <t>SOBRES MANILA  9*12</t>
  </si>
  <si>
    <t>ROLLO D PAPEL D SUMADORA 2 1/4</t>
  </si>
  <si>
    <t>ROLLO D PAPEL D IMPRESORAS 3 PULGADA</t>
  </si>
  <si>
    <t>ROLLO DE PAPEL PARA FAX</t>
  </si>
  <si>
    <t>CINTA PARA MAQUINAS KORES 181 XL1000</t>
  </si>
  <si>
    <t>REGLAS PEQ 6 PULGADA</t>
  </si>
  <si>
    <t>GALONES D CLORO</t>
  </si>
  <si>
    <t>FUNDA DE AZUCAR CREMA DE 2 LIBRA</t>
  </si>
  <si>
    <t>PAQUETE DE CAFE</t>
  </si>
  <si>
    <t>PAQUETE D FUNDAS 17 * 22</t>
  </si>
  <si>
    <t>PAQUETE D FUNDAS 36 * 54</t>
  </si>
  <si>
    <t>TALONARIOS D CONTROL D ROTURAS</t>
  </si>
  <si>
    <t>TALONARIOS D  ORDEN D  TRABAJO</t>
  </si>
  <si>
    <t>TALONARIOS D REPORT DIARIO GAZPAR HERNAN</t>
  </si>
  <si>
    <t>TALONARIOS VISITAS D COBRADORES CLIENTES</t>
  </si>
  <si>
    <t>TALONARIOS D  CONVENIO D  PAGO</t>
  </si>
  <si>
    <t>TALONARIOS D  REPORTE DIARIO DE LA ROSA</t>
  </si>
  <si>
    <t>TALONARIOS D  REPORTE DIARIO D  JAMAO</t>
  </si>
  <si>
    <t>CAJA PAPEL FORMA CONTINUAS 9 1/2 * 3 2/3</t>
  </si>
  <si>
    <t>RECIBO D INGRESO D EFECTIVO PEQ C.S.C</t>
  </si>
  <si>
    <t xml:space="preserve">TALONARIOS DE REVISION DOMICILIARIA </t>
  </si>
  <si>
    <t xml:space="preserve">TALONARIOS DE REPORTE DIARIO (VACIADO) </t>
  </si>
  <si>
    <t>RECIBO RP</t>
  </si>
  <si>
    <t>RECIBO INGRESO EFECTIVO INSTITUSION</t>
  </si>
  <si>
    <t>RECIBO CAJA CHICA COMPRA</t>
  </si>
  <si>
    <t>RECIBO CAJA CHICA VERAGUA</t>
  </si>
  <si>
    <t>TALONARIOS DE PERMISO</t>
  </si>
  <si>
    <t>TALONARIOS SUSPENSION DE SERVICIO</t>
  </si>
  <si>
    <t>CAJA DE PAPEL 5 1/2*5 1/2 2P BLANCO 4/1</t>
  </si>
  <si>
    <t>TALONARIOS DE CONTRATO</t>
  </si>
  <si>
    <t>POTE D AGUA PARA LIMPIAL CRISTAL FRIWIG</t>
  </si>
  <si>
    <t>UNIONES DE 3 PVC</t>
  </si>
  <si>
    <t>TALONARIOS CATASTRO VIEJO</t>
  </si>
  <si>
    <t>UNIONES DE 4 PVC</t>
  </si>
  <si>
    <t>TEE DE 1 1/2 PVC</t>
  </si>
  <si>
    <t>TEE DE 1/2 PVC</t>
  </si>
  <si>
    <t>TEE DE 3/4 PVC</t>
  </si>
  <si>
    <t>TAL, DE REQUICISION SOLICITUD DE MATERIA</t>
  </si>
  <si>
    <t>SOBRES EN BLANCO LARGO</t>
  </si>
  <si>
    <t>LIQUIPERPER TIPO LAPIZ</t>
  </si>
  <si>
    <t>PAPEL CARBON</t>
  </si>
  <si>
    <t>CINTA EPSON 8750 FX-80/8750 LX300</t>
  </si>
  <si>
    <t>PAQUETE D FUNDAS NUMERO 6</t>
  </si>
  <si>
    <t>TALONARIOS DE ENTREGA D MATERIALES</t>
  </si>
  <si>
    <t>ABRASADERAS DE HIERRO DE 3 PULGADA</t>
  </si>
  <si>
    <t>SUAPER</t>
  </si>
  <si>
    <t>CAJITA D FOSFORO</t>
  </si>
  <si>
    <t>ADAPTADOR H DE 4 PULGADA PVC</t>
  </si>
  <si>
    <t>BRILLO VERDE</t>
  </si>
  <si>
    <t>PORTA CINTA PEQ</t>
  </si>
  <si>
    <t>JUNTA DRESSER HG D 4 PULGADA CRIOLLA</t>
  </si>
  <si>
    <t>JUNTA DRESSER HG  D 6 PULGADA CRIOLLA</t>
  </si>
  <si>
    <t>AMBIENTADORES</t>
  </si>
  <si>
    <t>MASCOTA</t>
  </si>
  <si>
    <t>ESCOBA</t>
  </si>
  <si>
    <t>CALCULADORAS MEDIANA</t>
  </si>
  <si>
    <t>TAPONES DE 2 PVC</t>
  </si>
  <si>
    <t>SACOS DE SULFATO DE ALUMINIO DE 50KG</t>
  </si>
  <si>
    <t>CLORO GAS,LIBRA.</t>
  </si>
  <si>
    <t>SACOS DE ACE DE 30 LIBRA</t>
  </si>
  <si>
    <t>CLORO GRANULADO, LIBRA.</t>
  </si>
  <si>
    <t>FUNDAS D CEMENTO GRIS</t>
  </si>
  <si>
    <t>CODO  NIPLE D ROCA DE 1/2  HG</t>
  </si>
  <si>
    <t>CODO  NIPLE D ROCA DE 3/4 PVC</t>
  </si>
  <si>
    <t>MEDIDORES DE 1/2</t>
  </si>
  <si>
    <t>MEDIDORES DE 1</t>
  </si>
  <si>
    <t xml:space="preserve">FUNDAS DE CEMENTO BLANCO </t>
  </si>
  <si>
    <t>TRAMO GRIS</t>
  </si>
  <si>
    <t>GALON D PINTURA D TRAFICO AMRILLA</t>
  </si>
  <si>
    <t>GALON DE PINTURA TROPICAL AZUL ALBA</t>
  </si>
  <si>
    <t>TEE DE 4 HG DE HIERRO</t>
  </si>
  <si>
    <t>LAMPARA DE FARO EN ALUMINIO</t>
  </si>
  <si>
    <t>TUBOS D 1/2  PVC ELECTRICO</t>
  </si>
  <si>
    <t>VALVULA D 2  HG D HIERRO COMPLETA</t>
  </si>
  <si>
    <t>JUNTA DRESSER D 12  HG DE HIERRO CRIOLLA</t>
  </si>
  <si>
    <t>JUNTA DRESSER D 8 HG D HIERRO CRIOLLA</t>
  </si>
  <si>
    <t>JUNTA DRESSER D 16 HG D HIERRO  AMERICAN</t>
  </si>
  <si>
    <t>JUNTA DRESSER D 2 HG D HIERRO CRIOLLA</t>
  </si>
  <si>
    <t>CLAN D 3 A 1 HG D HIERRO</t>
  </si>
  <si>
    <t>CLAN D 3 A 1/2 HG D HIERRO</t>
  </si>
  <si>
    <t>CLAN D 4 A 1 HG D HIERRO</t>
  </si>
  <si>
    <t>CINTA PEGANTE ANCHA</t>
  </si>
  <si>
    <t>TOALLA GRANDE DE LIMPIAR</t>
  </si>
  <si>
    <t>TEE DE 1 PVC</t>
  </si>
  <si>
    <t>JUNTA DRESSER D 3 HG D HIERRO CRIOLLA</t>
  </si>
  <si>
    <t>CLAN  D 8 A 3/4 D HIERRO</t>
  </si>
  <si>
    <t>CAJA TELESCOPICA</t>
  </si>
  <si>
    <t>JUNTA DE GOMA DE 8 * 1/8 PULGADA</t>
  </si>
  <si>
    <t>PAQUETE DE HOJAS DE MAYOR PEQ.</t>
  </si>
  <si>
    <t>LAMPARA FLORESENTE TIPO U</t>
  </si>
  <si>
    <t>ADAPTADORES H DE 1 1/2 PVC</t>
  </si>
  <si>
    <t>HOJAS DE ZING NORMAL</t>
  </si>
  <si>
    <t>VARILLA DE CONSTRUSION 3/8</t>
  </si>
  <si>
    <t>CODO DE 4 CURVA PVC</t>
  </si>
  <si>
    <t>CODO DE 3 PVC</t>
  </si>
  <si>
    <t>TEE DE 3 PVC</t>
  </si>
  <si>
    <t>TEE DE 4 PVC</t>
  </si>
  <si>
    <t>TAPONES DE 4 PVC</t>
  </si>
  <si>
    <t>CODO DE 45 GRADO DE 3 PVC</t>
  </si>
  <si>
    <t>CODO DE 4 HG DE HIERRO</t>
  </si>
  <si>
    <t>CODO CURVA DE 3 HG DE HIERRO</t>
  </si>
  <si>
    <t>COPLE DE 4 HG DE HIERRO</t>
  </si>
  <si>
    <t>COPLE DE 3 HG DE HIERRO</t>
  </si>
  <si>
    <t>BLOCK DE 6</t>
  </si>
  <si>
    <t>MEDIDORES DE 2 COMPLETO</t>
  </si>
  <si>
    <t>ADAPTADORES M DE 1 1/2 PVC</t>
  </si>
  <si>
    <t>PAPEL DE BAÑO JUMBO GRANDE</t>
  </si>
  <si>
    <t>FOLDER PLASTICO</t>
  </si>
  <si>
    <t>CLAN DE 2 A 3/4 PVC</t>
  </si>
  <si>
    <t>CLAN DE 3 A 3/4 PVC</t>
  </si>
  <si>
    <t>CLAN DE 4 A 3/4 PVC</t>
  </si>
  <si>
    <t>TUBOS SEMI PRESION DE 8 PVC</t>
  </si>
  <si>
    <t>TALONARIOS REVISION DEL CLIENTE</t>
  </si>
  <si>
    <t>MARCADORES GRUESO PERMANENTE STABILO</t>
  </si>
  <si>
    <t>CALCULADORAS PEQ.</t>
  </si>
  <si>
    <t>PAQUETE DE SERVILLETAS</t>
  </si>
  <si>
    <t>JUNTA DE GOMA 2 * 1/8 PULGADA</t>
  </si>
  <si>
    <t>UNIONES UNIVERSALES DE 1/2 PVC</t>
  </si>
  <si>
    <t>UNIONES UNIVERSALES DE 3/4 PVC</t>
  </si>
  <si>
    <t>PAQUETE FUNDA 28 * 35</t>
  </si>
  <si>
    <t>FUNDAS DE AZUCAR CREMA DE 2 LIBRA</t>
  </si>
  <si>
    <t>TINTA GOTERO</t>
  </si>
  <si>
    <t>TALONARIOS SOLICITUD DE SERVICIO VIEJO</t>
  </si>
  <si>
    <t>LAMPARA PARA DETETAR DINERO</t>
  </si>
  <si>
    <t>CEMENTO TANGIT DE 475ML PVC</t>
  </si>
  <si>
    <t>TAPONES DE PRESION DE 8 PVC</t>
  </si>
  <si>
    <t>BOMBILLO DE 45WA</t>
  </si>
  <si>
    <t>TEIPI DE VINIL SUPER 33-3M</t>
  </si>
  <si>
    <t>BROCHA DE 3</t>
  </si>
  <si>
    <t>PILA CUADRA DE 9V</t>
  </si>
  <si>
    <t>ADAPTADORES M DE 2 PVC</t>
  </si>
  <si>
    <t>PALA DE CORTE</t>
  </si>
  <si>
    <t>LINTERNA RECARGABLE</t>
  </si>
  <si>
    <t>BALANCIN P/INODORO</t>
  </si>
  <si>
    <t>GONCE DE 4 PULGADA</t>
  </si>
  <si>
    <t>PENETRANTE</t>
  </si>
  <si>
    <t>PERITA P/INODORO</t>
  </si>
  <si>
    <t>VALVULA P/INODORO</t>
  </si>
  <si>
    <t>GALON DE AGUA</t>
  </si>
  <si>
    <t>SET P/ESCRITORIO EN METAL 5 PIEZA</t>
  </si>
  <si>
    <t>ENCHUFE</t>
  </si>
  <si>
    <t>TEE DE 2 PVC</t>
  </si>
  <si>
    <t>TEE DE HIERRO HG DE 3</t>
  </si>
  <si>
    <t>DISCO DE PULI N.9</t>
  </si>
  <si>
    <t>REDUCIONES DE 3 A 2 PVC</t>
  </si>
  <si>
    <t>COLIN</t>
  </si>
  <si>
    <t>HACHA COMPLETA</t>
  </si>
  <si>
    <t>LIMA TRIANGULAR</t>
  </si>
  <si>
    <t>ADAPTADORES H DE 1 PVC</t>
  </si>
  <si>
    <t>BARRA ROSCADA 1/8  FINA</t>
  </si>
  <si>
    <t>ARENA METRO</t>
  </si>
  <si>
    <t>GRAVA METRO</t>
  </si>
  <si>
    <t>GRASA PESADA LIBRA</t>
  </si>
  <si>
    <t>CINTA DE PRECAUSION</t>
  </si>
  <si>
    <t>JUNTA DRESSER DE 2 REDUCTORA</t>
  </si>
  <si>
    <t>JUNTA DRESSER HG DE 24" CRIOLLA</t>
  </si>
  <si>
    <t>FUNDAS DE PEGACOL</t>
  </si>
  <si>
    <t>JUNTA DRESSER DE 3 PVC</t>
  </si>
  <si>
    <t xml:space="preserve">TUBOS FLORESENTE 32WAT OSRAM </t>
  </si>
  <si>
    <t>CERRADURA DE BOLITA</t>
  </si>
  <si>
    <t>BARRA ROSCADA DE 1/2 MECANICA</t>
  </si>
  <si>
    <t>VARILLA DE CONSTRUCION 3/4</t>
  </si>
  <si>
    <t>DISCO DE PULIR  N.7</t>
  </si>
  <si>
    <t>SACOS DE SULFATO DE ALUMINIO DE 25KG</t>
  </si>
  <si>
    <t xml:space="preserve">RESMA DE PAPEL 11 * 17 </t>
  </si>
  <si>
    <t>JUNTA DRESSER DE 16  HG DE HIERRO CRIOLL</t>
  </si>
  <si>
    <t>TALONARIOS DE SOLICITUD DE SERVICIO NUEV</t>
  </si>
  <si>
    <t>ADAPTADORES M DE 1 PVC</t>
  </si>
  <si>
    <t>BARRA ROSCADA 5/8 GRANDE</t>
  </si>
  <si>
    <t>MANGUERA P/ LAVA MANO</t>
  </si>
  <si>
    <t>MANGUERA P/ INODORO</t>
  </si>
  <si>
    <t xml:space="preserve">CHEQUE HORIZONTAL DE 3/4 </t>
  </si>
  <si>
    <t>BRAZO HIDRAULICO P/ PUERTA</t>
  </si>
  <si>
    <t>CLAN  DE 6 A 3/4  PVC</t>
  </si>
  <si>
    <t>CLAVO DULCE DE 2 1/2   - LIBRA -</t>
  </si>
  <si>
    <t>LLAVE PASO 1 PULGADA PVC</t>
  </si>
  <si>
    <t>PINZA  P/ SOLDAR</t>
  </si>
  <si>
    <t xml:space="preserve">NIPLE DE 1/2 * 3 </t>
  </si>
  <si>
    <t>LLAVE ANGULAR DE 1/2</t>
  </si>
  <si>
    <t>JUNTA DE CERA P/ INODORO</t>
  </si>
  <si>
    <t>PAR DE TORNILLO TANQUE P/INODORO</t>
  </si>
  <si>
    <t>CARPETA DE 2 PULGADA C/ ALGOLLA</t>
  </si>
  <si>
    <t>CARPETA DE 3 PULGADA C/ ALGOLLA</t>
  </si>
  <si>
    <t>SET DE BANDEJA PLASTICA P/ ESCRITORIO</t>
  </si>
  <si>
    <t>PETILLO PEQUEÑO DE METAL</t>
  </si>
  <si>
    <t>TALONARIOS CAJA CHICA PLANTA LA DURA</t>
  </si>
  <si>
    <t>SIFON SENCILLO</t>
  </si>
  <si>
    <t>BOQUILLA P/ LAVAMANO</t>
  </si>
  <si>
    <t>LLAVE P/ ORINAL</t>
  </si>
  <si>
    <t>ROLLO DE PAPEL TERMICO 3 PULG. VERIFON</t>
  </si>
  <si>
    <t>CINTA EPSON S015631 LX-350 ORIGINAL</t>
  </si>
  <si>
    <t xml:space="preserve">VALVULA P/ SISTERNA DE 3/4 </t>
  </si>
  <si>
    <t xml:space="preserve">DESTORNILLADR DETRIA DE 1/4 * 1 1/2 </t>
  </si>
  <si>
    <t>DESTORNILLADOR PLANO DE 1/4 * 1 1/2</t>
  </si>
  <si>
    <t>DESTORNILLADOR PLANO 3/16</t>
  </si>
  <si>
    <t>GALON DE AGUA P/ BATERIA</t>
  </si>
  <si>
    <t>GALON JABON LIQUIDO</t>
  </si>
  <si>
    <t>DISPENSADOR MANITA LIMPIA</t>
  </si>
  <si>
    <t xml:space="preserve">CODO PVC DE 45 GRADO DE 2 PULGADA  </t>
  </si>
  <si>
    <t>PILA AA</t>
  </si>
  <si>
    <t>TINTA EPSON EP664</t>
  </si>
  <si>
    <t>PINZA DE CORTE</t>
  </si>
  <si>
    <t>PINZA DE PUNTA</t>
  </si>
  <si>
    <t xml:space="preserve">BROCHA DE  2 </t>
  </si>
  <si>
    <t>BROCHA DE 4</t>
  </si>
  <si>
    <t>LLAVE MECANICA DE  N.6</t>
  </si>
  <si>
    <t>LLAVE MECANICA DE  N.8</t>
  </si>
  <si>
    <t>LLAVE MECANICA DE  N.10</t>
  </si>
  <si>
    <t>LLAVE MECANICA N.12</t>
  </si>
  <si>
    <t>LLAVE MECANICA N.18</t>
  </si>
  <si>
    <t>LLAVE MECANICA N.20</t>
  </si>
  <si>
    <t>LLAVE MECANICA N.22</t>
  </si>
  <si>
    <t>MECHA DE 1/4 DE PARED</t>
  </si>
  <si>
    <t>MECHA DE 1 DE PARED</t>
  </si>
  <si>
    <t>MECHA 3/8 DE PARED</t>
  </si>
  <si>
    <t>MECHA 1/2 DE PARED</t>
  </si>
  <si>
    <t>TUBOS DE PRESION DE  6  C/ JUNTA DE GOMA</t>
  </si>
  <si>
    <t>TUBOS DE PRESION DE  8  C/ JUNTA DE GOMA</t>
  </si>
  <si>
    <t>JUNTA DRESSER HG DE 6 AMERICANA</t>
  </si>
  <si>
    <t>MANOMETRO C/ GLICERINA DE 0-900</t>
  </si>
  <si>
    <t>CAJA TELESCOPICA PROYECTO ING.</t>
  </si>
  <si>
    <t>CEMENTO TANGIT D 975MIL PROYECTO ING.</t>
  </si>
  <si>
    <t>CLAN DE  6 A 1/2  PVC</t>
  </si>
  <si>
    <t>BREAKE DE 30 AMPERE</t>
  </si>
  <si>
    <t>LAMPARA COLONIAL</t>
  </si>
  <si>
    <t>EXTENSION PALO DE PINTAR</t>
  </si>
  <si>
    <t>ESPATULA DE 3 PULGADA</t>
  </si>
  <si>
    <t>LLAVE TIRSON DE 12 PULGADA</t>
  </si>
  <si>
    <t>JUEGO DE CUBO DE 21  PIEZA</t>
  </si>
  <si>
    <t>MANDARRIA DE 6 LIBRA</t>
  </si>
  <si>
    <t>CARPETA SIMPLE DE  3 PUGADA</t>
  </si>
  <si>
    <t>LLAVE MECANICA N.9</t>
  </si>
  <si>
    <t>LLAVE MECANICA N.11</t>
  </si>
  <si>
    <t>LLAVE MECANICA N.13</t>
  </si>
  <si>
    <t>LLAVE MECANICA N.15</t>
  </si>
  <si>
    <t>LLAVE MECANICA N.17</t>
  </si>
  <si>
    <t>LLAVE MECANICA N.19</t>
  </si>
  <si>
    <t>LLAVE MECANICA N.16</t>
  </si>
  <si>
    <t>GEL, MANITA LIMPIA</t>
  </si>
  <si>
    <t>TERMOMETRO A DISTANCIA</t>
  </si>
  <si>
    <t>TUBO DE PRESION DE 16 C/ JUNTA DE GOMA</t>
  </si>
  <si>
    <t>JUNTA DE 20 HG CRIOLLA</t>
  </si>
  <si>
    <t>LLAVE L N24</t>
  </si>
  <si>
    <t>CARETA DE SOLDAR</t>
  </si>
  <si>
    <t>ARNETDE SEGURIDAD</t>
  </si>
  <si>
    <t>CODO DE SENALIZACUION GRANDE</t>
  </si>
  <si>
    <t>CUBO DE GOMA  CONTRUCION</t>
  </si>
  <si>
    <t>VINAGRA PARA FURMIGAR</t>
  </si>
  <si>
    <t>TUBERIA POLIETILENO 4 ATM 63MM E</t>
  </si>
  <si>
    <t>VALVULA DE VASTAGO FIJO COMPLETO  8</t>
  </si>
  <si>
    <t>VALVULA MARIPOSA  COMPLETO10</t>
  </si>
  <si>
    <t>VALVULA MARIPOSA COMPLETO16</t>
  </si>
  <si>
    <t>TUBO PVC SCH40 DE 2 OP. MANTENIMIENTO</t>
  </si>
  <si>
    <t>TUBO PVC SCH40 DE 3</t>
  </si>
  <si>
    <t>TUBO PVC SCH40 DE 4 OP. MANTENIMIENTO</t>
  </si>
  <si>
    <t>TUBO PVC SDR 26 CON JUNTA DE GOMA DE 8</t>
  </si>
  <si>
    <t>TUBO PVC SDR 26 CON JUNTA DE GOMA DE 12</t>
  </si>
  <si>
    <t>TUBO PVC SDR 26 CON JUNTA DE GOMA 16</t>
  </si>
  <si>
    <t>TUBO PVC SDR 26 CON JUNTA DE GOMA DE 20</t>
  </si>
  <si>
    <t>TUBO DE HIERRO NEGRO DE 3</t>
  </si>
  <si>
    <t xml:space="preserve">TUBO DE HIERRO NEGRO DE 6 </t>
  </si>
  <si>
    <t>TUBO DE PVC SDR 41 DE 8</t>
  </si>
  <si>
    <t>TUBO DE PVC SDR 41 DE 6</t>
  </si>
  <si>
    <t>JUEGO DE LLAVE 10-19</t>
  </si>
  <si>
    <t xml:space="preserve">MEDIDORE DE AGUA DE TIPO MAGNUN 1 MARCA </t>
  </si>
  <si>
    <t>MEDIDOR DE AGUA TIPO WOLTMANN 4 MARCA GE</t>
  </si>
  <si>
    <t>CINTA PARA IMPRESORA ZEBRA ZC100 Y ZC300</t>
  </si>
  <si>
    <t>CLIP TIPO YOYO PARA CARNET NEGRO</t>
  </si>
  <si>
    <t>PORTA CARNET VERTICAL NEGRO</t>
  </si>
  <si>
    <t>EXTENSION TELESCOPIA 2MTS ATLAS</t>
  </si>
  <si>
    <t>PAPEL DE LIJA DEAGUA GRINGO 80</t>
  </si>
  <si>
    <t>PAPEL DE LIJA DE AGUA GRINCO 32O</t>
  </si>
  <si>
    <t>THINNER TH 1000 GL TROPICAL</t>
  </si>
  <si>
    <t>MOTA GRUESA DE 9*1-1/4 LANCO</t>
  </si>
  <si>
    <t>SPRAY OVERALL BLANCO C/B 6128107</t>
  </si>
  <si>
    <t>MOTA ANTI-GOTA 9*5/16 LANCO</t>
  </si>
  <si>
    <t xml:space="preserve">CABLE JUMPER 4 DE 1 PIES PARA IVERSO DE </t>
  </si>
  <si>
    <t xml:space="preserve">TAPA ALCANTARILLADO REDONDA C 250EN 124 </t>
  </si>
  <si>
    <t>GALON DE ALCOHOL</t>
  </si>
  <si>
    <t>GRECAS PARA CAFE 12 TAZAS</t>
  </si>
  <si>
    <t>PLUMERO PARA LIMPIA</t>
  </si>
  <si>
    <t>RECOGEDOR DE BASURA</t>
  </si>
  <si>
    <t>CEPILLO DE MANO PARA PARE</t>
  </si>
  <si>
    <t>TERMO MEDIANO DE CAFE</t>
  </si>
  <si>
    <t>PARE DE GUANTE AMARILLOS</t>
  </si>
  <si>
    <t>TINTA EPSON MAGENTA T544</t>
  </si>
  <si>
    <t>CABLE VGA AGILER 6 PIES NEGRO AGI-134IM</t>
  </si>
  <si>
    <t>CABLE DE PODER AGILER NEGRO POWER CORD</t>
  </si>
  <si>
    <t>CUBO PRIMER PARA PARED</t>
  </si>
  <si>
    <t>CLAVO ACERO 3 LIBRA</t>
  </si>
  <si>
    <t>VALVULAS DE BOLA DE 1</t>
  </si>
  <si>
    <t>VENTOSAS DE HIERRO DE 3/4</t>
  </si>
  <si>
    <t>VALVULAS CHECK  HORIZONTAL DE 6</t>
  </si>
  <si>
    <t>VALVULAS CHECK HORIZONTAL DE 4</t>
  </si>
  <si>
    <t>VALVULAS CHECK HORIZONTAL DE 2</t>
  </si>
  <si>
    <t>VALVULA DE BOLA GENEBRE DE 2</t>
  </si>
  <si>
    <t>CANDADO 25 MM</t>
  </si>
  <si>
    <t>ALICATE DE UNIOM P/ ELETRICIDAD</t>
  </si>
  <si>
    <t xml:space="preserve">VENENO SIKOSTO </t>
  </si>
  <si>
    <t>CERADURA EN BRONCE</t>
  </si>
  <si>
    <t>CUVOS ELECTRICO 1/2</t>
  </si>
  <si>
    <t>PUENTE DE BATERIA DE 1 PIEZ</t>
  </si>
  <si>
    <t>PUENTE BATERIA DE 3 PIEZ</t>
  </si>
  <si>
    <t>BREAKE DE 60 AMPARE</t>
  </si>
  <si>
    <t>CAJA TUBO 32 W 46</t>
  </si>
  <si>
    <t>ABRAZADERA EMT 3/4</t>
  </si>
  <si>
    <t xml:space="preserve">ROSETA PORCELENA </t>
  </si>
  <si>
    <t>ADAPTADORE H DE 3 PVC</t>
  </si>
  <si>
    <t>REDUCCIONES DE 2 A 1 1/2 PVC</t>
  </si>
  <si>
    <t>REDUCCIONES DE 2 A 1/2 PVC</t>
  </si>
  <si>
    <t xml:space="preserve">REDUCCIONES DE 4 A 2 </t>
  </si>
  <si>
    <t>REDUCCIONES DE 2 A 3/4</t>
  </si>
  <si>
    <t>CLAN HG DE 6 A 1/2</t>
  </si>
  <si>
    <t>CLAN HG  DE 6 A 3/4</t>
  </si>
  <si>
    <t>NIPLE HG DE 1/2*3</t>
  </si>
  <si>
    <t>NIPLE DE 1/2*12 PVC</t>
  </si>
  <si>
    <t>NIPLE DE 1*12</t>
  </si>
  <si>
    <t>NIPLE DE 3/4 *12</t>
  </si>
  <si>
    <t>NIPLE DE 4 *12</t>
  </si>
  <si>
    <t>NIPLE 1/2*6</t>
  </si>
  <si>
    <t>NIPLE DE 3*6</t>
  </si>
  <si>
    <t>NIPLE 3/4*6</t>
  </si>
  <si>
    <t>NIPLES 4*6</t>
  </si>
  <si>
    <t>LLAVE DE CHORRO DE 1/2</t>
  </si>
  <si>
    <t>LLAVE DE CHORRO DE 1/2 DE BOLA</t>
  </si>
  <si>
    <t xml:space="preserve">LLAVE MEZCLADORAS PARA FREGADERO </t>
  </si>
  <si>
    <t xml:space="preserve">LLAVE MEZCLADORA PARA FREGADERO PEQUENO </t>
  </si>
  <si>
    <t>LLAVE ANGULA DE 3/8</t>
  </si>
  <si>
    <t>BOQUILLA PARA FREGADERO</t>
  </si>
  <si>
    <t>SILICON  70 ML BLANCO CLEAR</t>
  </si>
  <si>
    <t>MANGUERA PARA INODOROS</t>
  </si>
  <si>
    <t>KIT COMPLETO PARA TANQUE DE INODOROS</t>
  </si>
  <si>
    <t>DUCHAS   DE 1/2</t>
  </si>
  <si>
    <t>CANALETA DE 1/2</t>
  </si>
  <si>
    <t>CONECTOR RECTO EMT DE 3/4</t>
  </si>
  <si>
    <t>COUPLING EMT DE 1/2</t>
  </si>
  <si>
    <t xml:space="preserve">CAJA DE BREAKER  4 CIRCUITOS </t>
  </si>
  <si>
    <t>CUVOS 3/4</t>
  </si>
  <si>
    <t xml:space="preserve">VARILLA DE COBRE </t>
  </si>
  <si>
    <t>CHUBASQUERO PARA CAPUCHA</t>
  </si>
  <si>
    <t>LETRERO AMARILLO DE PRECAUCIOM</t>
  </si>
  <si>
    <t>JUEGO DESTORN 4/1 ENANO BEST VALUE</t>
  </si>
  <si>
    <t>DEGRASANTE MULTI USO AB 1/2</t>
  </si>
  <si>
    <t>MECHA DE PARED 1/4 ALEMANA</t>
  </si>
  <si>
    <t>INTERRUPT DOBLE ELITE BLANCO</t>
  </si>
  <si>
    <t>INTERRUP TRIPLE ELITE BLANCO</t>
  </si>
  <si>
    <t>TUBO 1/2 PVC SDR 26 ELECTRICO</t>
  </si>
  <si>
    <t xml:space="preserve">TAIRRA 10 NILON </t>
  </si>
  <si>
    <t>BISAGRA DE 8 PULGADA PAR</t>
  </si>
  <si>
    <t>CODO HG DE 1/2*90</t>
  </si>
  <si>
    <t>CODO PVC DRENAJE 6*90</t>
  </si>
  <si>
    <t>CODO HG DE 1*90</t>
  </si>
  <si>
    <t>CODO HG DE 2*90</t>
  </si>
  <si>
    <t>CODO HG DE 3*90</t>
  </si>
  <si>
    <t>CODO HG DE 4*90</t>
  </si>
  <si>
    <t>CODO HG DE 6*90</t>
  </si>
  <si>
    <t>ADAPTADORE M PVC DE 4</t>
  </si>
  <si>
    <t>ADAPTADORE M PVC DE 3</t>
  </si>
  <si>
    <t>ADAPTADORE H DE PVC DE 1</t>
  </si>
  <si>
    <t>ADAPTADORE H PVC DE 2</t>
  </si>
  <si>
    <t>LLAVE MECANICA COMBINADA 6</t>
  </si>
  <si>
    <t>LLAVE MECANICA COMBINADA 8</t>
  </si>
  <si>
    <t>LLAVE  MECANICA  COMBINADA 10</t>
  </si>
  <si>
    <t>LLAVE MECANICA COMBINADA 12</t>
  </si>
  <si>
    <t>LLAVE MECANICA COMBINADA 17</t>
  </si>
  <si>
    <t>TEE PVC DRENAJE DE 2</t>
  </si>
  <si>
    <t>TEE PVC DRENAJE DE 4</t>
  </si>
  <si>
    <t>TEE PVC DRENAJE 1 1/2</t>
  </si>
  <si>
    <t>LLAVE MEZCLADA DE LAVAMANOS</t>
  </si>
  <si>
    <t>LLAVE SENCILLA PARA LAVAMANO</t>
  </si>
  <si>
    <t>ORINAL BLANCO DE BAÑO</t>
  </si>
  <si>
    <t xml:space="preserve">LAVAMANO BLANCO SENCILLO </t>
  </si>
  <si>
    <t>INODORO COMPLETO BLANCO SENCILLO</t>
  </si>
  <si>
    <t>PARRILLA DE PISO 1 1/2</t>
  </si>
  <si>
    <t xml:space="preserve">SILICONE TRAPARENTE DE PISTOLA </t>
  </si>
  <si>
    <t>ASIENTO DE INODORO BLANCO SENCILLO</t>
  </si>
  <si>
    <t xml:space="preserve">PAR DE PALOMETA PARA LAVAMANO </t>
  </si>
  <si>
    <t>SIFON SENCILLO LAVAMANO</t>
  </si>
  <si>
    <t xml:space="preserve">VASTAGO GENERICO LAVAMANO T/SAYCO </t>
  </si>
  <si>
    <t>TAPA PARA TANQUE DE INODORO SENCILLO</t>
  </si>
  <si>
    <t>NIPLE HG DE 2*12</t>
  </si>
  <si>
    <t>NIPLE HG DE 3*12</t>
  </si>
  <si>
    <t>CAJA DE TUBO DE 17 W</t>
  </si>
  <si>
    <t>OJO BUEY DE 50 W COM LUS BLANCA</t>
  </si>
  <si>
    <t>OJO BUEY DE 50 W CON LUS AMARILLA</t>
  </si>
  <si>
    <t xml:space="preserve">COLITA </t>
  </si>
  <si>
    <t>TIJERA P JARDIN</t>
  </si>
  <si>
    <t>ESPATULA  PLASTICA DE CHIRO</t>
  </si>
  <si>
    <t>DESTORNILLADOR</t>
  </si>
  <si>
    <t>TERMINAL DE OJO 4</t>
  </si>
  <si>
    <t>LAMPARA LED REDONDA 18W BLANCA</t>
  </si>
  <si>
    <t>CONECTOR RECTO EMT 1/2</t>
  </si>
  <si>
    <t>DISCO METAL 4 1/2</t>
  </si>
  <si>
    <t xml:space="preserve">ESQUINERO </t>
  </si>
  <si>
    <t>BREAKE FINO 30 AMP</t>
  </si>
  <si>
    <t xml:space="preserve">PLAFON 2*4 </t>
  </si>
  <si>
    <t>CONSOLA 12000 BTU AURORA EFIC 21</t>
  </si>
  <si>
    <t>INST A/A INVERTER 24000 BTU</t>
  </si>
  <si>
    <t>--------------------</t>
  </si>
  <si>
    <t>AMAFLEX 1/2*3/8</t>
  </si>
  <si>
    <t>EXTRACTOR DE AIRE 24*24</t>
  </si>
  <si>
    <t>EXTRACTOR DE AIRE 12*-12</t>
  </si>
  <si>
    <t>GAS MAP PRO TANQU 14.1 OZ</t>
  </si>
  <si>
    <t>CONECTORES RECTO LIQUIT TGHT 1 1/2</t>
  </si>
  <si>
    <t>TUBO DE HIERRO NEGRO DE 2</t>
  </si>
  <si>
    <t>ABRAZADERA INISTRUTDE DEV 1 1/2</t>
  </si>
  <si>
    <t>TERMINALES TIPO OJO PARA CABLE</t>
  </si>
  <si>
    <t>CONTACTOR TRFASICO A 230 V SC3</t>
  </si>
  <si>
    <t>REGISTRO EMT TIPO LETRA LL DE 1</t>
  </si>
  <si>
    <t>REGISTRO EMT TIPO LETRA LR DE 1</t>
  </si>
  <si>
    <t>CAJA ELECTRICA REFORZADA DE 2*4 CON ORIF</t>
  </si>
  <si>
    <t>CAJA DE BREAKER DE 8 A16</t>
  </si>
  <si>
    <t>INTERRUPTO SIMPLE</t>
  </si>
  <si>
    <t>ADAPTADOR H PVC DE 1 1/2</t>
  </si>
  <si>
    <t>ARANDELA DE 5/8</t>
  </si>
  <si>
    <t>NIPLE HG 2*12</t>
  </si>
  <si>
    <t>REDUCCION BUSHING DE 4 A 2</t>
  </si>
  <si>
    <t>COUPLING NEGRO DE 4</t>
  </si>
  <si>
    <t>CUBETA ESPRIMIDORA PEQUEÑA</t>
  </si>
  <si>
    <t>PANTALLA MALLA PARA ORINALES</t>
  </si>
  <si>
    <t xml:space="preserve">AMBIANTADOR P DISPENSADOR GLADE </t>
  </si>
  <si>
    <t>BICARBONATO DE SODIO 1 LB 400 GMS</t>
  </si>
  <si>
    <t>PAPEL TOALLA ROLLO</t>
  </si>
  <si>
    <t>JARRA PARA COSINA EN ACERO</t>
  </si>
  <si>
    <t>TUBO DE 40W</t>
  </si>
  <si>
    <t>JUNTA DRESSER REDUCTORAS DE 20</t>
  </si>
  <si>
    <t>JUNTA DRESSER REDUCTORAS DE 6</t>
  </si>
  <si>
    <t>JUNTA DRESSER REDUCTORA DE 8</t>
  </si>
  <si>
    <t>JUNTA DRESSER REDUCTORAS DE 16</t>
  </si>
  <si>
    <t xml:space="preserve">MEDIDORE DE 3 COMPLETO </t>
  </si>
  <si>
    <t>TORNILLO AC HEX TUERCA GRS 1/2*1</t>
  </si>
  <si>
    <t>TORNILLO AC HEX TUERCA GRIS 1/2*3</t>
  </si>
  <si>
    <t>TORNILLO AC HEX TUERCA GRS 1/2*4</t>
  </si>
  <si>
    <t>ARANDELA INOX PLANA DE 1/2</t>
  </si>
  <si>
    <t>ARANDELA PLANA  DE 3/4</t>
  </si>
  <si>
    <t>PLANCHUELA 3/6*1-1/2</t>
  </si>
  <si>
    <t>CODO GALV DE 1</t>
  </si>
  <si>
    <t>CODO GALV DE 1/2</t>
  </si>
  <si>
    <t>CODO GALV DE 2</t>
  </si>
  <si>
    <t>CODO GALV DE 3</t>
  </si>
  <si>
    <t>CODO GALV DE 4</t>
  </si>
  <si>
    <t>TEE GALV DE 2</t>
  </si>
  <si>
    <t>TEE GALV DE 3</t>
  </si>
  <si>
    <t>TEE GALV DE 4</t>
  </si>
  <si>
    <t>NIPLE GALV DE 2*12</t>
  </si>
  <si>
    <t>NIPLE GALV 3*12</t>
  </si>
  <si>
    <t>NIPLE GALV DE 3/4*12</t>
  </si>
  <si>
    <t>NIPLE GALV DE 4*12</t>
  </si>
  <si>
    <t>NIPLE GALV DE 1*6</t>
  </si>
  <si>
    <t>NIPLE GALV 2*6</t>
  </si>
  <si>
    <t>NIPLE GALV DE 3*6</t>
  </si>
  <si>
    <t>NIPLE GALV 3/4*6</t>
  </si>
  <si>
    <t>TUBO DE HIERRO NEGRO DE 1/2</t>
  </si>
  <si>
    <t>PLANCHUELA 1/8*1</t>
  </si>
  <si>
    <t>PLANCHUELA 1/8*1-1/2</t>
  </si>
  <si>
    <t>BREAKERS GRUESO DE 60 AMPERES DOBLE</t>
  </si>
  <si>
    <t>LETRA LB PARA TUBO MT</t>
  </si>
  <si>
    <t>LETRA LL PARA TUBO MT</t>
  </si>
  <si>
    <t>TUBO ELETRICO DE 34</t>
  </si>
  <si>
    <t>TUBO DE LAMPARA LED 24</t>
  </si>
  <si>
    <t>BISAGRA SODABLE DE ACERO</t>
  </si>
  <si>
    <t>CLAVO DULCE DE 3</t>
  </si>
  <si>
    <t>CLAVO DE ACERO DE 3</t>
  </si>
  <si>
    <t>CLAVO CORRIENTEDE 1/2</t>
  </si>
  <si>
    <t>CLAVO CORRIENTE DE 2</t>
  </si>
  <si>
    <t>CLAVO DULCE DE 1</t>
  </si>
  <si>
    <t>BARRA ROSCADA 3/4</t>
  </si>
  <si>
    <t>ANGULAR 2 1/2 *14</t>
  </si>
  <si>
    <t>ANGULAR 2*3/16</t>
  </si>
  <si>
    <t>PLANCHUELA DE 1/4</t>
  </si>
  <si>
    <t>CODO DE 6</t>
  </si>
  <si>
    <t>TUBO DE 16 HN</t>
  </si>
  <si>
    <t>TUBO DE 3 HN</t>
  </si>
  <si>
    <t>ROLLO DE CONDUFLEX DE 3/4</t>
  </si>
  <si>
    <t>CONECTORES PARA TUBO CONDUFLEX DE 3/4</t>
  </si>
  <si>
    <t>CONECTORE PARA TUBO DE CONDUFLEX DE 1/2</t>
  </si>
  <si>
    <t>REGISTRO 6*6*4 PARA EXTERIOR</t>
  </si>
  <si>
    <t>CERRADURA DE ANCLAJE A PISO PARA CRISTAL</t>
  </si>
  <si>
    <t xml:space="preserve">CERRADURA REDONDA PARA PUERTA DE CRITAL </t>
  </si>
  <si>
    <t>LED DRIVER INPUT AC85-265V 50/60HZ OUTPU</t>
  </si>
  <si>
    <t>ESCUADRA</t>
  </si>
  <si>
    <t>GOMA DE ALBANIL</t>
  </si>
  <si>
    <t>TUBOS SDR-41 DE 2 SEMI-PRESION</t>
  </si>
  <si>
    <t>TUBOS SDR-26 DE 2 PVC PROYECTO INGENIERI</t>
  </si>
  <si>
    <t>TUBOS SCH-40 DE 20 PVC</t>
  </si>
  <si>
    <t>TUBO SCH-40 DE 6 PVC</t>
  </si>
  <si>
    <t>TUBO PVC 3/4 SCH 40 AGUA RES.</t>
  </si>
  <si>
    <t>TUBO PVC 4 SDR 41 AGUA RES.</t>
  </si>
  <si>
    <t>TUBO PVC 6 SDR 41 AGUA RES.</t>
  </si>
  <si>
    <t xml:space="preserve"> VARILLA DE 1/2</t>
  </si>
  <si>
    <t xml:space="preserve">METRO DE ARENA PAÑETE </t>
  </si>
  <si>
    <t>TABLONES DE MADERA DE 1*3*12</t>
  </si>
  <si>
    <t>TABLONES DE MADERA DE 1/4*12</t>
  </si>
  <si>
    <t xml:space="preserve">HIDRANTE DE 4" CON ROSCAS, 2 SALIDAS DE </t>
  </si>
  <si>
    <t xml:space="preserve">BREAKERS GRUESOS DE 70 AMPERES DOBLE </t>
  </si>
  <si>
    <t xml:space="preserve">BREAKERS FINO DE 30 AMPERES DOBLE </t>
  </si>
  <si>
    <t xml:space="preserve">PORTA ROLO PARA PINTAR BUENA CALIDAD </t>
  </si>
  <si>
    <t>BARRA DE 1/2 CUADRADA</t>
  </si>
  <si>
    <t>MADERA LISTON 2 X 3 X 12</t>
  </si>
  <si>
    <t xml:space="preserve">RESMA DE HOJA TIMBRA 8 1/2X11 </t>
  </si>
  <si>
    <t>RESMA DE HOJAS TIMBRADA EN HILO 8 1/2X11</t>
  </si>
  <si>
    <t>SOBRES PARA CARTA TIMBRADO BLANCO CON 9X</t>
  </si>
  <si>
    <t>SOBRE MANILA TIMBRADO BLANCO CON 12*9 PU</t>
  </si>
  <si>
    <t>CLORO TRICLORO PASTILLAS 90% TARRO (250/</t>
  </si>
  <si>
    <t>PERFIL CUADRADO 3 X 3 (TUBO NEGRO)</t>
  </si>
  <si>
    <t xml:space="preserve">ESMALTE DOMASTUR AZUL CLARO 49 GALON </t>
  </si>
  <si>
    <t>TUERCA 5/8 R/GRUESA NC</t>
  </si>
  <si>
    <t>MECHA PARED 5/8 X 12 TRUPER</t>
  </si>
  <si>
    <t>DESINFECTANTE GL</t>
  </si>
  <si>
    <t>ARCHIVO MODULAR METAL 3 GAV. GRIS CON RU</t>
  </si>
  <si>
    <t>MEDIDORES CHORRO MULTIPLES PLASTICO DN20</t>
  </si>
  <si>
    <t>MEDIDORES CHORRO MULTIPLES PLASTICOS DN1</t>
  </si>
  <si>
    <t>MEDIDORES CHORRO MULTIPLES PLASTICO DN25</t>
  </si>
  <si>
    <t xml:space="preserve">MEDIDORES CHORRO MULTIPLE PLASTICO DN50 </t>
  </si>
  <si>
    <t xml:space="preserve">MEDIDORES CHORRO MULTIPLE PLASTICO DN80 </t>
  </si>
  <si>
    <t>GONCE MEDIANO</t>
  </si>
  <si>
    <t xml:space="preserve">PETILLO NORMAL </t>
  </si>
  <si>
    <t xml:space="preserve">TUERKA HKXG 1/2 </t>
  </si>
  <si>
    <t>ATOMIZADOR 32 OZ</t>
  </si>
  <si>
    <t>TUBO PVC SDR 26 CON JUNTA DE GOMA 10</t>
  </si>
  <si>
    <t xml:space="preserve">TUBO PVC SCH 40 DE 1 1/2 </t>
  </si>
  <si>
    <t>TUBO PVC SCH 40 DE 1/2 OP. MANTENIMIENTO</t>
  </si>
  <si>
    <t>LIMPIADOR DE ECO BLUE</t>
  </si>
  <si>
    <t>ACEITE TANQUE KENDALL 15W-40 SUPER D-3 S</t>
  </si>
  <si>
    <t>COOLANT STAR COOL</t>
  </si>
  <si>
    <t>MIKROTIK MK-RB3011UIAS-RM</t>
  </si>
  <si>
    <t>GOMA 12.5-80-18 FIRESTONE 12 PR SUPER TR</t>
  </si>
  <si>
    <t>LIQUIDO DE FRENO WAGNER</t>
  </si>
  <si>
    <t>ACEITE CASTROL 10W-30 5W-30 GALON TODO</t>
  </si>
  <si>
    <t xml:space="preserve">ACEITE </t>
  </si>
  <si>
    <t>GANCHO</t>
  </si>
  <si>
    <t xml:space="preserve">ALAMBRE DULCE PICADO #16 (LIBRA) </t>
  </si>
  <si>
    <t>CLAVO ENTRE FINO 1 1/2 X 14 C/CABEZA</t>
  </si>
  <si>
    <t>CLAN DE 8*1/2 HIERRO NEGRO</t>
  </si>
  <si>
    <t xml:space="preserve">VALVULA DE ENTRADA </t>
  </si>
  <si>
    <t>PERA P/INODORO AZUL</t>
  </si>
  <si>
    <t xml:space="preserve">LLAVE ANGULAR 3/8X 3/8 </t>
  </si>
  <si>
    <t>LLAVE ANGULAR DOBLE 1/2</t>
  </si>
  <si>
    <t>LLAVE ANGULAR DOBLE 3/8</t>
  </si>
  <si>
    <t>SIFON DOBLE P/FREGADRO EASTMANT</t>
  </si>
  <si>
    <t>COLITA EXTENSION 1-1/4 X8</t>
  </si>
  <si>
    <t>TINACO</t>
  </si>
  <si>
    <t>PUÑO NIBCO GRANDE (BAÑO)</t>
  </si>
  <si>
    <t>PUÑO NIBCO URREA PEQUEÑO PARA BAÑO</t>
  </si>
  <si>
    <t>LLAVE ANGULAR KARO 1/2X3/8</t>
  </si>
  <si>
    <t>VALVULA SALIDA P/INODORO</t>
  </si>
  <si>
    <t>CHEQUE VERTICAL 1-1/2</t>
  </si>
  <si>
    <t>CODO DE 4 90 GRADO PRESION PVC</t>
  </si>
  <si>
    <t>BATERIA LTH MEU1NS340</t>
  </si>
  <si>
    <t>ACEITE BARRIL CASTROL 20W-50 D-III</t>
  </si>
  <si>
    <t>BATERIA AC-65-5MF</t>
  </si>
  <si>
    <t>LIMPIA VIDRIO CARBON</t>
  </si>
  <si>
    <t>CABEZOTES PLOMO</t>
  </si>
  <si>
    <t xml:space="preserve">JUNTA REDUCTORAS DE 3 </t>
  </si>
  <si>
    <t>PLANCHUELA 1 1/4* 3/16</t>
  </si>
  <si>
    <t>JUNTA DRESSER DE 8 HG HIERRO AMERICANA</t>
  </si>
  <si>
    <t>VISAGRA DE 6" PULGADA PAR</t>
  </si>
  <si>
    <t>JUNTA DRESSER REDUCTORA DE 10"</t>
  </si>
  <si>
    <t xml:space="preserve">MACHETE </t>
  </si>
  <si>
    <t>REDUCCION BUSHING DE 1 A 3/4</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</si>
  <si>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</si>
  <si>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</si>
  <si>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</si>
  <si>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</si>
  <si>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</si>
  <si>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</si>
  <si>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</si>
  <si>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</si>
  <si>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</si>
  <si>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</si>
  <si>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</si>
  <si>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</si>
  <si>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</si>
  <si>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</si>
  <si>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</si>
  <si>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</si>
  <si>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</si>
  <si>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</si>
  <si>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</si>
  <si>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</si>
  <si>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</si>
  <si>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</si>
  <si>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</si>
  <si>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</si>
  <si>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</si>
  <si>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</si>
  <si>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</si>
  <si>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</si>
  <si>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</si>
  <si>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</si>
  <si>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</si>
  <si>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</si>
  <si>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</si>
  <si>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</si>
  <si>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</si>
  <si>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</si>
  <si>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</si>
  <si>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</si>
  <si>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</si>
  <si>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</si>
  <si>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</si>
  <si>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</si>
  <si>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</si>
  <si>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</si>
  <si>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</si>
  <si>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</si>
  <si>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</si>
  <si>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</si>
  <si>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</si>
  <si>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</si>
  <si>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</si>
  <si>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</si>
  <si>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</si>
  <si>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</si>
  <si>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</si>
  <si>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</si>
  <si>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</si>
  <si>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</si>
  <si>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</si>
  <si>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</si>
  <si>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</si>
  <si>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</si>
  <si>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</si>
  <si>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</si>
  <si>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</si>
  <si>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</si>
  <si>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</si>
  <si>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</si>
  <si>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</si>
  <si>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</si>
  <si>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</si>
  <si>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</si>
  <si>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</si>
  <si>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</si>
  <si>
    <t>La entidad cuenta con un marco de control establecido en relación con el cálculo de los valores razonables y tiene la responsabilidad general por la supervisión de todas las mediciones significativas de este, incluyendo los de niveles 3.</t>
  </si>
  <si>
    <t>Ver matriz Anexo libro nota13</t>
  </si>
  <si>
    <t>EJECUCIONES</t>
  </si>
  <si>
    <t>DEL</t>
  </si>
  <si>
    <t>AÑO 2021</t>
  </si>
  <si>
    <t>6107 CORPORACIÓN DEL ACUEDUCTO Y ALCANTARILLADO DE MOCA (CORAAMOCA)</t>
  </si>
  <si>
    <t xml:space="preserve">Presupuesto de Gastos y Aplicaciones financieras 2021 </t>
  </si>
  <si>
    <t>2-GASTOS</t>
  </si>
  <si>
    <t>2.1-REMUNERACIONES Y CONTRIBUCIONES</t>
  </si>
  <si>
    <t>2.1.1-REMUNERACIONES</t>
  </si>
  <si>
    <t>2.1.2-SOBRESUELDOS</t>
  </si>
  <si>
    <t>2.1.3-DIETAS Y GASTOS DE REPRESENTACIÓN</t>
  </si>
  <si>
    <t xml:space="preserve">2.1.4-GRATIFICACIONES Y BONIFICACIONES  </t>
  </si>
  <si>
    <t>2.1.5-CONTRIBUCIONES A LA SEGURIDAD SOCIAL</t>
  </si>
  <si>
    <t>2.2-CONTRATACIÓN  DE SERVICIOS</t>
  </si>
  <si>
    <t>2.2.1-SERVICIOS BÁSICOS</t>
  </si>
  <si>
    <t>2.2.2-PUBLICIDAD, IMPRESIÓN Y ENCUADERNACIÓN</t>
  </si>
  <si>
    <t>2.2.3-VIÁTICOS</t>
  </si>
  <si>
    <t>2.2.4-TRANSPORTE Y ALMACENAJE</t>
  </si>
  <si>
    <t xml:space="preserve">2.2.5-ALQUILERES Y RENTAS  </t>
  </si>
  <si>
    <t>2.2.6-SEGUROS</t>
  </si>
  <si>
    <t>2.2.7-SERVICIOS DE CONSERVACIÓN, REPARACIONES MENORES E INSTALACIONES TEMPORALES</t>
  </si>
  <si>
    <t>2.2.8-OTROS SERVICIOS NO INCLUIDOS EN CONCEPTOS ANTERIORESS</t>
  </si>
  <si>
    <t>2.2.9-OTRAS CONTRATACIONES DE SERVICIOS</t>
  </si>
  <si>
    <t>2.3-MATERIALES Y SUMINISTROS</t>
  </si>
  <si>
    <t xml:space="preserve">2.3.1-ALIMENTOS Y PRODUCTOS AGROFORESTALES </t>
  </si>
  <si>
    <t>2.3.2-TEXTILES Y VESTUARIOS</t>
  </si>
  <si>
    <t>2.3.3-PRODUCTOS DE PAPEL, CARTÓN E IMPRESOS</t>
  </si>
  <si>
    <t>2.3.4-PRODUCTOS FARMACÉUTICOS</t>
  </si>
  <si>
    <t>2.3.5-PRODUCTOS DE 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</si>
  <si>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</si>
  <si>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</si>
  <si>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</si>
  <si>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</si>
  <si>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2.4 -TRANSFERENCIAS CORRIENTES</t>
  </si>
  <si>
    <t>2.4.1-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</si>
  <si>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</si>
  <si>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</si>
  <si>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</si>
  <si>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</si>
  <si>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</si>
  <si>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</si>
  <si>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</si>
  <si>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</si>
  <si>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</si>
  <si>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</si>
  <si>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</si>
  <si>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</si>
  <si>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</si>
  <si>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</si>
  <si>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  BIENES MUEBLES, INMUEBLES E INTANGIBLES</t>
  </si>
  <si>
    <t>2.6.1-MOBILIARIO Y EQUIPO</t>
  </si>
  <si>
    <t>2.6.2 -MOBILIARIO Y EQUIPO EDUCACIONAL Y RECREATIVO</t>
  </si>
  <si>
    <t>2.6.3-EQUIPOS E INSTRUMENTAL CIENTÍFICO Y LABORATORIO</t>
  </si>
  <si>
    <t>2.6.4-VEHÍCULOS Y EQUIPOS DE TRANSPORTE TRACCIÓN Y ELEVACIÓN</t>
  </si>
  <si>
    <t>2.6.5-MAQUINARIA  OTROS EQUIPOS Y HERRAMIENTAS</t>
  </si>
  <si>
    <t>2.6.6 -EQUIPOS DE DEFENSA Y SEGURIDAD</t>
  </si>
  <si>
    <t>2.6.7-ACTIVOS BIOLÓGICOS CULTIVABLES</t>
  </si>
  <si>
    <t>2.6.8-BIENES INTANGIBLES</t>
  </si>
  <si>
    <t>2.6.9-EDIFICIOS, ESTRUCTURAS, TIERRAS, TERRENOS Y OBJETOS DE VALOR</t>
  </si>
  <si>
    <t>2.7 - OBRAS</t>
  </si>
  <si>
    <t>2.7.1-OBRAS EN EDIFICACIONES</t>
  </si>
  <si>
    <t>2.7.2-INFRAESTRUCTURA</t>
  </si>
  <si>
    <t>2.7.3-CONSTRUCCIONES EN BIENES CONCESIONADOS</t>
  </si>
  <si>
    <t>2.8 - ADQUISICIÓN DE ACTIVOS FINANCIEROS CON FINES DE POLÍTICA</t>
  </si>
  <si>
    <t>2.8.1 - CONCESIÓN DE PRÉSTAMOS</t>
  </si>
  <si>
    <t>2.8.2 - ADQUISICIÓN DE TÍTULOS VALORES REPRESENTATIVOS DE DEUDA</t>
  </si>
  <si>
    <t>2.9-GASTOS FINACIEROS</t>
  </si>
  <si>
    <t>2.9.1 - INTERESES DE LA DEUDA PÚBLICA INTERNA</t>
  </si>
  <si>
    <t>2.9.2 - INTERESES DE LA DEUDA PÚBLICA EXTERNA</t>
  </si>
  <si>
    <t xml:space="preserve">2.9.4 - COMISIONES Y OTROS GASTOS BANCARIOS DE LA DEUDA PÚBLICA    </t>
  </si>
  <si>
    <t>TOTAL GASTOS</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</si>
  <si>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</si>
  <si>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</si>
  <si>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</si>
  <si>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</si>
  <si>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</si>
  <si>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</si>
  <si>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</si>
  <si>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</si>
  <si>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</si>
  <si>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 xml:space="preserve">                         Lic. Gloria Marina Figueroa </t>
  </si>
  <si>
    <t>Lic. Reynaldo C. Méndez Sánchez</t>
  </si>
  <si>
    <t>María Patricia Almonte</t>
  </si>
  <si>
    <t xml:space="preserve">                           Enc. Sección Presupuesto</t>
  </si>
  <si>
    <t>Directora Adm-Financiera</t>
  </si>
  <si>
    <t>INFORME DEL INGRESO 2021</t>
  </si>
  <si>
    <t>Capitulo</t>
  </si>
  <si>
    <t>Cta Auxiliar</t>
  </si>
  <si>
    <t>Fte de Financiamiento</t>
  </si>
  <si>
    <t>6107 - CORPORACIÓN DE ACUEDUCTO Y ALCANTARILLADO DE MOCA</t>
  </si>
  <si>
    <t>1.4.1.2.01 - Del gobierno central</t>
  </si>
  <si>
    <t>10 - FONDO GENERAL</t>
  </si>
  <si>
    <t>1.4.2.2.01 - Del gobierno central</t>
  </si>
  <si>
    <t>1.5.2.2.03 - Venta de agua y saneamiento</t>
  </si>
  <si>
    <t>30 - FONDOS PROPIOS</t>
  </si>
  <si>
    <t>3.1.1.1      -  Disminución de caja y banco</t>
  </si>
  <si>
    <t>3.2.1.1       - Incremento de cuentas x pagar</t>
  </si>
  <si>
    <t xml:space="preserve">      Enc. Sección Presupuesto</t>
  </si>
  <si>
    <t>DIRECCIÓN GENERAL DE CONTABILIDAD GUBERNAMENTAL</t>
  </si>
  <si>
    <t>VARIACIONES 2021</t>
  </si>
  <si>
    <t>VARIACIÓN CUENTAS POR PAGAR</t>
  </si>
  <si>
    <t>1. Balance Inicial Cuenta Por Pagar (Bce final mes anterior)</t>
  </si>
  <si>
    <t xml:space="preserve">   (+) Cuentas por pagar del mes en ejecución</t>
  </si>
  <si>
    <t xml:space="preserve">   (+) Retenciones</t>
  </si>
  <si>
    <t xml:space="preserve">   (-) Cuentas anteriores pagadas en el mes</t>
  </si>
  <si>
    <t xml:space="preserve">2. Balance Final  Cuentas Por Pagar </t>
  </si>
  <si>
    <t>3. Incremento/Disminución de Cuentas Por Pagar (2-1)</t>
  </si>
  <si>
    <t>Nota: Un incremento de Cuenta x Pagar va al Ingreso (Fuentes Financieras Subcuenta 3.2.1.1)</t>
  </si>
  <si>
    <t xml:space="preserve">          Una Disminución de Cuenta x Pagar va al Gasto (Aplicaciones Financieras Subcuenta 4.2.1.1)</t>
  </si>
  <si>
    <t>VARIACIÓN CAJA Y BANCO</t>
  </si>
  <si>
    <t>1. Balance Inicial Caja y Banco (Bce final mes anterior)</t>
  </si>
  <si>
    <t>2. Ingresos</t>
  </si>
  <si>
    <t>3. Disponibilidad (1+2)</t>
  </si>
  <si>
    <t>4. Gastos</t>
  </si>
  <si>
    <t>5. Balance final de caja y banco (3-4)</t>
  </si>
  <si>
    <t>6. Incremento/Disminución de Caja y Banco (5-1)</t>
  </si>
  <si>
    <t>Nota: Un Incremento de Caja y Banco se registra  en el  Gasto (Aplicaciones Financieras Subcuenta 4.1.1.1)</t>
  </si>
  <si>
    <t xml:space="preserve">          Una Disminución se registra en el Ingreso (Fuentes Financieras Subcuenta 3.1.1.1)</t>
  </si>
  <si>
    <t>Licda. Gloria Marina Figueroa</t>
  </si>
  <si>
    <t>Licda. María Patricia Almonte</t>
  </si>
  <si>
    <t>Enc. Sección Presupuesto</t>
  </si>
  <si>
    <t xml:space="preserve">                                              </t>
  </si>
  <si>
    <t>EMPLEADOS TEMPORALES</t>
  </si>
  <si>
    <t>AÑO 2022</t>
  </si>
  <si>
    <t>Control y Análisis</t>
  </si>
  <si>
    <t>El Cálculo de la Materialidad de Ejecución se realiza con el objetivo de determinar la naturaleza, alcance y oportunidad de los procedimientos de auditoría.  El umbral de la misma es establecido entre un 75% y un 50% de la Materialidad de Planeación. Esto significa que la Materialidad de Planeación es reducida en un 25% ó 50%. La reducción de la misma se realizará según el jucio del auditor en base a los riesgos de la Entidad.</t>
  </si>
  <si>
    <t>TOTAL ACTIVOS</t>
  </si>
  <si>
    <t xml:space="preserve"> Licda. María Patricia Almonte</t>
  </si>
  <si>
    <t xml:space="preserve">Lic. Reynaldo C. Méndez Sánchez </t>
  </si>
  <si>
    <t xml:space="preserve"> Directora Administrativa-Financiera</t>
  </si>
  <si>
    <t>2.1.1.2.08</t>
  </si>
  <si>
    <t xml:space="preserve"> RESERVAS CTA. TRANSITORIA</t>
  </si>
  <si>
    <t>TRANSFERENCIA PRESIDENCIA DE LA R.</t>
  </si>
  <si>
    <t>TRANSFERENCIA PARA GASTO DE CAPITAL</t>
  </si>
  <si>
    <t>TRANSFEENCIA PARA ELECTRICIDAD NO CORTABLE</t>
  </si>
  <si>
    <t>TRANSFERENCIA PARA GASTO CORIENTE</t>
  </si>
  <si>
    <t>1.4.1.4.01.01</t>
  </si>
  <si>
    <t>1.4.1.4.01.02</t>
  </si>
  <si>
    <t>1.4.1.4.01.03</t>
  </si>
  <si>
    <t>EECTIVO EN CAJA</t>
  </si>
  <si>
    <t>EECTIVO EN CAJA CHICA</t>
  </si>
  <si>
    <t>CUENTA  9604127870</t>
  </si>
  <si>
    <t>CUENTA  9995095001</t>
  </si>
  <si>
    <t xml:space="preserve"> CTA FONDO 100  0100255001 </t>
  </si>
  <si>
    <t>Mob. Y equipo de ofic.</t>
  </si>
  <si>
    <t>Primer semestre</t>
  </si>
  <si>
    <t>Depreciacion A JUNIO 2022</t>
  </si>
  <si>
    <t>adq. 2022</t>
  </si>
  <si>
    <t>COMPENSACION SERVICIO DE SEGURIDAD</t>
  </si>
  <si>
    <t>2.1.2.2.05</t>
  </si>
  <si>
    <t>Compensacion servicios de seguridad</t>
  </si>
  <si>
    <t>Detalle de observaciones</t>
  </si>
  <si>
    <t>nota 7</t>
  </si>
  <si>
    <t>nota 8</t>
  </si>
  <si>
    <t>nota 9</t>
  </si>
  <si>
    <t>nota 10</t>
  </si>
  <si>
    <t>nota 11</t>
  </si>
  <si>
    <t>nota 13</t>
  </si>
  <si>
    <t>nota 14</t>
  </si>
  <si>
    <t>nota 19</t>
  </si>
  <si>
    <t>nota 20</t>
  </si>
  <si>
    <t>nota 21</t>
  </si>
  <si>
    <t>nota 22</t>
  </si>
  <si>
    <t>nota 23</t>
  </si>
  <si>
    <t>nota 25</t>
  </si>
  <si>
    <t>Cuentas por pagar Suplidores Gobierno (anexos)</t>
  </si>
  <si>
    <t>Adquisición de seguros</t>
  </si>
  <si>
    <t>Total Suministro y materiales para consumo</t>
  </si>
  <si>
    <t>Total Otros gastos</t>
  </si>
  <si>
    <t>Total Compromisos y contingencias</t>
  </si>
  <si>
    <t xml:space="preserve">Total Gastos Financieros </t>
  </si>
  <si>
    <t>Total Subvenciones y otros pagos por transferencias</t>
  </si>
  <si>
    <t>Total Sueldos, Salarios y beneficios a empleados</t>
  </si>
  <si>
    <t xml:space="preserve">Total de Transferencia y donaciones </t>
  </si>
  <si>
    <t>Total de Ingresos por transacciones con contraprestaciones</t>
  </si>
  <si>
    <t>Total Retenciones por pagar</t>
  </si>
  <si>
    <t>Total Acumulaciones por pagar</t>
  </si>
  <si>
    <t>Total Cuentas por pagar a corto plazo</t>
  </si>
  <si>
    <t>Total Otros activos corrientes</t>
  </si>
  <si>
    <t>Total Inversiones a corto plazo</t>
  </si>
  <si>
    <t>Total Efectivo y equivalentes de efectivo.</t>
  </si>
  <si>
    <t>Enc. Dpto Administrativa</t>
  </si>
  <si>
    <t>Enc. Dpto Financiero</t>
  </si>
  <si>
    <t>Enc. de Tecnología</t>
  </si>
  <si>
    <t>Enc. Contabilidad</t>
  </si>
  <si>
    <t>Enc. Presupuesto</t>
  </si>
  <si>
    <t>Enc. Planta La Dura</t>
  </si>
  <si>
    <t>ojo</t>
  </si>
  <si>
    <t>corregido</t>
  </si>
  <si>
    <t>Las cuentas y partidas por cobrar y los otros activos y pasivos financieros,  son reconocidos en el momentos del devengado.</t>
  </si>
  <si>
    <t>Otros cobros y ajustes</t>
  </si>
  <si>
    <t>Directora Administrativa-Financiera</t>
  </si>
  <si>
    <t xml:space="preserve">Licdo. Reynaldo C. Méndez Sanchéz </t>
  </si>
  <si>
    <t xml:space="preserve">Total </t>
  </si>
  <si>
    <t>SEGUROS PERSONALES</t>
  </si>
  <si>
    <t>2.2.6.3.01</t>
  </si>
  <si>
    <t>Seguros de personas</t>
  </si>
  <si>
    <t>CUENTA  9995095000</t>
  </si>
  <si>
    <t>HERRAMIENTAS MENORES</t>
  </si>
  <si>
    <t>510102002009</t>
  </si>
  <si>
    <t>ACCESORIOS</t>
  </si>
  <si>
    <t>2.3.6.3.04</t>
  </si>
  <si>
    <t>Herramientas menores</t>
  </si>
  <si>
    <t>2.3.9.8.02</t>
  </si>
  <si>
    <t>Depreciacion A Diciembre 2022</t>
  </si>
  <si>
    <t>Segundo semestre</t>
  </si>
  <si>
    <t xml:space="preserve">OTRAS CONTRATACIONES DE SERVICIOS </t>
  </si>
  <si>
    <t>5101020020046</t>
  </si>
  <si>
    <t>OTROS PRODUCTOS QUIMICOS Y CONEXOS</t>
  </si>
  <si>
    <t>5101020020061</t>
  </si>
  <si>
    <t>PINTURAS, LACAS Y ABSORBENTES PARA PINTURAS</t>
  </si>
  <si>
    <t>5101020020077</t>
  </si>
  <si>
    <t>PRODUCTOS MEDICINALES PARA USO HUMANO</t>
  </si>
  <si>
    <t>5101020020078</t>
  </si>
  <si>
    <t>ELECTRODOMESTICOS</t>
  </si>
  <si>
    <t>RESERVAS CTA. 100011701025466 (Progeo)</t>
  </si>
  <si>
    <t>RESERVAS CTA. 100011701027264(Funcional)</t>
  </si>
  <si>
    <t>Seguros bienes muebles balance inicial</t>
  </si>
  <si>
    <t>Total Pagos anticipados</t>
  </si>
  <si>
    <t>Inventarios Materiales y suministros para consumo y prestación de servicios</t>
  </si>
  <si>
    <t>Nota# 13  Propiedad planta y equipo</t>
  </si>
  <si>
    <t>Transferencias Recibidas:</t>
  </si>
  <si>
    <t>Corriente</t>
  </si>
  <si>
    <t>Paula Maileny Morillo Arias</t>
  </si>
  <si>
    <t>Corporación del Acueducto y Alcantarillado de Moca (CORAAMOCA) es una entidad gubernamental sin fines de lucro está exenta de pagar impuesto sobre la renta, pero si funciona como agente de retención.</t>
  </si>
  <si>
    <t>Transferencias de la Adm. Central: energía no cortable</t>
  </si>
  <si>
    <t>Energía no cortable</t>
  </si>
  <si>
    <t>Sobresueldos (compensación por hora extraordinario ,compensación por resultado, prima de transp., incentivos por rendimiento)</t>
  </si>
  <si>
    <t xml:space="preserve"> Indemnización Laboral</t>
  </si>
  <si>
    <t>Enc. Control y Análisis</t>
  </si>
  <si>
    <t>Ret Imposit Por Pagar Ir 17 (5%)</t>
  </si>
  <si>
    <t xml:space="preserve">Transferencias y donaciones </t>
  </si>
  <si>
    <t>PRODUCTOS DE ARTES GRAFICAS</t>
  </si>
  <si>
    <t>2.2.9.1.01</t>
  </si>
  <si>
    <t>OTRAS CONTRATACIONES DE SERVICIOS</t>
  </si>
  <si>
    <t>Productos medicinales para uso humano</t>
  </si>
  <si>
    <t>2.3.7.2.06</t>
  </si>
  <si>
    <t>Pinturas lacas barnices diluyentes y absorbentes p</t>
  </si>
  <si>
    <t>2.3.7.2.99</t>
  </si>
  <si>
    <t>Electrodomesticos</t>
  </si>
  <si>
    <t>Cedula Sumaria de Gastos financieros</t>
  </si>
  <si>
    <t>Revisión del Periodo Especifico</t>
  </si>
  <si>
    <t>Reclasificación</t>
  </si>
  <si>
    <t>Ref.</t>
  </si>
  <si>
    <r>
      <t>OBSERVACIONES:</t>
    </r>
    <r>
      <rPr>
        <sz val="10"/>
        <rFont val="Arial"/>
        <family val="2"/>
      </rPr>
      <t xml:space="preserve"> Dentro de cada punto a evaluar se incluye entre paréntesis la aseveración contable que se esta analizando, mediante la aplicación de nuestros procedimientos y técnicas de auditoria generalmente aceptadas.</t>
    </r>
  </si>
  <si>
    <t>Análisis de Variaciones</t>
  </si>
  <si>
    <t>Cedula analítica de  Gastos financieros</t>
  </si>
  <si>
    <t>PAGOS HORAS EXTRAORDINARIAS</t>
  </si>
  <si>
    <t>PRODUCTOS QUIMICOS PARA SANEAMIENTO DE LAS AGUAS</t>
  </si>
  <si>
    <t>PRODUCTOS DE LOZAS</t>
  </si>
  <si>
    <t>PRODUCTOS Y UTILES DIVERSOS</t>
  </si>
  <si>
    <t>Pago de horas extraordinarias</t>
  </si>
  <si>
    <t>Productos de loza</t>
  </si>
  <si>
    <t>PRODUCTOS UTILES DIVERSOS</t>
  </si>
  <si>
    <t xml:space="preserve">Activos Intangible </t>
  </si>
  <si>
    <t>Retenciones por pagar (Nota 17)</t>
  </si>
  <si>
    <t>Directora Administrativa Financiera</t>
  </si>
  <si>
    <t>Directora Recursos Humanos</t>
  </si>
  <si>
    <t>Director Comercial</t>
  </si>
  <si>
    <t>Licda. Paula Maileny Morillo</t>
  </si>
  <si>
    <t xml:space="preserve">                                                       Licdo. Reynaldo C. Méndez Sánchez</t>
  </si>
  <si>
    <t xml:space="preserve">Licdo. Reynaldo C. Méndez Sánchez </t>
  </si>
  <si>
    <t xml:space="preserve">Encargada de Contabilidad </t>
  </si>
  <si>
    <t>2.3.6.2.02</t>
  </si>
  <si>
    <t>2.3.9.9.05</t>
  </si>
  <si>
    <t>Activos intangibles</t>
  </si>
  <si>
    <t>Del ejercicio terminado al 31 de diciembre de 2022 y 2021</t>
  </si>
  <si>
    <t>Cuentas por Cobrar (transferencia del gobierno)</t>
  </si>
  <si>
    <t>Gasto de Depreciación y Amortización</t>
  </si>
  <si>
    <t>Depreciación</t>
  </si>
  <si>
    <t>Amortización</t>
  </si>
  <si>
    <t>Otras Cuentas por pagar **</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</si>
  <si>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</si>
  <si>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SERVICIOS DE CATERING</t>
  </si>
  <si>
    <t>ACEITES Y GRASAS</t>
  </si>
  <si>
    <t>SERVICIOS DE INFORMÁTICA Y SISTEMAS COMPUTARIZADOS</t>
  </si>
  <si>
    <t>PRODUCTOS METÁLICOS</t>
  </si>
  <si>
    <t>PRODUCTOS Y UTILES DE DEFENSA Y SEGURIDAD</t>
  </si>
  <si>
    <t>EQUIPO DE GENERACION ELECTRICA Y A FINES</t>
  </si>
  <si>
    <t>2.2.8.7.05</t>
  </si>
  <si>
    <t>Servicios de informatica y sistemas computarizados</t>
  </si>
  <si>
    <t>2.2.9.2.03</t>
  </si>
  <si>
    <t>Prendas de vestir</t>
  </si>
  <si>
    <t>2.3.6.3.06</t>
  </si>
  <si>
    <t>2.3.7.1.05</t>
  </si>
  <si>
    <t>Aceites y grasas</t>
  </si>
  <si>
    <t>2.3.9.9.04</t>
  </si>
  <si>
    <t>2.6.5.4.02</t>
  </si>
  <si>
    <t xml:space="preserve">EEQUIPOS DE CLIMATIZACIÓN </t>
  </si>
  <si>
    <t>EQUIPOS DE CLIMATIZACION</t>
  </si>
  <si>
    <t>HERRAMIENTAS  MENORES.</t>
  </si>
  <si>
    <t>AMORTIZACIONES</t>
  </si>
  <si>
    <t>ELECTRODOMESTICOS.</t>
  </si>
  <si>
    <t>Maquinaria y equipo industrial</t>
  </si>
  <si>
    <t>Herramientas y maquinas-herramientas</t>
  </si>
  <si>
    <t>Productos de cemento</t>
  </si>
  <si>
    <t>2.6.5.2.01</t>
  </si>
  <si>
    <t>Edificios no residenciales</t>
  </si>
  <si>
    <t>Cambio porcentual con relación al 2022</t>
  </si>
  <si>
    <t>2.3.7.2.07</t>
  </si>
  <si>
    <t>Productos quimicos para saneamiento de las aguas</t>
  </si>
  <si>
    <t>Equipo de comunicacion telecomunicaciones y senala</t>
  </si>
  <si>
    <t>DEPRECIACION DEL PERIODO</t>
  </si>
  <si>
    <t>PAPEL DE ESCRITORIO</t>
  </si>
  <si>
    <t>OTROS MINERALES</t>
  </si>
  <si>
    <t>2.3.3.1.01</t>
  </si>
  <si>
    <t>Papel de escritorio</t>
  </si>
  <si>
    <t>2.3.6.4.07</t>
  </si>
  <si>
    <t>Otros minerales</t>
  </si>
  <si>
    <t>95,331,475.86 63,218,124.45 32,109,201.41</t>
  </si>
  <si>
    <t>Monto</t>
  </si>
  <si>
    <t>Deprec. Acum.</t>
  </si>
  <si>
    <t>Bienes según sistema contabilidad</t>
  </si>
  <si>
    <t>Bienes según sistema SIAb</t>
  </si>
  <si>
    <t>Diferencia al 31/12/2022</t>
  </si>
  <si>
    <t>Ajuste pa valor en libro</t>
  </si>
  <si>
    <t xml:space="preserve">general </t>
  </si>
  <si>
    <t>Vehiculos</t>
  </si>
  <si>
    <t>47,523,235.20 31,252,378.14 16,270,857.06</t>
  </si>
  <si>
    <t>Ajusta para depreciacion</t>
  </si>
  <si>
    <t>dr</t>
  </si>
  <si>
    <t>cr</t>
  </si>
  <si>
    <t>Nota # 21</t>
  </si>
  <si>
    <t>* Ver nota 17</t>
  </si>
  <si>
    <t>Sobregiro bancario</t>
  </si>
  <si>
    <t>CUENTA  9604127870 (CUT)</t>
  </si>
  <si>
    <t>CUENTA  9995095001  (CUT)</t>
  </si>
  <si>
    <t>UTILES MENORES MEDICOS, QUIRURGICOS O DE LABORATOR</t>
  </si>
  <si>
    <t>2.3.9.3.01</t>
  </si>
  <si>
    <t>UTILES MENORES MEDICO QUIRURGICOS O DE LABORATORIO</t>
  </si>
  <si>
    <r>
      <t>(a)</t>
    </r>
    <r>
      <rPr>
        <sz val="7"/>
        <color indexed="63"/>
        <rFont val="Times New Roman"/>
        <family val="1"/>
      </rPr>
      <t xml:space="preserve">   </t>
    </r>
    <r>
      <rPr>
        <sz val="11"/>
        <color indexed="63"/>
        <rFont val="Calibri"/>
        <family val="2"/>
      </rPr>
      <t>Ingresos por facturación</t>
    </r>
    <r>
      <rPr>
        <vertAlign val="superscript"/>
        <sz val="11"/>
        <color indexed="63"/>
        <rFont val="Calibri"/>
        <family val="2"/>
      </rPr>
      <t>1</t>
    </r>
  </si>
  <si>
    <r>
      <t>(b)</t>
    </r>
    <r>
      <rPr>
        <sz val="7"/>
        <color indexed="63"/>
        <rFont val="Times New Roman"/>
        <family val="1"/>
      </rPr>
      <t xml:space="preserve">   </t>
    </r>
    <r>
      <rPr>
        <sz val="11"/>
        <color indexed="63"/>
        <rFont val="Calibri"/>
        <family val="2"/>
      </rPr>
      <t>Transferencias del gobierno central para gastos de energía</t>
    </r>
  </si>
  <si>
    <r>
      <t>(c)</t>
    </r>
    <r>
      <rPr>
        <sz val="7"/>
        <color indexed="63"/>
        <rFont val="Times New Roman"/>
        <family val="1"/>
      </rPr>
      <t xml:space="preserve">    </t>
    </r>
    <r>
      <rPr>
        <sz val="11"/>
        <color indexed="63"/>
        <rFont val="Calibri"/>
        <family val="2"/>
      </rPr>
      <t>Transferencias del gobierno central para pago de salarios</t>
    </r>
  </si>
  <si>
    <r>
      <t>(d)</t>
    </r>
    <r>
      <rPr>
        <sz val="7"/>
        <color indexed="63"/>
        <rFont val="Times New Roman"/>
        <family val="1"/>
      </rPr>
      <t xml:space="preserve">   </t>
    </r>
    <r>
      <rPr>
        <sz val="11"/>
        <color indexed="63"/>
        <rFont val="Calibri"/>
        <family val="2"/>
      </rPr>
      <t>Total transferencias del gobierno central [(b)+(c)]</t>
    </r>
  </si>
  <si>
    <r>
      <t>(e)</t>
    </r>
    <r>
      <rPr>
        <sz val="7"/>
        <color indexed="63"/>
        <rFont val="Times New Roman"/>
        <family val="1"/>
      </rPr>
      <t xml:space="preserve">   </t>
    </r>
    <r>
      <rPr>
        <sz val="11"/>
        <color indexed="63"/>
        <rFont val="Calibri"/>
        <family val="2"/>
      </rPr>
      <t>Total ingresos con transferencias del gobierno central [(a)+(d)]</t>
    </r>
  </si>
  <si>
    <r>
      <t>(f)</t>
    </r>
    <r>
      <rPr>
        <sz val="7"/>
        <color indexed="63"/>
        <rFont val="Times New Roman"/>
        <family val="1"/>
      </rPr>
      <t xml:space="preserve">    </t>
    </r>
    <r>
      <rPr>
        <sz val="11"/>
        <color indexed="63"/>
        <rFont val="Calibri"/>
        <family val="2"/>
      </rPr>
      <t>Gastos operativos</t>
    </r>
  </si>
  <si>
    <t>Índice de cobertura de costos con transferencias [(e)/(f)]</t>
  </si>
  <si>
    <t>Índice de cobertura de costos sin transferencias [(a)/(f)]</t>
  </si>
  <si>
    <t>PIEDRA, ARCILLA Y ARENA</t>
  </si>
  <si>
    <t>2.3.6.4.04</t>
  </si>
  <si>
    <t>Piedra arcilla y arena</t>
  </si>
  <si>
    <t>Acumuladoo</t>
  </si>
  <si>
    <t>Compensaciones especiales</t>
  </si>
  <si>
    <t>Alex Ureña Badía</t>
  </si>
  <si>
    <t>2.3.3.3.01</t>
  </si>
  <si>
    <t>20 de Enero de 2024</t>
  </si>
  <si>
    <t>95,702,098.86 66,201,106.11 29,500,992.75</t>
  </si>
  <si>
    <t>47,523,235.20 32,780,390.10 14,742,845.10</t>
  </si>
  <si>
    <t>Depreciacion A Diciembre 2023</t>
  </si>
  <si>
    <t>adq. 2023</t>
  </si>
  <si>
    <t>ACABADOS TEXTILES</t>
  </si>
  <si>
    <t>2.3.2.2.01</t>
  </si>
  <si>
    <t>Acabados textiles</t>
  </si>
  <si>
    <t xml:space="preserve">TOTAL </t>
  </si>
  <si>
    <t>97,102,928.24 66,811,632.54 30,291,295.70</t>
  </si>
  <si>
    <t>47,523,235.20 33,085,992.49 14,437,242.71</t>
  </si>
  <si>
    <t>2.6.3.1.01</t>
  </si>
  <si>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</si>
  <si>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Ingresos recibidos por certificado financieros</t>
  </si>
  <si>
    <t>Total retenciones y acumulaciones</t>
  </si>
  <si>
    <t>OBRAS HIDRAULICAS</t>
  </si>
  <si>
    <t>Mantenimiento y reparacion EDIFICACION</t>
  </si>
  <si>
    <t>31 de enero del 2024</t>
  </si>
  <si>
    <t>31de marzo del 2024</t>
  </si>
  <si>
    <t>30 de abril del 2024</t>
  </si>
  <si>
    <t>31 de mayo del 2024</t>
  </si>
  <si>
    <t>30 de junio del 2024</t>
  </si>
  <si>
    <t>31 de julio del 2024</t>
  </si>
  <si>
    <t>31 de agosto del 2024</t>
  </si>
  <si>
    <t>30 de septiembre del 2024</t>
  </si>
  <si>
    <t>31 de octubre del 2024</t>
  </si>
  <si>
    <t>30 de noviembre del 2024</t>
  </si>
  <si>
    <t>31 de diciembre del 2024</t>
  </si>
  <si>
    <t>29 de febrero del 2024</t>
  </si>
  <si>
    <t>Obras menores en edificaciones</t>
  </si>
  <si>
    <t xml:space="preserve">                           </t>
  </si>
  <si>
    <t xml:space="preserve">           </t>
  </si>
  <si>
    <t>2.1.1.2.03</t>
  </si>
  <si>
    <t>Suplencias</t>
  </si>
  <si>
    <t>MAQUINARIA Y EQUIPOS INDUSTRIAL</t>
  </si>
  <si>
    <t>2.1.2.2.03</t>
  </si>
  <si>
    <t>ALQUILERES DE EQUIPOS ELECTICOS</t>
  </si>
  <si>
    <t>ALQUILERES DE EQUIPOS ELECTRICOS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</si>
  <si>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</si>
  <si>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</si>
  <si>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 xml:space="preserve">              Director General</t>
  </si>
  <si>
    <t>PUBLICACIONES DE AVISOS OFICIALES</t>
  </si>
  <si>
    <t>2.2.2.1.03</t>
  </si>
  <si>
    <t>MAQUINARIA Y EQUIPO AGROPECUARIO</t>
  </si>
  <si>
    <t>CAMARAS FOTOGRAFICAS Y DE VIDEO</t>
  </si>
  <si>
    <t>LISTADO DE CUENTAS SIN MOVIMIENTOS</t>
  </si>
  <si>
    <t>AJUSTE RECOMENDADOS</t>
  </si>
  <si>
    <t>DEBITO</t>
  </si>
  <si>
    <t>CREDITO</t>
  </si>
  <si>
    <t>CUENTA</t>
  </si>
  <si>
    <t>Estos tres fondo de caja chicas fueron extraviados con los cambios de encargado de cada centro, tiene mas de 10 años sin movimientos.</t>
  </si>
  <si>
    <t>Esta diferencia se genero en agosto del 2022, no fue descargada.</t>
  </si>
  <si>
    <t>Esta cuenta pertenece a deposito de alquiler se recomienda descargarla.</t>
  </si>
  <si>
    <t xml:space="preserve">Para registrar los ajustes de las cuentas sin movimientos en los últimos años </t>
  </si>
  <si>
    <t xml:space="preserve"> Depósitos EN Garantía  </t>
  </si>
  <si>
    <t>Esta cuenta utilizada para rehacer cheques anulados, esta cuentas no hemos recibido reclamos de pago en los últimos años.</t>
  </si>
  <si>
    <t>Esta cuenta pertenece a descuentos de un programa de plan de pensiones, en los últimos 20 años no ha tenido movimientos .</t>
  </si>
  <si>
    <t>Asiento de diario</t>
  </si>
  <si>
    <t>JUAN JOSE SANCHEZ M.</t>
  </si>
  <si>
    <t>Programa de Auditoria Interna de procesos</t>
  </si>
  <si>
    <t>FormAud0007</t>
  </si>
  <si>
    <t>Responsable del Proceso</t>
  </si>
  <si>
    <t>Equipo Auditor</t>
  </si>
  <si>
    <t>Objetivos</t>
  </si>
  <si>
    <t>Alcance de la Auditoría</t>
  </si>
  <si>
    <t>Personal Entrevistado</t>
  </si>
  <si>
    <t>Documentación analizada y/o Criterios</t>
  </si>
  <si>
    <t>Recomendación</t>
  </si>
  <si>
    <t>Departamento de contabilidad</t>
  </si>
  <si>
    <t>JJSM</t>
  </si>
  <si>
    <t>Cuentas sin movimientos : Relación anexa.</t>
  </si>
  <si>
    <t>Reportes  del Sistema Contabilidad.</t>
  </si>
  <si>
    <t xml:space="preserve">Verificar cuentas sin movimientos </t>
  </si>
  <si>
    <t xml:space="preserve"> Los analistas de Contabilidad Gubernamental, aconsejan la eliminación de las mismas. En vista de que estas cuentas no han tenido movimientos ni reclamos en los últimos anos, Recomendamos hacer los asientos de ajustes para poner en ceros el saldo las cuentas mencionadas, acorde como detallamos en la entrada anexa .                                                                                                </t>
  </si>
  <si>
    <t>Direccion Adm-financiera</t>
  </si>
  <si>
    <t>Esta cuenta utilizada para movimiento de pago de Tss, arrojando esta diferencia en los últimos años.</t>
  </si>
  <si>
    <t>Enc. De Control y Análisis</t>
  </si>
  <si>
    <t>Esta cuenta utilizada para movimiento de pago de Tss empleados, arrojando esta diferencia en los últimos años.</t>
  </si>
  <si>
    <t>Contabilidad</t>
  </si>
  <si>
    <t>Revisando las Cuentas: ( Cuentas por pagar uso interno,   Deducciones personales a pagar p.p.,  Caja chica Gaspar Hernández,  Caja chica Cayetano Germosen,  Caja chica Veragua,  Cuentas por cobrar empleados, Depósitos en garantía, Otros proveedores directos a pagar a corto plazo y Ret imposit por pagar seguro s..)  Verificamos que en los ultimo años no tienen movimientos o presenta balance sin reclamar.</t>
  </si>
  <si>
    <t>dic. 2024</t>
  </si>
  <si>
    <t>pag 47</t>
  </si>
  <si>
    <t>Deprec.</t>
  </si>
  <si>
    <t>Ajuste para  valor en libro</t>
  </si>
  <si>
    <t>Depreciacion A Diciembre 2024</t>
  </si>
  <si>
    <t>Gasto por seguros consumido</t>
  </si>
  <si>
    <t>Programa informáticos (1 año)</t>
  </si>
  <si>
    <t>Amortización Programa informáticos</t>
  </si>
  <si>
    <t>Retenciones y Acumulaciones  por pagar</t>
  </si>
  <si>
    <t>María Patricia  Almonte de Grullón</t>
  </si>
  <si>
    <t xml:space="preserve">Director Gerencia Técnica </t>
  </si>
  <si>
    <t>Nilo Cipriano Tavares Santiago</t>
  </si>
  <si>
    <t>Lucianny Pérez García</t>
  </si>
  <si>
    <t>Marleny de Jesús Alberto</t>
  </si>
  <si>
    <t>Hay dos cuentas en el sigef y tres cuentas institucional en el Banreservas</t>
  </si>
  <si>
    <t>Guillermina del Carmen Florentino</t>
  </si>
  <si>
    <t>Saldo al 31 de diciembre de 2024</t>
  </si>
  <si>
    <t xml:space="preserve">Comarky Reyes </t>
  </si>
  <si>
    <t>Transferencias recibidas fuera de circuito</t>
  </si>
  <si>
    <r>
      <rPr>
        <b/>
        <sz val="11"/>
        <color indexed="8"/>
        <rFont val="Calibri"/>
        <family val="2"/>
      </rPr>
      <t>Nota</t>
    </r>
    <r>
      <rPr>
        <sz val="11"/>
        <color theme="1"/>
        <rFont val="Calibri"/>
        <family val="2"/>
        <scheme val="minor"/>
      </rPr>
      <t>: en la presentación de este informe hay partidas ejecutadas fuera del sigef, en vista de que la institución mantiene cuentas bancarias que no están integradas y en las erogaciones realizadas no se agoto el procedimiento requerido para su registro.</t>
    </r>
  </si>
  <si>
    <t>31 de enero del 2025</t>
  </si>
  <si>
    <t>28 de febrero del 2025</t>
  </si>
  <si>
    <t>30 de abril del 2025</t>
  </si>
  <si>
    <t>31 de mayo del 2025</t>
  </si>
  <si>
    <t>30 de junio del 2025</t>
  </si>
  <si>
    <t>31 de julio del 2025</t>
  </si>
  <si>
    <t>31 de agosto del 2025</t>
  </si>
  <si>
    <t>30 de septiembre del 2025</t>
  </si>
  <si>
    <t>31 de octubre del 2025</t>
  </si>
  <si>
    <t>30 de noviembre del 2025</t>
  </si>
  <si>
    <t>31 de diciembre del 2025</t>
  </si>
  <si>
    <t>INSTRUMENTAL MEDICO Y LABORATORIO</t>
  </si>
  <si>
    <t>1206010062</t>
  </si>
  <si>
    <t>EQUIPOS  Y APARATOS AUDIOVISUALES</t>
  </si>
  <si>
    <t>CLASIFICADOR 2025</t>
  </si>
  <si>
    <t>Sueldos a empleados fijos</t>
  </si>
  <si>
    <t>Suplencia</t>
  </si>
  <si>
    <t>Empleados temporales</t>
  </si>
  <si>
    <t>Compensación servicios de seguridad</t>
  </si>
  <si>
    <t>Dietas en el país</t>
  </si>
  <si>
    <t>Gastos de representación en el país</t>
  </si>
  <si>
    <t xml:space="preserve">Contraación de servicios </t>
  </si>
  <si>
    <t>Servicios telefónico de larga distancia</t>
  </si>
  <si>
    <t>Teléfono local</t>
  </si>
  <si>
    <t>Servicio de internet y televisión por cable</t>
  </si>
  <si>
    <t>2.2.1.6.01</t>
  </si>
  <si>
    <t>Energía eléctrica</t>
  </si>
  <si>
    <t xml:space="preserve">Publicaciones de avisos oficiales </t>
  </si>
  <si>
    <t>Impresión, encuadernación y rotulación</t>
  </si>
  <si>
    <t>Viáticos dentro del país</t>
  </si>
  <si>
    <t>Alquileres y rentas de edificaciones y locales</t>
  </si>
  <si>
    <t>Alquileres de equipos de transporte, tracción y elevación</t>
  </si>
  <si>
    <t>Alquileres de equipos de construcción y movimiento de tierras</t>
  </si>
  <si>
    <t>Mantenimiento y reparación de equipos de transporte, tracción y elevación</t>
  </si>
  <si>
    <t>Comisiones y gastos</t>
  </si>
  <si>
    <t>Servicios de capacitación</t>
  </si>
  <si>
    <t>Otras contrataciones de servicios</t>
  </si>
  <si>
    <t>Servicios de alimentación</t>
  </si>
  <si>
    <t>Servicios de catering</t>
  </si>
  <si>
    <t>Materiles y Suministros</t>
  </si>
  <si>
    <t xml:space="preserve">Alimentos y bebidas para personas </t>
  </si>
  <si>
    <t>2.3.1.3.03</t>
  </si>
  <si>
    <t xml:space="preserve">Productos forestales </t>
  </si>
  <si>
    <t>2.3.1.4.01</t>
  </si>
  <si>
    <t>Madera, corcho y sus manufacturas</t>
  </si>
  <si>
    <t>Prendas y accesorios de vestir</t>
  </si>
  <si>
    <t xml:space="preserve"> Papel de escritorio</t>
  </si>
  <si>
    <t>Papel y cartón</t>
  </si>
  <si>
    <t>Productos metálicos</t>
  </si>
  <si>
    <t>Piedra,arcilla y arena</t>
  </si>
  <si>
    <t xml:space="preserve">Aceites y grasas </t>
  </si>
  <si>
    <t>2.3.7.2.01</t>
  </si>
  <si>
    <t xml:space="preserve">Productos explosivos y pirotecnia </t>
  </si>
  <si>
    <t>2.3.7.2.05</t>
  </si>
  <si>
    <t>Insecticidas, fumigantes y otros</t>
  </si>
  <si>
    <t>Pinturas, lacas, barnices, diluyentes y absorbentes para pinturas</t>
  </si>
  <si>
    <t>Productos químicos para saneamiento de las aguas</t>
  </si>
  <si>
    <t>Otros productos químicos y conexos</t>
  </si>
  <si>
    <t>2.3.7.3.03</t>
  </si>
  <si>
    <t>Productos delabratorios y de uso personal</t>
  </si>
  <si>
    <t>Útiles y materiales de limpieza e higiene</t>
  </si>
  <si>
    <t>Útiles y materiales de escritorio, oficina e informática</t>
  </si>
  <si>
    <t>Útiles de cocina y comedor</t>
  </si>
  <si>
    <t>Productos eléctricos y afines</t>
  </si>
  <si>
    <t>Repuestos</t>
  </si>
  <si>
    <t>Accesorios</t>
  </si>
  <si>
    <t>Productos y Útiles Varios n.i.p</t>
  </si>
  <si>
    <t xml:space="preserve">Productos y útiles de defensa y seguridad </t>
  </si>
  <si>
    <t>Productos y útiles diversos</t>
  </si>
  <si>
    <t>Equipo de comunicación, telecomunicaciones y señalización</t>
  </si>
  <si>
    <t xml:space="preserve">Programas de informática </t>
  </si>
  <si>
    <t>Obras hidráulicas y sanitarias</t>
  </si>
  <si>
    <t xml:space="preserve">Bienes Muebles e Inmuebles e Intangible </t>
  </si>
  <si>
    <t>Obras</t>
  </si>
  <si>
    <t>Equipos y Aparatos Audiovisuales</t>
  </si>
  <si>
    <t>Nota #8</t>
  </si>
  <si>
    <t>Nota # 9</t>
  </si>
  <si>
    <t>Nota #  13</t>
  </si>
  <si>
    <t>Nota # 14</t>
  </si>
  <si>
    <t xml:space="preserve"> Nota # 19</t>
  </si>
  <si>
    <t>Nota # 20</t>
  </si>
  <si>
    <t>1101060005</t>
  </si>
  <si>
    <t>1101060006</t>
  </si>
  <si>
    <t>1206010032</t>
  </si>
  <si>
    <t>1206010033</t>
  </si>
  <si>
    <t>1206010034</t>
  </si>
  <si>
    <t>1206010035</t>
  </si>
  <si>
    <t>1206010051</t>
  </si>
  <si>
    <t>1206010061</t>
  </si>
  <si>
    <t>1206010081</t>
  </si>
  <si>
    <t>12060109981</t>
  </si>
  <si>
    <t>12060300041</t>
  </si>
  <si>
    <t>129801002</t>
  </si>
  <si>
    <t>5101020010072</t>
  </si>
  <si>
    <t>5101020020002</t>
  </si>
  <si>
    <t>Prestacion laboral por desvinculacion</t>
  </si>
  <si>
    <t>Programas de informatica</t>
  </si>
  <si>
    <t>dic. 2025</t>
  </si>
  <si>
    <t>Diferencia al 30/06/2025</t>
  </si>
  <si>
    <t>116,139,832.62 78,725,235.76 37,410,446.86</t>
  </si>
  <si>
    <t>BAL 30/06/2025</t>
  </si>
  <si>
    <t>EQUIPO DE TRANSP.</t>
  </si>
  <si>
    <t>52,343,178.79 36,990,885.55 15,352,293.24</t>
  </si>
  <si>
    <t>25/8/2022 13/7/2022 3,345,000.00 2,006,999.40 1,338,000.60</t>
  </si>
  <si>
    <t>VALOR AL 2025</t>
  </si>
  <si>
    <t>PAG 54 Y 53</t>
  </si>
  <si>
    <t>60,734,218.79 39,499,936.77 21,234,282.02</t>
  </si>
  <si>
    <t>Recibimos la autorizacion para ajustar esta partida, en este informe procederemos a la correcciones sugeridas.</t>
  </si>
  <si>
    <t>1206980002</t>
  </si>
  <si>
    <t>EQUIPOS DE DEFENSA</t>
  </si>
  <si>
    <t>MADERA, CORCHO Y MANUFACTURA</t>
  </si>
  <si>
    <t>Madera corcho y sus manufacturas</t>
  </si>
  <si>
    <t>Total aportes corrientes 2025</t>
  </si>
  <si>
    <t>Total aportes de capital 2025</t>
  </si>
  <si>
    <t>Ingresos por contraprestación</t>
  </si>
  <si>
    <t>Saldo al 31 de diciembre de 2025</t>
  </si>
  <si>
    <t>Cuenta por cobrar a corto plazo (Notas 8)</t>
  </si>
  <si>
    <t xml:space="preserve"> Inventarios (Nota 9)</t>
  </si>
  <si>
    <t>Pagos anticipados (Nota 10)</t>
  </si>
  <si>
    <t>Otros activos corrientes (Nota 11)</t>
  </si>
  <si>
    <t>Propiedad, planta y equipo neto (Nota 12)</t>
  </si>
  <si>
    <t>Activos intangibles (Nota 13)</t>
  </si>
  <si>
    <t>Retencione y Acumulaciones  por pagar (Nota 15)</t>
  </si>
  <si>
    <t>Activos Netos/Patrimonio (Notas 16)</t>
  </si>
  <si>
    <t>Ingresos (Notas 17,18)</t>
  </si>
  <si>
    <t>Gastos (Notas 19,20,21,22,23,24,25)</t>
  </si>
  <si>
    <t>La diferencia en el presupuesto reformulado es producto de transferencia de saldo anteriores.</t>
  </si>
  <si>
    <t>Rafael Evangelista Ulloa</t>
  </si>
  <si>
    <t>Humberto Antonio Hernandez</t>
  </si>
  <si>
    <t>Costos de adquisición  (2025)</t>
  </si>
  <si>
    <t>Saldo al 31/12/2025</t>
  </si>
  <si>
    <t>Disminución saldo periodo anteriores</t>
  </si>
  <si>
    <t xml:space="preserve"> En el presupuesto 2025 la cuenta presupuestaria  de ayuda y donaciones ocasionales a hogares y personas no fue incluida en el presupuesto,  por tal motivo tenemos una no objeción de la Contraloría General de la Republica, este monto fue utilizado para una colaboración para un empleado de la institución el cual sufrió un accidente de transito.</t>
  </si>
  <si>
    <t>31 de enero del 2026</t>
  </si>
  <si>
    <t>28 de febrero del 2026</t>
  </si>
  <si>
    <t>30 de abril del 2026</t>
  </si>
  <si>
    <t>31 de mayo del 2026</t>
  </si>
  <si>
    <t>30 de junio del 2026</t>
  </si>
  <si>
    <t>31 de julio del 2026</t>
  </si>
  <si>
    <t>31 de agosto del 2026</t>
  </si>
  <si>
    <t>30 de septiembre del 2026</t>
  </si>
  <si>
    <t>31 de octubre del 2026</t>
  </si>
  <si>
    <t>30 de noviembre del 2026</t>
  </si>
  <si>
    <t>31 de diciembre del 2026</t>
  </si>
  <si>
    <t>Saldo al 31 de diciembre de 2026</t>
  </si>
  <si>
    <t>Prop. planta y equipos neto (2025)</t>
  </si>
  <si>
    <t>Costos de adquisición  (2026)</t>
  </si>
  <si>
    <t>Prop. planta y equipos neto al 31/12/2026</t>
  </si>
  <si>
    <t>COMISIONES Y GASTOS</t>
  </si>
  <si>
    <t>En la institución hay tres caja chica , una para compras por valor de RD$80,000.00 y una para compras en la planta la dura por valor de RD$10,000.00, una para menudo por valor de RD$5,000.00.</t>
  </si>
  <si>
    <t xml:space="preserve"> - 2025</t>
  </si>
  <si>
    <t xml:space="preserve">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t>
  </si>
  <si>
    <t>41040100201</t>
  </si>
  <si>
    <t>41040100203</t>
  </si>
  <si>
    <t>510102001001102</t>
  </si>
  <si>
    <t>510102001001103</t>
  </si>
  <si>
    <t>510102001001105</t>
  </si>
  <si>
    <t>5101990002</t>
  </si>
  <si>
    <t>TRANSFERENCIA PARA GASTO CORRIENTE</t>
  </si>
  <si>
    <t>TRANSFERENCIA PARA ELECTRICIDAD NO CORTABLE</t>
  </si>
  <si>
    <t>51010100203</t>
  </si>
  <si>
    <t>51010100204</t>
  </si>
  <si>
    <t>INTERINATO</t>
  </si>
  <si>
    <t>5101010023</t>
  </si>
  <si>
    <t>51010100300011</t>
  </si>
  <si>
    <t>51010100300052</t>
  </si>
  <si>
    <t>5101020020082</t>
  </si>
  <si>
    <t>SUELDOS A EMPLEADOS FIJOS</t>
  </si>
  <si>
    <t>2.1.1.2.11</t>
  </si>
  <si>
    <t xml:space="preserve"> PAPEL Y CARTON</t>
  </si>
  <si>
    <t>UTILES Y MATERIALES DE LIMPIEZA E HIGIENE</t>
  </si>
  <si>
    <t>PRODUCTOS Y  UTILES DIVERSOS</t>
  </si>
  <si>
    <t>SUELDO ANUAL NO. 13</t>
  </si>
  <si>
    <t>5101020010031</t>
  </si>
  <si>
    <t>5101020010054</t>
  </si>
  <si>
    <t>5101020020083</t>
  </si>
  <si>
    <t>5101020020086</t>
  </si>
  <si>
    <t>5101020020087</t>
  </si>
  <si>
    <t>51010200209002</t>
  </si>
  <si>
    <t>IMPRESION, ENCUADERNACION Y ROTULACION</t>
  </si>
  <si>
    <t>UTILES Y MATERIALES DE ESCRITORIO, OFICINA E INFOR</t>
  </si>
  <si>
    <t>31 de marzo del 2025</t>
  </si>
  <si>
    <t>31 de marzo del 2026</t>
  </si>
  <si>
    <t>Del Ejercicio terminado el  31 de marzo de 2026  y  2025</t>
  </si>
  <si>
    <t xml:space="preserve">Al 31 de marzo del 2026 se realizo un inventario físico de los materiales y suministro para consumo, el cual estamos cruzando y analizando, el resultado de este análisis será aplicado en el próximo mes abril. </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</si>
</sst>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_);_(* \(#,##0.00\);_(* &quot;-&quot;??_);_(@_)"/>
    <numFmt numFmtId="164" formatCode="&quot;RD$&quot;#,##0.00;[Red]\-&quot;RD$&quot;#,##0.00"/>
    <numFmt numFmtId="167" formatCode="_-* #,##0.00\ _€_-;\-* #,##0.00\ _€_-;_-* &quot;-&quot;??\ _€_-;_-@_-"/>
    <numFmt numFmtId="168" formatCode="d\-mmm\-yy;@"/>
    <numFmt numFmtId="169" formatCode="_-* #,##0.00\ _P_t_s_-;\-* #,##0.00\ _P_t_s_-;_-* &quot;-&quot;??\ _P_t_s_-;_-@_-"/>
    <numFmt numFmtId="170" formatCode="_ * #,##0.00_ ;_ * \-#,##0.00_ ;_ * &quot;-&quot;??_ ;_ @_ "/>
    <numFmt numFmtId="171" formatCode="_ * #,##0_ ;_ * \-#,##0_ ;_ * &quot;-&quot;??_ ;_ @_ "/>
    <numFmt numFmtId="172" formatCode="_(* #,##0_);_(* \(#,##0\);_(* &quot;-&quot;??_);_(@_)"/>
    <numFmt numFmtId="173" formatCode="0.0%"/>
    <numFmt numFmtId="174" formatCode="0.0000"/>
    <numFmt numFmtId="175" formatCode="dd/mm/yyyy;@"/>
    <numFmt numFmtId="176" formatCode="###0;###0"/>
    <numFmt numFmtId="177" formatCode="###0.0;###0.0"/>
    <numFmt numFmtId="178" formatCode="#,##0.0000"/>
    <numFmt numFmtId="179" formatCode="0.000%"/>
    <numFmt numFmtId="180" formatCode="0.000000%"/>
    <numFmt numFmtId="181" formatCode="0.000000000%"/>
    <numFmt numFmtId="182" formatCode="0_);\(0\)"/>
    <numFmt numFmtId="183" formatCode="_(* #,##0.0000000000000000_);_(* \(#,##0.0000000000000000\);_(* &quot;-&quot;??_);_(@_)"/>
  </numFmts>
  <fonts count="206">
    <font>
      <sz val="11"/>
      <color theme="1"/>
      <name val="Calibri"/>
      <family val="2"/>
      <scheme val="minor"/>
    </font>
    <font>
      <b/>
      <sz val="11"/>
      <name val="Times New Roman"/>
      <family val="1"/>
    </font>
    <font>
      <sz val="10"/>
      <name val="Arial"/>
      <family val="2"/>
    </font>
    <font>
      <b/>
      <sz val="10"/>
      <name val="Arial"/>
      <family val="2"/>
    </font>
    <font>
      <sz val="8"/>
      <name val="Arial"/>
      <family val="2"/>
    </font>
    <font>
      <b/>
      <sz val="8"/>
      <name val="Times New Roman"/>
      <family val="1"/>
    </font>
    <font>
      <sz val="8"/>
      <name val="Times New Roman"/>
      <family val="1"/>
    </font>
    <font>
      <b/>
      <sz val="9"/>
      <name val="Times New Roman"/>
      <family val="1"/>
    </font>
    <font>
      <sz val="9"/>
      <name val="Times New Roman"/>
      <family val="1"/>
    </font>
    <font>
      <sz val="12"/>
      <name val="Times New Roman"/>
      <family val="1"/>
    </font>
    <font>
      <b/>
      <sz val="7"/>
      <color indexed="8"/>
      <name val="Times New Roman"/>
      <family val="1"/>
    </font>
    <font>
      <sz val="7"/>
      <color indexed="8"/>
      <name val="Times New Roman"/>
      <family val="1"/>
    </font>
    <font>
      <b/>
      <u/>
      <sz val="7"/>
      <name val="Times New Roman"/>
      <family val="1"/>
    </font>
    <font>
      <b/>
      <sz val="7"/>
      <name val="Times New Roman"/>
      <family val="1"/>
    </font>
    <font>
      <sz val="7"/>
      <name val="Times New Roman"/>
      <family val="1"/>
    </font>
    <font>
      <b/>
      <sz val="12"/>
      <name val="Times New Roman"/>
      <family val="1"/>
    </font>
    <font>
      <sz val="9"/>
      <color indexed="81"/>
      <name val="Tahoma"/>
      <family val="2"/>
    </font>
    <font>
      <b/>
      <sz val="9"/>
      <color indexed="81"/>
      <name val="Tahoma"/>
      <family val="2"/>
    </font>
    <font>
      <b/>
      <sz val="11"/>
      <name val="Calibri"/>
      <family val="2"/>
    </font>
    <font>
      <sz val="12"/>
      <color indexed="8"/>
      <name val="Times New Roman"/>
      <family val="1"/>
    </font>
    <font>
      <sz val="12"/>
      <color indexed="8"/>
      <name val="Times New Roman"/>
      <family val="1"/>
    </font>
    <font>
      <sz val="11"/>
      <color indexed="8"/>
      <name val="Times New Roman"/>
      <family val="1"/>
    </font>
    <font>
      <sz val="8"/>
      <color indexed="8"/>
      <name val="Times New Roman"/>
      <family val="1"/>
    </font>
    <font>
      <b/>
      <sz val="14"/>
      <color indexed="8"/>
      <name val="Times New Roman"/>
      <family val="1"/>
    </font>
    <font>
      <sz val="14"/>
      <color indexed="8"/>
      <name val="Times New Roman"/>
      <family val="1"/>
    </font>
    <font>
      <sz val="14"/>
      <color indexed="8"/>
      <name val="Times New Roman"/>
      <family val="1"/>
    </font>
    <font>
      <sz val="14"/>
      <color indexed="14"/>
      <name val="Times New Roman"/>
      <family val="1"/>
    </font>
    <font>
      <sz val="14"/>
      <color indexed="10"/>
      <name val="Times New Roman"/>
      <family val="1"/>
    </font>
    <font>
      <sz val="10"/>
      <color indexed="8"/>
      <name val="Times New Roman"/>
      <family val="1"/>
    </font>
    <font>
      <sz val="11"/>
      <color indexed="8"/>
      <name val="Times New Roman"/>
      <family val="1"/>
    </font>
    <font>
      <sz val="8"/>
      <color indexed="8"/>
      <name val="Times New Roman"/>
      <family val="1"/>
    </font>
    <font>
      <sz val="10"/>
      <name val="Arial"/>
      <family val="2"/>
    </font>
    <font>
      <u/>
      <sz val="10"/>
      <color indexed="12"/>
      <name val="Arial"/>
      <family val="2"/>
    </font>
    <font>
      <sz val="10"/>
      <name val="Courier"/>
      <family val="3"/>
    </font>
    <font>
      <b/>
      <sz val="16"/>
      <name val="Times New Roman"/>
      <family val="1"/>
    </font>
    <font>
      <b/>
      <sz val="10"/>
      <name val="Times New Roman"/>
      <family val="1"/>
    </font>
    <font>
      <sz val="10"/>
      <name val="Times New Roman"/>
      <family val="1"/>
    </font>
    <font>
      <b/>
      <sz val="11"/>
      <color indexed="8"/>
      <name val="Arial"/>
      <family val="2"/>
    </font>
    <font>
      <sz val="11"/>
      <color indexed="10"/>
      <name val="Arial"/>
      <family val="2"/>
    </font>
    <font>
      <sz val="11"/>
      <color indexed="8"/>
      <name val="Arial"/>
      <family val="2"/>
    </font>
    <font>
      <sz val="11"/>
      <name val="Arial"/>
      <family val="2"/>
    </font>
    <font>
      <sz val="9"/>
      <name val="Arial"/>
      <family val="2"/>
    </font>
    <font>
      <b/>
      <sz val="11"/>
      <name val="Arial"/>
      <family val="2"/>
    </font>
    <font>
      <sz val="10"/>
      <color indexed="10"/>
      <name val="Arial"/>
      <family val="2"/>
    </font>
    <font>
      <b/>
      <sz val="11"/>
      <color indexed="8"/>
      <name val="Times New Roman"/>
      <family val="1"/>
    </font>
    <font>
      <sz val="11"/>
      <color indexed="8"/>
      <name val="Times New Roman"/>
      <family val="1"/>
    </font>
    <font>
      <i/>
      <sz val="11"/>
      <color indexed="8"/>
      <name val="Times New Roman"/>
      <family val="1"/>
    </font>
    <font>
      <sz val="11"/>
      <color indexed="14"/>
      <name val="Times New Roman"/>
      <family val="1"/>
    </font>
    <font>
      <sz val="11"/>
      <color indexed="10"/>
      <name val="Times New Roman"/>
      <family val="1"/>
    </font>
    <font>
      <b/>
      <sz val="22"/>
      <name val="Times New Roman"/>
      <family val="1"/>
    </font>
    <font>
      <sz val="11"/>
      <name val="Times New Roman"/>
      <family val="1"/>
    </font>
    <font>
      <b/>
      <i/>
      <sz val="11"/>
      <name val="Times New Roman"/>
      <family val="1"/>
    </font>
    <font>
      <u/>
      <sz val="11"/>
      <name val="Times New Roman"/>
      <family val="1"/>
    </font>
    <font>
      <b/>
      <sz val="12"/>
      <color indexed="63"/>
      <name val="Times New Roman"/>
      <family val="1"/>
    </font>
    <font>
      <b/>
      <sz val="12"/>
      <color indexed="8"/>
      <name val="Times New Roman"/>
      <family val="1"/>
    </font>
    <font>
      <sz val="11"/>
      <name val="Calibri"/>
      <family val="2"/>
    </font>
    <font>
      <sz val="12"/>
      <name val="Arial"/>
      <family val="2"/>
    </font>
    <font>
      <sz val="7"/>
      <name val="Cambria"/>
      <family val="1"/>
    </font>
    <font>
      <sz val="12"/>
      <name val="Cambria"/>
      <family val="1"/>
    </font>
    <font>
      <b/>
      <sz val="14"/>
      <name val="Times New Roman"/>
      <family val="1"/>
    </font>
    <font>
      <sz val="14"/>
      <name val="Times New Roman"/>
      <family val="1"/>
    </font>
    <font>
      <sz val="8"/>
      <name val="Calibri"/>
      <family val="2"/>
    </font>
    <font>
      <sz val="11"/>
      <color indexed="63"/>
      <name val="Calibri"/>
      <family val="2"/>
    </font>
    <font>
      <sz val="7"/>
      <color indexed="63"/>
      <name val="Times New Roman"/>
      <family val="1"/>
    </font>
    <font>
      <vertAlign val="superscript"/>
      <sz val="11"/>
      <color indexed="63"/>
      <name val="Calibri"/>
      <family val="2"/>
    </font>
    <font>
      <sz val="9"/>
      <color indexed="81"/>
      <name val="Tahoma"/>
      <family val="2"/>
    </font>
    <font>
      <b/>
      <sz val="9"/>
      <color indexed="81"/>
      <name val="Tahoma"/>
      <family val="2"/>
    </font>
    <font>
      <b/>
      <sz val="11"/>
      <color indexed="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theme="0"/>
      <name val="Calibri"/>
      <family val="2"/>
      <scheme val="minor"/>
    </font>
    <font>
      <u/>
      <sz val="11"/>
      <color theme="10"/>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6"/>
      <color theme="1"/>
      <name val="Calibri"/>
      <family val="2"/>
      <scheme val="minor"/>
    </font>
    <font>
      <sz val="11"/>
      <color theme="1"/>
      <name val="Calibri"/>
      <family val="2"/>
    </font>
    <font>
      <sz val="9"/>
      <color theme="1"/>
      <name val="Calibri"/>
      <family val="2"/>
      <scheme val="minor"/>
    </font>
    <font>
      <sz val="12"/>
      <color theme="1"/>
      <name val="Calibri"/>
      <family val="2"/>
      <scheme val="minor"/>
    </font>
    <font>
      <sz val="12"/>
      <color theme="1"/>
      <name val="Times New Roman"/>
      <family val="1"/>
    </font>
    <font>
      <b/>
      <sz val="12"/>
      <color theme="1"/>
      <name val="Times New Roman"/>
      <family val="1"/>
    </font>
    <font>
      <b/>
      <sz val="8"/>
      <color theme="1"/>
      <name val="Times New Roman"/>
      <family val="1"/>
    </font>
    <font>
      <b/>
      <sz val="14"/>
      <color theme="1"/>
      <name val="Times New Roman"/>
      <family val="1"/>
    </font>
    <font>
      <sz val="14"/>
      <color theme="1"/>
      <name val="Times New Roman"/>
      <family val="1"/>
    </font>
    <font>
      <b/>
      <i/>
      <sz val="14"/>
      <color theme="1"/>
      <name val="Times New Roman"/>
      <family val="1"/>
    </font>
    <font>
      <sz val="14"/>
      <color rgb="FF000000"/>
      <name val="Times New Roman"/>
      <family val="1"/>
    </font>
    <font>
      <sz val="14"/>
      <color rgb="FFFF00FF"/>
      <name val="Times New Roman"/>
      <family val="1"/>
    </font>
    <font>
      <b/>
      <sz val="11"/>
      <color theme="1"/>
      <name val="Times New Roman"/>
      <family val="1"/>
    </font>
    <font>
      <b/>
      <sz val="11"/>
      <color theme="1"/>
      <name val="Tahoma"/>
      <family val="2"/>
    </font>
    <font>
      <sz val="11"/>
      <color theme="1"/>
      <name val="Tahoma"/>
      <family val="2"/>
    </font>
    <font>
      <sz val="10"/>
      <color theme="1"/>
      <name val="Times New Roman"/>
      <family val="1"/>
    </font>
    <font>
      <sz val="8"/>
      <color theme="1"/>
      <name val="Times New Roman"/>
      <family val="1"/>
    </font>
    <font>
      <sz val="11"/>
      <color theme="1"/>
      <name val="Times New Roman"/>
      <family val="1"/>
    </font>
    <font>
      <b/>
      <sz val="6"/>
      <color theme="1"/>
      <name val="Times New Roman"/>
      <family val="1"/>
    </font>
    <font>
      <b/>
      <sz val="9"/>
      <color theme="1"/>
      <name val="Tahoma"/>
      <family val="2"/>
    </font>
    <font>
      <b/>
      <sz val="10"/>
      <color rgb="FF000000"/>
      <name val="Times New Roman"/>
      <family val="1"/>
    </font>
    <font>
      <b/>
      <sz val="11"/>
      <color rgb="FF000000"/>
      <name val="Times New Roman"/>
      <family val="1"/>
    </font>
    <font>
      <sz val="11"/>
      <color rgb="FF000000"/>
      <name val="Times New Roman"/>
      <family val="1"/>
    </font>
    <font>
      <sz val="10"/>
      <color rgb="FF000000"/>
      <name val="Times New Roman"/>
      <family val="1"/>
    </font>
    <font>
      <b/>
      <sz val="12"/>
      <color rgb="FF000000"/>
      <name val="Times New Roman"/>
      <family val="1"/>
    </font>
    <font>
      <sz val="12"/>
      <color rgb="FF000000"/>
      <name val="Times New Roman"/>
      <family val="1"/>
    </font>
    <font>
      <b/>
      <sz val="10"/>
      <color theme="1"/>
      <name val="Times New Roman"/>
      <family val="1"/>
    </font>
    <font>
      <b/>
      <sz val="8"/>
      <color rgb="FF000000"/>
      <name val="Times New Roman"/>
      <family val="1"/>
    </font>
    <font>
      <b/>
      <sz val="9"/>
      <color rgb="FF000000"/>
      <name val="Times New Roman"/>
      <family val="1"/>
    </font>
    <font>
      <sz val="10"/>
      <color theme="1"/>
      <name val="Calibri"/>
      <family val="2"/>
      <scheme val="minor"/>
    </font>
    <font>
      <sz val="6"/>
      <color theme="1"/>
      <name val="Calibri"/>
      <family val="2"/>
      <scheme val="minor"/>
    </font>
    <font>
      <sz val="10"/>
      <color rgb="FFFF0000"/>
      <name val="Arial"/>
      <family val="2"/>
    </font>
    <font>
      <b/>
      <sz val="11"/>
      <name val="Calibri"/>
      <family val="2"/>
      <scheme val="minor"/>
    </font>
    <font>
      <u/>
      <sz val="10"/>
      <color theme="10"/>
      <name val="Arial"/>
      <family val="2"/>
    </font>
    <font>
      <b/>
      <sz val="11"/>
      <color rgb="FFFF0000"/>
      <name val="Wingdings 3"/>
      <family val="1"/>
      <charset val="2"/>
    </font>
    <font>
      <b/>
      <sz val="10"/>
      <color rgb="FFFF0000"/>
      <name val="Wingdings"/>
      <charset val="2"/>
    </font>
    <font>
      <b/>
      <sz val="10"/>
      <color rgb="FFFF0000"/>
      <name val="Arial"/>
      <family val="2"/>
    </font>
    <font>
      <b/>
      <sz val="10"/>
      <color rgb="FFFF0000"/>
      <name val="Wingdings 2"/>
      <family val="1"/>
      <charset val="2"/>
    </font>
    <font>
      <b/>
      <sz val="11"/>
      <color rgb="FFFF0000"/>
      <name val="Arial"/>
      <family val="2"/>
    </font>
    <font>
      <b/>
      <sz val="11"/>
      <color rgb="FFFF0000"/>
      <name val="Wingdings 2"/>
      <family val="1"/>
      <charset val="2"/>
    </font>
    <font>
      <b/>
      <sz val="11"/>
      <color rgb="FFFF0000"/>
      <name val="Wingdings"/>
      <charset val="2"/>
    </font>
    <font>
      <sz val="14"/>
      <color theme="1"/>
      <name val="Aharoni"/>
      <charset val="177"/>
    </font>
    <font>
      <b/>
      <sz val="11"/>
      <color rgb="FFFF0000"/>
      <name val="Calibri"/>
      <family val="2"/>
      <scheme val="minor"/>
    </font>
    <font>
      <sz val="11"/>
      <color rgb="FFFF0000"/>
      <name val="Arial"/>
      <family val="2"/>
    </font>
    <font>
      <sz val="11"/>
      <color theme="1"/>
      <name val="Symbol"/>
      <family val="1"/>
      <charset val="2"/>
    </font>
    <font>
      <b/>
      <sz val="9"/>
      <color theme="1"/>
      <name val="Times New Roman"/>
      <family val="1"/>
    </font>
    <font>
      <sz val="9"/>
      <color theme="1"/>
      <name val="Times New Roman"/>
      <family val="1"/>
    </font>
    <font>
      <sz val="9"/>
      <color rgb="FF000000"/>
      <name val="Times New Roman"/>
      <family val="1"/>
    </font>
    <font>
      <sz val="16"/>
      <color theme="1"/>
      <name val="Times New Roman"/>
      <family val="1"/>
    </font>
    <font>
      <b/>
      <sz val="16"/>
      <color theme="1"/>
      <name val="Times New Roman"/>
      <family val="1"/>
    </font>
    <font>
      <b/>
      <i/>
      <sz val="11"/>
      <color theme="1"/>
      <name val="Times New Roman"/>
      <family val="1"/>
    </font>
    <font>
      <sz val="11"/>
      <color rgb="FFFF00FF"/>
      <name val="Times New Roman"/>
      <family val="1"/>
    </font>
    <font>
      <b/>
      <sz val="10"/>
      <color theme="1"/>
      <name val="Calibri"/>
      <family val="2"/>
      <scheme val="minor"/>
    </font>
    <font>
      <sz val="11"/>
      <color theme="0" tint="-0.34998626667073579"/>
      <name val="Times New Roman"/>
      <family val="1"/>
    </font>
    <font>
      <u/>
      <sz val="11"/>
      <color theme="1"/>
      <name val="Times New Roman"/>
      <family val="1"/>
    </font>
    <font>
      <u/>
      <sz val="8"/>
      <color theme="1"/>
      <name val="Times New Roman"/>
      <family val="1"/>
    </font>
    <font>
      <sz val="8"/>
      <color theme="1"/>
      <name val="Calibri"/>
      <family val="2"/>
    </font>
    <font>
      <sz val="6"/>
      <color theme="0" tint="-0.249977111117893"/>
      <name val="Times New Roman"/>
      <family val="1"/>
    </font>
    <font>
      <b/>
      <sz val="8"/>
      <color theme="0" tint="-0.249977111117893"/>
      <name val="Times New Roman"/>
      <family val="1"/>
    </font>
    <font>
      <sz val="11"/>
      <color theme="0" tint="-0.249977111117893"/>
      <name val="Calibri"/>
      <family val="2"/>
      <scheme val="minor"/>
    </font>
    <font>
      <sz val="8"/>
      <color theme="0" tint="-0.249977111117893"/>
      <name val="Calibri"/>
      <family val="2"/>
      <scheme val="minor"/>
    </font>
    <font>
      <b/>
      <sz val="5"/>
      <color theme="0" tint="-0.249977111117893"/>
      <name val="Times New Roman"/>
      <family val="1"/>
    </font>
    <font>
      <sz val="14"/>
      <color theme="1"/>
      <name val="Calibri"/>
      <family val="2"/>
      <scheme val="minor"/>
    </font>
    <font>
      <b/>
      <sz val="9"/>
      <color rgb="FF231F20"/>
      <name val="Times New Roman"/>
      <family val="1"/>
    </font>
    <font>
      <sz val="9"/>
      <color rgb="FF231F20"/>
      <name val="Times New Roman"/>
      <family val="1"/>
    </font>
    <font>
      <b/>
      <u/>
      <sz val="9"/>
      <color rgb="FF231F20"/>
      <name val="Times New Roman"/>
      <family val="1"/>
    </font>
    <font>
      <sz val="8.5"/>
      <color theme="1"/>
      <name val="Calibri"/>
      <family val="2"/>
      <scheme val="minor"/>
    </font>
    <font>
      <sz val="7.5"/>
      <color theme="1"/>
      <name val="Calibri"/>
      <family val="2"/>
      <scheme val="minor"/>
    </font>
    <font>
      <sz val="12"/>
      <color rgb="FF231F20"/>
      <name val="Times New Roman"/>
      <family val="1"/>
    </font>
    <font>
      <sz val="6.5"/>
      <color theme="1"/>
      <name val="Calibri"/>
      <family val="2"/>
      <scheme val="minor"/>
    </font>
    <font>
      <sz val="11"/>
      <color rgb="FF231F20"/>
      <name val="Times New Roman"/>
      <family val="1"/>
    </font>
    <font>
      <b/>
      <sz val="11"/>
      <color rgb="FF231F20"/>
      <name val="Times New Roman"/>
      <family val="1"/>
    </font>
    <font>
      <sz val="11"/>
      <color theme="2" tint="-0.249977111117893"/>
      <name val="Calibri"/>
      <family val="2"/>
      <scheme val="minor"/>
    </font>
    <font>
      <b/>
      <sz val="11"/>
      <color theme="0" tint="-0.34998626667073579"/>
      <name val="Times New Roman"/>
      <family val="1"/>
    </font>
    <font>
      <u/>
      <sz val="9"/>
      <color theme="1"/>
      <name val="Times New Roman"/>
      <family val="1"/>
    </font>
    <font>
      <b/>
      <u val="double"/>
      <sz val="9"/>
      <color theme="1"/>
      <name val="Times New Roman"/>
      <family val="1"/>
    </font>
    <font>
      <sz val="11"/>
      <color theme="0" tint="-0.34998626667073579"/>
      <name val="Calibri"/>
      <family val="2"/>
      <scheme val="minor"/>
    </font>
    <font>
      <sz val="11"/>
      <color theme="0" tint="-0.14999847407452621"/>
      <name val="Times New Roman"/>
      <family val="1"/>
    </font>
    <font>
      <sz val="11"/>
      <color theme="1"/>
      <name val="Cambria"/>
      <family val="1"/>
      <scheme val="major"/>
    </font>
    <font>
      <b/>
      <sz val="8"/>
      <color indexed="8"/>
      <name val="Cambria"/>
      <family val="1"/>
      <scheme val="major"/>
    </font>
    <font>
      <sz val="8"/>
      <color theme="1"/>
      <name val="Cambria"/>
      <family val="1"/>
      <scheme val="major"/>
    </font>
    <font>
      <b/>
      <sz val="11"/>
      <color theme="1"/>
      <name val="Cambria"/>
      <family val="1"/>
      <scheme val="major"/>
    </font>
    <font>
      <sz val="8"/>
      <color theme="0" tint="-0.14999847407452621"/>
      <name val="Calibri"/>
      <family val="2"/>
      <scheme val="minor"/>
    </font>
    <font>
      <b/>
      <sz val="10"/>
      <name val="Cambria"/>
      <family val="1"/>
      <scheme val="major"/>
    </font>
    <font>
      <sz val="10"/>
      <name val="Cambria"/>
      <family val="1"/>
      <scheme val="major"/>
    </font>
    <font>
      <b/>
      <sz val="9"/>
      <color theme="1"/>
      <name val="Calibri"/>
      <family val="2"/>
      <scheme val="minor"/>
    </font>
    <font>
      <b/>
      <sz val="8"/>
      <color indexed="10"/>
      <name val="Cambria"/>
      <family val="1"/>
      <scheme val="major"/>
    </font>
    <font>
      <b/>
      <sz val="8"/>
      <color theme="6" tint="-0.499984740745262"/>
      <name val="Cambria"/>
      <family val="1"/>
      <scheme val="major"/>
    </font>
    <font>
      <b/>
      <sz val="8"/>
      <color indexed="56"/>
      <name val="Cambria"/>
      <family val="1"/>
      <scheme val="major"/>
    </font>
    <font>
      <b/>
      <sz val="8"/>
      <color theme="9" tint="-0.249977111117893"/>
      <name val="Cambria"/>
      <family val="1"/>
      <scheme val="major"/>
    </font>
    <font>
      <b/>
      <sz val="14"/>
      <color rgb="FF000000"/>
      <name val="Times New Roman"/>
      <family val="1"/>
    </font>
    <font>
      <sz val="14"/>
      <color theme="0" tint="-0.249977111117893"/>
      <name val="Times New Roman"/>
      <family val="1"/>
    </font>
    <font>
      <sz val="6"/>
      <color theme="1"/>
      <name val="Times New Roman"/>
      <family val="1"/>
    </font>
    <font>
      <b/>
      <sz val="6"/>
      <color theme="1"/>
      <name val="Calibri"/>
      <family val="2"/>
      <scheme val="minor"/>
    </font>
    <font>
      <sz val="11"/>
      <color theme="2" tint="-0.499984740745262"/>
      <name val="Calibri"/>
      <family val="2"/>
      <scheme val="minor"/>
    </font>
    <font>
      <sz val="11"/>
      <color theme="2" tint="-0.249977111117893"/>
      <name val="Times New Roman"/>
      <family val="1"/>
    </font>
    <font>
      <sz val="11"/>
      <color theme="1" tint="0.34998626667073579"/>
      <name val="Calibri"/>
      <family val="2"/>
      <scheme val="minor"/>
    </font>
    <font>
      <sz val="9"/>
      <color rgb="FF000000"/>
      <name val="Calibri"/>
      <family val="2"/>
    </font>
    <font>
      <b/>
      <sz val="8"/>
      <name val="Calibri"/>
      <family val="2"/>
      <scheme val="minor"/>
    </font>
    <font>
      <sz val="9"/>
      <color theme="0" tint="-0.249977111117893"/>
      <name val="Times New Roman"/>
      <family val="1"/>
    </font>
    <font>
      <sz val="11"/>
      <name val="Calibri"/>
      <family val="2"/>
      <scheme val="minor"/>
    </font>
    <font>
      <b/>
      <sz val="11"/>
      <color rgb="FF000000"/>
      <name val="Times New Roman"/>
      <family val="2"/>
    </font>
    <font>
      <sz val="11"/>
      <color rgb="FF000000"/>
      <name val="Times New Roman"/>
      <family val="2"/>
    </font>
    <font>
      <b/>
      <sz val="11"/>
      <color theme="0" tint="-0.14999847407452621"/>
      <name val="Times New Roman"/>
      <family val="1"/>
    </font>
    <font>
      <sz val="11"/>
      <color rgb="FFFF0000"/>
      <name val="Times New Roman"/>
      <family val="1"/>
    </font>
    <font>
      <b/>
      <sz val="11"/>
      <color theme="0" tint="-0.249977111117893"/>
      <name val="Times New Roman"/>
      <family val="1"/>
    </font>
    <font>
      <b/>
      <sz val="11"/>
      <color rgb="FFFF0000"/>
      <name val="Times New Roman"/>
      <family val="1"/>
    </font>
    <font>
      <b/>
      <sz val="11"/>
      <color theme="0" tint="-4.9989318521683403E-2"/>
      <name val="Times New Roman"/>
      <family val="1"/>
    </font>
    <font>
      <sz val="8"/>
      <color theme="2" tint="-0.249977111117893"/>
      <name val="Calibri"/>
      <family val="2"/>
      <scheme val="minor"/>
    </font>
    <font>
      <sz val="11"/>
      <color theme="1"/>
      <name val="Time"/>
    </font>
    <font>
      <b/>
      <sz val="10"/>
      <color rgb="FF231F20"/>
      <name val="Times New Roman"/>
      <family val="1"/>
    </font>
    <font>
      <sz val="10"/>
      <color rgb="FF231F20"/>
      <name val="Times New Roman"/>
      <family val="1"/>
    </font>
    <font>
      <b/>
      <sz val="12"/>
      <color rgb="FFFF0000"/>
      <name val="Times New Roman"/>
      <family val="1"/>
    </font>
    <font>
      <b/>
      <sz val="12"/>
      <color rgb="FF231F20"/>
      <name val="Times New Roman"/>
      <family val="1"/>
    </font>
    <font>
      <b/>
      <sz val="12"/>
      <color theme="1"/>
      <name val="Calibri"/>
      <family val="2"/>
      <scheme val="minor"/>
    </font>
    <font>
      <sz val="9"/>
      <color theme="0" tint="-0.249977111117893"/>
      <name val="Calibri"/>
      <family val="2"/>
      <scheme val="minor"/>
    </font>
    <font>
      <sz val="11"/>
      <color theme="0" tint="-0.249977111117893"/>
      <name val="Times New Roman"/>
      <family val="1"/>
    </font>
    <font>
      <sz val="11"/>
      <color rgb="FF222222"/>
      <name val="Calibri"/>
      <family val="2"/>
      <scheme val="minor"/>
    </font>
    <font>
      <u/>
      <sz val="8"/>
      <color theme="10"/>
      <name val="Times New Roman"/>
      <family val="1"/>
    </font>
    <font>
      <u/>
      <sz val="14"/>
      <color theme="10"/>
      <name val="Times New Roman"/>
      <family val="1"/>
    </font>
    <font>
      <b/>
      <sz val="16"/>
      <color theme="1"/>
      <name val="Calibri"/>
      <family val="2"/>
      <scheme val="minor"/>
    </font>
    <font>
      <sz val="11"/>
      <color theme="8" tint="-0.499984740745262"/>
      <name val="Calibri"/>
      <family val="2"/>
      <scheme val="minor"/>
    </font>
    <font>
      <b/>
      <i/>
      <sz val="11"/>
      <color rgb="FF000000"/>
      <name val="Times New Roman"/>
      <family val="1"/>
    </font>
    <font>
      <b/>
      <sz val="14"/>
      <color theme="1"/>
      <name val="Calibri"/>
      <family val="2"/>
      <scheme val="minor"/>
    </font>
    <font>
      <sz val="11"/>
      <name val="Cambria"/>
      <family val="1"/>
      <scheme val="major"/>
    </font>
    <font>
      <sz val="9.6"/>
      <name val="Cambria"/>
      <family val="1"/>
      <scheme val="major"/>
    </font>
    <font>
      <sz val="11"/>
      <color rgb="FFFF0000"/>
      <name val="Wingdings 2"/>
      <family val="1"/>
      <charset val="2"/>
    </font>
  </fonts>
  <fills count="43">
    <fill>
      <patternFill patternType="none"/>
    </fill>
    <fill>
      <patternFill patternType="gray125"/>
    </fill>
    <fill>
      <patternFill patternType="solid">
        <fgColor indexed="9"/>
        <bgColor indexed="64"/>
      </patternFill>
    </fill>
    <fill>
      <patternFill patternType="solid">
        <fgColor theme="5" tint="0.39997558519241921"/>
        <bgColor indexed="65"/>
      </patternFill>
    </fill>
    <fill>
      <patternFill patternType="solid">
        <fgColor theme="6"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5"/>
      </patternFill>
    </fill>
    <fill>
      <patternFill patternType="solid">
        <fgColor theme="6"/>
      </patternFill>
    </fill>
    <fill>
      <patternFill patternType="solid">
        <fgColor rgb="FFFFEB9C"/>
      </patternFill>
    </fill>
    <fill>
      <patternFill patternType="solid">
        <fgColor rgb="FF92D050"/>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2F2F2"/>
        <bgColor indexed="64"/>
      </patternFill>
    </fill>
    <fill>
      <patternFill patternType="solid">
        <fgColor rgb="FFFFFFFF"/>
        <bgColor indexed="64"/>
      </patternFill>
    </fill>
    <fill>
      <patternFill patternType="solid">
        <fgColor rgb="FFEAEAEA"/>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BF3F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DEEBF6"/>
      </patternFill>
    </fill>
    <fill>
      <patternFill patternType="solid">
        <fgColor rgb="FF9CC3E6"/>
      </patternFill>
    </fill>
    <fill>
      <patternFill patternType="solid">
        <fgColor rgb="FF00B0F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39997558519241921"/>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8"/>
      </right>
      <top style="medium">
        <color indexed="8"/>
      </top>
      <bottom style="medium">
        <color indexed="8"/>
      </bottom>
      <diagonal/>
    </border>
    <border>
      <left style="medium">
        <color indexed="64"/>
      </left>
      <right/>
      <top/>
      <bottom style="double">
        <color indexed="64"/>
      </bottom>
      <diagonal/>
    </border>
    <border>
      <left/>
      <right style="medium">
        <color indexed="64"/>
      </right>
      <top style="double">
        <color indexed="64"/>
      </top>
      <bottom/>
      <diagonal/>
    </border>
    <border>
      <left/>
      <right style="medium">
        <color indexed="64"/>
      </right>
      <top/>
      <bottom style="medium">
        <color indexed="8"/>
      </bottom>
      <diagonal/>
    </border>
    <border>
      <left style="medium">
        <color indexed="64"/>
      </left>
      <right/>
      <top style="double">
        <color indexed="64"/>
      </top>
      <bottom/>
      <diagonal/>
    </border>
    <border>
      <left style="medium">
        <color indexed="64"/>
      </left>
      <right/>
      <top/>
      <bottom style="medium">
        <color indexed="8"/>
      </bottom>
      <diagonal/>
    </border>
    <border>
      <left/>
      <right/>
      <top style="double">
        <color indexed="64"/>
      </top>
      <bottom/>
      <diagonal/>
    </border>
    <border>
      <left/>
      <right/>
      <top/>
      <bottom style="medium">
        <color indexed="8"/>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right/>
      <top/>
      <bottom style="double">
        <color theme="5" tint="-0.499984740745262"/>
      </bottom>
      <diagonal/>
    </border>
    <border>
      <left style="thin">
        <color rgb="FF3F3F3F"/>
      </left>
      <right style="thin">
        <color rgb="FF3F3F3F"/>
      </right>
      <top/>
      <bottom style="thin">
        <color rgb="FF3F3F3F"/>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2">
    <xf numFmtId="0" fontId="0" fillId="0" borderId="0"/>
    <xf numFmtId="0" fontId="69" fillId="3" borderId="0" applyNumberFormat="0" applyBorder="0" applyAlignment="0" applyProtection="0"/>
    <xf numFmtId="0" fontId="69" fillId="4" borderId="0" applyNumberFormat="0" applyBorder="0" applyAlignment="0" applyProtection="0"/>
    <xf numFmtId="0" fontId="70" fillId="5" borderId="0" applyNumberFormat="0" applyBorder="0" applyAlignment="0" applyProtection="0"/>
    <xf numFmtId="0" fontId="71" fillId="7" borderId="86" applyNumberFormat="0" applyAlignment="0" applyProtection="0"/>
    <xf numFmtId="0" fontId="69" fillId="8" borderId="0" applyNumberFormat="0" applyBorder="0" applyAlignment="0" applyProtection="0"/>
    <xf numFmtId="0" fontId="69" fillId="9" borderId="0" applyNumberFormat="0" applyBorder="0" applyAlignment="0" applyProtection="0"/>
    <xf numFmtId="0" fontId="72" fillId="0" borderId="0" applyNumberFormat="0" applyFill="0" applyBorder="0" applyAlignment="0" applyProtection="0"/>
    <xf numFmtId="0" fontId="32" fillId="0" borderId="0" applyNumberFormat="0" applyFill="0" applyBorder="0" applyAlignment="0" applyProtection="0">
      <alignment vertical="top"/>
      <protection locked="0"/>
    </xf>
    <xf numFmtId="43" fontId="68" fillId="0" borderId="0" applyFont="0" applyFill="0" applyBorder="0" applyAlignment="0" applyProtection="0"/>
    <xf numFmtId="170" fontId="31"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0" fontId="73" fillId="10" borderId="0" applyNumberFormat="0" applyBorder="0" applyAlignment="0" applyProtection="0"/>
    <xf numFmtId="0" fontId="31" fillId="0" borderId="0"/>
    <xf numFmtId="0" fontId="2" fillId="0" borderId="0"/>
    <xf numFmtId="0" fontId="33" fillId="0" borderId="0"/>
    <xf numFmtId="9" fontId="68"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0" fontId="74" fillId="6" borderId="87" applyNumberFormat="0" applyAlignment="0" applyProtection="0"/>
    <xf numFmtId="0" fontId="76" fillId="0" borderId="88" applyNumberFormat="0" applyFill="0" applyAlignment="0" applyProtection="0"/>
  </cellStyleXfs>
  <cellXfs count="208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76" fillId="0" borderId="0" xfId="0" applyFont="1" applyAlignment="1">
      <alignment horizontal="center"/>
    </xf>
    <xf numFmtId="4" fontId="0" fillId="0" borderId="0" xfId="0" applyNumberFormat="1"/>
    <xf numFmtId="4" fontId="76" fillId="0" borderId="0" xfId="0" applyNumberFormat="1" applyFont="1" applyAlignment="1">
      <alignment horizontal="center"/>
    </xf>
    <xf numFmtId="0" fontId="0" fillId="11" borderId="4" xfId="0" applyFill="1" applyBorder="1"/>
    <xf numFmtId="0" fontId="0" fillId="11" borderId="0" xfId="0" applyFill="1" applyBorder="1"/>
    <xf numFmtId="4" fontId="0" fillId="11" borderId="5" xfId="0" applyNumberFormat="1" applyFill="1" applyBorder="1"/>
    <xf numFmtId="0" fontId="0" fillId="11" borderId="6" xfId="0" applyFill="1" applyBorder="1"/>
    <xf numFmtId="0" fontId="0" fillId="11" borderId="7" xfId="0" applyFill="1" applyBorder="1"/>
    <xf numFmtId="4" fontId="0" fillId="11" borderId="8" xfId="0" applyNumberFormat="1" applyFill="1" applyBorder="1"/>
    <xf numFmtId="4" fontId="77" fillId="0" borderId="0" xfId="0" applyNumberFormat="1" applyFont="1"/>
    <xf numFmtId="4" fontId="78" fillId="0" borderId="0" xfId="0" applyNumberFormat="1" applyFont="1"/>
    <xf numFmtId="0" fontId="0" fillId="0" borderId="0" xfId="0" applyFont="1"/>
    <xf numFmtId="4" fontId="0" fillId="0" borderId="0" xfId="0" applyNumberFormat="1" applyFont="1"/>
    <xf numFmtId="0" fontId="76" fillId="0" borderId="0" xfId="0" applyFont="1"/>
    <xf numFmtId="4" fontId="76" fillId="0" borderId="0" xfId="0" applyNumberFormat="1" applyFont="1"/>
    <xf numFmtId="4" fontId="0" fillId="11" borderId="0" xfId="0" applyNumberFormat="1" applyFill="1"/>
    <xf numFmtId="4" fontId="0" fillId="0" borderId="0" xfId="0" applyNumberFormat="1" applyFont="1" applyFill="1"/>
    <xf numFmtId="0" fontId="0" fillId="0" borderId="0" xfId="0" applyFill="1" applyBorder="1"/>
    <xf numFmtId="0" fontId="0" fillId="0" borderId="4" xfId="0" applyFill="1" applyBorder="1"/>
    <xf numFmtId="0" fontId="79" fillId="0" borderId="0" xfId="0" applyFont="1"/>
    <xf numFmtId="0" fontId="1" fillId="0" borderId="0" xfId="0" applyFont="1" applyFill="1" applyBorder="1" applyAlignment="1">
      <alignment horizontal="left" vertical="center"/>
    </xf>
    <xf numFmtId="0" fontId="0" fillId="11" borderId="1" xfId="0" applyFill="1" applyBorder="1" applyProtection="1">
      <protection locked="0"/>
    </xf>
    <xf numFmtId="0" fontId="0" fillId="11" borderId="2" xfId="0" applyFill="1" applyBorder="1" applyProtection="1">
      <protection locked="0"/>
    </xf>
    <xf numFmtId="4" fontId="0" fillId="11" borderId="3" xfId="0" applyNumberFormat="1" applyFill="1" applyBorder="1" applyProtection="1">
      <protection locked="0"/>
    </xf>
    <xf numFmtId="0" fontId="0" fillId="11" borderId="4" xfId="0" applyFill="1" applyBorder="1" applyProtection="1">
      <protection locked="0"/>
    </xf>
    <xf numFmtId="0" fontId="0" fillId="11" borderId="0" xfId="0" applyFill="1" applyBorder="1" applyProtection="1">
      <protection locked="0"/>
    </xf>
    <xf numFmtId="4" fontId="0" fillId="11" borderId="5" xfId="0" applyNumberFormat="1" applyFill="1" applyBorder="1" applyProtection="1">
      <protection locked="0"/>
    </xf>
    <xf numFmtId="4" fontId="0" fillId="0" borderId="0" xfId="0" applyNumberFormat="1" applyProtection="1">
      <protection locked="0"/>
    </xf>
    <xf numFmtId="0" fontId="0" fillId="0" borderId="0" xfId="0" applyProtection="1">
      <protection locked="0"/>
    </xf>
    <xf numFmtId="0" fontId="0" fillId="12" borderId="0" xfId="0" applyFill="1"/>
    <xf numFmtId="0" fontId="80" fillId="12" borderId="0" xfId="0" applyFont="1" applyFill="1" applyAlignment="1">
      <alignment horizontal="center"/>
    </xf>
    <xf numFmtId="0" fontId="0" fillId="12" borderId="9" xfId="0" applyFill="1" applyBorder="1" applyAlignment="1">
      <alignment horizontal="right"/>
    </xf>
    <xf numFmtId="0" fontId="0" fillId="12" borderId="9" xfId="0" applyFill="1" applyBorder="1" applyAlignment="1">
      <alignment horizontal="center"/>
    </xf>
    <xf numFmtId="0" fontId="0" fillId="11" borderId="9" xfId="0" applyFill="1" applyBorder="1" applyProtection="1">
      <protection locked="0"/>
    </xf>
    <xf numFmtId="0" fontId="0" fillId="11" borderId="9" xfId="0" applyFill="1" applyBorder="1" applyAlignment="1" applyProtection="1">
      <alignment horizontal="left"/>
      <protection locked="0"/>
    </xf>
    <xf numFmtId="1" fontId="0" fillId="11" borderId="9" xfId="0" applyNumberFormat="1" applyFill="1" applyBorder="1" applyProtection="1">
      <protection locked="0"/>
    </xf>
    <xf numFmtId="0" fontId="0" fillId="13" borderId="0" xfId="0" applyFill="1" applyAlignment="1">
      <alignment horizontal="center"/>
    </xf>
    <xf numFmtId="4" fontId="0" fillId="11" borderId="10" xfId="0" applyNumberFormat="1" applyFill="1" applyBorder="1" applyProtection="1">
      <protection locked="0"/>
    </xf>
    <xf numFmtId="4" fontId="0" fillId="11" borderId="11" xfId="0" applyNumberFormat="1" applyFill="1" applyBorder="1" applyProtection="1">
      <protection locked="0"/>
    </xf>
    <xf numFmtId="4" fontId="0" fillId="11" borderId="12" xfId="0" applyNumberFormat="1" applyFill="1" applyBorder="1" applyProtection="1">
      <protection locked="0"/>
    </xf>
    <xf numFmtId="0" fontId="0" fillId="11" borderId="6" xfId="0" applyFill="1" applyBorder="1" applyProtection="1">
      <protection locked="0"/>
    </xf>
    <xf numFmtId="0" fontId="0" fillId="11" borderId="7" xfId="0" applyFill="1" applyBorder="1" applyProtection="1">
      <protection locked="0"/>
    </xf>
    <xf numFmtId="4" fontId="0" fillId="11" borderId="8" xfId="0" applyNumberFormat="1" applyFill="1" applyBorder="1" applyProtection="1">
      <protection locked="0"/>
    </xf>
    <xf numFmtId="0" fontId="76" fillId="0" borderId="0" xfId="0" applyFont="1" applyAlignment="1">
      <alignment horizontal="left" vertical="center" wrapText="1"/>
    </xf>
    <xf numFmtId="0" fontId="0" fillId="0" borderId="0" xfId="0" applyFont="1" applyAlignment="1">
      <alignment horizontal="left" wrapText="1"/>
    </xf>
    <xf numFmtId="0" fontId="6" fillId="2" borderId="0" xfId="0" applyFont="1" applyFill="1"/>
    <xf numFmtId="0" fontId="7" fillId="0" borderId="0" xfId="0" applyFont="1" applyAlignment="1">
      <alignment horizontal="center"/>
    </xf>
    <xf numFmtId="0" fontId="8" fillId="0" borderId="0" xfId="0" applyFont="1" applyAlignment="1">
      <alignment horizontal="center"/>
    </xf>
    <xf numFmtId="0" fontId="8" fillId="0" borderId="0" xfId="0" applyFont="1"/>
    <xf numFmtId="0" fontId="7" fillId="0" borderId="0" xfId="0" applyFont="1" applyAlignment="1">
      <alignment horizontal="left" indent="3"/>
    </xf>
    <xf numFmtId="0" fontId="8" fillId="0" borderId="0" xfId="0" applyFont="1" applyAlignment="1">
      <alignment horizontal="left" indent="4"/>
    </xf>
    <xf numFmtId="0" fontId="2" fillId="0" borderId="0" xfId="0" applyFont="1" applyAlignment="1">
      <alignment horizontal="center"/>
    </xf>
    <xf numFmtId="0" fontId="9" fillId="0" borderId="0" xfId="0" applyFont="1" applyAlignment="1">
      <alignment wrapText="1"/>
    </xf>
    <xf numFmtId="0" fontId="2" fillId="0" borderId="0" xfId="0" applyFont="1"/>
    <xf numFmtId="0" fontId="3" fillId="0" borderId="0" xfId="0" applyFont="1"/>
    <xf numFmtId="0" fontId="3" fillId="0" borderId="0" xfId="0" applyFont="1" applyAlignment="1">
      <alignment horizontal="center"/>
    </xf>
    <xf numFmtId="0" fontId="3" fillId="0" borderId="0" xfId="0" applyFont="1" applyAlignment="1"/>
    <xf numFmtId="169" fontId="68" fillId="0" borderId="0" xfId="9" applyNumberFormat="1" applyFont="1" applyFill="1"/>
    <xf numFmtId="169" fontId="14" fillId="0" borderId="4" xfId="9" applyNumberFormat="1" applyFont="1" applyBorder="1"/>
    <xf numFmtId="169" fontId="14" fillId="0" borderId="4" xfId="9" applyNumberFormat="1" applyFont="1" applyBorder="1" applyAlignment="1"/>
    <xf numFmtId="0" fontId="13" fillId="0" borderId="4" xfId="0" applyFont="1" applyBorder="1" applyAlignment="1">
      <alignment wrapText="1"/>
    </xf>
    <xf numFmtId="43" fontId="13" fillId="0" borderId="0" xfId="0" applyNumberFormat="1" applyFont="1" applyBorder="1" applyAlignment="1">
      <alignment horizontal="right"/>
    </xf>
    <xf numFmtId="0" fontId="13" fillId="0" borderId="0" xfId="0" applyFont="1" applyBorder="1"/>
    <xf numFmtId="0" fontId="13" fillId="0" borderId="0" xfId="0" applyFont="1" applyBorder="1" applyAlignment="1">
      <alignment wrapText="1"/>
    </xf>
    <xf numFmtId="43" fontId="13" fillId="0" borderId="5" xfId="0" applyNumberFormat="1" applyFont="1" applyBorder="1" applyAlignment="1">
      <alignment horizontal="right"/>
    </xf>
    <xf numFmtId="0" fontId="13" fillId="0" borderId="4" xfId="0" applyFont="1" applyBorder="1"/>
    <xf numFmtId="0" fontId="14" fillId="0" borderId="0" xfId="0" applyFont="1" applyBorder="1"/>
    <xf numFmtId="0" fontId="14" fillId="0" borderId="0" xfId="0" applyFont="1" applyBorder="1" applyAlignment="1">
      <alignment wrapText="1"/>
    </xf>
    <xf numFmtId="0" fontId="14" fillId="0" borderId="5" xfId="0" applyFont="1" applyBorder="1"/>
    <xf numFmtId="0" fontId="14" fillId="0" borderId="7" xfId="0" applyFont="1" applyBorder="1"/>
    <xf numFmtId="0" fontId="14" fillId="0" borderId="7" xfId="0" applyFont="1" applyBorder="1" applyAlignment="1">
      <alignment wrapText="1"/>
    </xf>
    <xf numFmtId="0" fontId="14" fillId="0" borderId="8" xfId="0" applyFont="1" applyBorder="1"/>
    <xf numFmtId="0" fontId="3" fillId="0" borderId="13" xfId="0" applyFont="1" applyBorder="1" applyAlignment="1" applyProtection="1">
      <alignment horizontal="center"/>
      <protection locked="0"/>
    </xf>
    <xf numFmtId="0" fontId="2" fillId="0" borderId="0" xfId="0" applyFont="1" applyProtection="1">
      <protection locked="0"/>
    </xf>
    <xf numFmtId="4" fontId="2" fillId="0" borderId="0" xfId="0" applyNumberFormat="1" applyFont="1" applyAlignment="1">
      <alignment horizontal="right"/>
    </xf>
    <xf numFmtId="4" fontId="2" fillId="0" borderId="7" xfId="0" applyNumberFormat="1" applyFont="1" applyBorder="1" applyAlignment="1">
      <alignment horizontal="right"/>
    </xf>
    <xf numFmtId="4" fontId="2" fillId="0" borderId="0" xfId="0" applyNumberFormat="1" applyFont="1"/>
    <xf numFmtId="4" fontId="3" fillId="0" borderId="7" xfId="0" applyNumberFormat="1" applyFont="1" applyBorder="1" applyAlignment="1">
      <alignment horizontal="right"/>
    </xf>
    <xf numFmtId="4" fontId="3" fillId="0" borderId="0" xfId="0" applyNumberFormat="1" applyFont="1"/>
    <xf numFmtId="4" fontId="3" fillId="0" borderId="0" xfId="0" applyNumberFormat="1" applyFont="1" applyAlignment="1"/>
    <xf numFmtId="4" fontId="3" fillId="0" borderId="0" xfId="0" applyNumberFormat="1" applyFont="1" applyAlignment="1">
      <alignment horizontal="right"/>
    </xf>
    <xf numFmtId="4" fontId="2" fillId="0" borderId="0" xfId="0" applyNumberFormat="1" applyFont="1" applyAlignment="1">
      <alignment horizontal="right" indent="1"/>
    </xf>
    <xf numFmtId="4" fontId="3" fillId="0" borderId="14" xfId="0" applyNumberFormat="1" applyFont="1" applyBorder="1" applyAlignment="1">
      <alignment horizontal="right"/>
    </xf>
    <xf numFmtId="4" fontId="2" fillId="0" borderId="0" xfId="0" applyNumberFormat="1" applyFont="1" applyAlignment="1"/>
    <xf numFmtId="4" fontId="2" fillId="0" borderId="7" xfId="0" applyNumberFormat="1" applyFont="1" applyBorder="1" applyAlignment="1"/>
    <xf numFmtId="1" fontId="3" fillId="0" borderId="13" xfId="0" applyNumberFormat="1" applyFont="1" applyBorder="1" applyAlignment="1" applyProtection="1">
      <alignment horizontal="center"/>
      <protection locked="0"/>
    </xf>
    <xf numFmtId="4" fontId="3" fillId="0" borderId="7" xfId="0" applyNumberFormat="1" applyFont="1" applyBorder="1" applyAlignment="1"/>
    <xf numFmtId="4" fontId="3" fillId="0" borderId="14" xfId="0" applyNumberFormat="1" applyFont="1" applyBorder="1" applyAlignment="1"/>
    <xf numFmtId="4" fontId="2" fillId="0" borderId="2" xfId="0" applyNumberFormat="1" applyFont="1" applyBorder="1" applyAlignment="1"/>
    <xf numFmtId="4" fontId="3" fillId="0" borderId="2" xfId="0" applyNumberFormat="1" applyFont="1" applyBorder="1" applyAlignment="1"/>
    <xf numFmtId="0" fontId="2" fillId="0" borderId="2" xfId="0" applyFont="1" applyBorder="1" applyAlignment="1"/>
    <xf numFmtId="0" fontId="2" fillId="0" borderId="0" xfId="0" applyFont="1" applyAlignment="1"/>
    <xf numFmtId="4" fontId="2" fillId="0" borderId="2" xfId="0" applyNumberFormat="1" applyFont="1" applyBorder="1" applyAlignment="1">
      <alignment horizontal="center"/>
    </xf>
    <xf numFmtId="0" fontId="9" fillId="0" borderId="0" xfId="0" applyFont="1" applyBorder="1" applyAlignment="1">
      <alignment wrapText="1"/>
    </xf>
    <xf numFmtId="0" fontId="3" fillId="0" borderId="0" xfId="0" applyFont="1" applyBorder="1" applyAlignment="1" applyProtection="1">
      <protection locked="0"/>
    </xf>
    <xf numFmtId="0" fontId="2" fillId="0" borderId="0" xfId="0" applyFont="1" applyBorder="1" applyAlignment="1"/>
    <xf numFmtId="0" fontId="3" fillId="0" borderId="0" xfId="0" applyFont="1" applyBorder="1" applyAlignment="1"/>
    <xf numFmtId="4" fontId="2" fillId="0" borderId="0" xfId="0" applyNumberFormat="1" applyFont="1" applyBorder="1" applyAlignment="1"/>
    <xf numFmtId="4" fontId="3" fillId="0" borderId="0" xfId="0" applyNumberFormat="1" applyFont="1" applyBorder="1" applyAlignment="1">
      <alignment horizontal="right"/>
    </xf>
    <xf numFmtId="4" fontId="3" fillId="0" borderId="0" xfId="0" applyNumberFormat="1" applyFont="1" applyBorder="1" applyAlignment="1"/>
    <xf numFmtId="4" fontId="81" fillId="0" borderId="0" xfId="0" applyNumberFormat="1" applyFont="1"/>
    <xf numFmtId="169" fontId="13" fillId="0" borderId="4" xfId="9" applyNumberFormat="1" applyFont="1" applyBorder="1" applyProtection="1">
      <protection locked="0"/>
    </xf>
    <xf numFmtId="0" fontId="13" fillId="0" borderId="4" xfId="0" applyFont="1" applyBorder="1" applyAlignment="1" applyProtection="1">
      <alignment wrapText="1"/>
      <protection locked="0"/>
    </xf>
    <xf numFmtId="4" fontId="8" fillId="0" borderId="0" xfId="9" applyNumberFormat="1" applyFont="1" applyBorder="1" applyAlignment="1"/>
    <xf numFmtId="4" fontId="82" fillId="0" borderId="0" xfId="9" applyNumberFormat="1" applyFont="1" applyFill="1" applyAlignment="1"/>
    <xf numFmtId="4" fontId="82" fillId="0" borderId="0" xfId="9" applyNumberFormat="1" applyFont="1" applyFill="1" applyBorder="1" applyAlignment="1"/>
    <xf numFmtId="4" fontId="76" fillId="0" borderId="0" xfId="0" applyNumberFormat="1" applyFont="1" applyAlignment="1">
      <alignment horizontal="right" vertical="center" wrapText="1"/>
    </xf>
    <xf numFmtId="4" fontId="13" fillId="0" borderId="7" xfId="0" applyNumberFormat="1" applyFont="1" applyBorder="1" applyAlignment="1">
      <alignment horizontal="center" vertical="center" wrapText="1"/>
    </xf>
    <xf numFmtId="4" fontId="14" fillId="0" borderId="0" xfId="9" applyNumberFormat="1" applyFont="1" applyBorder="1" applyAlignment="1">
      <alignment horizontal="right"/>
    </xf>
    <xf numFmtId="4" fontId="14" fillId="0" borderId="0" xfId="9" applyNumberFormat="1" applyFont="1" applyBorder="1" applyAlignment="1">
      <alignment wrapText="1"/>
    </xf>
    <xf numFmtId="4" fontId="14" fillId="0" borderId="0" xfId="9" applyNumberFormat="1" applyFont="1" applyBorder="1"/>
    <xf numFmtId="4" fontId="14" fillId="0" borderId="7" xfId="9" applyNumberFormat="1" applyFont="1" applyBorder="1"/>
    <xf numFmtId="4" fontId="8" fillId="0" borderId="0" xfId="9" applyNumberFormat="1" applyFont="1" applyBorder="1" applyAlignment="1">
      <alignment horizontal="right"/>
    </xf>
    <xf numFmtId="4" fontId="8" fillId="0" borderId="0" xfId="9" applyNumberFormat="1" applyFont="1" applyBorder="1"/>
    <xf numFmtId="4" fontId="8" fillId="0" borderId="0" xfId="9" applyNumberFormat="1" applyFont="1" applyBorder="1" applyAlignment="1">
      <alignment wrapText="1"/>
    </xf>
    <xf numFmtId="4" fontId="8" fillId="0" borderId="5" xfId="9" applyNumberFormat="1" applyFont="1" applyBorder="1" applyAlignment="1">
      <alignment horizontal="right"/>
    </xf>
    <xf numFmtId="4" fontId="8" fillId="0" borderId="8" xfId="9" applyNumberFormat="1" applyFont="1" applyBorder="1" applyAlignment="1">
      <alignment horizontal="right"/>
    </xf>
    <xf numFmtId="4" fontId="7" fillId="0" borderId="15" xfId="0" applyNumberFormat="1" applyFont="1" applyBorder="1" applyAlignment="1">
      <alignment horizontal="right"/>
    </xf>
    <xf numFmtId="4" fontId="7" fillId="0" borderId="14" xfId="0" applyNumberFormat="1" applyFont="1" applyBorder="1" applyAlignment="1">
      <alignment horizontal="right"/>
    </xf>
    <xf numFmtId="4" fontId="8" fillId="0" borderId="7" xfId="9" applyNumberFormat="1" applyFont="1" applyBorder="1"/>
    <xf numFmtId="4" fontId="8" fillId="0" borderId="7" xfId="9" applyNumberFormat="1" applyFont="1" applyBorder="1" applyAlignment="1">
      <alignment wrapText="1"/>
    </xf>
    <xf numFmtId="43" fontId="7" fillId="0" borderId="0" xfId="0" applyNumberFormat="1" applyFont="1" applyBorder="1" applyAlignment="1">
      <alignment horizontal="right"/>
    </xf>
    <xf numFmtId="0" fontId="8" fillId="0" borderId="0" xfId="0" applyFont="1" applyBorder="1"/>
    <xf numFmtId="0" fontId="8" fillId="0" borderId="7" xfId="0" applyFont="1" applyBorder="1"/>
    <xf numFmtId="0" fontId="81" fillId="0" borderId="0" xfId="0" applyFont="1"/>
    <xf numFmtId="4" fontId="8" fillId="0" borderId="0" xfId="9" applyNumberFormat="1" applyFont="1" applyBorder="1" applyProtection="1">
      <protection locked="0"/>
    </xf>
    <xf numFmtId="0" fontId="0" fillId="0" borderId="0" xfId="0" applyFont="1" applyProtection="1">
      <protection locked="0"/>
    </xf>
    <xf numFmtId="0" fontId="18" fillId="2" borderId="0" xfId="0" applyFont="1" applyFill="1"/>
    <xf numFmtId="0" fontId="7" fillId="0" borderId="0" xfId="0" applyFont="1" applyAlignment="1"/>
    <xf numFmtId="0" fontId="8" fillId="0" borderId="0" xfId="0" applyFont="1" applyAlignment="1"/>
    <xf numFmtId="0" fontId="83" fillId="0" borderId="0" xfId="0" applyFont="1" applyAlignment="1">
      <alignment vertical="center" wrapText="1"/>
    </xf>
    <xf numFmtId="0" fontId="84" fillId="0" borderId="0" xfId="0" applyFont="1" applyAlignment="1">
      <alignment horizontal="justify" vertical="center" wrapText="1"/>
    </xf>
    <xf numFmtId="0" fontId="85" fillId="0" borderId="0" xfId="0" applyFont="1" applyAlignment="1">
      <alignment horizontal="justify" vertical="center" wrapText="1"/>
    </xf>
    <xf numFmtId="0" fontId="86" fillId="0" borderId="0" xfId="0" applyFont="1" applyAlignment="1">
      <alignment horizontal="justify" vertical="center" wrapText="1"/>
    </xf>
    <xf numFmtId="0" fontId="87" fillId="0" borderId="0" xfId="0" applyFont="1" applyAlignment="1">
      <alignment horizontal="justify" vertical="center" wrapText="1"/>
    </xf>
    <xf numFmtId="0" fontId="88" fillId="0" borderId="0" xfId="0" applyFont="1" applyAlignment="1">
      <alignment horizontal="justify" vertical="center" wrapText="1"/>
    </xf>
    <xf numFmtId="0" fontId="89" fillId="0" borderId="0" xfId="0" applyFont="1" applyAlignment="1">
      <alignment horizontal="justify" vertical="center" wrapText="1"/>
    </xf>
    <xf numFmtId="0" fontId="87" fillId="0" borderId="0" xfId="0" applyFont="1" applyAlignment="1">
      <alignment vertical="center" wrapText="1"/>
    </xf>
    <xf numFmtId="0" fontId="90" fillId="0" borderId="0" xfId="0" applyFont="1" applyAlignment="1">
      <alignment horizontal="justify" vertical="center" wrapText="1"/>
    </xf>
    <xf numFmtId="0" fontId="91" fillId="0" borderId="0" xfId="0" applyFont="1" applyAlignment="1">
      <alignment horizontal="justify" vertical="center" wrapText="1"/>
    </xf>
    <xf numFmtId="0" fontId="83" fillId="0" borderId="0" xfId="0" applyFont="1" applyAlignment="1">
      <alignment horizontal="justify" vertical="center" wrapText="1"/>
    </xf>
    <xf numFmtId="0" fontId="92" fillId="0" borderId="0" xfId="0" applyFont="1" applyAlignment="1">
      <alignment vertical="center" wrapText="1"/>
    </xf>
    <xf numFmtId="0" fontId="93" fillId="0" borderId="0" xfId="0" applyFont="1" applyAlignment="1">
      <alignment vertical="center" wrapText="1"/>
    </xf>
    <xf numFmtId="0" fontId="94" fillId="0" borderId="0" xfId="0" applyFont="1" applyAlignment="1">
      <alignment horizontal="justify" vertical="center" wrapText="1"/>
    </xf>
    <xf numFmtId="0" fontId="0" fillId="0" borderId="0" xfId="0" applyAlignment="1">
      <alignment wrapText="1"/>
    </xf>
    <xf numFmtId="0" fontId="95" fillId="0" borderId="0" xfId="0" applyFont="1" applyAlignment="1">
      <alignment horizontal="justify" vertical="center" wrapText="1"/>
    </xf>
    <xf numFmtId="0" fontId="96" fillId="0" borderId="0" xfId="0" applyFont="1" applyAlignment="1">
      <alignment horizontal="justify" vertical="center" wrapText="1"/>
    </xf>
    <xf numFmtId="0" fontId="97" fillId="0" borderId="0" xfId="0" applyFont="1" applyAlignment="1">
      <alignment horizontal="justify" vertical="center" wrapText="1"/>
    </xf>
    <xf numFmtId="0" fontId="98" fillId="0" borderId="0" xfId="0" applyFont="1" applyAlignment="1">
      <alignment horizontal="justify" vertical="center" wrapText="1"/>
    </xf>
    <xf numFmtId="0" fontId="84" fillId="0" borderId="0" xfId="0" applyFont="1" applyAlignment="1">
      <alignment vertical="center" wrapText="1"/>
    </xf>
    <xf numFmtId="0" fontId="95" fillId="0" borderId="0" xfId="0" applyFont="1" applyAlignment="1">
      <alignment vertical="center" wrapText="1"/>
    </xf>
    <xf numFmtId="0" fontId="87" fillId="0" borderId="0" xfId="0" applyFont="1" applyAlignment="1">
      <alignment horizontal="left" vertical="center" wrapText="1"/>
    </xf>
    <xf numFmtId="0" fontId="99" fillId="14" borderId="9" xfId="0" applyFont="1" applyFill="1" applyBorder="1" applyAlignment="1">
      <alignment horizontal="center" vertical="center" wrapText="1"/>
    </xf>
    <xf numFmtId="0" fontId="99" fillId="14" borderId="9" xfId="0" applyFont="1" applyFill="1" applyBorder="1" applyAlignment="1">
      <alignment horizontal="center" vertical="center"/>
    </xf>
    <xf numFmtId="0" fontId="100" fillId="14" borderId="9" xfId="0" applyFont="1" applyFill="1" applyBorder="1" applyAlignment="1">
      <alignment horizontal="center" vertical="center" wrapText="1"/>
    </xf>
    <xf numFmtId="0" fontId="101" fillId="0" borderId="9" xfId="0" applyFont="1" applyBorder="1" applyAlignment="1">
      <alignment horizontal="justify" vertical="center" wrapText="1"/>
    </xf>
    <xf numFmtId="4" fontId="101" fillId="0" borderId="9" xfId="0" applyNumberFormat="1" applyFont="1" applyBorder="1" applyAlignment="1">
      <alignment vertical="center"/>
    </xf>
    <xf numFmtId="4" fontId="101" fillId="0" borderId="9" xfId="0" applyNumberFormat="1" applyFont="1" applyBorder="1" applyAlignment="1">
      <alignment horizontal="right" vertical="center"/>
    </xf>
    <xf numFmtId="4" fontId="101" fillId="0" borderId="9" xfId="0" applyNumberFormat="1" applyFont="1" applyBorder="1" applyAlignment="1">
      <alignment horizontal="right" vertical="center" wrapText="1"/>
    </xf>
    <xf numFmtId="4" fontId="96" fillId="0" borderId="9" xfId="0" applyNumberFormat="1" applyFont="1" applyBorder="1" applyAlignment="1">
      <alignment horizontal="right" vertical="center"/>
    </xf>
    <xf numFmtId="4" fontId="100" fillId="14" borderId="9" xfId="0" applyNumberFormat="1" applyFont="1" applyFill="1" applyBorder="1" applyAlignment="1">
      <alignment horizontal="right" vertical="center"/>
    </xf>
    <xf numFmtId="0" fontId="101" fillId="0" borderId="9" xfId="0" applyFont="1" applyBorder="1" applyAlignment="1">
      <alignment horizontal="left" vertical="center" wrapText="1"/>
    </xf>
    <xf numFmtId="0" fontId="100" fillId="14" borderId="9" xfId="0" applyFont="1" applyFill="1" applyBorder="1" applyAlignment="1">
      <alignment horizontal="left" vertical="center" wrapText="1"/>
    </xf>
    <xf numFmtId="0" fontId="102" fillId="15" borderId="9" xfId="0" applyFont="1" applyFill="1" applyBorder="1" applyAlignment="1">
      <alignment vertical="center" wrapText="1"/>
    </xf>
    <xf numFmtId="164" fontId="102" fillId="15" borderId="9" xfId="0" applyNumberFormat="1" applyFont="1" applyFill="1" applyBorder="1" applyAlignment="1">
      <alignment horizontal="right" vertical="center"/>
    </xf>
    <xf numFmtId="0" fontId="102" fillId="15" borderId="9" xfId="0" applyFont="1" applyFill="1" applyBorder="1" applyAlignment="1">
      <alignment horizontal="center" vertical="center"/>
    </xf>
    <xf numFmtId="0" fontId="102" fillId="0" borderId="9" xfId="0" applyFont="1" applyBorder="1" applyAlignment="1">
      <alignment vertical="center" wrapText="1"/>
    </xf>
    <xf numFmtId="164" fontId="102" fillId="0" borderId="9" xfId="0" applyNumberFormat="1" applyFont="1" applyBorder="1" applyAlignment="1">
      <alignment horizontal="right" vertical="center"/>
    </xf>
    <xf numFmtId="0" fontId="102" fillId="0" borderId="9" xfId="0" applyFont="1" applyBorder="1" applyAlignment="1">
      <alignment horizontal="center" vertical="center"/>
    </xf>
    <xf numFmtId="0" fontId="0" fillId="0" borderId="0" xfId="0" applyAlignment="1">
      <alignment vertical="center"/>
    </xf>
    <xf numFmtId="4" fontId="101" fillId="0" borderId="9" xfId="0" applyNumberFormat="1" applyFont="1" applyBorder="1" applyAlignment="1">
      <alignment vertical="center" wrapText="1"/>
    </xf>
    <xf numFmtId="0" fontId="101" fillId="0" borderId="9" xfId="0" applyFont="1" applyBorder="1" applyAlignment="1">
      <alignment vertical="center"/>
    </xf>
    <xf numFmtId="0" fontId="83" fillId="0" borderId="0" xfId="0" applyFont="1" applyAlignment="1">
      <alignment horizontal="left" vertical="center" wrapText="1"/>
    </xf>
    <xf numFmtId="1" fontId="0" fillId="11" borderId="9" xfId="0" applyNumberFormat="1" applyFill="1" applyBorder="1"/>
    <xf numFmtId="0" fontId="103" fillId="14" borderId="9" xfId="0" applyFont="1" applyFill="1" applyBorder="1" applyAlignment="1">
      <alignment horizontal="center" vertical="center" wrapText="1"/>
    </xf>
    <xf numFmtId="0" fontId="103" fillId="14" borderId="9" xfId="0" applyFont="1" applyFill="1" applyBorder="1" applyAlignment="1">
      <alignment horizontal="center" vertical="center"/>
    </xf>
    <xf numFmtId="1" fontId="103" fillId="14" borderId="9" xfId="0" applyNumberFormat="1" applyFont="1" applyFill="1" applyBorder="1" applyAlignment="1">
      <alignment horizontal="center" vertical="center"/>
    </xf>
    <xf numFmtId="0" fontId="104" fillId="0" borderId="9" xfId="0" applyFont="1" applyBorder="1" applyAlignment="1">
      <alignment vertical="center" wrapText="1"/>
    </xf>
    <xf numFmtId="4" fontId="104" fillId="15" borderId="9" xfId="0" applyNumberFormat="1" applyFont="1" applyFill="1" applyBorder="1" applyAlignment="1">
      <alignment horizontal="right" vertical="center"/>
    </xf>
    <xf numFmtId="0" fontId="83" fillId="0" borderId="9" xfId="0" applyFont="1" applyBorder="1" applyAlignment="1">
      <alignment vertical="center" wrapText="1"/>
    </xf>
    <xf numFmtId="4" fontId="103" fillId="14" borderId="9" xfId="0" applyNumberFormat="1" applyFont="1" applyFill="1" applyBorder="1" applyAlignment="1">
      <alignment horizontal="center" vertical="center"/>
    </xf>
    <xf numFmtId="4" fontId="83" fillId="0" borderId="9" xfId="0" applyNumberFormat="1" applyFont="1" applyBorder="1"/>
    <xf numFmtId="0" fontId="91" fillId="14" borderId="9" xfId="0" applyFont="1" applyFill="1" applyBorder="1" applyAlignment="1">
      <alignment horizontal="center" vertical="center" wrapText="1"/>
    </xf>
    <xf numFmtId="0" fontId="91" fillId="14" borderId="9" xfId="0" applyFont="1" applyFill="1" applyBorder="1" applyAlignment="1">
      <alignment horizontal="center" vertical="center"/>
    </xf>
    <xf numFmtId="0" fontId="96" fillId="0" borderId="9" xfId="0" applyFont="1" applyBorder="1" applyAlignment="1">
      <alignment vertical="center" wrapText="1"/>
    </xf>
    <xf numFmtId="0" fontId="91" fillId="14" borderId="9" xfId="0" applyFont="1" applyFill="1" applyBorder="1" applyAlignment="1">
      <alignment horizontal="justify" vertical="center" wrapText="1"/>
    </xf>
    <xf numFmtId="1" fontId="91" fillId="14" borderId="9" xfId="0" applyNumberFormat="1" applyFont="1" applyFill="1" applyBorder="1" applyAlignment="1">
      <alignment horizontal="center" vertical="center"/>
    </xf>
    <xf numFmtId="0" fontId="96" fillId="15" borderId="9" xfId="0" applyFont="1" applyFill="1" applyBorder="1" applyAlignment="1">
      <alignment horizontal="justify" vertical="center" wrapText="1"/>
    </xf>
    <xf numFmtId="4" fontId="96" fillId="15" borderId="9" xfId="0" applyNumberFormat="1" applyFont="1" applyFill="1" applyBorder="1" applyAlignment="1">
      <alignment horizontal="right" vertical="center"/>
    </xf>
    <xf numFmtId="4" fontId="84" fillId="14" borderId="9" xfId="0" applyNumberFormat="1" applyFont="1" applyFill="1" applyBorder="1" applyAlignment="1">
      <alignment horizontal="right" vertical="center"/>
    </xf>
    <xf numFmtId="0" fontId="84" fillId="14" borderId="9" xfId="0" applyFont="1" applyFill="1" applyBorder="1" applyAlignment="1">
      <alignment horizontal="center" vertical="center" wrapText="1"/>
    </xf>
    <xf numFmtId="0" fontId="84" fillId="14" borderId="9" xfId="0" applyFont="1" applyFill="1" applyBorder="1" applyAlignment="1">
      <alignment horizontal="center" vertical="center"/>
    </xf>
    <xf numFmtId="1" fontId="84" fillId="14" borderId="9" xfId="0" applyNumberFormat="1" applyFont="1" applyFill="1" applyBorder="1" applyAlignment="1">
      <alignment horizontal="center" vertical="center"/>
    </xf>
    <xf numFmtId="0" fontId="83" fillId="15" borderId="9" xfId="0" applyFont="1" applyFill="1" applyBorder="1" applyAlignment="1">
      <alignment vertical="center" wrapText="1"/>
    </xf>
    <xf numFmtId="4" fontId="83" fillId="15" borderId="9" xfId="0" applyNumberFormat="1" applyFont="1" applyFill="1" applyBorder="1" applyAlignment="1">
      <alignment horizontal="right" vertical="center"/>
    </xf>
    <xf numFmtId="0" fontId="84" fillId="14" borderId="9" xfId="0" applyFont="1" applyFill="1" applyBorder="1" applyAlignment="1">
      <alignment horizontal="justify" vertical="center" wrapText="1"/>
    </xf>
    <xf numFmtId="0" fontId="83" fillId="0" borderId="0" xfId="0" applyFont="1"/>
    <xf numFmtId="4" fontId="104" fillId="0" borderId="9" xfId="0" applyNumberFormat="1" applyFont="1" applyBorder="1" applyAlignment="1">
      <alignment horizontal="right" vertical="center" wrapText="1"/>
    </xf>
    <xf numFmtId="0" fontId="84" fillId="0" borderId="9" xfId="0" applyFont="1" applyBorder="1" applyAlignment="1">
      <alignment horizontal="center"/>
    </xf>
    <xf numFmtId="4" fontId="84" fillId="0" borderId="9" xfId="0" applyNumberFormat="1" applyFont="1" applyBorder="1"/>
    <xf numFmtId="4" fontId="103" fillId="14" borderId="9" xfId="0" applyNumberFormat="1" applyFont="1" applyFill="1" applyBorder="1" applyAlignment="1">
      <alignment horizontal="right" vertical="center"/>
    </xf>
    <xf numFmtId="0" fontId="83" fillId="0" borderId="9" xfId="0" applyFont="1" applyBorder="1"/>
    <xf numFmtId="1" fontId="91" fillId="14" borderId="9" xfId="0" applyNumberFormat="1" applyFont="1" applyFill="1" applyBorder="1" applyAlignment="1">
      <alignment horizontal="center" vertical="center" wrapText="1"/>
    </xf>
    <xf numFmtId="4" fontId="83" fillId="0" borderId="9" xfId="0" applyNumberFormat="1" applyFont="1" applyBorder="1" applyAlignment="1">
      <alignment horizontal="right" vertical="center" wrapText="1"/>
    </xf>
    <xf numFmtId="4" fontId="91" fillId="14" borderId="9" xfId="0" applyNumberFormat="1" applyFont="1" applyFill="1" applyBorder="1" applyAlignment="1">
      <alignment horizontal="right" vertical="center" wrapText="1"/>
    </xf>
    <xf numFmtId="4" fontId="100" fillId="14" borderId="9" xfId="0" applyNumberFormat="1" applyFont="1" applyFill="1" applyBorder="1" applyAlignment="1">
      <alignment vertical="center" wrapText="1"/>
    </xf>
    <xf numFmtId="0" fontId="103" fillId="16" borderId="9" xfId="0" applyFont="1" applyFill="1" applyBorder="1" applyAlignment="1">
      <alignment horizontal="center" vertical="center" wrapText="1"/>
    </xf>
    <xf numFmtId="1" fontId="103" fillId="16" borderId="9" xfId="0" applyNumberFormat="1" applyFont="1" applyFill="1" applyBorder="1" applyAlignment="1">
      <alignment horizontal="center" vertical="center" wrapText="1"/>
    </xf>
    <xf numFmtId="0" fontId="104" fillId="0" borderId="9" xfId="0" applyFont="1" applyBorder="1" applyAlignment="1">
      <alignment horizontal="justify" vertical="center" wrapText="1"/>
    </xf>
    <xf numFmtId="0" fontId="103" fillId="0" borderId="9" xfId="0" applyFont="1" applyBorder="1" applyAlignment="1">
      <alignment horizontal="justify" vertical="center" wrapText="1"/>
    </xf>
    <xf numFmtId="4" fontId="103" fillId="0" borderId="9" xfId="0" applyNumberFormat="1" applyFont="1" applyBorder="1" applyAlignment="1">
      <alignment horizontal="right" vertical="center" wrapText="1"/>
    </xf>
    <xf numFmtId="4" fontId="104" fillId="0" borderId="9" xfId="0" applyNumberFormat="1" applyFont="1" applyBorder="1" applyAlignment="1">
      <alignment horizontal="right" vertical="center"/>
    </xf>
    <xf numFmtId="4" fontId="103" fillId="0" borderId="9" xfId="0" applyNumberFormat="1" applyFont="1" applyBorder="1" applyAlignment="1">
      <alignment horizontal="right" vertical="center"/>
    </xf>
    <xf numFmtId="0" fontId="103" fillId="16" borderId="9" xfId="0" applyFont="1" applyFill="1" applyBorder="1" applyAlignment="1">
      <alignment horizontal="justify" vertical="center" wrapText="1"/>
    </xf>
    <xf numFmtId="4" fontId="103" fillId="16" borderId="9" xfId="0" applyNumberFormat="1" applyFont="1" applyFill="1" applyBorder="1" applyAlignment="1">
      <alignment horizontal="right" vertical="center" wrapText="1"/>
    </xf>
    <xf numFmtId="0" fontId="83" fillId="0" borderId="0" xfId="0" applyFont="1" applyAlignment="1">
      <alignment horizontal="left" vertical="center" wrapText="1"/>
    </xf>
    <xf numFmtId="0" fontId="87" fillId="0" borderId="0" xfId="0" applyFont="1" applyAlignment="1">
      <alignment horizontal="left" vertical="center" wrapText="1"/>
    </xf>
    <xf numFmtId="0" fontId="89" fillId="0" borderId="0" xfId="0" applyFont="1" applyAlignment="1">
      <alignment horizontal="left" vertical="center" wrapText="1"/>
    </xf>
    <xf numFmtId="10" fontId="84" fillId="0" borderId="9" xfId="0" applyNumberFormat="1" applyFont="1" applyBorder="1"/>
    <xf numFmtId="0" fontId="103" fillId="16" borderId="0" xfId="0" applyFont="1" applyFill="1" applyBorder="1" applyAlignment="1">
      <alignment horizontal="justify" vertical="center" wrapText="1"/>
    </xf>
    <xf numFmtId="4" fontId="103" fillId="16" borderId="0" xfId="0" applyNumberFormat="1" applyFont="1" applyFill="1" applyBorder="1" applyAlignment="1">
      <alignment horizontal="right" vertical="center" wrapText="1"/>
    </xf>
    <xf numFmtId="0" fontId="91" fillId="14" borderId="0" xfId="0" applyFont="1" applyFill="1" applyBorder="1" applyAlignment="1">
      <alignment horizontal="justify" vertical="center" wrapText="1"/>
    </xf>
    <xf numFmtId="4" fontId="100" fillId="14" borderId="0" xfId="0" applyNumberFormat="1" applyFont="1" applyFill="1" applyBorder="1" applyAlignment="1">
      <alignment horizontal="right" vertical="center"/>
    </xf>
    <xf numFmtId="4" fontId="103" fillId="14" borderId="0" xfId="0" applyNumberFormat="1" applyFont="1" applyFill="1" applyBorder="1" applyAlignment="1">
      <alignment horizontal="right" vertical="center"/>
    </xf>
    <xf numFmtId="0" fontId="76" fillId="0" borderId="0" xfId="0" applyFont="1" applyBorder="1" applyAlignment="1">
      <alignment horizontal="left" wrapText="1"/>
    </xf>
    <xf numFmtId="10" fontId="84" fillId="0" borderId="0" xfId="0" applyNumberFormat="1" applyFont="1" applyBorder="1"/>
    <xf numFmtId="0" fontId="91" fillId="14" borderId="0" xfId="0" applyFont="1" applyFill="1" applyBorder="1" applyAlignment="1">
      <alignment horizontal="center" vertical="center" wrapText="1"/>
    </xf>
    <xf numFmtId="4" fontId="91" fillId="14" borderId="0" xfId="0" applyNumberFormat="1" applyFont="1" applyFill="1" applyBorder="1" applyAlignment="1">
      <alignment horizontal="right" vertical="center" wrapText="1"/>
    </xf>
    <xf numFmtId="0" fontId="100" fillId="14" borderId="16" xfId="0" applyFont="1" applyFill="1" applyBorder="1" applyAlignment="1">
      <alignment horizontal="center" vertical="center" wrapText="1"/>
    </xf>
    <xf numFmtId="4" fontId="100" fillId="14" borderId="16" xfId="0" applyNumberFormat="1" applyFont="1" applyFill="1" applyBorder="1" applyAlignment="1">
      <alignment vertical="center" wrapText="1"/>
    </xf>
    <xf numFmtId="4" fontId="100" fillId="14" borderId="0" xfId="0" applyNumberFormat="1" applyFont="1" applyFill="1" applyBorder="1" applyAlignment="1">
      <alignment vertical="center" wrapText="1"/>
    </xf>
    <xf numFmtId="0" fontId="105" fillId="14" borderId="0" xfId="0" applyFont="1" applyFill="1" applyBorder="1" applyAlignment="1">
      <alignment horizontal="center" vertical="center"/>
    </xf>
    <xf numFmtId="4" fontId="84" fillId="14" borderId="0" xfId="0" applyNumberFormat="1" applyFont="1" applyFill="1" applyBorder="1" applyAlignment="1">
      <alignment horizontal="right" vertical="center"/>
    </xf>
    <xf numFmtId="0" fontId="0" fillId="0" borderId="9" xfId="0" applyBorder="1"/>
    <xf numFmtId="0" fontId="99" fillId="17" borderId="9" xfId="0" applyFont="1" applyFill="1" applyBorder="1" applyAlignment="1">
      <alignment horizontal="center" vertical="center" wrapText="1"/>
    </xf>
    <xf numFmtId="0" fontId="94" fillId="0" borderId="9" xfId="0" applyFont="1" applyBorder="1" applyAlignment="1">
      <alignment vertical="center" wrapText="1"/>
    </xf>
    <xf numFmtId="0" fontId="102" fillId="0" borderId="9" xfId="0" applyFont="1" applyBorder="1" applyAlignment="1">
      <alignment horizontal="left" vertical="center" wrapText="1"/>
    </xf>
    <xf numFmtId="1" fontId="105" fillId="17" borderId="9" xfId="0" applyNumberFormat="1" applyFont="1" applyFill="1" applyBorder="1" applyAlignment="1">
      <alignment horizontal="center" vertical="center" wrapText="1"/>
    </xf>
    <xf numFmtId="0" fontId="99" fillId="0" borderId="9" xfId="0" applyFont="1" applyBorder="1" applyAlignment="1">
      <alignment horizontal="center" vertical="center" wrapText="1"/>
    </xf>
    <xf numFmtId="4" fontId="94" fillId="0" borderId="9" xfId="0" applyNumberFormat="1" applyFont="1" applyBorder="1" applyAlignment="1">
      <alignment horizontal="right" vertical="center"/>
    </xf>
    <xf numFmtId="4" fontId="94" fillId="0" borderId="9" xfId="0" applyNumberFormat="1" applyFont="1" applyBorder="1" applyAlignment="1">
      <alignment horizontal="right" vertical="center" wrapText="1"/>
    </xf>
    <xf numFmtId="0" fontId="94" fillId="0" borderId="9" xfId="0" applyFont="1" applyBorder="1" applyAlignment="1">
      <alignment horizontal="right" vertical="center" wrapText="1"/>
    </xf>
    <xf numFmtId="0" fontId="94" fillId="0" borderId="9" xfId="0" applyFont="1" applyBorder="1" applyAlignment="1">
      <alignment horizontal="right" vertical="center"/>
    </xf>
    <xf numFmtId="4" fontId="94" fillId="0" borderId="9" xfId="0" applyNumberFormat="1" applyFont="1" applyBorder="1" applyAlignment="1">
      <alignment vertical="center"/>
    </xf>
    <xf numFmtId="0" fontId="84" fillId="0" borderId="0" xfId="0" applyFont="1" applyAlignment="1">
      <alignment horizontal="center"/>
    </xf>
    <xf numFmtId="0" fontId="100" fillId="14" borderId="0" xfId="0" applyFont="1" applyFill="1" applyBorder="1" applyAlignment="1">
      <alignment horizontal="center" vertical="center"/>
    </xf>
    <xf numFmtId="4" fontId="100" fillId="14" borderId="0" xfId="0" applyNumberFormat="1" applyFont="1" applyFill="1" applyBorder="1" applyAlignment="1">
      <alignment horizontal="center" vertical="center"/>
    </xf>
    <xf numFmtId="4" fontId="103" fillId="14" borderId="0" xfId="0" applyNumberFormat="1" applyFont="1" applyFill="1" applyBorder="1" applyAlignment="1">
      <alignment horizontal="center" vertical="center"/>
    </xf>
    <xf numFmtId="1" fontId="99" fillId="14" borderId="9" xfId="0" applyNumberFormat="1" applyFont="1" applyFill="1" applyBorder="1" applyAlignment="1">
      <alignment horizontal="center" vertical="center" wrapText="1"/>
    </xf>
    <xf numFmtId="4" fontId="83" fillId="0" borderId="0" xfId="0" applyNumberFormat="1" applyFont="1"/>
    <xf numFmtId="4" fontId="83" fillId="0" borderId="9" xfId="0" applyNumberFormat="1" applyFont="1" applyBorder="1" applyAlignment="1">
      <alignment horizontal="right"/>
    </xf>
    <xf numFmtId="0" fontId="100" fillId="14" borderId="9" xfId="0" applyFont="1" applyFill="1" applyBorder="1" applyAlignment="1">
      <alignment vertical="center"/>
    </xf>
    <xf numFmtId="0" fontId="84" fillId="0" borderId="0" xfId="0" applyFont="1" applyBorder="1" applyAlignment="1">
      <alignment horizontal="left" wrapText="1"/>
    </xf>
    <xf numFmtId="4" fontId="104" fillId="0" borderId="9" xfId="0" applyNumberFormat="1" applyFont="1" applyBorder="1" applyAlignment="1">
      <alignment vertical="center" wrapText="1"/>
    </xf>
    <xf numFmtId="4" fontId="83" fillId="0" borderId="0" xfId="0" applyNumberFormat="1" applyFont="1" applyAlignment="1"/>
    <xf numFmtId="4" fontId="100" fillId="14" borderId="9" xfId="0" applyNumberFormat="1" applyFont="1" applyFill="1" applyBorder="1" applyAlignment="1">
      <alignment vertical="center"/>
    </xf>
    <xf numFmtId="4" fontId="103" fillId="14" borderId="9" xfId="0" applyNumberFormat="1" applyFont="1" applyFill="1" applyBorder="1" applyAlignment="1">
      <alignment vertical="center"/>
    </xf>
    <xf numFmtId="0" fontId="100" fillId="14" borderId="0" xfId="0" applyFont="1" applyFill="1" applyBorder="1" applyAlignment="1">
      <alignment horizontal="left" vertical="center" wrapText="1"/>
    </xf>
    <xf numFmtId="1" fontId="100" fillId="14" borderId="9" xfId="0" applyNumberFormat="1" applyFont="1" applyFill="1" applyBorder="1" applyAlignment="1">
      <alignment horizontal="center" vertical="center" wrapText="1"/>
    </xf>
    <xf numFmtId="4" fontId="83" fillId="0" borderId="9" xfId="0" applyNumberFormat="1" applyFont="1" applyBorder="1" applyAlignment="1">
      <alignment horizontal="right" vertical="center"/>
    </xf>
    <xf numFmtId="0" fontId="84" fillId="14" borderId="9" xfId="0" applyFont="1" applyFill="1" applyBorder="1" applyAlignment="1">
      <alignment vertical="center" wrapText="1"/>
    </xf>
    <xf numFmtId="0" fontId="84" fillId="14" borderId="0" xfId="0" applyFont="1" applyFill="1" applyBorder="1" applyAlignment="1">
      <alignment vertical="center" wrapText="1"/>
    </xf>
    <xf numFmtId="0" fontId="106" fillId="14" borderId="0" xfId="0" applyFont="1" applyFill="1" applyBorder="1" applyAlignment="1">
      <alignment horizontal="left" vertical="center"/>
    </xf>
    <xf numFmtId="4" fontId="15" fillId="0" borderId="14" xfId="9" applyNumberFormat="1" applyFont="1" applyBorder="1" applyAlignment="1">
      <alignment vertical="center"/>
    </xf>
    <xf numFmtId="4" fontId="15" fillId="0" borderId="0" xfId="9" applyNumberFormat="1" applyFont="1" applyBorder="1" applyAlignment="1">
      <alignment vertical="center"/>
    </xf>
    <xf numFmtId="169" fontId="68" fillId="0" borderId="0" xfId="9" applyNumberFormat="1" applyFont="1" applyFill="1" applyAlignment="1">
      <alignment vertical="center"/>
    </xf>
    <xf numFmtId="169" fontId="7" fillId="0" borderId="0" xfId="9" applyNumberFormat="1" applyFont="1" applyAlignment="1">
      <alignment vertical="center"/>
    </xf>
    <xf numFmtId="169" fontId="8" fillId="0" borderId="0" xfId="9" applyNumberFormat="1" applyFont="1" applyAlignment="1">
      <alignment horizontal="left" vertical="center"/>
    </xf>
    <xf numFmtId="169" fontId="8" fillId="0" borderId="0" xfId="9" applyNumberFormat="1" applyFont="1" applyAlignment="1">
      <alignment vertical="center"/>
    </xf>
    <xf numFmtId="169" fontId="7" fillId="0" borderId="0" xfId="9" applyNumberFormat="1" applyFont="1" applyAlignment="1">
      <alignment horizontal="left" vertical="center"/>
    </xf>
    <xf numFmtId="169" fontId="7" fillId="0" borderId="0" xfId="9" applyNumberFormat="1"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169" fontId="9" fillId="0" borderId="0" xfId="9" applyNumberFormat="1" applyFont="1" applyAlignment="1">
      <alignment horizontal="left" vertical="center"/>
    </xf>
    <xf numFmtId="169" fontId="9" fillId="0" borderId="0" xfId="9" applyNumberFormat="1" applyFont="1" applyBorder="1" applyAlignment="1">
      <alignment horizontal="left" vertical="center"/>
    </xf>
    <xf numFmtId="1" fontId="15" fillId="0" borderId="0" xfId="9" applyNumberFormat="1" applyFont="1" applyAlignment="1">
      <alignment horizontal="center" vertical="center"/>
    </xf>
    <xf numFmtId="1" fontId="15" fillId="0" borderId="0" xfId="9" applyNumberFormat="1" applyFont="1" applyBorder="1" applyAlignment="1">
      <alignment horizontal="center" vertical="center"/>
    </xf>
    <xf numFmtId="169" fontId="9" fillId="0" borderId="0" xfId="9" applyNumberFormat="1" applyFont="1" applyAlignment="1">
      <alignment horizontal="right" vertical="center"/>
    </xf>
    <xf numFmtId="169" fontId="9" fillId="0" borderId="0" xfId="9" applyNumberFormat="1" applyFont="1" applyBorder="1" applyAlignment="1">
      <alignment horizontal="right" vertical="center"/>
    </xf>
    <xf numFmtId="4" fontId="15" fillId="0" borderId="0" xfId="9" applyNumberFormat="1" applyFont="1" applyAlignment="1">
      <alignment vertical="center"/>
    </xf>
    <xf numFmtId="4" fontId="9" fillId="0" borderId="0" xfId="9" applyNumberFormat="1" applyFont="1" applyAlignment="1">
      <alignment vertical="center"/>
    </xf>
    <xf numFmtId="4" fontId="9" fillId="0" borderId="0" xfId="9" applyNumberFormat="1" applyFont="1" applyBorder="1" applyAlignment="1">
      <alignment vertical="center"/>
    </xf>
    <xf numFmtId="4" fontId="9" fillId="0" borderId="7" xfId="9" applyNumberFormat="1" applyFont="1" applyBorder="1" applyAlignment="1">
      <alignment vertical="center"/>
    </xf>
    <xf numFmtId="4" fontId="15" fillId="0" borderId="7" xfId="9" applyNumberFormat="1" applyFont="1" applyBorder="1" applyAlignment="1">
      <alignment vertical="center"/>
    </xf>
    <xf numFmtId="4" fontId="15" fillId="0" borderId="13" xfId="9" applyNumberFormat="1" applyFont="1" applyBorder="1" applyAlignment="1">
      <alignment vertical="center"/>
    </xf>
    <xf numFmtId="4" fontId="82" fillId="0" borderId="0" xfId="9" applyNumberFormat="1" applyFont="1" applyFill="1" applyAlignment="1">
      <alignment vertical="center"/>
    </xf>
    <xf numFmtId="4" fontId="82" fillId="0" borderId="0" xfId="9" applyNumberFormat="1" applyFont="1" applyFill="1" applyBorder="1" applyAlignment="1">
      <alignment vertical="center"/>
    </xf>
    <xf numFmtId="169" fontId="82" fillId="0" borderId="0" xfId="9" applyNumberFormat="1" applyFont="1" applyFill="1" applyAlignment="1">
      <alignment vertical="center"/>
    </xf>
    <xf numFmtId="169" fontId="82" fillId="0" borderId="0" xfId="9" applyNumberFormat="1" applyFont="1" applyFill="1" applyBorder="1" applyAlignment="1">
      <alignment vertical="center"/>
    </xf>
    <xf numFmtId="0" fontId="102" fillId="0" borderId="9" xfId="0" applyFont="1" applyBorder="1" applyAlignment="1">
      <alignment vertical="center" wrapText="1"/>
    </xf>
    <xf numFmtId="0" fontId="94" fillId="0" borderId="17" xfId="0" applyFont="1" applyBorder="1" applyAlignment="1">
      <alignment vertical="center"/>
    </xf>
    <xf numFmtId="4" fontId="94" fillId="0" borderId="9" xfId="0" applyNumberFormat="1" applyFont="1" applyBorder="1" applyAlignment="1">
      <alignment vertical="center" wrapText="1"/>
    </xf>
    <xf numFmtId="0" fontId="84" fillId="0" borderId="9" xfId="0" applyFont="1" applyBorder="1" applyAlignment="1">
      <alignment horizontal="right" wrapText="1"/>
    </xf>
    <xf numFmtId="0" fontId="106" fillId="14" borderId="0" xfId="0" applyFont="1" applyFill="1" applyBorder="1" applyAlignment="1">
      <alignment vertical="center" wrapText="1"/>
    </xf>
    <xf numFmtId="0" fontId="83" fillId="0" borderId="0" xfId="0" applyFont="1" applyAlignment="1">
      <alignment horizontal="left" vertical="center" wrapText="1"/>
    </xf>
    <xf numFmtId="0" fontId="103" fillId="18" borderId="9" xfId="0" applyFont="1" applyFill="1" applyBorder="1" applyAlignment="1">
      <alignment horizontal="center" vertical="center" wrapText="1"/>
    </xf>
    <xf numFmtId="0" fontId="106" fillId="18" borderId="9" xfId="0" applyFont="1" applyFill="1" applyBorder="1" applyAlignment="1">
      <alignment vertical="center" wrapText="1"/>
    </xf>
    <xf numFmtId="4" fontId="105" fillId="18" borderId="9" xfId="0" applyNumberFormat="1" applyFont="1" applyFill="1" applyBorder="1" applyAlignment="1">
      <alignment horizontal="right" vertical="center"/>
    </xf>
    <xf numFmtId="4" fontId="94" fillId="18" borderId="9" xfId="0" applyNumberFormat="1" applyFont="1" applyFill="1" applyBorder="1" applyAlignment="1">
      <alignment horizontal="right" vertical="center"/>
    </xf>
    <xf numFmtId="4" fontId="94" fillId="18" borderId="9" xfId="0" applyNumberFormat="1" applyFont="1" applyFill="1" applyBorder="1" applyAlignment="1">
      <alignment horizontal="right" vertical="center" wrapText="1"/>
    </xf>
    <xf numFmtId="4" fontId="105" fillId="18" borderId="9" xfId="0" applyNumberFormat="1" applyFont="1" applyFill="1" applyBorder="1" applyAlignment="1">
      <alignment horizontal="right" vertical="center" wrapText="1"/>
    </xf>
    <xf numFmtId="4" fontId="99" fillId="18" borderId="9" xfId="0" applyNumberFormat="1" applyFont="1" applyFill="1" applyBorder="1" applyAlignment="1">
      <alignment horizontal="right" vertical="center"/>
    </xf>
    <xf numFmtId="0" fontId="94" fillId="18" borderId="9" xfId="0" applyFont="1" applyFill="1" applyBorder="1" applyAlignment="1">
      <alignment horizontal="right" vertical="center" wrapText="1"/>
    </xf>
    <xf numFmtId="0" fontId="106" fillId="18" borderId="9" xfId="0" applyFont="1" applyFill="1" applyBorder="1" applyAlignment="1">
      <alignment horizontal="left" vertical="center" wrapText="1"/>
    </xf>
    <xf numFmtId="0" fontId="99" fillId="19" borderId="9" xfId="0" applyFont="1" applyFill="1" applyBorder="1" applyAlignment="1">
      <alignment vertical="center" wrapText="1"/>
    </xf>
    <xf numFmtId="0" fontId="106" fillId="19" borderId="9" xfId="0" applyFont="1" applyFill="1" applyBorder="1" applyAlignment="1">
      <alignment vertical="center" wrapText="1"/>
    </xf>
    <xf numFmtId="0" fontId="107" fillId="19" borderId="9" xfId="0" applyFont="1" applyFill="1" applyBorder="1" applyAlignment="1">
      <alignment horizontal="center" vertical="center" wrapText="1"/>
    </xf>
    <xf numFmtId="0" fontId="99" fillId="19" borderId="9" xfId="0" applyFont="1" applyFill="1" applyBorder="1" applyAlignment="1">
      <alignment horizontal="left" vertical="center" wrapText="1"/>
    </xf>
    <xf numFmtId="4" fontId="94" fillId="0" borderId="9" xfId="0" applyNumberFormat="1" applyFont="1" applyBorder="1"/>
    <xf numFmtId="4" fontId="94" fillId="18" borderId="9" xfId="0" applyNumberFormat="1" applyFont="1" applyFill="1" applyBorder="1"/>
    <xf numFmtId="0" fontId="82" fillId="0" borderId="0" xfId="0" applyFont="1"/>
    <xf numFmtId="0" fontId="3" fillId="0" borderId="0" xfId="0" applyFont="1" applyProtection="1">
      <protection locked="0"/>
    </xf>
    <xf numFmtId="0" fontId="0" fillId="0" borderId="0" xfId="0" applyFont="1" applyAlignment="1">
      <alignment horizontal="left" wrapText="1"/>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4" fontId="96" fillId="0" borderId="17" xfId="0" applyNumberFormat="1" applyFont="1" applyBorder="1" applyAlignment="1">
      <alignment horizontal="right" vertical="center"/>
    </xf>
    <xf numFmtId="4" fontId="101" fillId="0" borderId="17" xfId="0" applyNumberFormat="1" applyFont="1" applyBorder="1" applyAlignment="1">
      <alignment horizontal="right" vertical="center" wrapText="1"/>
    </xf>
    <xf numFmtId="0" fontId="2" fillId="0" borderId="0" xfId="16" applyFont="1" applyAlignment="1" applyProtection="1">
      <alignment horizontal="left"/>
    </xf>
    <xf numFmtId="0" fontId="2" fillId="0" borderId="0" xfId="16" applyFont="1"/>
    <xf numFmtId="0" fontId="3" fillId="0" borderId="0" xfId="16" applyFont="1" applyAlignment="1" applyProtection="1">
      <alignment horizontal="left"/>
    </xf>
    <xf numFmtId="0" fontId="2" fillId="0" borderId="0" xfId="15" applyFont="1"/>
    <xf numFmtId="0" fontId="108" fillId="0" borderId="0" xfId="0" applyFont="1"/>
    <xf numFmtId="0" fontId="96" fillId="0" borderId="0" xfId="0" applyFont="1"/>
    <xf numFmtId="0" fontId="36" fillId="0" borderId="0" xfId="14" applyFont="1" applyFill="1" applyBorder="1" applyAlignment="1">
      <alignment vertical="center"/>
    </xf>
    <xf numFmtId="0" fontId="36" fillId="0" borderId="18" xfId="14" applyFont="1" applyFill="1" applyBorder="1" applyAlignment="1">
      <alignment vertical="center"/>
    </xf>
    <xf numFmtId="10" fontId="96" fillId="0" borderId="0" xfId="0" applyNumberFormat="1" applyFont="1" applyBorder="1"/>
    <xf numFmtId="0" fontId="96" fillId="0" borderId="0" xfId="0" applyFont="1" applyBorder="1"/>
    <xf numFmtId="0" fontId="96" fillId="0" borderId="0" xfId="0" applyFont="1" applyAlignment="1"/>
    <xf numFmtId="10" fontId="96" fillId="0" borderId="0" xfId="0" applyNumberFormat="1" applyFont="1" applyBorder="1" applyAlignment="1"/>
    <xf numFmtId="0" fontId="0" fillId="0" borderId="0" xfId="0" applyAlignment="1"/>
    <xf numFmtId="0" fontId="0" fillId="12" borderId="9" xfId="0" applyFill="1" applyBorder="1"/>
    <xf numFmtId="3" fontId="0" fillId="0" borderId="0" xfId="0" applyNumberFormat="1" applyFill="1" applyBorder="1"/>
    <xf numFmtId="0" fontId="35" fillId="19" borderId="89" xfId="14" applyFont="1" applyFill="1" applyBorder="1" applyAlignment="1">
      <alignment vertical="center"/>
    </xf>
    <xf numFmtId="1" fontId="35" fillId="19" borderId="89" xfId="14" applyNumberFormat="1" applyFont="1" applyFill="1" applyBorder="1" applyAlignment="1">
      <alignment horizontal="center" vertical="center"/>
    </xf>
    <xf numFmtId="1" fontId="35" fillId="19" borderId="89" xfId="14" applyNumberFormat="1" applyFont="1" applyFill="1" applyBorder="1" applyAlignment="1">
      <alignment vertical="center"/>
    </xf>
    <xf numFmtId="0" fontId="105" fillId="19" borderId="89" xfId="0" applyFont="1" applyFill="1" applyBorder="1" applyAlignment="1">
      <alignment horizontal="center"/>
    </xf>
    <xf numFmtId="0" fontId="36" fillId="20" borderId="89" xfId="14" applyFont="1" applyFill="1" applyBorder="1" applyAlignment="1">
      <alignment vertical="center"/>
    </xf>
    <xf numFmtId="10" fontId="96" fillId="0" borderId="89" xfId="0" applyNumberFormat="1" applyFont="1" applyBorder="1"/>
    <xf numFmtId="10" fontId="96" fillId="0" borderId="89" xfId="0" applyNumberFormat="1" applyFont="1" applyBorder="1" applyAlignment="1"/>
    <xf numFmtId="0" fontId="94" fillId="21" borderId="89" xfId="0" applyFont="1" applyFill="1" applyBorder="1"/>
    <xf numFmtId="0" fontId="96" fillId="0" borderId="89" xfId="0" applyFont="1" applyBorder="1"/>
    <xf numFmtId="3" fontId="96" fillId="0" borderId="89" xfId="0" applyNumberFormat="1" applyFont="1" applyBorder="1"/>
    <xf numFmtId="171" fontId="36" fillId="0" borderId="89" xfId="10" applyNumberFormat="1" applyFont="1" applyFill="1" applyBorder="1" applyAlignment="1">
      <alignment vertical="center"/>
    </xf>
    <xf numFmtId="170" fontId="36" fillId="0" borderId="89" xfId="10" applyFont="1" applyFill="1" applyBorder="1" applyAlignment="1">
      <alignment vertical="center"/>
    </xf>
    <xf numFmtId="10" fontId="36" fillId="0" borderId="89" xfId="18" applyNumberFormat="1" applyFont="1" applyFill="1" applyBorder="1" applyAlignment="1">
      <alignment vertical="center"/>
    </xf>
    <xf numFmtId="43" fontId="36" fillId="0" borderId="89" xfId="10" applyNumberFormat="1" applyFont="1" applyFill="1" applyBorder="1" applyAlignment="1">
      <alignment vertical="center"/>
    </xf>
    <xf numFmtId="10" fontId="36" fillId="0" borderId="89" xfId="10" applyNumberFormat="1" applyFont="1" applyFill="1" applyBorder="1" applyAlignment="1">
      <alignment vertical="center"/>
    </xf>
    <xf numFmtId="2" fontId="36" fillId="0" borderId="89" xfId="10" applyNumberFormat="1" applyFont="1" applyFill="1" applyBorder="1" applyAlignment="1">
      <alignment vertical="center"/>
    </xf>
    <xf numFmtId="2" fontId="36" fillId="0" borderId="89" xfId="10" applyNumberFormat="1" applyFont="1" applyFill="1" applyBorder="1" applyAlignment="1">
      <alignment horizontal="right" vertical="center"/>
    </xf>
    <xf numFmtId="2" fontId="36" fillId="0" borderId="89" xfId="10" applyNumberFormat="1" applyFont="1" applyFill="1" applyBorder="1" applyAlignment="1">
      <alignment horizontal="center" vertical="center"/>
    </xf>
    <xf numFmtId="4" fontId="109" fillId="0" borderId="0" xfId="9" applyNumberFormat="1" applyFont="1" applyFill="1" applyAlignment="1">
      <alignment vertical="center"/>
    </xf>
    <xf numFmtId="0" fontId="0" fillId="11" borderId="9" xfId="0" applyFill="1" applyBorder="1" applyAlignment="1" applyProtection="1">
      <alignment horizontal="center"/>
      <protection locked="0"/>
    </xf>
    <xf numFmtId="3" fontId="0" fillId="11" borderId="9" xfId="0" applyNumberFormat="1" applyFill="1" applyBorder="1" applyAlignment="1" applyProtection="1">
      <alignment horizontal="center"/>
      <protection locked="0"/>
    </xf>
    <xf numFmtId="3" fontId="96" fillId="0" borderId="89" xfId="0" applyNumberFormat="1" applyFont="1" applyBorder="1" applyProtection="1">
      <protection locked="0"/>
    </xf>
    <xf numFmtId="174" fontId="96" fillId="0" borderId="89" xfId="0" applyNumberFormat="1" applyFont="1" applyBorder="1"/>
    <xf numFmtId="174" fontId="96" fillId="0" borderId="89" xfId="0" applyNumberFormat="1" applyFont="1" applyBorder="1" applyAlignment="1"/>
    <xf numFmtId="0" fontId="70" fillId="5" borderId="0" xfId="3" applyAlignment="1">
      <alignment horizontal="center" vertical="center"/>
    </xf>
    <xf numFmtId="0" fontId="37" fillId="0" borderId="0" xfId="0" applyNumberFormat="1" applyFont="1" applyFill="1" applyAlignment="1"/>
    <xf numFmtId="0" fontId="38" fillId="0" borderId="0" xfId="0" applyNumberFormat="1" applyFont="1" applyFill="1" applyAlignment="1">
      <alignment horizontal="right"/>
    </xf>
    <xf numFmtId="0" fontId="110" fillId="0" borderId="0" xfId="0" applyFont="1" applyAlignment="1">
      <alignment vertical="center"/>
    </xf>
    <xf numFmtId="0" fontId="0" fillId="0" borderId="19" xfId="0" applyNumberFormat="1" applyFont="1" applyFill="1" applyBorder="1" applyAlignment="1">
      <alignment wrapText="1"/>
    </xf>
    <xf numFmtId="0" fontId="39" fillId="0" borderId="9" xfId="0" applyNumberFormat="1" applyFont="1" applyFill="1" applyBorder="1" applyAlignment="1">
      <alignment horizontal="center" vertical="center"/>
    </xf>
    <xf numFmtId="0" fontId="0" fillId="0" borderId="0" xfId="0" applyNumberFormat="1" applyFont="1" applyFill="1" applyBorder="1" applyAlignment="1">
      <alignment wrapText="1"/>
    </xf>
    <xf numFmtId="0" fontId="39" fillId="0" borderId="0" xfId="0" applyNumberFormat="1" applyFont="1" applyFill="1" applyAlignment="1"/>
    <xf numFmtId="0" fontId="38" fillId="0" borderId="0" xfId="0" applyNumberFormat="1" applyFont="1" applyFill="1" applyAlignment="1"/>
    <xf numFmtId="0" fontId="40" fillId="0" borderId="0" xfId="0" applyFont="1" applyAlignment="1">
      <alignment vertical="center"/>
    </xf>
    <xf numFmtId="0" fontId="37" fillId="0" borderId="0" xfId="0" applyNumberFormat="1" applyFont="1" applyFill="1" applyAlignment="1">
      <alignment horizontal="center"/>
    </xf>
    <xf numFmtId="0" fontId="40" fillId="0" borderId="0" xfId="0" applyFont="1" applyAlignment="1">
      <alignment horizontal="center" vertical="center"/>
    </xf>
    <xf numFmtId="0" fontId="40" fillId="0" borderId="0" xfId="0" applyFont="1" applyFill="1" applyAlignment="1">
      <alignment vertical="center"/>
    </xf>
    <xf numFmtId="0" fontId="0" fillId="0" borderId="0" xfId="0" applyAlignment="1">
      <alignment horizontal="center" vertical="center"/>
    </xf>
    <xf numFmtId="0" fontId="42" fillId="0" borderId="9" xfId="0" applyFont="1" applyBorder="1" applyAlignment="1">
      <alignment horizontal="center" vertical="center"/>
    </xf>
    <xf numFmtId="0" fontId="72" fillId="5" borderId="0" xfId="7" applyFill="1" applyAlignment="1">
      <alignment horizontal="center" vertical="center"/>
    </xf>
    <xf numFmtId="0" fontId="111" fillId="22" borderId="86" xfId="4" applyNumberFormat="1" applyFont="1" applyFill="1" applyAlignment="1">
      <alignment horizontal="center"/>
    </xf>
    <xf numFmtId="0" fontId="111" fillId="22" borderId="86" xfId="4" applyFont="1" applyFill="1" applyAlignment="1">
      <alignment horizontal="center" vertical="center"/>
    </xf>
    <xf numFmtId="0" fontId="111" fillId="22" borderId="86" xfId="4" applyNumberFormat="1" applyFont="1" applyFill="1" applyAlignment="1"/>
    <xf numFmtId="0" fontId="111" fillId="22" borderId="86" xfId="4" applyFont="1" applyFill="1" applyAlignment="1">
      <alignment vertical="center"/>
    </xf>
    <xf numFmtId="0" fontId="111" fillId="22" borderId="86" xfId="4" applyNumberFormat="1" applyFont="1" applyFill="1" applyAlignment="1">
      <alignment wrapText="1"/>
    </xf>
    <xf numFmtId="0" fontId="111" fillId="23" borderId="86" xfId="4" applyNumberFormat="1" applyFont="1" applyFill="1" applyAlignment="1">
      <alignment horizontal="center"/>
    </xf>
    <xf numFmtId="0" fontId="111" fillId="23" borderId="86" xfId="4" applyFont="1" applyFill="1" applyAlignment="1">
      <alignment horizontal="center" vertical="center"/>
    </xf>
    <xf numFmtId="0" fontId="111" fillId="23" borderId="86" xfId="4" applyNumberFormat="1" applyFont="1" applyFill="1" applyAlignment="1">
      <alignment horizontal="center" wrapText="1"/>
    </xf>
    <xf numFmtId="0" fontId="112" fillId="0" borderId="0" xfId="7" applyFont="1" applyAlignment="1">
      <alignment horizontal="center" vertical="center"/>
    </xf>
    <xf numFmtId="0" fontId="0" fillId="0" borderId="0"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72" fillId="0" borderId="0" xfId="7" applyAlignment="1">
      <alignment horizontal="center" vertical="center"/>
    </xf>
    <xf numFmtId="0" fontId="42" fillId="0" borderId="0" xfId="0" applyFont="1" applyAlignment="1">
      <alignment vertical="center"/>
    </xf>
    <xf numFmtId="0" fontId="0" fillId="0" borderId="0" xfId="0" applyNumberFormat="1" applyFont="1" applyFill="1" applyAlignment="1">
      <alignment wrapText="1"/>
    </xf>
    <xf numFmtId="0" fontId="43" fillId="0" borderId="0" xfId="0" applyNumberFormat="1" applyFont="1" applyFill="1" applyAlignment="1">
      <alignment wrapText="1"/>
    </xf>
    <xf numFmtId="4" fontId="0" fillId="0" borderId="0" xfId="0" applyNumberFormat="1" applyAlignment="1">
      <alignment vertical="center"/>
    </xf>
    <xf numFmtId="0" fontId="39" fillId="0" borderId="9" xfId="0" applyNumberFormat="1" applyFont="1" applyFill="1" applyBorder="1" applyAlignment="1">
      <alignment horizontal="center" vertical="center" wrapText="1"/>
    </xf>
    <xf numFmtId="0" fontId="40" fillId="0" borderId="19" xfId="0" applyNumberFormat="1" applyFont="1" applyFill="1" applyBorder="1" applyAlignment="1">
      <alignment wrapText="1"/>
    </xf>
    <xf numFmtId="0" fontId="40" fillId="0" borderId="9" xfId="0" applyNumberFormat="1" applyFont="1" applyFill="1" applyBorder="1" applyAlignment="1">
      <alignment horizontal="center" vertical="center" wrapText="1"/>
    </xf>
    <xf numFmtId="0" fontId="40" fillId="0" borderId="16" xfId="0" applyNumberFormat="1" applyFont="1" applyFill="1" applyBorder="1" applyAlignment="1">
      <alignment wrapText="1"/>
    </xf>
    <xf numFmtId="0" fontId="0" fillId="0" borderId="18" xfId="0" applyNumberFormat="1" applyFont="1" applyFill="1" applyBorder="1" applyAlignment="1">
      <alignment wrapText="1"/>
    </xf>
    <xf numFmtId="0" fontId="4" fillId="0" borderId="0" xfId="0" applyFont="1" applyAlignment="1">
      <alignment vertical="center"/>
    </xf>
    <xf numFmtId="0" fontId="0" fillId="0" borderId="0" xfId="0" applyAlignment="1">
      <alignment vertical="center"/>
    </xf>
    <xf numFmtId="0" fontId="113" fillId="0" borderId="20" xfId="0" applyNumberFormat="1" applyFont="1" applyFill="1" applyBorder="1" applyAlignment="1">
      <alignment horizontal="center" vertical="center" wrapText="1"/>
    </xf>
    <xf numFmtId="0" fontId="40" fillId="0" borderId="20" xfId="0" applyFont="1" applyBorder="1" applyAlignment="1">
      <alignment vertical="center"/>
    </xf>
    <xf numFmtId="4" fontId="0" fillId="0" borderId="0" xfId="0" applyNumberFormat="1" applyBorder="1" applyAlignment="1">
      <alignment vertical="center"/>
    </xf>
    <xf numFmtId="0" fontId="111" fillId="22" borderId="86" xfId="4" applyNumberFormat="1" applyFont="1" applyFill="1" applyAlignment="1">
      <alignment horizontal="center" vertical="center"/>
    </xf>
    <xf numFmtId="0" fontId="0" fillId="0" borderId="1"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10" xfId="0" applyBorder="1" applyAlignment="1">
      <alignment vertical="center"/>
    </xf>
    <xf numFmtId="0" fontId="0" fillId="0" borderId="24" xfId="0" applyNumberFormat="1" applyFont="1" applyFill="1" applyBorder="1" applyAlignment="1">
      <alignment wrapText="1"/>
    </xf>
    <xf numFmtId="0" fontId="0" fillId="0" borderId="5" xfId="0" applyBorder="1" applyAlignment="1">
      <alignment vertical="center"/>
    </xf>
    <xf numFmtId="0" fontId="0" fillId="0" borderId="11" xfId="0" applyFill="1" applyBorder="1" applyAlignment="1">
      <alignment horizontal="left" vertical="center" wrapText="1"/>
    </xf>
    <xf numFmtId="0" fontId="0" fillId="0" borderId="4" xfId="0" applyNumberFormat="1" applyFont="1" applyFill="1" applyBorder="1" applyAlignment="1">
      <alignment wrapText="1"/>
    </xf>
    <xf numFmtId="0" fontId="0" fillId="0" borderId="11" xfId="0" applyBorder="1" applyAlignment="1">
      <alignment vertical="center"/>
    </xf>
    <xf numFmtId="0" fontId="3" fillId="0" borderId="4" xfId="0" applyNumberFormat="1" applyFont="1" applyFill="1" applyBorder="1" applyAlignment="1">
      <alignment wrapText="1"/>
    </xf>
    <xf numFmtId="0" fontId="3" fillId="0" borderId="18" xfId="0" applyNumberFormat="1" applyFont="1" applyFill="1" applyBorder="1" applyAlignment="1">
      <alignment wrapText="1"/>
    </xf>
    <xf numFmtId="0" fontId="3" fillId="0" borderId="0" xfId="0" applyNumberFormat="1" applyFont="1" applyFill="1" applyBorder="1" applyAlignment="1">
      <alignment wrapText="1"/>
    </xf>
    <xf numFmtId="0" fontId="3" fillId="0" borderId="5" xfId="0" applyNumberFormat="1" applyFont="1" applyFill="1" applyBorder="1" applyAlignment="1">
      <alignment wrapText="1"/>
    </xf>
    <xf numFmtId="0" fontId="0" fillId="0" borderId="5" xfId="0" applyNumberFormat="1" applyFont="1" applyFill="1" applyBorder="1" applyAlignment="1">
      <alignment wrapText="1"/>
    </xf>
    <xf numFmtId="0" fontId="0" fillId="0" borderId="11" xfId="0" applyNumberFormat="1" applyFont="1" applyFill="1" applyBorder="1" applyAlignment="1">
      <alignment wrapText="1"/>
    </xf>
    <xf numFmtId="0" fontId="0" fillId="0" borderId="25" xfId="0" applyNumberFormat="1" applyFont="1" applyFill="1" applyBorder="1" applyAlignment="1">
      <alignment wrapText="1"/>
    </xf>
    <xf numFmtId="0" fontId="0" fillId="0" borderId="26" xfId="0" applyNumberFormat="1" applyFont="1" applyFill="1" applyBorder="1" applyAlignment="1">
      <alignment wrapText="1"/>
    </xf>
    <xf numFmtId="0" fontId="114" fillId="0" borderId="11" xfId="0" applyNumberFormat="1" applyFont="1" applyFill="1" applyBorder="1" applyAlignment="1">
      <alignment wrapText="1"/>
    </xf>
    <xf numFmtId="0" fontId="3" fillId="0" borderId="24" xfId="0" applyNumberFormat="1" applyFont="1" applyFill="1" applyBorder="1" applyAlignment="1">
      <alignment wrapText="1"/>
    </xf>
    <xf numFmtId="0" fontId="3" fillId="0" borderId="25" xfId="0" applyFont="1" applyBorder="1" applyAlignment="1">
      <alignment vertical="center"/>
    </xf>
    <xf numFmtId="0" fontId="3" fillId="0" borderId="19" xfId="0" applyFont="1" applyBorder="1" applyAlignment="1">
      <alignment vertical="center"/>
    </xf>
    <xf numFmtId="0" fontId="3" fillId="0" borderId="26" xfId="0" applyFont="1" applyBorder="1" applyAlignment="1">
      <alignment vertical="center"/>
    </xf>
    <xf numFmtId="0" fontId="115" fillId="0" borderId="11" xfId="0" applyFont="1" applyBorder="1" applyAlignment="1">
      <alignment vertical="center"/>
    </xf>
    <xf numFmtId="0" fontId="0" fillId="0" borderId="27" xfId="0" applyBorder="1" applyAlignment="1">
      <alignment vertical="center"/>
    </xf>
    <xf numFmtId="0" fontId="3" fillId="24" borderId="28" xfId="0" applyNumberFormat="1" applyFont="1" applyFill="1" applyBorder="1" applyAlignment="1">
      <alignment wrapText="1"/>
    </xf>
    <xf numFmtId="0" fontId="3" fillId="24" borderId="13" xfId="0" applyFont="1" applyFill="1" applyBorder="1" applyAlignment="1">
      <alignment vertical="center"/>
    </xf>
    <xf numFmtId="0" fontId="3" fillId="24" borderId="29"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37" fillId="0" borderId="0" xfId="0" applyNumberFormat="1" applyFont="1" applyFill="1" applyAlignment="1">
      <alignment vertical="center"/>
    </xf>
    <xf numFmtId="0" fontId="39" fillId="0" borderId="0" xfId="0" applyNumberFormat="1" applyFont="1" applyFill="1" applyBorder="1" applyAlignment="1"/>
    <xf numFmtId="0" fontId="72" fillId="5" borderId="0" xfId="7" applyFill="1" applyAlignment="1">
      <alignment vertical="center"/>
    </xf>
    <xf numFmtId="0" fontId="42" fillId="0" borderId="30" xfId="0" applyFont="1" applyBorder="1" applyAlignment="1">
      <alignment horizontal="center" vertical="center"/>
    </xf>
    <xf numFmtId="0" fontId="41" fillId="0" borderId="9" xfId="0" applyFont="1" applyBorder="1" applyAlignment="1"/>
    <xf numFmtId="0" fontId="116" fillId="0" borderId="9" xfId="0" applyNumberFormat="1" applyFont="1" applyFill="1" applyBorder="1" applyAlignment="1">
      <alignment horizontal="center" vertical="center" wrapText="1"/>
    </xf>
    <xf numFmtId="0" fontId="116" fillId="0" borderId="9" xfId="0" applyNumberFormat="1" applyFont="1" applyFill="1" applyBorder="1" applyAlignment="1">
      <alignment horizontal="center" wrapText="1"/>
    </xf>
    <xf numFmtId="0" fontId="37" fillId="0" borderId="0" xfId="0" applyNumberFormat="1" applyFont="1" applyFill="1" applyBorder="1" applyAlignment="1"/>
    <xf numFmtId="0" fontId="37" fillId="0" borderId="16" xfId="0" applyNumberFormat="1" applyFont="1" applyFill="1" applyBorder="1" applyAlignment="1"/>
    <xf numFmtId="0" fontId="42" fillId="0" borderId="18" xfId="0" applyFont="1" applyBorder="1" applyAlignment="1">
      <alignment horizontal="center" vertical="center"/>
    </xf>
    <xf numFmtId="0" fontId="39" fillId="0" borderId="0" xfId="0" applyNumberFormat="1" applyFont="1" applyFill="1" applyBorder="1" applyAlignment="1">
      <alignment horizontal="center"/>
    </xf>
    <xf numFmtId="2" fontId="0" fillId="0" borderId="0" xfId="0" applyNumberFormat="1" applyAlignment="1">
      <alignment vertical="center"/>
    </xf>
    <xf numFmtId="2" fontId="37" fillId="0" borderId="16" xfId="0" applyNumberFormat="1" applyFont="1" applyFill="1" applyBorder="1" applyAlignment="1"/>
    <xf numFmtId="2" fontId="37" fillId="0" borderId="0" xfId="0" applyNumberFormat="1" applyFont="1" applyFill="1" applyBorder="1" applyAlignment="1"/>
    <xf numFmtId="2" fontId="40" fillId="0" borderId="0" xfId="0" applyNumberFormat="1" applyFont="1" applyBorder="1" applyAlignment="1">
      <alignment vertical="center"/>
    </xf>
    <xf numFmtId="2" fontId="39" fillId="0" borderId="0" xfId="0" applyNumberFormat="1" applyFont="1" applyFill="1" applyBorder="1" applyAlignment="1"/>
    <xf numFmtId="2" fontId="0" fillId="0" borderId="0" xfId="0" applyNumberFormat="1"/>
    <xf numFmtId="168" fontId="39" fillId="0" borderId="9" xfId="0" applyNumberFormat="1" applyFont="1" applyFill="1" applyBorder="1" applyAlignment="1">
      <alignment horizontal="center" vertical="center"/>
    </xf>
    <xf numFmtId="0" fontId="105" fillId="14" borderId="9" xfId="0" applyFont="1" applyFill="1" applyBorder="1" applyAlignment="1">
      <alignment horizontal="center" wrapText="1"/>
    </xf>
    <xf numFmtId="1" fontId="105" fillId="14" borderId="9" xfId="0" applyNumberFormat="1" applyFont="1" applyFill="1" applyBorder="1" applyAlignment="1">
      <alignment horizontal="center" wrapText="1"/>
    </xf>
    <xf numFmtId="0" fontId="84" fillId="25" borderId="9" xfId="0" applyFont="1" applyFill="1" applyBorder="1" applyAlignment="1">
      <alignment horizontal="center"/>
    </xf>
    <xf numFmtId="0" fontId="0" fillId="25" borderId="9" xfId="0" applyFill="1" applyBorder="1" applyAlignment="1">
      <alignment horizontal="center" vertical="center" wrapText="1"/>
    </xf>
    <xf numFmtId="10" fontId="0" fillId="0" borderId="9" xfId="0" applyNumberFormat="1" applyBorder="1" applyAlignment="1"/>
    <xf numFmtId="0" fontId="42" fillId="0" borderId="0" xfId="0" applyFont="1" applyBorder="1" applyAlignment="1">
      <alignment horizontal="center" vertical="center"/>
    </xf>
    <xf numFmtId="0" fontId="76" fillId="0" borderId="0" xfId="0" applyFont="1" applyAlignment="1">
      <alignment horizontal="center"/>
    </xf>
    <xf numFmtId="0" fontId="0" fillId="0" borderId="0" xfId="0" applyAlignment="1">
      <alignment vertical="center"/>
    </xf>
    <xf numFmtId="0" fontId="39" fillId="0" borderId="20" xfId="0" applyNumberFormat="1" applyFont="1" applyFill="1" applyBorder="1" applyAlignment="1">
      <alignment horizontal="left"/>
    </xf>
    <xf numFmtId="0" fontId="40" fillId="0" borderId="20" xfId="0" applyNumberFormat="1" applyFont="1" applyFill="1" applyBorder="1" applyAlignment="1">
      <alignment horizontal="left" wrapText="1"/>
    </xf>
    <xf numFmtId="0" fontId="40" fillId="0" borderId="31" xfId="0" applyNumberFormat="1" applyFont="1" applyFill="1" applyBorder="1" applyAlignment="1">
      <alignment horizontal="left" wrapText="1"/>
    </xf>
    <xf numFmtId="0" fontId="117" fillId="0" borderId="20" xfId="0" applyFont="1" applyBorder="1" applyAlignment="1">
      <alignment horizontal="center" vertical="center"/>
    </xf>
    <xf numFmtId="0" fontId="118" fillId="0" borderId="20" xfId="0" applyNumberFormat="1" applyFont="1" applyFill="1" applyBorder="1" applyAlignment="1">
      <alignment horizontal="center"/>
    </xf>
    <xf numFmtId="0" fontId="117" fillId="0" borderId="20" xfId="0" applyNumberFormat="1" applyFont="1" applyFill="1" applyBorder="1" applyAlignment="1">
      <alignment horizontal="center"/>
    </xf>
    <xf numFmtId="0" fontId="119" fillId="0" borderId="20" xfId="0" applyFont="1" applyBorder="1" applyAlignment="1">
      <alignment horizontal="center"/>
    </xf>
    <xf numFmtId="0" fontId="118" fillId="0" borderId="20" xfId="0" applyFont="1" applyBorder="1" applyAlignment="1">
      <alignment horizontal="center"/>
    </xf>
    <xf numFmtId="0" fontId="119" fillId="0" borderId="20" xfId="0" applyFont="1" applyBorder="1" applyAlignment="1">
      <alignment horizontal="center" vertical="center"/>
    </xf>
    <xf numFmtId="0" fontId="118" fillId="0" borderId="20" xfId="0" applyNumberFormat="1" applyFont="1" applyFill="1" applyBorder="1" applyAlignment="1">
      <alignment horizontal="center" vertical="center" wrapText="1"/>
    </xf>
    <xf numFmtId="0" fontId="119" fillId="0" borderId="20" xfId="0" applyNumberFormat="1" applyFont="1" applyFill="1" applyBorder="1" applyAlignment="1">
      <alignment horizontal="center" vertical="center" wrapText="1"/>
    </xf>
    <xf numFmtId="0" fontId="119" fillId="0" borderId="31" xfId="0" applyNumberFormat="1" applyFont="1" applyFill="1" applyBorder="1" applyAlignment="1">
      <alignment horizontal="center" vertical="center" wrapText="1"/>
    </xf>
    <xf numFmtId="0" fontId="3" fillId="0" borderId="19" xfId="0" applyNumberFormat="1" applyFont="1" applyFill="1" applyBorder="1" applyAlignment="1">
      <alignment vertical="center" wrapText="1"/>
    </xf>
    <xf numFmtId="0" fontId="91" fillId="0" borderId="0" xfId="0" applyFont="1" applyFill="1" applyBorder="1" applyAlignment="1">
      <alignment horizontal="center" vertical="center" wrapText="1"/>
    </xf>
    <xf numFmtId="4" fontId="91" fillId="0" borderId="0" xfId="0" applyNumberFormat="1" applyFont="1" applyFill="1" applyBorder="1" applyAlignment="1">
      <alignment horizontal="right" vertical="center" wrapText="1"/>
    </xf>
    <xf numFmtId="0" fontId="0" fillId="25" borderId="9" xfId="0" applyFill="1" applyBorder="1" applyAlignment="1">
      <alignment vertical="center"/>
    </xf>
    <xf numFmtId="4" fontId="0" fillId="25" borderId="9" xfId="0" applyNumberFormat="1" applyFill="1" applyBorder="1" applyAlignment="1">
      <alignment vertical="center"/>
    </xf>
    <xf numFmtId="0" fontId="84" fillId="0" borderId="9" xfId="0" applyFont="1" applyFill="1" applyBorder="1" applyAlignment="1">
      <alignment horizontal="center"/>
    </xf>
    <xf numFmtId="4" fontId="101" fillId="0" borderId="9" xfId="0" applyNumberFormat="1" applyFont="1" applyBorder="1" applyAlignment="1">
      <alignment horizontal="left" vertical="center"/>
    </xf>
    <xf numFmtId="4" fontId="83" fillId="15" borderId="9" xfId="0" applyNumberFormat="1" applyFont="1" applyFill="1" applyBorder="1" applyAlignment="1">
      <alignment horizontal="left" vertical="center"/>
    </xf>
    <xf numFmtId="4" fontId="83" fillId="15" borderId="9" xfId="0" applyNumberFormat="1" applyFont="1" applyFill="1" applyBorder="1" applyAlignment="1">
      <alignment vertical="center" wrapText="1"/>
    </xf>
    <xf numFmtId="0" fontId="42"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76" fillId="25" borderId="9" xfId="0" applyFont="1" applyFill="1" applyBorder="1" applyAlignment="1">
      <alignment horizontal="center" vertical="center" wrapText="1"/>
    </xf>
    <xf numFmtId="4" fontId="94" fillId="15" borderId="9" xfId="0" applyNumberFormat="1" applyFont="1" applyFill="1" applyBorder="1" applyAlignment="1">
      <alignment horizontal="left" vertical="center"/>
    </xf>
    <xf numFmtId="4" fontId="94" fillId="15" borderId="9" xfId="0" applyNumberFormat="1" applyFont="1" applyFill="1" applyBorder="1" applyAlignment="1">
      <alignment vertical="center" wrapText="1"/>
    </xf>
    <xf numFmtId="10" fontId="0" fillId="25" borderId="9" xfId="0" applyNumberFormat="1" applyFill="1" applyBorder="1" applyAlignment="1"/>
    <xf numFmtId="4" fontId="84" fillId="25" borderId="9" xfId="0" applyNumberFormat="1" applyFont="1" applyFill="1" applyBorder="1" applyAlignment="1">
      <alignment horizontal="right" vertical="center"/>
    </xf>
    <xf numFmtId="4" fontId="84" fillId="25" borderId="9" xfId="0" applyNumberFormat="1" applyFont="1" applyFill="1" applyBorder="1"/>
    <xf numFmtId="0" fontId="116" fillId="25" borderId="9" xfId="0" applyNumberFormat="1" applyFont="1" applyFill="1" applyBorder="1" applyAlignment="1">
      <alignment horizontal="center" wrapText="1"/>
    </xf>
    <xf numFmtId="0" fontId="0" fillId="25" borderId="9" xfId="0" applyFill="1" applyBorder="1"/>
    <xf numFmtId="0" fontId="76" fillId="25" borderId="9" xfId="0" applyFont="1" applyFill="1" applyBorder="1" applyAlignment="1">
      <alignment horizontal="center" vertical="center"/>
    </xf>
    <xf numFmtId="10" fontId="0" fillId="0" borderId="0" xfId="0" applyNumberFormat="1" applyFill="1" applyBorder="1" applyAlignment="1"/>
    <xf numFmtId="0" fontId="72" fillId="0" borderId="0" xfId="7" applyFill="1" applyAlignment="1">
      <alignment horizontal="center" vertical="center"/>
    </xf>
    <xf numFmtId="0" fontId="120" fillId="19" borderId="0" xfId="0" applyFont="1" applyFill="1"/>
    <xf numFmtId="0" fontId="0" fillId="26" borderId="9" xfId="0" applyFill="1" applyBorder="1" applyProtection="1">
      <protection locked="0"/>
    </xf>
    <xf numFmtId="4" fontId="0" fillId="26" borderId="9" xfId="0" applyNumberFormat="1" applyFill="1" applyBorder="1" applyProtection="1">
      <protection locked="0"/>
    </xf>
    <xf numFmtId="0" fontId="0" fillId="26" borderId="9" xfId="0" applyFill="1" applyBorder="1"/>
    <xf numFmtId="0" fontId="80" fillId="27" borderId="0" xfId="0" applyFont="1" applyFill="1" applyAlignment="1">
      <alignment horizontal="center"/>
    </xf>
    <xf numFmtId="0" fontId="76" fillId="27" borderId="0" xfId="0" applyFont="1" applyFill="1" applyAlignment="1">
      <alignment horizontal="center"/>
    </xf>
    <xf numFmtId="4" fontId="76" fillId="27" borderId="17" xfId="0" applyNumberFormat="1" applyFont="1" applyFill="1" applyBorder="1" applyAlignment="1">
      <alignment horizontal="center"/>
    </xf>
    <xf numFmtId="4" fontId="94" fillId="15" borderId="9" xfId="0" applyNumberFormat="1" applyFont="1" applyFill="1" applyBorder="1" applyAlignment="1">
      <alignment horizontal="right" vertical="center"/>
    </xf>
    <xf numFmtId="4" fontId="108" fillId="0" borderId="9" xfId="0" applyNumberFormat="1" applyFont="1" applyBorder="1"/>
    <xf numFmtId="4" fontId="105" fillId="14" borderId="9" xfId="0" applyNumberFormat="1" applyFont="1" applyFill="1" applyBorder="1" applyAlignment="1">
      <alignment horizontal="right" vertical="center" wrapText="1"/>
    </xf>
    <xf numFmtId="10" fontId="108" fillId="0" borderId="9" xfId="0" applyNumberFormat="1" applyFont="1" applyBorder="1" applyAlignment="1"/>
    <xf numFmtId="0" fontId="108" fillId="0" borderId="9" xfId="0" applyFont="1" applyBorder="1"/>
    <xf numFmtId="4" fontId="108" fillId="0" borderId="9" xfId="0" applyNumberFormat="1" applyFont="1" applyBorder="1" applyAlignment="1">
      <alignment vertical="center"/>
    </xf>
    <xf numFmtId="4" fontId="83" fillId="15" borderId="9" xfId="0" applyNumberFormat="1" applyFont="1" applyFill="1" applyBorder="1" applyAlignment="1">
      <alignment vertical="center"/>
    </xf>
    <xf numFmtId="0" fontId="9" fillId="0" borderId="9" xfId="0" applyFont="1" applyBorder="1" applyAlignment="1"/>
    <xf numFmtId="4" fontId="9" fillId="0" borderId="9" xfId="0" applyNumberFormat="1" applyFont="1" applyBorder="1" applyAlignment="1"/>
    <xf numFmtId="0" fontId="72" fillId="0" borderId="0" xfId="7" applyFill="1" applyAlignment="1">
      <alignment vertical="center"/>
    </xf>
    <xf numFmtId="0" fontId="0" fillId="0" borderId="0" xfId="0" applyFill="1" applyAlignment="1">
      <alignment vertical="center"/>
    </xf>
    <xf numFmtId="0" fontId="70" fillId="0" borderId="0" xfId="3" applyFill="1" applyAlignment="1">
      <alignment horizontal="center" vertical="center"/>
    </xf>
    <xf numFmtId="2" fontId="111" fillId="22" borderId="86" xfId="4" applyNumberFormat="1" applyFont="1" applyFill="1" applyAlignment="1">
      <alignment horizontal="center" vertical="center"/>
    </xf>
    <xf numFmtId="0" fontId="0" fillId="0" borderId="0" xfId="0" applyAlignment="1">
      <alignment vertical="center"/>
    </xf>
    <xf numFmtId="4" fontId="83" fillId="0" borderId="9" xfId="0" applyNumberFormat="1" applyFont="1" applyFill="1" applyBorder="1" applyAlignment="1">
      <alignment horizontal="right" vertical="center" wrapText="1"/>
    </xf>
    <xf numFmtId="4" fontId="94" fillId="0" borderId="9" xfId="0" applyNumberFormat="1" applyFont="1" applyFill="1" applyBorder="1" applyAlignment="1">
      <alignment horizontal="right" vertical="center"/>
    </xf>
    <xf numFmtId="0" fontId="0" fillId="0" borderId="0" xfId="0" applyAlignment="1" applyProtection="1">
      <alignment vertical="center"/>
      <protection locked="0"/>
    </xf>
    <xf numFmtId="0" fontId="0" fillId="19" borderId="9" xfId="0" applyFill="1" applyBorder="1" applyAlignment="1" applyProtection="1">
      <alignment horizontal="center" vertical="center"/>
      <protection locked="0"/>
    </xf>
    <xf numFmtId="0" fontId="0" fillId="0" borderId="18" xfId="0" applyNumberFormat="1" applyFont="1" applyFill="1" applyBorder="1" applyAlignment="1" applyProtection="1">
      <alignment wrapText="1"/>
      <protection locked="0"/>
    </xf>
    <xf numFmtId="0" fontId="4" fillId="0" borderId="0" xfId="0" applyFont="1" applyAlignment="1" applyProtection="1">
      <alignment vertical="center"/>
      <protection locked="0"/>
    </xf>
    <xf numFmtId="0" fontId="4" fillId="0" borderId="18" xfId="0" applyNumberFormat="1" applyFont="1" applyFill="1" applyBorder="1" applyAlignment="1" applyProtection="1">
      <alignment wrapText="1"/>
      <protection locked="0"/>
    </xf>
    <xf numFmtId="0" fontId="40" fillId="0" borderId="16" xfId="0" applyNumberFormat="1" applyFont="1" applyFill="1" applyBorder="1" applyAlignment="1" applyProtection="1">
      <alignment wrapText="1"/>
      <protection locked="0"/>
    </xf>
    <xf numFmtId="0" fontId="40" fillId="0" borderId="0" xfId="0" applyFont="1" applyAlignment="1" applyProtection="1">
      <alignment vertical="center"/>
      <protection locked="0"/>
    </xf>
    <xf numFmtId="0" fontId="0" fillId="0" borderId="0" xfId="0" applyAlignment="1">
      <alignment vertical="center"/>
    </xf>
    <xf numFmtId="0" fontId="75" fillId="0" borderId="9" xfId="0" applyFont="1" applyBorder="1" applyAlignment="1">
      <alignment horizontal="center" vertical="center"/>
    </xf>
    <xf numFmtId="0" fontId="121" fillId="0" borderId="9" xfId="0" applyNumberFormat="1" applyFont="1" applyFill="1" applyBorder="1" applyAlignment="1">
      <alignment horizontal="center" vertical="center" wrapText="1"/>
    </xf>
    <xf numFmtId="0" fontId="121" fillId="0" borderId="9" xfId="0" applyFont="1" applyBorder="1" applyAlignment="1">
      <alignment horizontal="center" vertical="center"/>
    </xf>
    <xf numFmtId="0" fontId="74" fillId="6" borderId="87" xfId="20" applyAlignment="1">
      <alignment horizontal="center" vertical="center"/>
    </xf>
    <xf numFmtId="0" fontId="37" fillId="0" borderId="4" xfId="0" applyNumberFormat="1" applyFont="1" applyFill="1" applyBorder="1" applyAlignment="1"/>
    <xf numFmtId="0" fontId="37" fillId="0" borderId="0" xfId="0" applyNumberFormat="1" applyFont="1" applyFill="1" applyBorder="1" applyAlignment="1">
      <alignment horizontal="center"/>
    </xf>
    <xf numFmtId="0" fontId="37" fillId="25" borderId="32" xfId="0" applyNumberFormat="1" applyFont="1" applyFill="1" applyBorder="1" applyAlignment="1">
      <alignment horizontal="center"/>
    </xf>
    <xf numFmtId="0" fontId="39" fillId="25" borderId="9" xfId="0" applyNumberFormat="1" applyFont="1" applyFill="1" applyBorder="1" applyAlignment="1">
      <alignment horizontal="center"/>
    </xf>
    <xf numFmtId="0" fontId="39" fillId="25" borderId="9" xfId="0" applyNumberFormat="1" applyFont="1" applyFill="1" applyBorder="1" applyAlignment="1"/>
    <xf numFmtId="0" fontId="39" fillId="25" borderId="33" xfId="0" applyNumberFormat="1" applyFont="1" applyFill="1" applyBorder="1" applyAlignment="1"/>
    <xf numFmtId="0" fontId="39" fillId="25" borderId="34" xfId="0" applyNumberFormat="1" applyFont="1" applyFill="1" applyBorder="1" applyAlignment="1"/>
    <xf numFmtId="0" fontId="39" fillId="25" borderId="35" xfId="0" applyNumberFormat="1" applyFont="1" applyFill="1" applyBorder="1" applyAlignment="1"/>
    <xf numFmtId="2" fontId="40" fillId="25" borderId="36" xfId="0" applyNumberFormat="1" applyFont="1" applyFill="1" applyBorder="1" applyAlignment="1">
      <alignment wrapText="1"/>
    </xf>
    <xf numFmtId="0" fontId="42" fillId="25" borderId="32" xfId="0" applyFont="1" applyFill="1" applyBorder="1" applyAlignment="1">
      <alignment vertical="center"/>
    </xf>
    <xf numFmtId="0" fontId="40" fillId="25" borderId="9" xfId="0" applyFont="1" applyFill="1" applyBorder="1" applyAlignment="1">
      <alignment vertical="center"/>
    </xf>
    <xf numFmtId="2" fontId="40" fillId="25" borderId="36" xfId="0" applyNumberFormat="1" applyFont="1" applyFill="1" applyBorder="1" applyAlignment="1">
      <alignment vertical="center"/>
    </xf>
    <xf numFmtId="0" fontId="39" fillId="25" borderId="37" xfId="0" applyNumberFormat="1" applyFont="1" applyFill="1" applyBorder="1" applyAlignment="1"/>
    <xf numFmtId="0" fontId="39" fillId="25" borderId="38" xfId="0" applyNumberFormat="1" applyFont="1" applyFill="1" applyBorder="1" applyAlignment="1"/>
    <xf numFmtId="0" fontId="39" fillId="25" borderId="39" xfId="0" applyNumberFormat="1" applyFont="1" applyFill="1" applyBorder="1" applyAlignment="1"/>
    <xf numFmtId="0" fontId="76" fillId="25" borderId="40" xfId="0" applyFont="1" applyFill="1" applyBorder="1" applyAlignment="1">
      <alignment vertical="center"/>
    </xf>
    <xf numFmtId="0" fontId="37" fillId="25" borderId="41" xfId="0" applyNumberFormat="1" applyFont="1" applyFill="1" applyBorder="1" applyAlignment="1">
      <alignment horizontal="center"/>
    </xf>
    <xf numFmtId="0" fontId="37" fillId="25" borderId="42" xfId="0" applyNumberFormat="1" applyFont="1" applyFill="1" applyBorder="1" applyAlignment="1">
      <alignment horizontal="center"/>
    </xf>
    <xf numFmtId="0" fontId="37" fillId="25" borderId="42" xfId="0" applyNumberFormat="1" applyFont="1" applyFill="1" applyBorder="1" applyAlignment="1">
      <alignment horizontal="center"/>
    </xf>
    <xf numFmtId="2" fontId="37" fillId="25" borderId="42" xfId="0" applyNumberFormat="1" applyFont="1" applyFill="1" applyBorder="1" applyAlignment="1">
      <alignment horizontal="center"/>
    </xf>
    <xf numFmtId="2" fontId="37" fillId="25" borderId="43" xfId="0" applyNumberFormat="1" applyFont="1" applyFill="1" applyBorder="1" applyAlignment="1">
      <alignment horizontal="center"/>
    </xf>
    <xf numFmtId="0" fontId="39" fillId="25" borderId="32" xfId="0" applyNumberFormat="1" applyFont="1" applyFill="1" applyBorder="1" applyAlignment="1">
      <alignment horizontal="center"/>
    </xf>
    <xf numFmtId="0" fontId="39" fillId="25" borderId="44" xfId="0" applyNumberFormat="1" applyFont="1" applyFill="1" applyBorder="1" applyAlignment="1">
      <alignment horizontal="center"/>
    </xf>
    <xf numFmtId="4" fontId="39" fillId="25" borderId="9" xfId="0" applyNumberFormat="1" applyFont="1" applyFill="1" applyBorder="1" applyAlignment="1"/>
    <xf numFmtId="0" fontId="37" fillId="25" borderId="4" xfId="0" applyNumberFormat="1" applyFont="1" applyFill="1" applyBorder="1" applyAlignment="1"/>
    <xf numFmtId="0" fontId="37" fillId="25" borderId="0" xfId="0" applyNumberFormat="1" applyFont="1" applyFill="1" applyBorder="1" applyAlignment="1"/>
    <xf numFmtId="2" fontId="37" fillId="25" borderId="0" xfId="0" applyNumberFormat="1" applyFont="1" applyFill="1" applyBorder="1" applyAlignment="1"/>
    <xf numFmtId="0" fontId="0" fillId="25" borderId="0" xfId="0" applyFill="1" applyBorder="1" applyAlignment="1">
      <alignment vertical="center"/>
    </xf>
    <xf numFmtId="0" fontId="37" fillId="25" borderId="21" xfId="0" applyNumberFormat="1" applyFont="1" applyFill="1" applyBorder="1" applyAlignment="1"/>
    <xf numFmtId="0" fontId="37" fillId="25" borderId="22" xfId="0" applyNumberFormat="1" applyFont="1" applyFill="1" applyBorder="1" applyAlignment="1"/>
    <xf numFmtId="0" fontId="37" fillId="25" borderId="45" xfId="0" applyNumberFormat="1" applyFont="1" applyFill="1" applyBorder="1" applyAlignment="1"/>
    <xf numFmtId="0" fontId="42" fillId="25" borderId="44" xfId="0" applyFont="1" applyFill="1" applyBorder="1" applyAlignment="1">
      <alignment vertical="center"/>
    </xf>
    <xf numFmtId="0" fontId="39" fillId="25" borderId="7" xfId="0" applyNumberFormat="1" applyFont="1" applyFill="1" applyBorder="1" applyAlignment="1"/>
    <xf numFmtId="0" fontId="39" fillId="25" borderId="34" xfId="0" applyNumberFormat="1" applyFont="1" applyFill="1" applyBorder="1" applyAlignment="1">
      <alignment horizontal="left"/>
    </xf>
    <xf numFmtId="0" fontId="76" fillId="0" borderId="0" xfId="0" applyFont="1" applyFill="1" applyAlignment="1">
      <alignment vertical="center"/>
    </xf>
    <xf numFmtId="0" fontId="39" fillId="25" borderId="9" xfId="0" applyNumberFormat="1" applyFont="1" applyFill="1" applyBorder="1" applyAlignment="1">
      <alignment horizontal="left"/>
    </xf>
    <xf numFmtId="0" fontId="39" fillId="25" borderId="33" xfId="0" applyNumberFormat="1" applyFont="1" applyFill="1" applyBorder="1" applyAlignment="1">
      <alignment horizontal="left"/>
    </xf>
    <xf numFmtId="4" fontId="122" fillId="0" borderId="9" xfId="0" applyNumberFormat="1" applyFont="1" applyFill="1" applyBorder="1" applyAlignment="1">
      <alignment horizontal="center" wrapText="1"/>
    </xf>
    <xf numFmtId="4" fontId="37" fillId="25" borderId="42" xfId="0" applyNumberFormat="1" applyFont="1" applyFill="1" applyBorder="1" applyAlignment="1">
      <alignment horizontal="center"/>
    </xf>
    <xf numFmtId="4" fontId="0" fillId="25" borderId="0" xfId="0" applyNumberFormat="1" applyFill="1" applyBorder="1" applyAlignment="1">
      <alignment vertical="center"/>
    </xf>
    <xf numFmtId="4" fontId="39" fillId="25" borderId="38" xfId="0" applyNumberFormat="1" applyFont="1" applyFill="1" applyBorder="1" applyAlignment="1"/>
    <xf numFmtId="4" fontId="0" fillId="0" borderId="0" xfId="0" applyNumberFormat="1" applyBorder="1"/>
    <xf numFmtId="4" fontId="39" fillId="25" borderId="9" xfId="0" applyNumberFormat="1" applyFont="1" applyFill="1" applyBorder="1" applyAlignment="1">
      <alignment horizontal="right"/>
    </xf>
    <xf numFmtId="0" fontId="37" fillId="25" borderId="9" xfId="0" applyNumberFormat="1" applyFont="1" applyFill="1" applyBorder="1" applyAlignment="1">
      <alignment horizontal="center" vertical="center"/>
    </xf>
    <xf numFmtId="0" fontId="37" fillId="25" borderId="9" xfId="0" applyNumberFormat="1" applyFont="1" applyFill="1" applyBorder="1" applyAlignment="1">
      <alignment horizontal="center" vertical="center" wrapText="1"/>
    </xf>
    <xf numFmtId="0" fontId="0" fillId="25" borderId="9" xfId="0" applyFill="1" applyBorder="1" applyAlignment="1">
      <alignment horizontal="center"/>
    </xf>
    <xf numFmtId="0" fontId="39" fillId="25" borderId="9" xfId="0" applyNumberFormat="1" applyFont="1" applyFill="1" applyBorder="1" applyAlignment="1" applyProtection="1">
      <alignment horizontal="center"/>
      <protection locked="0"/>
    </xf>
    <xf numFmtId="0" fontId="39" fillId="25" borderId="33" xfId="0" applyNumberFormat="1" applyFont="1" applyFill="1" applyBorder="1" applyAlignment="1" applyProtection="1">
      <alignment horizontal="left"/>
      <protection locked="0"/>
    </xf>
    <xf numFmtId="0" fontId="39" fillId="25" borderId="34" xfId="0" applyNumberFormat="1" applyFont="1" applyFill="1" applyBorder="1" applyAlignment="1" applyProtection="1">
      <protection locked="0"/>
    </xf>
    <xf numFmtId="0" fontId="39" fillId="25" borderId="35" xfId="0" applyNumberFormat="1" applyFont="1" applyFill="1" applyBorder="1" applyAlignment="1" applyProtection="1">
      <protection locked="0"/>
    </xf>
    <xf numFmtId="0" fontId="39" fillId="25" borderId="9" xfId="0" applyNumberFormat="1" applyFont="1" applyFill="1" applyBorder="1" applyAlignment="1" applyProtection="1">
      <protection locked="0"/>
    </xf>
    <xf numFmtId="0" fontId="39" fillId="25" borderId="37" xfId="0" applyNumberFormat="1" applyFont="1" applyFill="1" applyBorder="1" applyAlignment="1" applyProtection="1">
      <protection locked="0"/>
    </xf>
    <xf numFmtId="0" fontId="39" fillId="25" borderId="38" xfId="0" applyNumberFormat="1" applyFont="1" applyFill="1" applyBorder="1" applyAlignment="1" applyProtection="1">
      <protection locked="0"/>
    </xf>
    <xf numFmtId="0" fontId="39" fillId="25" borderId="39" xfId="0" applyNumberFormat="1" applyFont="1" applyFill="1" applyBorder="1" applyAlignment="1" applyProtection="1">
      <protection locked="0"/>
    </xf>
    <xf numFmtId="4" fontId="39" fillId="25" borderId="9" xfId="0" applyNumberFormat="1" applyFont="1" applyFill="1" applyBorder="1" applyAlignment="1" applyProtection="1">
      <protection locked="0"/>
    </xf>
    <xf numFmtId="4" fontId="39" fillId="25" borderId="38" xfId="0" applyNumberFormat="1" applyFont="1" applyFill="1" applyBorder="1" applyAlignment="1" applyProtection="1">
      <protection locked="0"/>
    </xf>
    <xf numFmtId="0" fontId="0" fillId="0" borderId="0" xfId="0" applyAlignment="1">
      <alignment vertical="center"/>
    </xf>
    <xf numFmtId="0" fontId="116" fillId="25" borderId="9" xfId="0" applyNumberFormat="1" applyFont="1" applyFill="1" applyBorder="1" applyAlignment="1">
      <alignment horizontal="center" vertical="center" wrapText="1"/>
    </xf>
    <xf numFmtId="0" fontId="39" fillId="0" borderId="0" xfId="0" applyNumberFormat="1" applyFont="1" applyFill="1" applyAlignment="1">
      <alignment vertical="center"/>
    </xf>
    <xf numFmtId="4" fontId="0" fillId="0" borderId="0" xfId="0" applyNumberFormat="1" applyAlignment="1">
      <alignment horizontal="center"/>
    </xf>
    <xf numFmtId="4" fontId="40" fillId="19" borderId="9" xfId="0" applyNumberFormat="1" applyFont="1" applyFill="1" applyBorder="1" applyAlignment="1">
      <alignment wrapText="1"/>
    </xf>
    <xf numFmtId="4" fontId="37" fillId="25" borderId="43" xfId="0" applyNumberFormat="1" applyFont="1" applyFill="1" applyBorder="1" applyAlignment="1">
      <alignment horizontal="center"/>
    </xf>
    <xf numFmtId="4" fontId="0" fillId="25" borderId="5" xfId="0" applyNumberFormat="1" applyFill="1" applyBorder="1" applyAlignment="1">
      <alignment vertical="center"/>
    </xf>
    <xf numFmtId="4" fontId="39" fillId="25" borderId="39" xfId="0" applyNumberFormat="1" applyFont="1" applyFill="1" applyBorder="1" applyAlignment="1"/>
    <xf numFmtId="0" fontId="80" fillId="0" borderId="0" xfId="0" applyFont="1"/>
    <xf numFmtId="0" fontId="75" fillId="0" borderId="0" xfId="0" applyFont="1" applyAlignment="1">
      <alignment horizontal="center"/>
    </xf>
    <xf numFmtId="0" fontId="39" fillId="25" borderId="38" xfId="0" applyNumberFormat="1" applyFont="1" applyFill="1" applyBorder="1" applyAlignment="1">
      <alignment horizontal="left"/>
    </xf>
    <xf numFmtId="4" fontId="0" fillId="0" borderId="0" xfId="0" applyNumberFormat="1" applyAlignment="1">
      <alignment horizontal="right"/>
    </xf>
    <xf numFmtId="4" fontId="0" fillId="25" borderId="0" xfId="0" applyNumberFormat="1" applyFill="1" applyBorder="1" applyAlignment="1">
      <alignment horizontal="right" vertical="center"/>
    </xf>
    <xf numFmtId="4" fontId="0" fillId="25" borderId="5" xfId="0" applyNumberFormat="1" applyFill="1" applyBorder="1" applyAlignment="1">
      <alignment horizontal="right" vertical="center"/>
    </xf>
    <xf numFmtId="4" fontId="39" fillId="25" borderId="38" xfId="0" applyNumberFormat="1" applyFont="1" applyFill="1" applyBorder="1" applyAlignment="1">
      <alignment horizontal="right"/>
    </xf>
    <xf numFmtId="4" fontId="39" fillId="25" borderId="39" xfId="0" applyNumberFormat="1" applyFont="1" applyFill="1" applyBorder="1" applyAlignment="1">
      <alignment horizontal="right"/>
    </xf>
    <xf numFmtId="4" fontId="0" fillId="0" borderId="0" xfId="0" applyNumberFormat="1" applyBorder="1" applyAlignment="1">
      <alignment horizontal="right"/>
    </xf>
    <xf numFmtId="4" fontId="40" fillId="19" borderId="9" xfId="0" applyNumberFormat="1" applyFont="1" applyFill="1" applyBorder="1" applyAlignment="1">
      <alignment horizontal="center" wrapText="1"/>
    </xf>
    <xf numFmtId="0" fontId="123" fillId="0" borderId="0" xfId="0" applyFont="1"/>
    <xf numFmtId="0" fontId="124" fillId="25" borderId="9" xfId="0" applyFont="1" applyFill="1" applyBorder="1" applyAlignment="1">
      <alignment horizontal="center"/>
    </xf>
    <xf numFmtId="0" fontId="124" fillId="25" borderId="9" xfId="0" applyFont="1" applyFill="1" applyBorder="1" applyAlignment="1">
      <alignment horizontal="center" vertical="center"/>
    </xf>
    <xf numFmtId="0" fontId="116" fillId="0" borderId="0" xfId="0" applyNumberFormat="1" applyFont="1" applyFill="1" applyBorder="1" applyAlignment="1">
      <alignment horizontal="center" wrapText="1"/>
    </xf>
    <xf numFmtId="0" fontId="84" fillId="0" borderId="9" xfId="0" applyFont="1" applyBorder="1" applyAlignment="1">
      <alignment horizontal="right" vertical="center" wrapText="1"/>
    </xf>
    <xf numFmtId="10" fontId="84" fillId="0" borderId="9" xfId="0" applyNumberFormat="1" applyFont="1" applyBorder="1" applyAlignment="1">
      <alignment vertical="center"/>
    </xf>
    <xf numFmtId="4" fontId="95" fillId="15" borderId="9" xfId="0" applyNumberFormat="1" applyFont="1" applyFill="1" applyBorder="1" applyAlignment="1">
      <alignment horizontal="left" vertical="center"/>
    </xf>
    <xf numFmtId="4" fontId="95" fillId="15" borderId="9" xfId="0" applyNumberFormat="1" applyFont="1" applyFill="1" applyBorder="1" applyAlignment="1">
      <alignment vertical="center" wrapText="1"/>
    </xf>
    <xf numFmtId="4" fontId="125" fillId="15" borderId="9" xfId="0" applyNumberFormat="1" applyFont="1" applyFill="1" applyBorder="1" applyAlignment="1">
      <alignment vertical="center" wrapText="1"/>
    </xf>
    <xf numFmtId="0" fontId="3" fillId="0" borderId="9" xfId="0" applyNumberFormat="1" applyFont="1" applyFill="1" applyBorder="1" applyAlignment="1">
      <alignment horizontal="center" wrapText="1"/>
    </xf>
    <xf numFmtId="0" fontId="3" fillId="0" borderId="32" xfId="0" applyNumberFormat="1" applyFont="1" applyFill="1" applyBorder="1" applyAlignment="1">
      <alignment horizontal="center" wrapText="1"/>
    </xf>
    <xf numFmtId="0" fontId="0" fillId="0" borderId="36" xfId="0" applyBorder="1" applyAlignment="1">
      <alignment vertical="center"/>
    </xf>
    <xf numFmtId="0" fontId="0" fillId="0" borderId="46" xfId="0" applyNumberFormat="1" applyFont="1" applyFill="1" applyBorder="1" applyAlignment="1">
      <alignment horizontal="center" wrapText="1"/>
    </xf>
    <xf numFmtId="0" fontId="0" fillId="0" borderId="47" xfId="0" applyNumberFormat="1" applyFont="1" applyFill="1" applyBorder="1" applyAlignment="1">
      <alignment horizontal="center" wrapText="1"/>
    </xf>
    <xf numFmtId="0" fontId="116" fillId="0" borderId="48" xfId="0" applyNumberFormat="1" applyFont="1" applyFill="1" applyBorder="1" applyAlignment="1">
      <alignment horizontal="center" vertical="center" wrapText="1"/>
    </xf>
    <xf numFmtId="4" fontId="125" fillId="0" borderId="9" xfId="0" applyNumberFormat="1" applyFont="1" applyBorder="1" applyAlignment="1">
      <alignment horizontal="right" vertical="center" wrapText="1"/>
    </xf>
    <xf numFmtId="1" fontId="3" fillId="0" borderId="41" xfId="0" applyNumberFormat="1" applyFont="1" applyFill="1" applyBorder="1" applyAlignment="1">
      <alignment horizontal="center" wrapText="1"/>
    </xf>
    <xf numFmtId="0" fontId="78" fillId="0" borderId="43" xfId="0" applyFont="1" applyBorder="1" applyAlignment="1">
      <alignment horizontal="center" vertical="center"/>
    </xf>
    <xf numFmtId="0" fontId="124" fillId="14" borderId="9" xfId="0" applyFont="1" applyFill="1" applyBorder="1" applyAlignment="1">
      <alignment horizontal="center" vertical="center" wrapText="1"/>
    </xf>
    <xf numFmtId="4" fontId="124" fillId="14" borderId="9" xfId="0" applyNumberFormat="1" applyFont="1" applyFill="1" applyBorder="1" applyAlignment="1">
      <alignment horizontal="right" vertical="center" wrapText="1"/>
    </xf>
    <xf numFmtId="4" fontId="124" fillId="14" borderId="31" xfId="0" applyNumberFormat="1" applyFont="1" applyFill="1" applyBorder="1" applyAlignment="1">
      <alignment horizontal="right" vertical="center" wrapText="1"/>
    </xf>
    <xf numFmtId="4" fontId="125" fillId="15" borderId="9" xfId="0" applyNumberFormat="1" applyFont="1" applyFill="1" applyBorder="1" applyAlignment="1">
      <alignment horizontal="right" vertical="center"/>
    </xf>
    <xf numFmtId="0" fontId="81" fillId="0" borderId="0" xfId="0" applyFont="1" applyAlignment="1">
      <alignment vertical="center"/>
    </xf>
    <xf numFmtId="0" fontId="76" fillId="25" borderId="29" xfId="0" applyFont="1" applyFill="1" applyBorder="1" applyAlignment="1">
      <alignment vertical="center"/>
    </xf>
    <xf numFmtId="0" fontId="37" fillId="25" borderId="45" xfId="0" applyNumberFormat="1" applyFont="1" applyFill="1" applyBorder="1" applyAlignment="1">
      <alignment horizontal="center"/>
    </xf>
    <xf numFmtId="0" fontId="37" fillId="25" borderId="35" xfId="0" applyNumberFormat="1" applyFont="1" applyFill="1" applyBorder="1" applyAlignment="1">
      <alignment horizontal="center"/>
    </xf>
    <xf numFmtId="0" fontId="42" fillId="25" borderId="35" xfId="0" applyFont="1" applyFill="1" applyBorder="1" applyAlignment="1">
      <alignment vertical="center"/>
    </xf>
    <xf numFmtId="4" fontId="126" fillId="0" borderId="9" xfId="0" applyNumberFormat="1" applyFont="1" applyBorder="1" applyAlignment="1">
      <alignment vertical="center" wrapText="1"/>
    </xf>
    <xf numFmtId="4" fontId="126" fillId="15" borderId="9" xfId="0" applyNumberFormat="1" applyFont="1" applyFill="1" applyBorder="1" applyAlignment="1">
      <alignment horizontal="right" vertical="center"/>
    </xf>
    <xf numFmtId="4" fontId="111" fillId="22" borderId="86" xfId="4" applyNumberFormat="1" applyFont="1" applyFill="1" applyAlignment="1">
      <alignment horizontal="center" vertical="center"/>
    </xf>
    <xf numFmtId="0" fontId="105" fillId="14" borderId="9" xfId="0" applyFont="1" applyFill="1" applyBorder="1" applyAlignment="1">
      <alignment horizontal="justify" vertical="center" wrapText="1"/>
    </xf>
    <xf numFmtId="4" fontId="105" fillId="14" borderId="9" xfId="0" applyNumberFormat="1" applyFont="1" applyFill="1" applyBorder="1" applyAlignment="1">
      <alignment horizontal="right" vertical="center"/>
    </xf>
    <xf numFmtId="4" fontId="105" fillId="25" borderId="9" xfId="0" applyNumberFormat="1" applyFont="1" applyFill="1" applyBorder="1" applyAlignment="1">
      <alignment horizontal="right" vertical="center"/>
    </xf>
    <xf numFmtId="10" fontId="108" fillId="0" borderId="9" xfId="0" applyNumberFormat="1" applyFont="1" applyBorder="1" applyAlignment="1">
      <alignment vertical="center"/>
    </xf>
    <xf numFmtId="4" fontId="105" fillId="25" borderId="9" xfId="0" applyNumberFormat="1" applyFont="1" applyFill="1" applyBorder="1" applyAlignment="1">
      <alignment vertical="center"/>
    </xf>
    <xf numFmtId="10" fontId="108" fillId="25" borderId="9" xfId="0" applyNumberFormat="1" applyFont="1" applyFill="1" applyBorder="1" applyAlignment="1">
      <alignment vertical="center"/>
    </xf>
    <xf numFmtId="4" fontId="83" fillId="0" borderId="9" xfId="0" applyNumberFormat="1" applyFont="1" applyBorder="1" applyAlignment="1">
      <alignment vertical="center"/>
    </xf>
    <xf numFmtId="10" fontId="0" fillId="0" borderId="9" xfId="0" applyNumberFormat="1" applyBorder="1" applyAlignment="1">
      <alignment vertical="center"/>
    </xf>
    <xf numFmtId="4" fontId="84" fillId="25" borderId="9" xfId="0" applyNumberFormat="1" applyFont="1" applyFill="1" applyBorder="1" applyAlignment="1">
      <alignment vertical="center"/>
    </xf>
    <xf numFmtId="10" fontId="0" fillId="25" borderId="9" xfId="0" applyNumberFormat="1" applyFill="1" applyBorder="1" applyAlignment="1">
      <alignment vertical="center"/>
    </xf>
    <xf numFmtId="4" fontId="125" fillId="0" borderId="9" xfId="0" applyNumberFormat="1" applyFont="1" applyBorder="1" applyAlignment="1">
      <alignment vertical="center"/>
    </xf>
    <xf numFmtId="10" fontId="81" fillId="0" borderId="9" xfId="0" applyNumberFormat="1" applyFont="1" applyBorder="1" applyAlignment="1">
      <alignment vertical="center"/>
    </xf>
    <xf numFmtId="10" fontId="81" fillId="25" borderId="9" xfId="0" applyNumberFormat="1" applyFont="1" applyFill="1" applyBorder="1" applyAlignment="1">
      <alignment vertical="center"/>
    </xf>
    <xf numFmtId="0" fontId="36" fillId="0" borderId="9" xfId="0" applyFont="1" applyBorder="1" applyAlignment="1"/>
    <xf numFmtId="4" fontId="36" fillId="0" borderId="9" xfId="0" applyNumberFormat="1" applyFont="1" applyBorder="1" applyAlignment="1"/>
    <xf numFmtId="4" fontId="107" fillId="14" borderId="9" xfId="0" applyNumberFormat="1" applyFont="1" applyFill="1" applyBorder="1" applyAlignment="1">
      <alignment horizontal="right" vertical="center"/>
    </xf>
    <xf numFmtId="4" fontId="102" fillId="0" borderId="9" xfId="0" applyNumberFormat="1" applyFont="1" applyBorder="1" applyAlignment="1">
      <alignment horizontal="right" vertical="center"/>
    </xf>
    <xf numFmtId="4" fontId="99" fillId="14" borderId="9" xfId="0" applyNumberFormat="1" applyFont="1" applyFill="1" applyBorder="1" applyAlignment="1">
      <alignment horizontal="right" vertical="center"/>
    </xf>
    <xf numFmtId="10" fontId="108" fillId="0" borderId="9" xfId="0" applyNumberFormat="1" applyFont="1" applyBorder="1" applyAlignment="1">
      <alignment horizontal="right" vertical="center"/>
    </xf>
    <xf numFmtId="0" fontId="0" fillId="19" borderId="9" xfId="0" applyNumberFormat="1" applyFont="1" applyFill="1" applyBorder="1" applyAlignment="1">
      <alignment horizontal="center" vertical="center" wrapText="1"/>
    </xf>
    <xf numFmtId="0" fontId="119" fillId="0" borderId="9" xfId="0" applyFont="1" applyBorder="1" applyAlignment="1">
      <alignment horizontal="center"/>
    </xf>
    <xf numFmtId="0" fontId="91" fillId="0" borderId="0" xfId="0" applyFont="1" applyAlignment="1">
      <alignment horizontal="center" vertical="center"/>
    </xf>
    <xf numFmtId="0" fontId="127" fillId="0" borderId="0" xfId="0" applyFont="1"/>
    <xf numFmtId="0" fontId="96" fillId="0" borderId="0" xfId="0" applyFont="1" applyAlignment="1">
      <alignment horizontal="center"/>
    </xf>
    <xf numFmtId="0" fontId="128" fillId="0" borderId="0" xfId="0" applyFont="1" applyAlignment="1">
      <alignment horizontal="center"/>
    </xf>
    <xf numFmtId="0" fontId="94" fillId="0" borderId="0" xfId="0" applyFont="1"/>
    <xf numFmtId="0" fontId="96" fillId="0" borderId="0" xfId="0" applyFont="1" applyAlignment="1">
      <alignment horizontal="left"/>
    </xf>
    <xf numFmtId="0" fontId="96" fillId="0" borderId="0" xfId="0" applyFont="1" applyAlignment="1">
      <alignment horizontal="left" vertical="center" wrapText="1"/>
    </xf>
    <xf numFmtId="0" fontId="91" fillId="0" borderId="0" xfId="0" applyFont="1"/>
    <xf numFmtId="0" fontId="91" fillId="0" borderId="0" xfId="0" applyFont="1" applyAlignment="1">
      <alignment horizontal="center" vertical="center" wrapText="1"/>
    </xf>
    <xf numFmtId="4" fontId="91" fillId="0" borderId="0" xfId="0" applyNumberFormat="1" applyFont="1"/>
    <xf numFmtId="4" fontId="96" fillId="0" borderId="0" xfId="0" applyNumberFormat="1" applyFont="1"/>
    <xf numFmtId="0" fontId="105" fillId="0" borderId="0" xfId="0" applyFont="1"/>
    <xf numFmtId="4" fontId="105" fillId="0" borderId="0" xfId="0" applyNumberFormat="1" applyFont="1"/>
    <xf numFmtId="4" fontId="94" fillId="0" borderId="0" xfId="0" applyNumberFormat="1" applyFont="1"/>
    <xf numFmtId="4" fontId="94" fillId="0" borderId="19" xfId="0" applyNumberFormat="1" applyFont="1" applyBorder="1"/>
    <xf numFmtId="4" fontId="105" fillId="0" borderId="49" xfId="0" applyNumberFormat="1" applyFont="1" applyBorder="1"/>
    <xf numFmtId="4" fontId="105" fillId="0" borderId="34" xfId="0" applyNumberFormat="1" applyFont="1" applyBorder="1"/>
    <xf numFmtId="0" fontId="96" fillId="0" borderId="9" xfId="0" applyFont="1" applyBorder="1" applyAlignment="1">
      <alignment horizontal="center" vertical="center" wrapText="1"/>
    </xf>
    <xf numFmtId="0" fontId="96" fillId="0" borderId="9" xfId="0" applyFont="1" applyBorder="1" applyAlignment="1">
      <alignment horizontal="center" vertical="center"/>
    </xf>
    <xf numFmtId="49" fontId="96" fillId="0" borderId="9" xfId="0" applyNumberFormat="1" applyFont="1" applyBorder="1" applyAlignment="1">
      <alignment horizontal="center" vertical="center"/>
    </xf>
    <xf numFmtId="0" fontId="96" fillId="0" borderId="0" xfId="0" applyFont="1" applyBorder="1" applyAlignment="1">
      <alignment horizontal="center" vertical="center"/>
    </xf>
    <xf numFmtId="0" fontId="96" fillId="0" borderId="16" xfId="0" applyFont="1" applyBorder="1"/>
    <xf numFmtId="0" fontId="96" fillId="0" borderId="16" xfId="0" applyFont="1" applyBorder="1" applyAlignment="1">
      <alignment vertical="center"/>
    </xf>
    <xf numFmtId="0" fontId="96" fillId="0" borderId="19" xfId="0" applyFont="1" applyBorder="1"/>
    <xf numFmtId="0" fontId="96" fillId="0" borderId="19" xfId="0" applyFont="1" applyBorder="1" applyAlignment="1">
      <alignment horizontal="center" vertical="center"/>
    </xf>
    <xf numFmtId="0" fontId="96" fillId="0" borderId="0" xfId="0" applyFont="1" applyAlignment="1">
      <alignment vertical="center" wrapText="1"/>
    </xf>
    <xf numFmtId="0" fontId="91" fillId="0" borderId="0" xfId="0" applyFont="1" applyAlignment="1">
      <alignment vertical="center" wrapText="1"/>
    </xf>
    <xf numFmtId="0" fontId="91" fillId="0" borderId="9" xfId="0" applyFont="1" applyBorder="1" applyAlignment="1">
      <alignment horizontal="center" vertical="center" wrapText="1"/>
    </xf>
    <xf numFmtId="0" fontId="129" fillId="0" borderId="0" xfId="0" applyFont="1" applyAlignment="1">
      <alignment horizontal="justify" vertical="center" wrapText="1"/>
    </xf>
    <xf numFmtId="0" fontId="130" fillId="0" borderId="0" xfId="0" applyFont="1" applyAlignment="1">
      <alignment horizontal="justify" vertical="center" wrapText="1"/>
    </xf>
    <xf numFmtId="0" fontId="101" fillId="0" borderId="0" xfId="0" applyFont="1" applyAlignment="1">
      <alignment horizontal="justify" vertical="center" wrapText="1"/>
    </xf>
    <xf numFmtId="0" fontId="101" fillId="0" borderId="0" xfId="0" applyFont="1" applyAlignment="1">
      <alignment horizontal="left" vertical="center" wrapText="1"/>
    </xf>
    <xf numFmtId="0" fontId="76" fillId="0" borderId="0" xfId="0" applyFont="1" applyAlignment="1">
      <alignment horizontal="center" vertical="center"/>
    </xf>
    <xf numFmtId="0" fontId="0" fillId="28" borderId="9" xfId="0" applyFill="1" applyBorder="1"/>
    <xf numFmtId="0" fontId="49" fillId="28" borderId="9" xfId="0" applyFont="1" applyFill="1" applyBorder="1" applyAlignment="1">
      <alignment horizontal="center"/>
    </xf>
    <xf numFmtId="0" fontId="108" fillId="29" borderId="9" xfId="0" applyFont="1" applyFill="1" applyBorder="1"/>
    <xf numFmtId="4" fontId="0" fillId="29" borderId="9" xfId="0" applyNumberFormat="1" applyFill="1" applyBorder="1"/>
    <xf numFmtId="0" fontId="131" fillId="29" borderId="9" xfId="0" applyFont="1" applyFill="1" applyBorder="1"/>
    <xf numFmtId="4" fontId="76" fillId="29" borderId="9" xfId="0" applyNumberFormat="1" applyFont="1" applyFill="1" applyBorder="1"/>
    <xf numFmtId="0" fontId="108" fillId="29" borderId="17" xfId="0" applyFont="1" applyFill="1" applyBorder="1"/>
    <xf numFmtId="0" fontId="131" fillId="29" borderId="50" xfId="0" applyFont="1" applyFill="1" applyBorder="1"/>
    <xf numFmtId="4" fontId="76" fillId="29" borderId="51" xfId="0" applyNumberFormat="1" applyFont="1" applyFill="1" applyBorder="1"/>
    <xf numFmtId="0" fontId="131" fillId="0" borderId="0" xfId="0" applyFont="1" applyFill="1" applyBorder="1"/>
    <xf numFmtId="4" fontId="76" fillId="0" borderId="0" xfId="0" applyNumberFormat="1" applyFont="1" applyFill="1" applyBorder="1"/>
    <xf numFmtId="0" fontId="0" fillId="29" borderId="41" xfId="0" applyFill="1" applyBorder="1"/>
    <xf numFmtId="0" fontId="0" fillId="29" borderId="32" xfId="0" applyFill="1" applyBorder="1"/>
    <xf numFmtId="4" fontId="0" fillId="29" borderId="52" xfId="0" applyNumberFormat="1" applyFill="1" applyBorder="1"/>
    <xf numFmtId="0" fontId="0" fillId="0" borderId="9" xfId="0" applyBorder="1" applyAlignment="1" applyProtection="1">
      <alignment horizontal="center"/>
      <protection locked="0"/>
    </xf>
    <xf numFmtId="0" fontId="0" fillId="30" borderId="53" xfId="0" applyFill="1" applyBorder="1"/>
    <xf numFmtId="0" fontId="0" fillId="30" borderId="16" xfId="0" applyFill="1" applyBorder="1"/>
    <xf numFmtId="0" fontId="0" fillId="30" borderId="18" xfId="0" applyFill="1" applyBorder="1"/>
    <xf numFmtId="0" fontId="0" fillId="30" borderId="0" xfId="0" applyFill="1" applyBorder="1"/>
    <xf numFmtId="0" fontId="0" fillId="30" borderId="25" xfId="0" applyFill="1" applyBorder="1"/>
    <xf numFmtId="0" fontId="0" fillId="30" borderId="19" xfId="0" applyFill="1" applyBorder="1"/>
    <xf numFmtId="0" fontId="0" fillId="26" borderId="9" xfId="0" applyFill="1" applyBorder="1" applyAlignment="1">
      <alignment horizontal="center"/>
    </xf>
    <xf numFmtId="4" fontId="0" fillId="26" borderId="9" xfId="0" applyNumberFormat="1" applyFill="1" applyBorder="1"/>
    <xf numFmtId="4" fontId="0" fillId="30" borderId="54" xfId="0" applyNumberFormat="1" applyFill="1" applyBorder="1"/>
    <xf numFmtId="4" fontId="0" fillId="30" borderId="30" xfId="0" applyNumberFormat="1" applyFill="1" applyBorder="1"/>
    <xf numFmtId="4" fontId="0" fillId="30" borderId="55" xfId="0" applyNumberFormat="1" applyFill="1" applyBorder="1"/>
    <xf numFmtId="0" fontId="0" fillId="23" borderId="53" xfId="0" applyFill="1" applyBorder="1"/>
    <xf numFmtId="0" fontId="0" fillId="23" borderId="16" xfId="0" applyFill="1" applyBorder="1"/>
    <xf numFmtId="4" fontId="0" fillId="23" borderId="54" xfId="0" applyNumberFormat="1" applyFill="1" applyBorder="1"/>
    <xf numFmtId="0" fontId="0" fillId="23" borderId="18" xfId="0" applyFill="1" applyBorder="1"/>
    <xf numFmtId="0" fontId="0" fillId="23" borderId="0" xfId="0" applyFill="1" applyBorder="1"/>
    <xf numFmtId="4" fontId="0" fillId="23" borderId="30" xfId="0" applyNumberFormat="1" applyFill="1" applyBorder="1"/>
    <xf numFmtId="0" fontId="0" fillId="23" borderId="25" xfId="0" applyFill="1" applyBorder="1"/>
    <xf numFmtId="0" fontId="0" fillId="23" borderId="19" xfId="0" applyFill="1" applyBorder="1"/>
    <xf numFmtId="4" fontId="0" fillId="23" borderId="55" xfId="0" applyNumberFormat="1" applyFill="1" applyBorder="1"/>
    <xf numFmtId="4" fontId="0" fillId="0" borderId="9" xfId="0" applyNumberFormat="1" applyBorder="1"/>
    <xf numFmtId="4" fontId="0" fillId="0" borderId="9" xfId="0" applyNumberFormat="1" applyBorder="1" applyAlignment="1">
      <alignment horizontal="center"/>
    </xf>
    <xf numFmtId="4" fontId="0" fillId="29" borderId="21" xfId="0" applyNumberFormat="1" applyFill="1" applyBorder="1" applyProtection="1">
      <protection locked="0"/>
    </xf>
    <xf numFmtId="4" fontId="0" fillId="29" borderId="36" xfId="0" applyNumberFormat="1" applyFill="1" applyBorder="1" applyProtection="1">
      <protection locked="0"/>
    </xf>
    <xf numFmtId="4" fontId="109" fillId="0" borderId="0" xfId="0" applyNumberFormat="1" applyFont="1"/>
    <xf numFmtId="4" fontId="109" fillId="28" borderId="9" xfId="0" applyNumberFormat="1" applyFont="1" applyFill="1" applyBorder="1"/>
    <xf numFmtId="1" fontId="0" fillId="0" borderId="0" xfId="0" applyNumberFormat="1" applyAlignment="1">
      <alignment horizontal="center"/>
    </xf>
    <xf numFmtId="0" fontId="77" fillId="0" borderId="0" xfId="0" applyFont="1"/>
    <xf numFmtId="4" fontId="78" fillId="29" borderId="9" xfId="0" applyNumberFormat="1" applyFont="1" applyFill="1" applyBorder="1"/>
    <xf numFmtId="4" fontId="77" fillId="29" borderId="9" xfId="0" applyNumberFormat="1" applyFont="1" applyFill="1" applyBorder="1"/>
    <xf numFmtId="4" fontId="0" fillId="28" borderId="9" xfId="0" applyNumberFormat="1" applyFill="1" applyBorder="1" applyProtection="1">
      <protection locked="0"/>
    </xf>
    <xf numFmtId="4" fontId="0" fillId="28" borderId="17" xfId="0" applyNumberFormat="1" applyFill="1" applyBorder="1" applyProtection="1">
      <protection locked="0"/>
    </xf>
    <xf numFmtId="4" fontId="76" fillId="28" borderId="51" xfId="0" applyNumberFormat="1" applyFont="1" applyFill="1" applyBorder="1" applyProtection="1">
      <protection locked="0"/>
    </xf>
    <xf numFmtId="0" fontId="0" fillId="0" borderId="31" xfId="0" applyBorder="1"/>
    <xf numFmtId="4" fontId="77" fillId="28" borderId="40" xfId="0" applyNumberFormat="1" applyFont="1" applyFill="1" applyBorder="1"/>
    <xf numFmtId="4" fontId="105" fillId="0" borderId="0" xfId="0" applyNumberFormat="1" applyFont="1" applyBorder="1"/>
    <xf numFmtId="0" fontId="96" fillId="0" borderId="0" xfId="0" applyFont="1" applyAlignment="1">
      <alignment horizontal="left" vertical="center" wrapText="1"/>
    </xf>
    <xf numFmtId="4" fontId="85" fillId="0" borderId="0" xfId="0" applyNumberFormat="1" applyFont="1"/>
    <xf numFmtId="14" fontId="96" fillId="0" borderId="0" xfId="0" applyNumberFormat="1" applyFont="1"/>
    <xf numFmtId="0" fontId="96" fillId="0" borderId="9" xfId="0" applyFont="1" applyBorder="1" applyAlignment="1">
      <alignment vertical="center"/>
    </xf>
    <xf numFmtId="175" fontId="96" fillId="0" borderId="9" xfId="0" applyNumberFormat="1" applyFont="1" applyBorder="1" applyAlignment="1">
      <alignment horizontal="center" vertical="center"/>
    </xf>
    <xf numFmtId="0" fontId="91" fillId="0" borderId="0" xfId="0" applyFont="1" applyAlignment="1">
      <alignment horizontal="center"/>
    </xf>
    <xf numFmtId="4" fontId="132" fillId="0" borderId="0" xfId="0" applyNumberFormat="1" applyFont="1"/>
    <xf numFmtId="0" fontId="50" fillId="0" borderId="0" xfId="0" applyFont="1" applyAlignment="1">
      <alignment horizontal="justify"/>
    </xf>
    <xf numFmtId="0" fontId="129" fillId="0" borderId="0" xfId="0" applyFont="1"/>
    <xf numFmtId="0" fontId="91" fillId="31" borderId="0" xfId="14" applyFont="1" applyFill="1" applyAlignment="1"/>
    <xf numFmtId="0" fontId="50" fillId="0" borderId="0" xfId="14" applyFont="1"/>
    <xf numFmtId="0" fontId="91" fillId="31" borderId="90" xfId="14" applyFont="1" applyFill="1" applyBorder="1" applyAlignment="1"/>
    <xf numFmtId="0" fontId="91" fillId="31" borderId="0" xfId="14" applyFont="1" applyFill="1"/>
    <xf numFmtId="0" fontId="96" fillId="31" borderId="0" xfId="14" applyFont="1" applyFill="1" applyAlignment="1"/>
    <xf numFmtId="0" fontId="91" fillId="31" borderId="0" xfId="14" applyFont="1" applyFill="1" applyAlignment="1">
      <alignment horizontal="right"/>
    </xf>
    <xf numFmtId="0" fontId="133" fillId="31" borderId="0" xfId="14" applyFont="1" applyFill="1" applyAlignment="1"/>
    <xf numFmtId="0" fontId="1" fillId="0" borderId="0" xfId="14" applyFont="1" applyAlignment="1">
      <alignment horizontal="center"/>
    </xf>
    <xf numFmtId="0" fontId="50" fillId="0" borderId="0" xfId="14" applyFont="1" applyBorder="1"/>
    <xf numFmtId="170" fontId="50" fillId="0" borderId="0" xfId="10" applyFont="1" applyBorder="1" applyAlignment="1">
      <alignment vertical="justify"/>
    </xf>
    <xf numFmtId="0" fontId="50" fillId="31" borderId="0" xfId="14" applyFont="1" applyFill="1" applyBorder="1" applyAlignment="1">
      <alignment horizontal="justify" wrapText="1"/>
    </xf>
    <xf numFmtId="0" fontId="96" fillId="31" borderId="0" xfId="0" applyFont="1" applyFill="1"/>
    <xf numFmtId="170" fontId="50" fillId="0" borderId="0" xfId="10" applyFont="1" applyBorder="1" applyAlignment="1">
      <alignment horizontal="justify" vertical="justify"/>
    </xf>
    <xf numFmtId="0" fontId="1" fillId="0" borderId="0" xfId="14" applyFont="1" applyBorder="1"/>
    <xf numFmtId="0" fontId="1" fillId="25" borderId="9" xfId="14" applyFont="1" applyFill="1" applyBorder="1" applyAlignment="1">
      <alignment horizontal="center"/>
    </xf>
    <xf numFmtId="170" fontId="1" fillId="25" borderId="9" xfId="10" applyFont="1" applyFill="1" applyBorder="1" applyAlignment="1">
      <alignment horizontal="center" vertical="justify"/>
    </xf>
    <xf numFmtId="170" fontId="1" fillId="25" borderId="9" xfId="10" applyFont="1" applyFill="1" applyBorder="1" applyAlignment="1">
      <alignment horizontal="center"/>
    </xf>
    <xf numFmtId="0" fontId="1" fillId="0" borderId="9" xfId="14" applyFont="1" applyBorder="1"/>
    <xf numFmtId="0" fontId="50" fillId="0" borderId="9" xfId="14" applyFont="1" applyBorder="1"/>
    <xf numFmtId="9" fontId="50" fillId="0" borderId="9" xfId="18" applyFont="1" applyBorder="1" applyAlignment="1"/>
    <xf numFmtId="167" fontId="50" fillId="0" borderId="9" xfId="14" applyNumberFormat="1" applyFont="1" applyBorder="1"/>
    <xf numFmtId="9" fontId="50" fillId="0" borderId="9" xfId="18" applyFont="1" applyBorder="1" applyAlignment="1">
      <alignment horizontal="center"/>
    </xf>
    <xf numFmtId="43" fontId="96" fillId="0" borderId="9" xfId="14" applyNumberFormat="1" applyFont="1" applyBorder="1"/>
    <xf numFmtId="173" fontId="50" fillId="0" borderId="9" xfId="18" applyNumberFormat="1" applyFont="1" applyBorder="1" applyAlignment="1">
      <alignment horizontal="center"/>
    </xf>
    <xf numFmtId="0" fontId="1" fillId="0" borderId="0" xfId="14" applyFont="1"/>
    <xf numFmtId="170" fontId="50" fillId="0" borderId="9" xfId="10" applyFont="1" applyBorder="1" applyAlignment="1">
      <alignment horizontal="left" vertical="justify"/>
    </xf>
    <xf numFmtId="170" fontId="50" fillId="0" borderId="9" xfId="10" applyFont="1" applyBorder="1" applyAlignment="1">
      <alignment horizontal="justify" vertical="justify"/>
    </xf>
    <xf numFmtId="170" fontId="50" fillId="0" borderId="9" xfId="10" applyFont="1" applyBorder="1"/>
    <xf numFmtId="170" fontId="50" fillId="0" borderId="9" xfId="10" applyFont="1" applyBorder="1" applyAlignment="1">
      <alignment horizontal="center"/>
    </xf>
    <xf numFmtId="0" fontId="50" fillId="0" borderId="9" xfId="14" applyFont="1" applyBorder="1" applyAlignment="1">
      <alignment horizontal="justify"/>
    </xf>
    <xf numFmtId="0" fontId="1" fillId="0" borderId="9" xfId="14" applyFont="1" applyBorder="1" applyAlignment="1">
      <alignment horizontal="justify"/>
    </xf>
    <xf numFmtId="167" fontId="1" fillId="0" borderId="56" xfId="14" applyNumberFormat="1" applyFont="1" applyBorder="1"/>
    <xf numFmtId="0" fontId="15" fillId="25" borderId="9" xfId="0" applyFont="1" applyFill="1" applyBorder="1" applyAlignment="1">
      <alignment horizontal="center"/>
    </xf>
    <xf numFmtId="43" fontId="15" fillId="25" borderId="9" xfId="9" applyFont="1" applyFill="1" applyBorder="1" applyAlignment="1">
      <alignment horizontal="center" vertical="justify"/>
    </xf>
    <xf numFmtId="0" fontId="15" fillId="0" borderId="9" xfId="0" applyFont="1" applyBorder="1"/>
    <xf numFmtId="167" fontId="9" fillId="0" borderId="9" xfId="10" applyNumberFormat="1" applyFont="1" applyBorder="1" applyAlignment="1"/>
    <xf numFmtId="0" fontId="9" fillId="0" borderId="9" xfId="0" applyFont="1" applyBorder="1"/>
    <xf numFmtId="167" fontId="9" fillId="0" borderId="9" xfId="0" applyNumberFormat="1" applyFont="1" applyBorder="1"/>
    <xf numFmtId="9" fontId="9" fillId="0" borderId="9" xfId="17" applyFont="1" applyBorder="1" applyAlignment="1">
      <alignment horizontal="center"/>
    </xf>
    <xf numFmtId="43" fontId="96" fillId="0" borderId="9" xfId="0" applyNumberFormat="1" applyFont="1" applyBorder="1"/>
    <xf numFmtId="9" fontId="9" fillId="0" borderId="9" xfId="17" applyNumberFormat="1" applyFont="1" applyBorder="1" applyAlignment="1">
      <alignment horizontal="center"/>
    </xf>
    <xf numFmtId="43" fontId="9" fillId="0" borderId="9" xfId="9" applyFont="1" applyBorder="1" applyAlignment="1">
      <alignment horizontal="justify" vertical="justify"/>
    </xf>
    <xf numFmtId="0" fontId="50" fillId="0" borderId="0" xfId="14" applyFont="1" applyFill="1" applyAlignment="1">
      <alignment horizontal="justify"/>
    </xf>
    <xf numFmtId="167" fontId="1" fillId="0" borderId="0" xfId="14" applyNumberFormat="1" applyFont="1" applyBorder="1"/>
    <xf numFmtId="0" fontId="50" fillId="31" borderId="0" xfId="14" applyFont="1" applyFill="1"/>
    <xf numFmtId="4" fontId="50" fillId="0" borderId="0" xfId="14" applyNumberFormat="1" applyFont="1"/>
    <xf numFmtId="0" fontId="134" fillId="31" borderId="0" xfId="0" applyFont="1" applyFill="1"/>
    <xf numFmtId="0" fontId="135" fillId="31" borderId="0" xfId="0" applyFont="1" applyFill="1"/>
    <xf numFmtId="0" fontId="96" fillId="0" borderId="0" xfId="0" applyFont="1" applyAlignment="1">
      <alignment wrapText="1"/>
    </xf>
    <xf numFmtId="4" fontId="81" fillId="0" borderId="9" xfId="0" applyNumberFormat="1" applyFont="1" applyBorder="1" applyAlignment="1">
      <alignment vertical="center"/>
    </xf>
    <xf numFmtId="4" fontId="136" fillId="0" borderId="0" xfId="0" applyNumberFormat="1" applyFont="1"/>
    <xf numFmtId="14" fontId="0" fillId="0" borderId="0" xfId="0" applyNumberFormat="1" applyAlignment="1">
      <alignment vertical="center"/>
    </xf>
    <xf numFmtId="4" fontId="39" fillId="25" borderId="33" xfId="0" applyNumberFormat="1" applyFont="1" applyFill="1" applyBorder="1" applyAlignment="1"/>
    <xf numFmtId="4" fontId="137" fillId="14" borderId="0" xfId="0" applyNumberFormat="1" applyFont="1" applyFill="1" applyBorder="1" applyAlignment="1">
      <alignment horizontal="right" vertical="center"/>
    </xf>
    <xf numFmtId="4" fontId="137" fillId="14" borderId="0" xfId="0" applyNumberFormat="1" applyFont="1" applyFill="1" applyBorder="1" applyAlignment="1">
      <alignment horizontal="center" vertical="center"/>
    </xf>
    <xf numFmtId="4" fontId="137" fillId="14" borderId="0" xfId="0" applyNumberFormat="1" applyFont="1" applyFill="1" applyBorder="1" applyAlignment="1">
      <alignment horizontal="right" vertical="center" wrapText="1"/>
    </xf>
    <xf numFmtId="4" fontId="137" fillId="14" borderId="16" xfId="0" applyNumberFormat="1" applyFont="1" applyFill="1" applyBorder="1" applyAlignment="1">
      <alignment vertical="center" wrapText="1"/>
    </xf>
    <xf numFmtId="4" fontId="138" fillId="0" borderId="0" xfId="0" applyNumberFormat="1" applyFont="1"/>
    <xf numFmtId="4" fontId="139" fillId="0" borderId="0" xfId="0" applyNumberFormat="1" applyFont="1"/>
    <xf numFmtId="0" fontId="86" fillId="0" borderId="0" xfId="0" applyFont="1" applyAlignment="1">
      <alignment vertical="center" wrapText="1"/>
    </xf>
    <xf numFmtId="0" fontId="94" fillId="19" borderId="9" xfId="0" applyFont="1" applyFill="1" applyBorder="1" applyAlignment="1">
      <alignment horizontal="right" vertical="center"/>
    </xf>
    <xf numFmtId="0" fontId="94" fillId="19" borderId="9" xfId="0" applyFont="1" applyFill="1" applyBorder="1" applyAlignment="1">
      <alignment horizontal="right" vertical="center" wrapText="1"/>
    </xf>
    <xf numFmtId="4" fontId="94" fillId="19" borderId="9" xfId="0" applyNumberFormat="1" applyFont="1" applyFill="1" applyBorder="1"/>
    <xf numFmtId="0" fontId="99" fillId="19" borderId="9" xfId="0" applyFont="1" applyFill="1" applyBorder="1" applyAlignment="1">
      <alignment horizontal="center" vertical="center" wrapText="1"/>
    </xf>
    <xf numFmtId="0" fontId="105" fillId="19" borderId="9" xfId="0" applyFont="1" applyFill="1" applyBorder="1" applyAlignment="1">
      <alignment horizontal="center" vertical="center" wrapText="1"/>
    </xf>
    <xf numFmtId="0" fontId="83" fillId="19" borderId="9" xfId="0" applyFont="1" applyFill="1" applyBorder="1"/>
    <xf numFmtId="4" fontId="140" fillId="0" borderId="0" xfId="0" applyNumberFormat="1" applyFont="1" applyFill="1"/>
    <xf numFmtId="0" fontId="96" fillId="0" borderId="0" xfId="0" applyFont="1" applyAlignment="1">
      <alignment horizontal="left" vertical="center" wrapText="1"/>
    </xf>
    <xf numFmtId="0" fontId="96" fillId="0" borderId="0" xfId="0" applyFont="1" applyAlignment="1">
      <alignment horizontal="left" vertical="center" wrapText="1"/>
    </xf>
    <xf numFmtId="0" fontId="96" fillId="0" borderId="0" xfId="0" applyFont="1" applyAlignment="1">
      <alignment vertical="center" wrapText="1"/>
    </xf>
    <xf numFmtId="0" fontId="96" fillId="0" borderId="0" xfId="0" applyFont="1" applyAlignment="1">
      <alignment horizontal="center"/>
    </xf>
    <xf numFmtId="49" fontId="96" fillId="0" borderId="9" xfId="0" applyNumberFormat="1" applyFont="1" applyBorder="1" applyAlignment="1">
      <alignment horizontal="center" vertical="center"/>
    </xf>
    <xf numFmtId="0" fontId="91" fillId="0" borderId="9" xfId="0" applyFont="1" applyBorder="1" applyAlignment="1">
      <alignment horizontal="center" vertical="center" wrapText="1"/>
    </xf>
    <xf numFmtId="0" fontId="101" fillId="0" borderId="0" xfId="0" applyFont="1" applyAlignment="1">
      <alignment horizontal="left" vertical="center" wrapText="1"/>
    </xf>
    <xf numFmtId="0" fontId="91" fillId="0" borderId="0" xfId="0" applyFont="1" applyAlignment="1">
      <alignment horizontal="center" vertical="center"/>
    </xf>
    <xf numFmtId="0" fontId="96" fillId="0" borderId="0" xfId="0" applyFont="1" applyAlignment="1">
      <alignment vertical="center"/>
    </xf>
    <xf numFmtId="3" fontId="0" fillId="0" borderId="0" xfId="0" applyNumberFormat="1" applyAlignment="1" applyProtection="1">
      <alignment horizontal="center"/>
      <protection locked="0"/>
    </xf>
    <xf numFmtId="4" fontId="108" fillId="0" borderId="0" xfId="0" applyNumberFormat="1" applyFont="1" applyAlignment="1">
      <alignment vertical="center"/>
    </xf>
    <xf numFmtId="0" fontId="141" fillId="0" borderId="0" xfId="0" applyFont="1" applyAlignment="1">
      <alignment vertical="center" wrapText="1"/>
    </xf>
    <xf numFmtId="0" fontId="142" fillId="0" borderId="0" xfId="0" applyFont="1" applyAlignment="1">
      <alignment horizontal="center" vertical="center" wrapText="1"/>
    </xf>
    <xf numFmtId="0" fontId="142" fillId="0" borderId="0" xfId="0" applyFont="1" applyAlignment="1">
      <alignment vertical="center" wrapText="1"/>
    </xf>
    <xf numFmtId="0" fontId="108" fillId="0" borderId="0" xfId="0" applyFont="1" applyAlignment="1">
      <alignment vertical="center" wrapText="1"/>
    </xf>
    <xf numFmtId="0" fontId="82" fillId="0" borderId="0" xfId="0" applyFont="1" applyAlignment="1">
      <alignment vertical="center" wrapText="1"/>
    </xf>
    <xf numFmtId="0" fontId="143" fillId="0" borderId="0" xfId="0" applyFont="1" applyAlignment="1">
      <alignment horizontal="left" vertical="center" wrapText="1" indent="1"/>
    </xf>
    <xf numFmtId="4" fontId="143" fillId="0" borderId="0" xfId="0" applyNumberFormat="1" applyFont="1" applyAlignment="1">
      <alignment horizontal="right" vertical="center" wrapText="1"/>
    </xf>
    <xf numFmtId="4" fontId="143" fillId="0" borderId="19" xfId="0" applyNumberFormat="1" applyFont="1" applyBorder="1" applyAlignment="1">
      <alignment horizontal="right" vertical="center" wrapText="1"/>
    </xf>
    <xf numFmtId="4" fontId="142" fillId="0" borderId="34" xfId="0" applyNumberFormat="1" applyFont="1" applyBorder="1" applyAlignment="1">
      <alignment horizontal="right" vertical="center" wrapText="1"/>
    </xf>
    <xf numFmtId="4" fontId="144" fillId="0" borderId="0" xfId="0" applyNumberFormat="1" applyFont="1" applyAlignment="1">
      <alignment horizontal="right" vertical="center" wrapText="1"/>
    </xf>
    <xf numFmtId="4" fontId="142" fillId="0" borderId="14" xfId="0" applyNumberFormat="1" applyFont="1" applyBorder="1" applyAlignment="1">
      <alignment horizontal="right" vertical="center" wrapText="1"/>
    </xf>
    <xf numFmtId="4" fontId="141" fillId="0" borderId="0" xfId="0" applyNumberFormat="1" applyFont="1" applyAlignment="1">
      <alignment horizontal="right" vertical="center" wrapText="1"/>
    </xf>
    <xf numFmtId="0" fontId="142" fillId="0" borderId="0" xfId="0" applyFont="1" applyAlignment="1">
      <alignment horizontal="left" vertical="center" indent="5"/>
    </xf>
    <xf numFmtId="0" fontId="108" fillId="0" borderId="0" xfId="0" applyFont="1" applyAlignment="1">
      <alignment horizontal="left" vertical="center"/>
    </xf>
    <xf numFmtId="0" fontId="145" fillId="0" borderId="0" xfId="0" applyFont="1" applyAlignment="1">
      <alignment vertical="center"/>
    </xf>
    <xf numFmtId="0" fontId="108" fillId="0" borderId="0" xfId="0" applyFont="1" applyAlignment="1">
      <alignment vertical="center"/>
    </xf>
    <xf numFmtId="0" fontId="142" fillId="0" borderId="0" xfId="0" applyFont="1" applyAlignment="1">
      <alignment vertical="center"/>
    </xf>
    <xf numFmtId="0" fontId="143" fillId="0" borderId="0" xfId="0" applyFont="1" applyAlignment="1">
      <alignment vertical="center" wrapText="1"/>
    </xf>
    <xf numFmtId="0" fontId="0" fillId="0" borderId="0" xfId="0" applyAlignment="1">
      <alignment vertical="top" wrapText="1"/>
    </xf>
    <xf numFmtId="0" fontId="142" fillId="0" borderId="0" xfId="0" applyFont="1" applyAlignment="1">
      <alignment horizontal="left" vertical="center" wrapText="1"/>
    </xf>
    <xf numFmtId="0" fontId="143" fillId="0" borderId="0" xfId="0" applyFont="1" applyAlignment="1">
      <alignment horizontal="left" vertical="center" wrapText="1"/>
    </xf>
    <xf numFmtId="0" fontId="146" fillId="0" borderId="0" xfId="0" applyFont="1" applyAlignment="1">
      <alignment vertical="center" wrapText="1"/>
    </xf>
    <xf numFmtId="0" fontId="147" fillId="0" borderId="0" xfId="0" applyFont="1" applyAlignment="1">
      <alignment horizontal="left" vertical="center" wrapText="1" indent="2"/>
    </xf>
    <xf numFmtId="0" fontId="147" fillId="0" borderId="0" xfId="0" applyFont="1" applyAlignment="1">
      <alignment horizontal="left" vertical="center" wrapText="1" indent="3"/>
    </xf>
    <xf numFmtId="0" fontId="148" fillId="0" borderId="0" xfId="0" applyFont="1" applyAlignment="1">
      <alignment vertical="center" wrapText="1"/>
    </xf>
    <xf numFmtId="0" fontId="146" fillId="0" borderId="0" xfId="0" applyFont="1" applyAlignment="1">
      <alignment vertical="center"/>
    </xf>
    <xf numFmtId="0" fontId="149" fillId="0" borderId="0" xfId="0" applyFont="1" applyAlignment="1">
      <alignment horizontal="left" vertical="center" indent="1"/>
    </xf>
    <xf numFmtId="0" fontId="150" fillId="0" borderId="0" xfId="0" applyFont="1" applyFill="1" applyBorder="1" applyAlignment="1">
      <alignment vertical="center"/>
    </xf>
    <xf numFmtId="0" fontId="100" fillId="0" borderId="0" xfId="0" applyFont="1" applyFill="1" applyBorder="1" applyAlignment="1">
      <alignment vertical="center"/>
    </xf>
    <xf numFmtId="0" fontId="0" fillId="0" borderId="0" xfId="0" applyAlignment="1">
      <alignment horizontal="right"/>
    </xf>
    <xf numFmtId="0" fontId="86" fillId="0" borderId="0" xfId="0" applyFont="1"/>
    <xf numFmtId="0" fontId="87" fillId="0" borderId="0" xfId="0" applyFont="1"/>
    <xf numFmtId="0" fontId="100" fillId="0" borderId="16" xfId="0" applyFont="1" applyFill="1" applyBorder="1" applyAlignment="1">
      <alignment horizontal="center" vertical="center" wrapText="1"/>
    </xf>
    <xf numFmtId="4" fontId="100" fillId="0" borderId="0" xfId="0" applyNumberFormat="1" applyFont="1" applyFill="1" applyBorder="1" applyAlignment="1">
      <alignment vertical="center" wrapText="1"/>
    </xf>
    <xf numFmtId="4" fontId="142" fillId="0" borderId="19" xfId="0" applyNumberFormat="1" applyFont="1" applyBorder="1" applyAlignment="1">
      <alignment horizontal="right" vertical="center" wrapText="1"/>
    </xf>
    <xf numFmtId="4" fontId="143" fillId="0" borderId="0" xfId="0" applyNumberFormat="1" applyFont="1" applyAlignment="1">
      <alignment horizontal="center" vertical="center" wrapText="1"/>
    </xf>
    <xf numFmtId="0" fontId="77" fillId="0" borderId="53" xfId="0" applyFont="1" applyBorder="1"/>
    <xf numFmtId="4" fontId="77" fillId="0" borderId="16" xfId="0" applyNumberFormat="1" applyFont="1" applyBorder="1"/>
    <xf numFmtId="4" fontId="77" fillId="0" borderId="54" xfId="0" applyNumberFormat="1" applyFont="1" applyBorder="1"/>
    <xf numFmtId="0" fontId="77" fillId="0" borderId="18" xfId="0" applyFont="1" applyBorder="1"/>
    <xf numFmtId="4" fontId="77" fillId="0" borderId="0" xfId="0" applyNumberFormat="1" applyFont="1" applyBorder="1"/>
    <xf numFmtId="4" fontId="77" fillId="0" borderId="30" xfId="0" applyNumberFormat="1" applyFont="1" applyBorder="1"/>
    <xf numFmtId="0" fontId="78" fillId="0" borderId="25" xfId="0" applyFont="1" applyBorder="1"/>
    <xf numFmtId="4" fontId="78" fillId="0" borderId="19" xfId="0" applyNumberFormat="1" applyFont="1" applyBorder="1"/>
    <xf numFmtId="4" fontId="78" fillId="0" borderId="55" xfId="0" applyNumberFormat="1" applyFont="1" applyBorder="1"/>
    <xf numFmtId="0" fontId="77" fillId="0" borderId="33" xfId="0" applyFont="1" applyBorder="1"/>
    <xf numFmtId="4" fontId="77" fillId="0" borderId="34" xfId="0" applyNumberFormat="1" applyFont="1" applyBorder="1"/>
    <xf numFmtId="4" fontId="77" fillId="0" borderId="35" xfId="0" applyNumberFormat="1" applyFont="1" applyBorder="1"/>
    <xf numFmtId="4" fontId="151" fillId="0" borderId="0" xfId="0" applyNumberFormat="1" applyFont="1" applyAlignment="1">
      <alignment horizontal="right"/>
    </xf>
    <xf numFmtId="0" fontId="91" fillId="0" borderId="0" xfId="0" applyFont="1" applyFill="1" applyBorder="1" applyAlignment="1">
      <alignment horizontal="justify" vertical="center" wrapText="1"/>
    </xf>
    <xf numFmtId="4" fontId="0" fillId="0" borderId="0" xfId="0" applyNumberFormat="1" applyFont="1" applyAlignment="1">
      <alignment horizontal="right"/>
    </xf>
    <xf numFmtId="4" fontId="0" fillId="0" borderId="9" xfId="0" applyNumberFormat="1" applyFont="1" applyBorder="1"/>
    <xf numFmtId="0" fontId="0" fillId="0" borderId="0" xfId="0" applyFont="1" applyAlignment="1">
      <alignment wrapText="1"/>
    </xf>
    <xf numFmtId="0" fontId="0" fillId="0" borderId="0" xfId="0" applyFont="1" applyAlignment="1">
      <alignment vertical="center" wrapText="1"/>
    </xf>
    <xf numFmtId="0" fontId="76" fillId="0" borderId="0" xfId="0" applyFont="1" applyAlignment="1">
      <alignment vertical="center" wrapText="1"/>
    </xf>
    <xf numFmtId="1" fontId="142" fillId="0" borderId="0" xfId="0" applyNumberFormat="1" applyFont="1" applyAlignment="1">
      <alignment horizontal="left" vertical="center" indent="5"/>
    </xf>
    <xf numFmtId="4" fontId="77" fillId="12" borderId="17" xfId="0" applyNumberFormat="1" applyFont="1" applyFill="1" applyBorder="1" applyProtection="1">
      <protection locked="0"/>
    </xf>
    <xf numFmtId="4" fontId="77" fillId="12" borderId="31" xfId="0" applyNumberFormat="1" applyFont="1" applyFill="1" applyBorder="1" applyProtection="1">
      <protection locked="0"/>
    </xf>
    <xf numFmtId="0" fontId="77" fillId="0" borderId="0" xfId="0" applyFont="1" applyProtection="1">
      <protection locked="0"/>
    </xf>
    <xf numFmtId="4" fontId="77" fillId="0" borderId="0" xfId="0" applyNumberFormat="1" applyFont="1" applyProtection="1">
      <protection locked="0"/>
    </xf>
    <xf numFmtId="0" fontId="0" fillId="32" borderId="0" xfId="0" applyFont="1" applyFill="1"/>
    <xf numFmtId="0" fontId="0" fillId="32" borderId="0" xfId="0" applyFont="1" applyFill="1" applyProtection="1">
      <protection locked="0"/>
    </xf>
    <xf numFmtId="4" fontId="126" fillId="15" borderId="9" xfId="0" applyNumberFormat="1" applyFont="1" applyFill="1" applyBorder="1" applyAlignment="1">
      <alignment horizontal="left" vertical="center"/>
    </xf>
    <xf numFmtId="4" fontId="96" fillId="0" borderId="0" xfId="0" applyNumberFormat="1" applyFont="1" applyAlignment="1">
      <alignment wrapText="1"/>
    </xf>
    <xf numFmtId="4" fontId="91" fillId="0" borderId="0" xfId="0" applyNumberFormat="1" applyFont="1" applyAlignment="1">
      <alignment horizontal="center" vertical="center"/>
    </xf>
    <xf numFmtId="4" fontId="91" fillId="0" borderId="0" xfId="0" applyNumberFormat="1" applyFont="1" applyAlignment="1">
      <alignment vertical="center" wrapText="1"/>
    </xf>
    <xf numFmtId="4" fontId="0" fillId="33" borderId="0" xfId="0" applyNumberFormat="1" applyFill="1"/>
    <xf numFmtId="0" fontId="77" fillId="0" borderId="9" xfId="0" applyFont="1" applyBorder="1"/>
    <xf numFmtId="4" fontId="77" fillId="0" borderId="9" xfId="0" applyNumberFormat="1" applyFont="1" applyBorder="1"/>
    <xf numFmtId="4" fontId="77" fillId="33" borderId="9" xfId="0" applyNumberFormat="1" applyFont="1" applyFill="1" applyBorder="1"/>
    <xf numFmtId="0" fontId="0" fillId="0" borderId="9" xfId="0" applyFill="1" applyBorder="1"/>
    <xf numFmtId="0" fontId="77" fillId="0" borderId="9" xfId="0" applyFont="1" applyFill="1" applyBorder="1"/>
    <xf numFmtId="4" fontId="77" fillId="0" borderId="9" xfId="0" applyNumberFormat="1" applyFont="1" applyFill="1" applyBorder="1"/>
    <xf numFmtId="4" fontId="81" fillId="0" borderId="9" xfId="0" applyNumberFormat="1" applyFont="1" applyBorder="1"/>
    <xf numFmtId="0" fontId="77" fillId="34" borderId="9" xfId="0" applyFont="1" applyFill="1" applyBorder="1"/>
    <xf numFmtId="4" fontId="77" fillId="34" borderId="9" xfId="0" applyNumberFormat="1" applyFont="1" applyFill="1" applyBorder="1"/>
    <xf numFmtId="0" fontId="0" fillId="34" borderId="9" xfId="0" applyFill="1" applyBorder="1"/>
    <xf numFmtId="0" fontId="0" fillId="34" borderId="9" xfId="0" applyFill="1" applyBorder="1" applyAlignment="1">
      <alignment horizontal="center"/>
    </xf>
    <xf numFmtId="4" fontId="0" fillId="34" borderId="9" xfId="0" applyNumberFormat="1" applyFill="1" applyBorder="1"/>
    <xf numFmtId="0" fontId="74" fillId="6" borderId="91" xfId="20" applyBorder="1" applyAlignment="1">
      <alignment horizontal="center"/>
    </xf>
    <xf numFmtId="0" fontId="77" fillId="0" borderId="0" xfId="0" applyFont="1" applyBorder="1"/>
    <xf numFmtId="0" fontId="78" fillId="0" borderId="0" xfId="0" applyFont="1"/>
    <xf numFmtId="4" fontId="96" fillId="33" borderId="0" xfId="0" applyNumberFormat="1" applyFont="1" applyFill="1"/>
    <xf numFmtId="0" fontId="0" fillId="33" borderId="0" xfId="0" applyFill="1"/>
    <xf numFmtId="0" fontId="132" fillId="0" borderId="0" xfId="0" applyFont="1"/>
    <xf numFmtId="0" fontId="152" fillId="0" borderId="0" xfId="0" applyFont="1"/>
    <xf numFmtId="4" fontId="152" fillId="0" borderId="0" xfId="0" applyNumberFormat="1" applyFont="1"/>
    <xf numFmtId="4" fontId="76" fillId="0" borderId="9" xfId="0" applyNumberFormat="1" applyFont="1" applyBorder="1" applyAlignment="1">
      <alignment horizontal="center"/>
    </xf>
    <xf numFmtId="4" fontId="0" fillId="33" borderId="9" xfId="0" applyNumberFormat="1" applyFill="1" applyBorder="1"/>
    <xf numFmtId="4" fontId="76" fillId="34" borderId="9" xfId="0" applyNumberFormat="1" applyFont="1" applyFill="1" applyBorder="1" applyAlignment="1">
      <alignment horizontal="center"/>
    </xf>
    <xf numFmtId="4" fontId="76" fillId="34" borderId="41" xfId="0" applyNumberFormat="1" applyFont="1" applyFill="1" applyBorder="1" applyAlignment="1">
      <alignment horizontal="center"/>
    </xf>
    <xf numFmtId="4" fontId="76" fillId="34" borderId="42" xfId="0" applyNumberFormat="1" applyFont="1" applyFill="1" applyBorder="1" applyAlignment="1">
      <alignment horizontal="center"/>
    </xf>
    <xf numFmtId="4" fontId="76" fillId="34" borderId="43" xfId="0" applyNumberFormat="1" applyFont="1" applyFill="1" applyBorder="1" applyAlignment="1">
      <alignment horizontal="center"/>
    </xf>
    <xf numFmtId="4" fontId="0" fillId="0" borderId="32" xfId="0" applyNumberFormat="1" applyBorder="1"/>
    <xf numFmtId="4" fontId="0" fillId="0" borderId="36" xfId="0" applyNumberFormat="1" applyBorder="1"/>
    <xf numFmtId="4" fontId="0" fillId="34" borderId="46" xfId="0" applyNumberFormat="1" applyFill="1" applyBorder="1"/>
    <xf numFmtId="4" fontId="0" fillId="34" borderId="47" xfId="0" applyNumberFormat="1" applyFill="1" applyBorder="1"/>
    <xf numFmtId="4" fontId="0" fillId="34" borderId="48" xfId="0" applyNumberFormat="1" applyFill="1" applyBorder="1"/>
    <xf numFmtId="4" fontId="76" fillId="0" borderId="32" xfId="0" applyNumberFormat="1" applyFont="1" applyBorder="1"/>
    <xf numFmtId="4" fontId="76" fillId="0" borderId="9" xfId="0" applyNumberFormat="1" applyFont="1" applyBorder="1"/>
    <xf numFmtId="4" fontId="76" fillId="0" borderId="36" xfId="0" applyNumberFormat="1" applyFont="1" applyBorder="1"/>
    <xf numFmtId="0" fontId="76" fillId="0" borderId="0" xfId="0" applyFont="1" applyAlignment="1">
      <alignment horizontal="right"/>
    </xf>
    <xf numFmtId="0" fontId="0" fillId="0" borderId="0" xfId="0" applyFill="1" applyBorder="1" applyAlignment="1">
      <alignment horizontal="right"/>
    </xf>
    <xf numFmtId="0" fontId="0" fillId="0" borderId="0" xfId="0" applyAlignment="1">
      <alignment horizontal="center"/>
    </xf>
    <xf numFmtId="0" fontId="84" fillId="0" borderId="0" xfId="0" applyFont="1" applyAlignment="1">
      <alignment vertical="center"/>
    </xf>
    <xf numFmtId="0" fontId="84" fillId="0" borderId="9" xfId="0" applyFont="1" applyBorder="1" applyAlignment="1">
      <alignment vertical="center" wrapText="1"/>
    </xf>
    <xf numFmtId="0" fontId="84" fillId="18" borderId="9" xfId="0" applyFont="1" applyFill="1" applyBorder="1" applyAlignment="1">
      <alignment vertical="center" wrapText="1"/>
    </xf>
    <xf numFmtId="0" fontId="124" fillId="18" borderId="9" xfId="0" applyFont="1" applyFill="1" applyBorder="1" applyAlignment="1">
      <alignment horizontal="center" vertical="center" wrapText="1"/>
    </xf>
    <xf numFmtId="0" fontId="84" fillId="18" borderId="9" xfId="0" applyFont="1" applyFill="1" applyBorder="1" applyAlignment="1">
      <alignment horizontal="center" vertical="center" wrapText="1"/>
    </xf>
    <xf numFmtId="4" fontId="125" fillId="0" borderId="9" xfId="0" applyNumberFormat="1" applyFont="1" applyBorder="1" applyAlignment="1">
      <alignment horizontal="center" vertical="center" wrapText="1"/>
    </xf>
    <xf numFmtId="4" fontId="153" fillId="0" borderId="9" xfId="0" applyNumberFormat="1" applyFont="1" applyBorder="1" applyAlignment="1">
      <alignment horizontal="center" vertical="center" wrapText="1"/>
    </xf>
    <xf numFmtId="4" fontId="154" fillId="0" borderId="9" xfId="0" applyNumberFormat="1" applyFont="1" applyBorder="1" applyAlignment="1">
      <alignment horizontal="center" vertical="center" wrapText="1"/>
    </xf>
    <xf numFmtId="4" fontId="81" fillId="0" borderId="9" xfId="0" applyNumberFormat="1" applyFont="1" applyBorder="1" applyAlignment="1">
      <alignment horizontal="center" vertical="center" wrapText="1"/>
    </xf>
    <xf numFmtId="4" fontId="155" fillId="0" borderId="0" xfId="0" applyNumberFormat="1" applyFont="1"/>
    <xf numFmtId="4" fontId="82" fillId="0" borderId="0" xfId="0" applyNumberFormat="1" applyFont="1" applyAlignment="1">
      <alignment vertical="center" wrapText="1"/>
    </xf>
    <xf numFmtId="4" fontId="108" fillId="0" borderId="0" xfId="0" applyNumberFormat="1" applyFont="1" applyAlignment="1">
      <alignment vertical="center" wrapText="1"/>
    </xf>
    <xf numFmtId="0" fontId="0" fillId="0" borderId="0" xfId="0" applyFont="1" applyAlignment="1">
      <alignment horizontal="left" wrapText="1"/>
    </xf>
    <xf numFmtId="0" fontId="0" fillId="0" borderId="0" xfId="0"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vertical="center"/>
    </xf>
    <xf numFmtId="4" fontId="156" fillId="0" borderId="0" xfId="0" applyNumberFormat="1" applyFont="1"/>
    <xf numFmtId="0" fontId="76" fillId="0" borderId="0" xfId="0" applyFont="1" applyAlignment="1">
      <alignment horizontal="center"/>
    </xf>
    <xf numFmtId="0" fontId="37" fillId="25" borderId="42" xfId="0" applyNumberFormat="1" applyFont="1" applyFill="1" applyBorder="1" applyAlignment="1">
      <alignment horizontal="center"/>
    </xf>
    <xf numFmtId="0" fontId="0" fillId="0" borderId="0" xfId="0" applyNumberFormat="1" applyFont="1" applyFill="1" applyBorder="1" applyAlignment="1">
      <alignment horizontal="center" wrapText="1"/>
    </xf>
    <xf numFmtId="0" fontId="0" fillId="0" borderId="0" xfId="0" applyAlignment="1">
      <alignment vertical="center"/>
    </xf>
    <xf numFmtId="0" fontId="157" fillId="0" borderId="0" xfId="0" applyFont="1"/>
    <xf numFmtId="4" fontId="157" fillId="0" borderId="0" xfId="0" applyNumberFormat="1" applyFont="1"/>
    <xf numFmtId="0" fontId="158" fillId="0" borderId="57" xfId="0" applyFont="1" applyBorder="1" applyAlignment="1" applyProtection="1">
      <alignment horizontal="centerContinuous"/>
    </xf>
    <xf numFmtId="0" fontId="159" fillId="0" borderId="0" xfId="0" applyFont="1"/>
    <xf numFmtId="0" fontId="160" fillId="0" borderId="0" xfId="0" applyFont="1"/>
    <xf numFmtId="0" fontId="160" fillId="0" borderId="0" xfId="0" applyFont="1" applyAlignment="1">
      <alignment horizontal="center"/>
    </xf>
    <xf numFmtId="4" fontId="157" fillId="0" borderId="9" xfId="0" applyNumberFormat="1" applyFont="1" applyBorder="1"/>
    <xf numFmtId="0" fontId="157" fillId="0" borderId="9" xfId="0" applyFont="1" applyBorder="1"/>
    <xf numFmtId="0" fontId="157" fillId="21" borderId="0" xfId="0" applyFont="1" applyFill="1"/>
    <xf numFmtId="0" fontId="157" fillId="21" borderId="9" xfId="0" applyFont="1" applyFill="1" applyBorder="1"/>
    <xf numFmtId="4" fontId="157" fillId="21" borderId="9" xfId="0" applyNumberFormat="1" applyFont="1" applyFill="1" applyBorder="1"/>
    <xf numFmtId="4" fontId="160" fillId="21" borderId="9" xfId="0" applyNumberFormat="1" applyFont="1" applyFill="1" applyBorder="1"/>
    <xf numFmtId="0" fontId="157" fillId="30" borderId="0" xfId="0" applyFont="1" applyFill="1"/>
    <xf numFmtId="0" fontId="157" fillId="30" borderId="9" xfId="0" applyFont="1" applyFill="1" applyBorder="1"/>
    <xf numFmtId="4" fontId="157" fillId="30" borderId="9" xfId="0" applyNumberFormat="1" applyFont="1" applyFill="1" applyBorder="1"/>
    <xf numFmtId="0" fontId="157" fillId="19" borderId="0" xfId="0" applyFont="1" applyFill="1"/>
    <xf numFmtId="0" fontId="157" fillId="19" borderId="9" xfId="0" applyFont="1" applyFill="1" applyBorder="1"/>
    <xf numFmtId="4" fontId="157" fillId="19" borderId="9" xfId="0" applyNumberFormat="1" applyFont="1" applyFill="1" applyBorder="1"/>
    <xf numFmtId="4" fontId="161" fillId="0" borderId="0" xfId="0" applyNumberFormat="1" applyFont="1" applyAlignment="1">
      <alignment horizontal="right"/>
    </xf>
    <xf numFmtId="0" fontId="76" fillId="0" borderId="0" xfId="0" applyFont="1" applyAlignment="1">
      <alignment vertical="center"/>
    </xf>
    <xf numFmtId="0" fontId="3" fillId="0" borderId="0" xfId="0" applyFont="1" applyAlignment="1">
      <alignment horizontal="center" vertical="top"/>
    </xf>
    <xf numFmtId="0" fontId="3" fillId="0" borderId="0" xfId="0" applyFont="1" applyAlignment="1">
      <alignment horizontal="left" vertical="top"/>
    </xf>
    <xf numFmtId="0" fontId="3" fillId="0" borderId="0" xfId="0" applyFont="1" applyAlignment="1">
      <alignment horizontal="center" wrapText="1"/>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vertical="top"/>
    </xf>
    <xf numFmtId="0" fontId="3" fillId="0" borderId="0" xfId="0" applyFont="1" applyAlignment="1">
      <alignment wrapText="1"/>
    </xf>
    <xf numFmtId="0" fontId="3" fillId="0" borderId="10" xfId="0" applyFont="1" applyBorder="1" applyAlignment="1">
      <alignment horizontal="center"/>
    </xf>
    <xf numFmtId="0" fontId="3" fillId="0" borderId="12" xfId="0" applyFont="1" applyBorder="1" applyAlignment="1">
      <alignment horizontal="center" vertical="top"/>
    </xf>
    <xf numFmtId="0" fontId="3" fillId="0" borderId="34" xfId="0" applyFont="1" applyBorder="1" applyAlignment="1">
      <alignment horizontal="center" wrapText="1"/>
    </xf>
    <xf numFmtId="0" fontId="3" fillId="0" borderId="9" xfId="0" applyFont="1" applyBorder="1" applyAlignment="1">
      <alignment horizontal="center" vertical="center"/>
    </xf>
    <xf numFmtId="0" fontId="3" fillId="0" borderId="35" xfId="0" applyFont="1" applyBorder="1" applyAlignment="1">
      <alignment horizontal="center" wrapText="1"/>
    </xf>
    <xf numFmtId="0" fontId="3" fillId="0" borderId="33"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horizontal="center" wrapText="1"/>
    </xf>
    <xf numFmtId="0" fontId="3" fillId="0" borderId="29" xfId="0" applyFont="1" applyBorder="1" applyAlignment="1">
      <alignment horizontal="center" vertical="center"/>
    </xf>
    <xf numFmtId="0" fontId="56" fillId="0" borderId="0" xfId="0" applyFont="1" applyAlignment="1">
      <alignment horizontal="center" vertical="top"/>
    </xf>
    <xf numFmtId="0" fontId="0" fillId="0" borderId="50" xfId="0" applyBorder="1" applyAlignment="1">
      <alignment wrapText="1"/>
    </xf>
    <xf numFmtId="0" fontId="0" fillId="0" borderId="58" xfId="0" applyBorder="1"/>
    <xf numFmtId="0" fontId="0" fillId="0" borderId="59" xfId="0" applyBorder="1"/>
    <xf numFmtId="0" fontId="0" fillId="0" borderId="51" xfId="0" applyBorder="1"/>
    <xf numFmtId="0" fontId="56" fillId="0" borderId="0" xfId="0" applyFont="1" applyAlignment="1">
      <alignment horizontal="center"/>
    </xf>
    <xf numFmtId="0" fontId="2" fillId="0" borderId="50" xfId="0" applyFont="1" applyBorder="1" applyAlignment="1">
      <alignment wrapText="1"/>
    </xf>
    <xf numFmtId="0" fontId="0" fillId="0" borderId="60" xfId="0" applyBorder="1"/>
    <xf numFmtId="0" fontId="0" fillId="0" borderId="61" xfId="0" applyBorder="1"/>
    <xf numFmtId="0" fontId="0" fillId="0" borderId="62" xfId="0" applyBorder="1"/>
    <xf numFmtId="0" fontId="0" fillId="0" borderId="63" xfId="0" applyBorder="1"/>
    <xf numFmtId="0" fontId="0" fillId="0" borderId="20" xfId="0" applyBorder="1"/>
    <xf numFmtId="0" fontId="0" fillId="0" borderId="64" xfId="0" applyBorder="1"/>
    <xf numFmtId="0" fontId="0" fillId="0" borderId="65" xfId="0" applyBorder="1"/>
    <xf numFmtId="0" fontId="0" fillId="0" borderId="66" xfId="0" applyBorder="1"/>
    <xf numFmtId="0" fontId="0" fillId="0" borderId="67" xfId="0" applyBorder="1"/>
    <xf numFmtId="0" fontId="0" fillId="0" borderId="68" xfId="0" applyBorder="1"/>
    <xf numFmtId="0" fontId="0" fillId="0" borderId="50" xfId="0" applyBorder="1"/>
    <xf numFmtId="0" fontId="0" fillId="0" borderId="69" xfId="0" applyBorder="1"/>
    <xf numFmtId="0" fontId="0" fillId="0" borderId="18" xfId="0" applyBorder="1"/>
    <xf numFmtId="0" fontId="0" fillId="0" borderId="27" xfId="0" applyBorder="1"/>
    <xf numFmtId="0" fontId="0" fillId="0" borderId="24" xfId="0" applyBorder="1"/>
    <xf numFmtId="0" fontId="0" fillId="0" borderId="32" xfId="0" applyBorder="1"/>
    <xf numFmtId="0" fontId="0" fillId="0" borderId="42" xfId="0" applyBorder="1"/>
    <xf numFmtId="0" fontId="0" fillId="0" borderId="22" xfId="0" applyBorder="1"/>
    <xf numFmtId="0" fontId="0" fillId="0" borderId="34" xfId="0" applyBorder="1"/>
    <xf numFmtId="0" fontId="0" fillId="0" borderId="19" xfId="0" applyBorder="1"/>
    <xf numFmtId="0" fontId="0" fillId="0" borderId="13" xfId="0" applyBorder="1"/>
    <xf numFmtId="0" fontId="157" fillId="0" borderId="0" xfId="0" applyFont="1" applyAlignment="1">
      <alignment vertical="center"/>
    </xf>
    <xf numFmtId="0" fontId="160" fillId="0" borderId="0" xfId="0" applyFont="1" applyAlignment="1">
      <alignment vertical="center"/>
    </xf>
    <xf numFmtId="0" fontId="162" fillId="0" borderId="0" xfId="0" applyFont="1" applyAlignment="1">
      <alignment horizontal="left" vertical="top"/>
    </xf>
    <xf numFmtId="0" fontId="162" fillId="0" borderId="0" xfId="0" applyFont="1" applyAlignment="1">
      <alignment horizontal="center" wrapText="1"/>
    </xf>
    <xf numFmtId="0" fontId="162" fillId="0" borderId="0" xfId="0" applyFont="1" applyAlignment="1">
      <alignment horizontal="center" vertical="center"/>
    </xf>
    <xf numFmtId="0" fontId="163" fillId="0" borderId="0" xfId="0" applyFont="1" applyAlignment="1">
      <alignment horizontal="left" vertical="top"/>
    </xf>
    <xf numFmtId="0" fontId="163" fillId="0" borderId="0" xfId="0" applyFont="1" applyAlignment="1">
      <alignment horizontal="left"/>
    </xf>
    <xf numFmtId="0" fontId="163" fillId="0" borderId="0" xfId="0" applyFont="1" applyAlignment="1">
      <alignment vertical="top"/>
    </xf>
    <xf numFmtId="0" fontId="162" fillId="0" borderId="0" xfId="0" applyFont="1" applyAlignment="1">
      <alignment wrapText="1"/>
    </xf>
    <xf numFmtId="0" fontId="162" fillId="0" borderId="0" xfId="0" applyFont="1" applyAlignment="1">
      <alignment vertical="center"/>
    </xf>
    <xf numFmtId="0" fontId="162" fillId="0" borderId="0" xfId="0" applyFont="1" applyAlignment="1">
      <alignment vertical="top"/>
    </xf>
    <xf numFmtId="0" fontId="163" fillId="0" borderId="0" xfId="0" applyFont="1" applyAlignment="1">
      <alignment horizontal="left" vertical="top" wrapText="1"/>
    </xf>
    <xf numFmtId="0" fontId="162" fillId="0" borderId="10" xfId="0" applyFont="1" applyBorder="1" applyAlignment="1">
      <alignment horizontal="center"/>
    </xf>
    <xf numFmtId="0" fontId="162" fillId="0" borderId="12" xfId="0" applyFont="1" applyBorder="1" applyAlignment="1">
      <alignment horizontal="center" vertical="top"/>
    </xf>
    <xf numFmtId="0" fontId="162" fillId="0" borderId="34" xfId="0" applyFont="1" applyBorder="1" applyAlignment="1">
      <alignment horizontal="center" wrapText="1"/>
    </xf>
    <xf numFmtId="0" fontId="162" fillId="0" borderId="9" xfId="0" applyFont="1" applyBorder="1" applyAlignment="1">
      <alignment horizontal="center" vertical="center"/>
    </xf>
    <xf numFmtId="0" fontId="162" fillId="0" borderId="35" xfId="0" applyFont="1" applyBorder="1" applyAlignment="1">
      <alignment horizontal="center" wrapText="1"/>
    </xf>
    <xf numFmtId="0" fontId="162" fillId="0" borderId="33" xfId="0" applyFont="1" applyBorder="1" applyAlignment="1">
      <alignment horizontal="center" vertical="center"/>
    </xf>
    <xf numFmtId="0" fontId="162" fillId="0" borderId="40" xfId="0" applyFont="1" applyBorder="1" applyAlignment="1">
      <alignment horizontal="center" vertical="center"/>
    </xf>
    <xf numFmtId="0" fontId="162" fillId="0" borderId="13" xfId="0" applyFont="1" applyBorder="1" applyAlignment="1">
      <alignment horizontal="center" wrapText="1"/>
    </xf>
    <xf numFmtId="0" fontId="162" fillId="0" borderId="29" xfId="0" applyFont="1" applyBorder="1" applyAlignment="1">
      <alignment horizontal="center" vertical="center"/>
    </xf>
    <xf numFmtId="0" fontId="157" fillId="0" borderId="60" xfId="0" applyFont="1" applyBorder="1"/>
    <xf numFmtId="0" fontId="157" fillId="0" borderId="61" xfId="0" applyFont="1" applyBorder="1"/>
    <xf numFmtId="0" fontId="157" fillId="0" borderId="70" xfId="0" applyFont="1" applyBorder="1"/>
    <xf numFmtId="0" fontId="157" fillId="0" borderId="62" xfId="0" applyFont="1" applyBorder="1"/>
    <xf numFmtId="0" fontId="157" fillId="0" borderId="65" xfId="0" applyFont="1" applyBorder="1"/>
    <xf numFmtId="0" fontId="157" fillId="0" borderId="66" xfId="0" applyFont="1" applyBorder="1"/>
    <xf numFmtId="0" fontId="157" fillId="0" borderId="71" xfId="0" applyFont="1" applyBorder="1"/>
    <xf numFmtId="0" fontId="157" fillId="0" borderId="67" xfId="0" applyFont="1" applyBorder="1"/>
    <xf numFmtId="0" fontId="157" fillId="0" borderId="63" xfId="0" applyFont="1" applyBorder="1"/>
    <xf numFmtId="0" fontId="157" fillId="0" borderId="20" xfId="0" applyFont="1" applyBorder="1"/>
    <xf numFmtId="0" fontId="157" fillId="0" borderId="30" xfId="0" applyFont="1" applyBorder="1"/>
    <xf numFmtId="0" fontId="157" fillId="0" borderId="64" xfId="0" applyFont="1" applyBorder="1"/>
    <xf numFmtId="0" fontId="157" fillId="0" borderId="24" xfId="0" applyFont="1" applyBorder="1"/>
    <xf numFmtId="0" fontId="157" fillId="0" borderId="31" xfId="0" applyFont="1" applyBorder="1"/>
    <xf numFmtId="0" fontId="157" fillId="0" borderId="55" xfId="0" applyFont="1" applyBorder="1"/>
    <xf numFmtId="0" fontId="157" fillId="0" borderId="72" xfId="0" applyFont="1" applyBorder="1"/>
    <xf numFmtId="0" fontId="157" fillId="0" borderId="32" xfId="0" applyFont="1" applyBorder="1"/>
    <xf numFmtId="0" fontId="157" fillId="0" borderId="2" xfId="0" applyFont="1" applyBorder="1"/>
    <xf numFmtId="0" fontId="157" fillId="0" borderId="7" xfId="0" applyFont="1" applyBorder="1"/>
    <xf numFmtId="0" fontId="157" fillId="0" borderId="41" xfId="0" applyFont="1" applyBorder="1" applyAlignment="1">
      <alignment wrapText="1"/>
    </xf>
    <xf numFmtId="0" fontId="157" fillId="0" borderId="42" xfId="0" applyFont="1" applyBorder="1"/>
    <xf numFmtId="0" fontId="157" fillId="0" borderId="22" xfId="0" applyFont="1" applyBorder="1"/>
    <xf numFmtId="0" fontId="157" fillId="0" borderId="43" xfId="0" applyFont="1" applyBorder="1"/>
    <xf numFmtId="0" fontId="157" fillId="0" borderId="34" xfId="0" applyFont="1" applyBorder="1"/>
    <xf numFmtId="0" fontId="157" fillId="0" borderId="36" xfId="0" applyFont="1" applyBorder="1"/>
    <xf numFmtId="0" fontId="157" fillId="0" borderId="19" xfId="0" applyFont="1" applyBorder="1"/>
    <xf numFmtId="0" fontId="157" fillId="0" borderId="8" xfId="0" applyFont="1" applyBorder="1"/>
    <xf numFmtId="0" fontId="157" fillId="0" borderId="50" xfId="0" applyFont="1" applyBorder="1" applyAlignment="1">
      <alignment vertical="top" wrapText="1"/>
    </xf>
    <xf numFmtId="0" fontId="157" fillId="0" borderId="58" xfId="0" applyFont="1" applyBorder="1"/>
    <xf numFmtId="0" fontId="157" fillId="0" borderId="13" xfId="0" applyFont="1" applyBorder="1"/>
    <xf numFmtId="0" fontId="157" fillId="0" borderId="51" xfId="0" applyFont="1" applyBorder="1"/>
    <xf numFmtId="0" fontId="157" fillId="0" borderId="0" xfId="0" applyFont="1" applyAlignment="1">
      <alignment wrapText="1"/>
    </xf>
    <xf numFmtId="0" fontId="157" fillId="0" borderId="50" xfId="0" applyFont="1" applyBorder="1" applyAlignment="1">
      <alignment wrapText="1"/>
    </xf>
    <xf numFmtId="0" fontId="157" fillId="0" borderId="69" xfId="0" applyFont="1" applyBorder="1"/>
    <xf numFmtId="0" fontId="157" fillId="0" borderId="27" xfId="0" applyFont="1" applyBorder="1"/>
    <xf numFmtId="0" fontId="157" fillId="0" borderId="18" xfId="0" applyFont="1" applyBorder="1"/>
    <xf numFmtId="0" fontId="157" fillId="0" borderId="25" xfId="0" applyFont="1" applyBorder="1"/>
    <xf numFmtId="0" fontId="157" fillId="0" borderId="21" xfId="0" applyFont="1" applyBorder="1"/>
    <xf numFmtId="0" fontId="157" fillId="0" borderId="33" xfId="0" applyFont="1" applyBorder="1"/>
    <xf numFmtId="0" fontId="157" fillId="0" borderId="68" xfId="0" applyFont="1" applyBorder="1"/>
    <xf numFmtId="0" fontId="157" fillId="0" borderId="4" xfId="0" applyFont="1" applyBorder="1"/>
    <xf numFmtId="0" fontId="157" fillId="0" borderId="0" xfId="0" applyFont="1" applyBorder="1"/>
    <xf numFmtId="0" fontId="157" fillId="0" borderId="5" xfId="0" applyFont="1" applyBorder="1"/>
    <xf numFmtId="0" fontId="157" fillId="0" borderId="41" xfId="0" applyFont="1" applyBorder="1"/>
    <xf numFmtId="0" fontId="157" fillId="0" borderId="50" xfId="0" applyFont="1" applyBorder="1"/>
    <xf numFmtId="0" fontId="2" fillId="0" borderId="0" xfId="0" applyFont="1" applyAlignment="1">
      <alignment horizontal="center" vertical="top"/>
    </xf>
    <xf numFmtId="0" fontId="0" fillId="0" borderId="50" xfId="0" applyBorder="1" applyAlignment="1">
      <alignment horizontal="justify" wrapText="1"/>
    </xf>
    <xf numFmtId="0" fontId="0" fillId="0" borderId="29" xfId="0" applyBorder="1"/>
    <xf numFmtId="0" fontId="3" fillId="0" borderId="38" xfId="0" applyFont="1" applyBorder="1" applyAlignment="1">
      <alignment horizontal="center" wrapText="1"/>
    </xf>
    <xf numFmtId="0" fontId="3" fillId="0" borderId="47" xfId="0" applyFont="1" applyBorder="1" applyAlignment="1">
      <alignment horizontal="center" vertical="center"/>
    </xf>
    <xf numFmtId="0" fontId="3" fillId="0" borderId="73" xfId="0" applyFont="1" applyBorder="1" applyAlignment="1">
      <alignment horizontal="center" wrapText="1"/>
    </xf>
    <xf numFmtId="0" fontId="3" fillId="0" borderId="74" xfId="0" applyFont="1" applyBorder="1" applyAlignment="1">
      <alignment horizontal="center" vertical="center"/>
    </xf>
    <xf numFmtId="0" fontId="3" fillId="0" borderId="13" xfId="0" applyFont="1" applyBorder="1" applyAlignment="1">
      <alignment horizontal="center" vertical="top"/>
    </xf>
    <xf numFmtId="0" fontId="3" fillId="0" borderId="13" xfId="0" applyFont="1" applyBorder="1" applyAlignment="1">
      <alignment horizontal="center" vertical="center"/>
    </xf>
    <xf numFmtId="0" fontId="0" fillId="0" borderId="6" xfId="0" applyBorder="1" applyAlignment="1">
      <alignment wrapText="1"/>
    </xf>
    <xf numFmtId="0" fontId="0" fillId="0" borderId="28" xfId="0" applyBorder="1" applyAlignment="1">
      <alignment vertical="top" wrapText="1"/>
    </xf>
    <xf numFmtId="0" fontId="0" fillId="0" borderId="28" xfId="0" applyBorder="1" applyAlignment="1">
      <alignment vertical="justify" wrapText="1"/>
    </xf>
    <xf numFmtId="0" fontId="0" fillId="0" borderId="75" xfId="0" applyBorder="1" applyAlignment="1">
      <alignment horizontal="justify" wrapText="1"/>
    </xf>
    <xf numFmtId="0" fontId="0" fillId="0" borderId="23" xfId="0" applyBorder="1"/>
    <xf numFmtId="0" fontId="0" fillId="0" borderId="44" xfId="0" applyBorder="1" applyAlignment="1">
      <alignment wrapText="1"/>
    </xf>
    <xf numFmtId="0" fontId="0" fillId="0" borderId="76" xfId="0" applyBorder="1"/>
    <xf numFmtId="0" fontId="0" fillId="0" borderId="4" xfId="0" applyBorder="1" applyAlignment="1">
      <alignment wrapText="1"/>
    </xf>
    <xf numFmtId="0" fontId="0" fillId="0" borderId="26" xfId="0" applyBorder="1"/>
    <xf numFmtId="0" fontId="0" fillId="0" borderId="44" xfId="0" applyBorder="1" applyAlignment="1">
      <alignment vertical="top" wrapText="1"/>
    </xf>
    <xf numFmtId="0" fontId="0" fillId="0" borderId="6" xfId="0" applyBorder="1" applyAlignment="1">
      <alignment vertical="top" wrapText="1"/>
    </xf>
    <xf numFmtId="0" fontId="0" fillId="0" borderId="47" xfId="0" applyBorder="1"/>
    <xf numFmtId="0" fontId="0" fillId="0" borderId="38" xfId="0" applyBorder="1"/>
    <xf numFmtId="0" fontId="0" fillId="0" borderId="4" xfId="0" applyBorder="1" applyAlignment="1">
      <alignment vertical="center" wrapText="1"/>
    </xf>
    <xf numFmtId="0" fontId="0" fillId="0" borderId="4" xfId="0" applyBorder="1" applyAlignment="1">
      <alignment vertical="top" wrapText="1"/>
    </xf>
    <xf numFmtId="0" fontId="0" fillId="0" borderId="28" xfId="0" applyBorder="1" applyAlignment="1">
      <alignment horizontal="justify" vertical="justify" wrapText="1"/>
    </xf>
    <xf numFmtId="0" fontId="0" fillId="0" borderId="28" xfId="0" applyBorder="1" applyAlignment="1">
      <alignment horizontal="justify" wrapText="1"/>
    </xf>
    <xf numFmtId="0" fontId="0" fillId="0" borderId="41" xfId="0" applyBorder="1" applyAlignment="1">
      <alignment horizontal="justify" vertical="center" wrapText="1"/>
    </xf>
    <xf numFmtId="0" fontId="0" fillId="0" borderId="32" xfId="0" applyBorder="1" applyAlignment="1">
      <alignment wrapText="1"/>
    </xf>
    <xf numFmtId="0" fontId="0" fillId="0" borderId="65" xfId="0" applyBorder="1" applyAlignment="1">
      <alignment wrapText="1"/>
    </xf>
    <xf numFmtId="0" fontId="0" fillId="0" borderId="50" xfId="0" applyBorder="1" applyAlignment="1">
      <alignment horizontal="justify" vertical="center" wrapText="1"/>
    </xf>
    <xf numFmtId="0" fontId="0" fillId="0" borderId="50" xfId="0" applyBorder="1" applyAlignment="1">
      <alignment horizontal="justify" vertical="top" wrapText="1"/>
    </xf>
    <xf numFmtId="0" fontId="3" fillId="0" borderId="28" xfId="0" applyFont="1" applyBorder="1" applyAlignment="1">
      <alignment horizontal="center" wrapText="1"/>
    </xf>
    <xf numFmtId="49" fontId="41" fillId="0" borderId="50" xfId="0" applyNumberFormat="1" applyFont="1" applyBorder="1" applyAlignment="1">
      <alignment horizontal="justify" wrapText="1"/>
    </xf>
    <xf numFmtId="0" fontId="2" fillId="0" borderId="1" xfId="0" applyFont="1" applyBorder="1" applyAlignment="1">
      <alignment horizontal="justify" wrapText="1"/>
    </xf>
    <xf numFmtId="0" fontId="2" fillId="0" borderId="44" xfId="0" applyFont="1" applyBorder="1" applyAlignment="1">
      <alignment horizontal="justify"/>
    </xf>
    <xf numFmtId="0" fontId="2" fillId="0" borderId="4" xfId="0" applyFont="1" applyBorder="1"/>
    <xf numFmtId="0" fontId="2" fillId="0" borderId="77" xfId="0" applyFont="1" applyBorder="1"/>
    <xf numFmtId="0" fontId="2" fillId="0" borderId="44" xfId="0" applyFont="1" applyBorder="1"/>
    <xf numFmtId="0" fontId="0" fillId="0" borderId="17" xfId="0" applyBorder="1"/>
    <xf numFmtId="0" fontId="2" fillId="0" borderId="6" xfId="0" applyFont="1" applyBorder="1"/>
    <xf numFmtId="49" fontId="41" fillId="0" borderId="50" xfId="0" applyNumberFormat="1" applyFont="1" applyBorder="1" applyAlignment="1">
      <alignment horizontal="justify" vertical="center" wrapText="1"/>
    </xf>
    <xf numFmtId="0" fontId="41" fillId="0" borderId="0" xfId="0" applyFont="1"/>
    <xf numFmtId="0" fontId="41" fillId="0" borderId="28" xfId="0" applyFont="1" applyBorder="1" applyAlignment="1">
      <alignment horizontal="justify" vertical="justify" wrapText="1"/>
    </xf>
    <xf numFmtId="0" fontId="0" fillId="0" borderId="50" xfId="0" applyBorder="1" applyAlignment="1">
      <alignment horizontal="justify" vertical="justify" wrapText="1"/>
    </xf>
    <xf numFmtId="0" fontId="0" fillId="0" borderId="0" xfId="0" applyAlignment="1">
      <alignment horizontal="center" vertical="top"/>
    </xf>
    <xf numFmtId="0" fontId="41" fillId="0" borderId="50" xfId="0" applyFont="1" applyBorder="1" applyAlignment="1">
      <alignment horizontal="justify" wrapText="1"/>
    </xf>
    <xf numFmtId="0" fontId="41" fillId="0" borderId="0" xfId="0" applyFont="1" applyAlignment="1">
      <alignment horizontal="justify" wrapText="1"/>
    </xf>
    <xf numFmtId="0" fontId="2" fillId="0" borderId="28" xfId="0" applyFont="1" applyBorder="1" applyAlignment="1">
      <alignment horizontal="justify" wrapText="1"/>
    </xf>
    <xf numFmtId="0" fontId="2" fillId="0" borderId="0" xfId="0" applyFont="1" applyAlignment="1">
      <alignment horizontal="justify" wrapText="1"/>
    </xf>
    <xf numFmtId="0" fontId="2" fillId="0" borderId="50" xfId="0" applyFont="1" applyBorder="1" applyAlignment="1">
      <alignment horizontal="justify" wrapText="1"/>
    </xf>
    <xf numFmtId="0" fontId="41" fillId="0" borderId="0" xfId="0" applyFont="1" applyAlignment="1">
      <alignment wrapText="1"/>
    </xf>
    <xf numFmtId="0" fontId="41" fillId="0" borderId="28" xfId="0" applyFont="1" applyBorder="1" applyAlignment="1">
      <alignment horizontal="justify" wrapText="1"/>
    </xf>
    <xf numFmtId="0" fontId="41" fillId="0" borderId="0" xfId="0" applyFont="1" applyAlignment="1">
      <alignment horizontal="justify" vertical="justify" wrapText="1"/>
    </xf>
    <xf numFmtId="0" fontId="0" fillId="0" borderId="41" xfId="0" applyBorder="1" applyAlignment="1">
      <alignment horizontal="justify" vertical="justify" wrapText="1"/>
    </xf>
    <xf numFmtId="0" fontId="0" fillId="0" borderId="0" xfId="0" applyAlignment="1">
      <alignment horizontal="justify" vertical="justify" wrapText="1"/>
    </xf>
    <xf numFmtId="0" fontId="0" fillId="0" borderId="75" xfId="0" applyBorder="1" applyAlignment="1">
      <alignment horizontal="justify" vertical="justify" wrapText="1"/>
    </xf>
    <xf numFmtId="0" fontId="0" fillId="0" borderId="44" xfId="0" applyBorder="1"/>
    <xf numFmtId="0" fontId="0" fillId="0" borderId="63" xfId="0" applyBorder="1" applyAlignment="1">
      <alignment horizontal="justify"/>
    </xf>
    <xf numFmtId="0" fontId="86" fillId="0" borderId="0" xfId="0" applyFont="1" applyAlignment="1">
      <alignment horizontal="center"/>
    </xf>
    <xf numFmtId="0" fontId="87" fillId="0" borderId="0" xfId="0" applyFont="1" applyAlignment="1">
      <alignment horizontal="left" vertical="center" wrapText="1"/>
    </xf>
    <xf numFmtId="0" fontId="116" fillId="0" borderId="0" xfId="0" applyNumberFormat="1" applyFont="1" applyFill="1" applyBorder="1" applyAlignment="1">
      <alignment horizontal="center" vertical="center" wrapText="1"/>
    </xf>
    <xf numFmtId="0" fontId="76" fillId="0" borderId="0" xfId="0" applyNumberFormat="1" applyFont="1" applyFill="1" applyBorder="1" applyAlignment="1">
      <alignment wrapText="1"/>
    </xf>
    <xf numFmtId="4" fontId="116"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wrapText="1"/>
    </xf>
    <xf numFmtId="0" fontId="81" fillId="0" borderId="0" xfId="0" applyNumberFormat="1" applyFont="1" applyFill="1" applyBorder="1" applyAlignment="1">
      <alignment wrapText="1"/>
    </xf>
    <xf numFmtId="1" fontId="164" fillId="0" borderId="9" xfId="0" applyNumberFormat="1" applyFont="1" applyBorder="1" applyAlignment="1">
      <alignment horizontal="center" vertical="center"/>
    </xf>
    <xf numFmtId="0" fontId="76" fillId="0" borderId="9" xfId="0" applyFont="1" applyBorder="1" applyAlignment="1">
      <alignment vertical="center"/>
    </xf>
    <xf numFmtId="0" fontId="0" fillId="0" borderId="9" xfId="0" applyBorder="1" applyAlignment="1">
      <alignment vertical="center"/>
    </xf>
    <xf numFmtId="0" fontId="0" fillId="0" borderId="9" xfId="0" applyFont="1" applyBorder="1" applyAlignment="1">
      <alignment vertical="center"/>
    </xf>
    <xf numFmtId="0" fontId="111" fillId="24" borderId="86" xfId="4" applyFont="1" applyFill="1" applyAlignment="1">
      <alignment horizontal="center" vertical="center"/>
    </xf>
    <xf numFmtId="0" fontId="158" fillId="0" borderId="57" xfId="0" applyFont="1" applyBorder="1" applyAlignment="1" applyProtection="1">
      <alignment horizontal="center"/>
    </xf>
    <xf numFmtId="0" fontId="165" fillId="0" borderId="57" xfId="0" applyFont="1" applyBorder="1" applyAlignment="1" applyProtection="1">
      <alignment horizontal="centerContinuous"/>
    </xf>
    <xf numFmtId="0" fontId="166" fillId="0" borderId="57" xfId="0" applyFont="1" applyBorder="1" applyAlignment="1" applyProtection="1">
      <alignment horizontal="centerContinuous"/>
    </xf>
    <xf numFmtId="0" fontId="167" fillId="0" borderId="57" xfId="0" applyFont="1" applyBorder="1" applyAlignment="1" applyProtection="1">
      <alignment horizontal="centerContinuous"/>
    </xf>
    <xf numFmtId="0" fontId="168" fillId="0" borderId="57" xfId="0" applyFont="1" applyBorder="1" applyAlignment="1" applyProtection="1">
      <alignment horizontal="centerContinuous"/>
    </xf>
    <xf numFmtId="0" fontId="158" fillId="0" borderId="78" xfId="0" applyFont="1" applyBorder="1" applyAlignment="1" applyProtection="1">
      <alignment horizontal="center"/>
    </xf>
    <xf numFmtId="0" fontId="59" fillId="0" borderId="0" xfId="0" applyFont="1" applyAlignment="1">
      <alignment horizontal="left" vertical="top" wrapText="1"/>
    </xf>
    <xf numFmtId="1" fontId="169" fillId="0" borderId="0" xfId="0" applyNumberFormat="1" applyFont="1" applyAlignment="1">
      <alignment horizontal="center" vertical="top" shrinkToFit="1"/>
    </xf>
    <xf numFmtId="0" fontId="60" fillId="0" borderId="0" xfId="0" applyFont="1" applyAlignment="1">
      <alignment horizontal="left" vertical="top" wrapText="1" indent="1"/>
    </xf>
    <xf numFmtId="4" fontId="89" fillId="0" borderId="0" xfId="0" applyNumberFormat="1" applyFont="1" applyAlignment="1">
      <alignment horizontal="right" vertical="top" shrinkToFit="1"/>
    </xf>
    <xf numFmtId="0" fontId="59" fillId="0" borderId="0" xfId="0" applyFont="1" applyAlignment="1">
      <alignment horizontal="left" vertical="top" wrapText="1" indent="17"/>
    </xf>
    <xf numFmtId="4" fontId="169" fillId="0" borderId="0" xfId="0" applyNumberFormat="1" applyFont="1" applyAlignment="1">
      <alignment horizontal="right" vertical="top" shrinkToFit="1"/>
    </xf>
    <xf numFmtId="0" fontId="59" fillId="0" borderId="0" xfId="0" applyFont="1" applyAlignment="1">
      <alignment horizontal="left" vertical="top" wrapText="1" indent="1"/>
    </xf>
    <xf numFmtId="0" fontId="87" fillId="0" borderId="0" xfId="0" applyFont="1" applyAlignment="1">
      <alignment horizontal="left" wrapText="1"/>
    </xf>
    <xf numFmtId="4" fontId="87" fillId="0" borderId="0" xfId="0" applyNumberFormat="1" applyFont="1"/>
    <xf numFmtId="0" fontId="60" fillId="0" borderId="0" xfId="0" applyFont="1" applyAlignment="1">
      <alignment horizontal="left" vertical="top" wrapText="1"/>
    </xf>
    <xf numFmtId="4" fontId="89" fillId="0" borderId="0" xfId="0" applyNumberFormat="1" applyFont="1" applyAlignment="1">
      <alignment horizontal="right" vertical="center" shrinkToFit="1"/>
    </xf>
    <xf numFmtId="0" fontId="59" fillId="0" borderId="0" xfId="0" applyFont="1" applyAlignment="1">
      <alignment horizontal="right" vertical="top" wrapText="1" indent="7"/>
    </xf>
    <xf numFmtId="0" fontId="59" fillId="0" borderId="0" xfId="0" applyFont="1" applyAlignment="1">
      <alignment horizontal="left" vertical="top" wrapText="1" indent="21"/>
    </xf>
    <xf numFmtId="4" fontId="86" fillId="0" borderId="0" xfId="0" applyNumberFormat="1" applyFont="1" applyAlignment="1">
      <alignment horizontal="right" vertical="top" wrapText="1"/>
    </xf>
    <xf numFmtId="2" fontId="89" fillId="0" borderId="0" xfId="0" applyNumberFormat="1" applyFont="1" applyAlignment="1">
      <alignment horizontal="right" vertical="center" shrinkToFit="1"/>
    </xf>
    <xf numFmtId="2" fontId="169" fillId="0" borderId="0" xfId="0" applyNumberFormat="1" applyFont="1" applyAlignment="1">
      <alignment horizontal="right" vertical="top" shrinkToFit="1"/>
    </xf>
    <xf numFmtId="4" fontId="86" fillId="0" borderId="0" xfId="0" applyNumberFormat="1" applyFont="1"/>
    <xf numFmtId="4" fontId="170" fillId="0" borderId="0" xfId="0" applyNumberFormat="1" applyFont="1"/>
    <xf numFmtId="172" fontId="36" fillId="0" borderId="89" xfId="11" applyNumberFormat="1" applyFont="1" applyFill="1" applyBorder="1" applyAlignment="1">
      <alignment horizontal="right" vertical="center"/>
    </xf>
    <xf numFmtId="174" fontId="36" fillId="0" borderId="89" xfId="10" applyNumberFormat="1" applyFont="1" applyFill="1" applyBorder="1" applyAlignment="1">
      <alignment horizontal="right" vertical="center"/>
    </xf>
    <xf numFmtId="10" fontId="36" fillId="0" borderId="89" xfId="10" applyNumberFormat="1" applyFont="1" applyFill="1" applyBorder="1" applyAlignment="1">
      <alignment horizontal="right" vertical="center"/>
    </xf>
    <xf numFmtId="0" fontId="91" fillId="0" borderId="0" xfId="0" applyFont="1" applyAlignment="1">
      <alignment horizontal="center"/>
    </xf>
    <xf numFmtId="0" fontId="50" fillId="0" borderId="0" xfId="0" applyFont="1" applyAlignment="1">
      <alignment horizontal="left" wrapText="1"/>
    </xf>
    <xf numFmtId="0" fontId="96" fillId="0" borderId="0" xfId="0" applyFont="1" applyAlignment="1">
      <alignment vertical="center" wrapText="1"/>
    </xf>
    <xf numFmtId="0" fontId="96" fillId="0" borderId="0" xfId="0" applyFont="1" applyAlignment="1">
      <alignment horizontal="center"/>
    </xf>
    <xf numFmtId="4" fontId="94" fillId="0" borderId="0" xfId="0" applyNumberFormat="1" applyFont="1" applyBorder="1"/>
    <xf numFmtId="10" fontId="85" fillId="0" borderId="0" xfId="0" applyNumberFormat="1" applyFont="1"/>
    <xf numFmtId="0" fontId="105" fillId="23" borderId="0" xfId="0" applyFont="1" applyFill="1"/>
    <xf numFmtId="4" fontId="105" fillId="23" borderId="0" xfId="0" applyNumberFormat="1" applyFont="1" applyFill="1"/>
    <xf numFmtId="4" fontId="94" fillId="23" borderId="0" xfId="0" applyNumberFormat="1" applyFont="1" applyFill="1"/>
    <xf numFmtId="4" fontId="94" fillId="23" borderId="19" xfId="0" applyNumberFormat="1" applyFont="1" applyFill="1" applyBorder="1"/>
    <xf numFmtId="4" fontId="105" fillId="23" borderId="49" xfId="0" applyNumberFormat="1" applyFont="1" applyFill="1" applyBorder="1"/>
    <xf numFmtId="4" fontId="105" fillId="23" borderId="34" xfId="0" applyNumberFormat="1" applyFont="1" applyFill="1" applyBorder="1"/>
    <xf numFmtId="4" fontId="105" fillId="30" borderId="0" xfId="0" applyNumberFormat="1" applyFont="1" applyFill="1"/>
    <xf numFmtId="4" fontId="94" fillId="30" borderId="0" xfId="0" applyNumberFormat="1" applyFont="1" applyFill="1"/>
    <xf numFmtId="4" fontId="94" fillId="30" borderId="19" xfId="0" applyNumberFormat="1" applyFont="1" applyFill="1" applyBorder="1"/>
    <xf numFmtId="0" fontId="91" fillId="35" borderId="0" xfId="0" applyFont="1" applyFill="1"/>
    <xf numFmtId="4" fontId="105" fillId="35" borderId="49" xfId="0" applyNumberFormat="1" applyFont="1" applyFill="1" applyBorder="1"/>
    <xf numFmtId="4" fontId="105" fillId="35" borderId="0" xfId="0" applyNumberFormat="1" applyFont="1" applyFill="1"/>
    <xf numFmtId="0" fontId="91" fillId="23" borderId="0" xfId="0" applyFont="1" applyFill="1"/>
    <xf numFmtId="10" fontId="85" fillId="23" borderId="0" xfId="0" applyNumberFormat="1" applyFont="1" applyFill="1"/>
    <xf numFmtId="0" fontId="96" fillId="23" borderId="0" xfId="0" applyFont="1" applyFill="1"/>
    <xf numFmtId="0" fontId="105" fillId="35" borderId="0" xfId="0" applyFont="1" applyFill="1" applyAlignment="1">
      <alignment horizontal="center" vertical="center"/>
    </xf>
    <xf numFmtId="0" fontId="105" fillId="35" borderId="0" xfId="0" applyFont="1" applyFill="1" applyAlignment="1">
      <alignment horizontal="center" vertical="center" wrapText="1"/>
    </xf>
    <xf numFmtId="0" fontId="0" fillId="0" borderId="0" xfId="0" applyAlignment="1">
      <alignment vertical="center"/>
    </xf>
    <xf numFmtId="0" fontId="105" fillId="36" borderId="9" xfId="0" applyFont="1" applyFill="1" applyBorder="1" applyAlignment="1">
      <alignment horizontal="center"/>
    </xf>
    <xf numFmtId="4" fontId="105" fillId="36" borderId="9" xfId="0" applyNumberFormat="1" applyFont="1" applyFill="1" applyBorder="1" applyAlignment="1">
      <alignment horizontal="center"/>
    </xf>
    <xf numFmtId="0" fontId="78" fillId="36" borderId="9" xfId="0" applyFont="1" applyFill="1" applyBorder="1" applyAlignment="1">
      <alignment horizontal="center"/>
    </xf>
    <xf numFmtId="0" fontId="95" fillId="0" borderId="9" xfId="0" applyFont="1" applyBorder="1"/>
    <xf numFmtId="4" fontId="95" fillId="0" borderId="9" xfId="0" applyNumberFormat="1" applyFont="1" applyBorder="1"/>
    <xf numFmtId="0" fontId="105" fillId="36" borderId="9" xfId="0" applyFont="1" applyFill="1" applyBorder="1"/>
    <xf numFmtId="0" fontId="76" fillId="36" borderId="9" xfId="0" applyFont="1" applyFill="1" applyBorder="1" applyAlignment="1">
      <alignment horizontal="center" vertical="center"/>
    </xf>
    <xf numFmtId="0" fontId="77" fillId="18" borderId="9" xfId="0" applyFont="1" applyFill="1" applyBorder="1"/>
    <xf numFmtId="4" fontId="171" fillId="0" borderId="9" xfId="0" applyNumberFormat="1" applyFont="1" applyBorder="1"/>
    <xf numFmtId="4" fontId="171" fillId="0" borderId="9" xfId="0" applyNumberFormat="1" applyFont="1" applyBorder="1" applyAlignment="1">
      <alignment horizontal="center"/>
    </xf>
    <xf numFmtId="4" fontId="97" fillId="36" borderId="9" xfId="0" applyNumberFormat="1" applyFont="1" applyFill="1" applyBorder="1"/>
    <xf numFmtId="4" fontId="172" fillId="36" borderId="9" xfId="0" applyNumberFormat="1" applyFont="1" applyFill="1" applyBorder="1" applyAlignment="1">
      <alignment horizontal="center" vertical="center"/>
    </xf>
    <xf numFmtId="4" fontId="85" fillId="36" borderId="9" xfId="0" applyNumberFormat="1" applyFont="1" applyFill="1" applyBorder="1"/>
    <xf numFmtId="4" fontId="171" fillId="35" borderId="9" xfId="0" applyNumberFormat="1" applyFont="1" applyFill="1" applyBorder="1"/>
    <xf numFmtId="0" fontId="95" fillId="35" borderId="9" xfId="0" applyFont="1" applyFill="1" applyBorder="1"/>
    <xf numFmtId="4" fontId="95" fillId="35" borderId="9" xfId="0" applyNumberFormat="1" applyFont="1" applyFill="1" applyBorder="1"/>
    <xf numFmtId="4" fontId="171" fillId="35" borderId="9" xfId="0" applyNumberFormat="1" applyFont="1" applyFill="1" applyBorder="1" applyAlignment="1">
      <alignment horizontal="center"/>
    </xf>
    <xf numFmtId="10" fontId="77" fillId="0" borderId="0" xfId="0" applyNumberFormat="1" applyFont="1" applyFill="1" applyBorder="1"/>
    <xf numFmtId="4" fontId="77" fillId="0" borderId="0" xfId="0" applyNumberFormat="1" applyFont="1" applyFill="1" applyBorder="1"/>
    <xf numFmtId="4" fontId="108" fillId="0" borderId="0" xfId="0" applyNumberFormat="1" applyFont="1" applyProtection="1">
      <protection locked="0"/>
    </xf>
    <xf numFmtId="0" fontId="108" fillId="0" borderId="0" xfId="0" applyFont="1" applyProtection="1">
      <protection locked="0"/>
    </xf>
    <xf numFmtId="4" fontId="173" fillId="0" borderId="0" xfId="0" applyNumberFormat="1" applyFont="1"/>
    <xf numFmtId="4" fontId="174" fillId="0" borderId="0" xfId="0" applyNumberFormat="1" applyFont="1"/>
    <xf numFmtId="0" fontId="76" fillId="25" borderId="9" xfId="0" applyFont="1" applyFill="1" applyBorder="1" applyAlignment="1">
      <alignment horizontal="center"/>
    </xf>
    <xf numFmtId="4" fontId="0" fillId="0" borderId="9" xfId="0" applyNumberFormat="1" applyBorder="1" applyAlignment="1">
      <alignment vertical="center"/>
    </xf>
    <xf numFmtId="0" fontId="105" fillId="0" borderId="0" xfId="0" applyFont="1" applyFill="1"/>
    <xf numFmtId="4" fontId="105" fillId="0" borderId="0" xfId="0" applyNumberFormat="1" applyFont="1" applyFill="1"/>
    <xf numFmtId="4" fontId="94" fillId="0" borderId="0" xfId="0" applyNumberFormat="1" applyFont="1" applyFill="1"/>
    <xf numFmtId="4" fontId="94" fillId="0" borderId="19" xfId="0" applyNumberFormat="1" applyFont="1" applyFill="1" applyBorder="1"/>
    <xf numFmtId="4" fontId="105" fillId="0" borderId="0" xfId="0" applyNumberFormat="1" applyFont="1" applyFill="1" applyBorder="1"/>
    <xf numFmtId="4" fontId="95" fillId="23" borderId="0" xfId="0" applyNumberFormat="1" applyFont="1" applyFill="1"/>
    <xf numFmtId="0" fontId="0" fillId="0" borderId="9" xfId="0" applyBorder="1" applyAlignment="1">
      <alignment horizontal="center"/>
    </xf>
    <xf numFmtId="0" fontId="0" fillId="0" borderId="20" xfId="0" applyFill="1" applyBorder="1"/>
    <xf numFmtId="4" fontId="0" fillId="33" borderId="0" xfId="0" applyNumberFormat="1" applyFont="1" applyFill="1"/>
    <xf numFmtId="0" fontId="175" fillId="0" borderId="0" xfId="0" applyFont="1"/>
    <xf numFmtId="4" fontId="175" fillId="0" borderId="0" xfId="0" applyNumberFormat="1" applyFont="1"/>
    <xf numFmtId="4" fontId="95" fillId="0" borderId="0" xfId="0" applyNumberFormat="1" applyFont="1"/>
    <xf numFmtId="0" fontId="0" fillId="0" borderId="0" xfId="0" applyFill="1" applyBorder="1" applyAlignment="1">
      <alignment horizontal="left" vertical="top"/>
    </xf>
    <xf numFmtId="4" fontId="176" fillId="0" borderId="9" xfId="0" applyNumberFormat="1" applyFont="1" applyFill="1" applyBorder="1" applyAlignment="1">
      <alignment horizontal="left" vertical="top"/>
    </xf>
    <xf numFmtId="0" fontId="0" fillId="22" borderId="9" xfId="0" applyFill="1" applyBorder="1"/>
    <xf numFmtId="4" fontId="107" fillId="0" borderId="9" xfId="0" applyNumberFormat="1" applyFont="1" applyFill="1" applyBorder="1" applyAlignment="1">
      <alignment horizontal="left" vertical="top"/>
    </xf>
    <xf numFmtId="0" fontId="96" fillId="0" borderId="0" xfId="0" applyFont="1" applyFill="1" applyBorder="1" applyAlignment="1">
      <alignment horizontal="left" vertical="top"/>
    </xf>
    <xf numFmtId="4" fontId="35" fillId="0" borderId="9" xfId="0" applyNumberFormat="1" applyFont="1" applyFill="1" applyBorder="1" applyAlignment="1">
      <alignment horizontal="right" vertical="top" wrapText="1"/>
    </xf>
    <xf numFmtId="4" fontId="126" fillId="0" borderId="9" xfId="0" applyNumberFormat="1" applyFont="1" applyFill="1" applyBorder="1" applyAlignment="1">
      <alignment horizontal="left" vertical="top"/>
    </xf>
    <xf numFmtId="4" fontId="36" fillId="0" borderId="9" xfId="0" applyNumberFormat="1" applyFont="1" applyFill="1" applyBorder="1" applyAlignment="1">
      <alignment vertical="top" wrapText="1"/>
    </xf>
    <xf numFmtId="4" fontId="107" fillId="37" borderId="9" xfId="0" applyNumberFormat="1" applyFont="1" applyFill="1" applyBorder="1" applyAlignment="1">
      <alignment horizontal="left" vertical="center"/>
    </xf>
    <xf numFmtId="4" fontId="107" fillId="37" borderId="9" xfId="0" applyNumberFormat="1" applyFont="1" applyFill="1" applyBorder="1" applyAlignment="1">
      <alignment horizontal="right" vertical="center"/>
    </xf>
    <xf numFmtId="4" fontId="36" fillId="0" borderId="9" xfId="0" applyNumberFormat="1" applyFont="1" applyFill="1" applyBorder="1" applyAlignment="1">
      <alignment horizontal="right" vertical="top" wrapText="1"/>
    </xf>
    <xf numFmtId="4" fontId="103" fillId="38" borderId="9" xfId="0" applyNumberFormat="1" applyFont="1" applyFill="1" applyBorder="1" applyAlignment="1">
      <alignment horizontal="left" vertical="center" wrapText="1"/>
    </xf>
    <xf numFmtId="4" fontId="99" fillId="38" borderId="9" xfId="0" applyNumberFormat="1" applyFont="1" applyFill="1" applyBorder="1" applyAlignment="1">
      <alignment horizontal="right" vertical="center" wrapText="1"/>
    </xf>
    <xf numFmtId="0" fontId="94" fillId="0" borderId="0" xfId="0" applyFont="1" applyFill="1" applyBorder="1" applyAlignment="1">
      <alignment horizontal="left" vertical="top"/>
    </xf>
    <xf numFmtId="0" fontId="111" fillId="26" borderId="86" xfId="4" applyNumberFormat="1" applyFont="1" applyFill="1" applyAlignment="1"/>
    <xf numFmtId="0" fontId="111" fillId="26" borderId="86" xfId="4" applyFont="1" applyFill="1" applyAlignment="1">
      <alignment horizontal="center" vertical="center"/>
    </xf>
    <xf numFmtId="0" fontId="111" fillId="26" borderId="86" xfId="4" applyNumberFormat="1" applyFont="1" applyFill="1" applyAlignment="1">
      <alignment horizontal="center" vertical="center"/>
    </xf>
    <xf numFmtId="0" fontId="111" fillId="26" borderId="86" xfId="4" applyFont="1" applyFill="1" applyAlignment="1">
      <alignment vertical="center"/>
    </xf>
    <xf numFmtId="0" fontId="177" fillId="26" borderId="86" xfId="4" applyFont="1" applyFill="1" applyAlignment="1">
      <alignment vertical="center"/>
    </xf>
    <xf numFmtId="0" fontId="84" fillId="30" borderId="9" xfId="0" applyFont="1" applyFill="1" applyBorder="1" applyAlignment="1">
      <alignment horizontal="center" vertical="center" wrapText="1"/>
    </xf>
    <xf numFmtId="0" fontId="84" fillId="30" borderId="9" xfId="0" applyFont="1" applyFill="1" applyBorder="1" applyAlignment="1">
      <alignment horizontal="center" vertical="center"/>
    </xf>
    <xf numFmtId="0" fontId="124" fillId="30" borderId="9" xfId="0" applyFont="1" applyFill="1" applyBorder="1" applyAlignment="1">
      <alignment horizontal="center"/>
    </xf>
    <xf numFmtId="0" fontId="76" fillId="30" borderId="9" xfId="0" applyFont="1" applyFill="1" applyBorder="1" applyAlignment="1">
      <alignment horizontal="center" vertical="center" wrapText="1"/>
    </xf>
    <xf numFmtId="4" fontId="96" fillId="0" borderId="0" xfId="0" applyNumberFormat="1" applyFont="1" applyAlignment="1">
      <alignment vertical="center" wrapText="1"/>
    </xf>
    <xf numFmtId="4" fontId="178" fillId="0" borderId="0" xfId="0" applyNumberFormat="1" applyFont="1"/>
    <xf numFmtId="4" fontId="179" fillId="0" borderId="0" xfId="0" applyNumberFormat="1" applyFont="1"/>
    <xf numFmtId="179" fontId="0" fillId="0" borderId="0" xfId="0" applyNumberFormat="1"/>
    <xf numFmtId="179" fontId="179" fillId="0" borderId="0" xfId="0" applyNumberFormat="1" applyFont="1"/>
    <xf numFmtId="180" fontId="0" fillId="0" borderId="0" xfId="0" applyNumberFormat="1"/>
    <xf numFmtId="181" fontId="179" fillId="0" borderId="0" xfId="0" applyNumberFormat="1" applyFont="1"/>
    <xf numFmtId="0" fontId="179" fillId="0" borderId="0" xfId="0" applyFont="1"/>
    <xf numFmtId="4" fontId="105" fillId="35" borderId="0" xfId="0" applyNumberFormat="1" applyFont="1" applyFill="1" applyBorder="1"/>
    <xf numFmtId="4" fontId="95" fillId="0" borderId="0" xfId="0" applyNumberFormat="1" applyFont="1" applyFill="1"/>
    <xf numFmtId="0" fontId="0" fillId="0" borderId="0" xfId="0" applyAlignment="1">
      <alignment horizontal="center"/>
    </xf>
    <xf numFmtId="0" fontId="95" fillId="0" borderId="9" xfId="0" applyFont="1" applyBorder="1" applyAlignment="1">
      <alignment horizontal="center"/>
    </xf>
    <xf numFmtId="4" fontId="95" fillId="0" borderId="9" xfId="0" applyNumberFormat="1" applyFont="1" applyBorder="1" applyAlignment="1">
      <alignment horizontal="center"/>
    </xf>
    <xf numFmtId="4" fontId="76" fillId="36" borderId="9" xfId="0" applyNumberFormat="1" applyFont="1" applyFill="1" applyBorder="1" applyAlignment="1">
      <alignment horizontal="center" vertical="center"/>
    </xf>
    <xf numFmtId="0" fontId="124" fillId="36" borderId="9" xfId="0" applyFont="1" applyFill="1" applyBorder="1"/>
    <xf numFmtId="4" fontId="124" fillId="36" borderId="9" xfId="0" applyNumberFormat="1" applyFont="1" applyFill="1" applyBorder="1"/>
    <xf numFmtId="0" fontId="0" fillId="0" borderId="0" xfId="0" applyAlignment="1">
      <alignment horizontal="center" wrapText="1"/>
    </xf>
    <xf numFmtId="43" fontId="0" fillId="0" borderId="0" xfId="0" applyNumberFormat="1"/>
    <xf numFmtId="4" fontId="0" fillId="39" borderId="9" xfId="0" applyNumberFormat="1" applyFill="1" applyBorder="1"/>
    <xf numFmtId="43" fontId="91" fillId="0" borderId="0" xfId="9" applyFont="1" applyAlignment="1">
      <alignment horizontal="justify" vertical="center" wrapText="1"/>
    </xf>
    <xf numFmtId="0" fontId="1" fillId="0" borderId="9" xfId="0" applyFont="1" applyFill="1" applyBorder="1" applyAlignment="1">
      <alignment horizontal="center" vertical="top" wrapText="1"/>
    </xf>
    <xf numFmtId="176" fontId="180" fillId="0" borderId="9" xfId="0" applyNumberFormat="1" applyFont="1" applyFill="1" applyBorder="1" applyAlignment="1">
      <alignment horizontal="left" vertical="top" wrapText="1"/>
    </xf>
    <xf numFmtId="0" fontId="1" fillId="0" borderId="9" xfId="0" applyFont="1" applyFill="1" applyBorder="1" applyAlignment="1">
      <alignment horizontal="left" vertical="top" wrapText="1"/>
    </xf>
    <xf numFmtId="4" fontId="1" fillId="0" borderId="9" xfId="0" applyNumberFormat="1" applyFont="1" applyFill="1" applyBorder="1" applyAlignment="1">
      <alignment horizontal="right" vertical="top" wrapText="1"/>
    </xf>
    <xf numFmtId="4" fontId="1" fillId="0" borderId="9" xfId="0" applyNumberFormat="1" applyFont="1" applyFill="1" applyBorder="1" applyAlignment="1">
      <alignment horizontal="center" vertical="top" wrapText="1"/>
    </xf>
    <xf numFmtId="177" fontId="181" fillId="0" borderId="9" xfId="0" applyNumberFormat="1" applyFont="1" applyFill="1" applyBorder="1" applyAlignment="1">
      <alignment horizontal="left" vertical="top" wrapText="1"/>
    </xf>
    <xf numFmtId="0" fontId="50" fillId="0" borderId="9" xfId="0" applyFont="1" applyFill="1" applyBorder="1" applyAlignment="1">
      <alignment horizontal="left" vertical="top" wrapText="1"/>
    </xf>
    <xf numFmtId="4" fontId="50" fillId="0" borderId="9" xfId="0" applyNumberFormat="1" applyFont="1" applyFill="1" applyBorder="1" applyAlignment="1">
      <alignment horizontal="right" vertical="top" wrapText="1"/>
    </xf>
    <xf numFmtId="4" fontId="50" fillId="0" borderId="9" xfId="0" applyNumberFormat="1" applyFont="1" applyFill="1" applyBorder="1" applyAlignment="1">
      <alignment horizontal="center" vertical="top" wrapText="1"/>
    </xf>
    <xf numFmtId="0" fontId="0" fillId="0" borderId="9" xfId="0" applyFill="1" applyBorder="1" applyAlignment="1">
      <alignment horizontal="left" vertical="top" wrapText="1"/>
    </xf>
    <xf numFmtId="0" fontId="15" fillId="0" borderId="9" xfId="0" applyFont="1" applyFill="1" applyBorder="1" applyAlignment="1">
      <alignment horizontal="left" vertical="center" wrapText="1"/>
    </xf>
    <xf numFmtId="4" fontId="1" fillId="0" borderId="9" xfId="0" applyNumberFormat="1" applyFont="1" applyFill="1" applyBorder="1" applyAlignment="1">
      <alignment horizontal="right" vertical="center" wrapText="1"/>
    </xf>
    <xf numFmtId="4" fontId="1" fillId="0" borderId="9" xfId="0" applyNumberFormat="1" applyFont="1" applyFill="1" applyBorder="1" applyAlignment="1">
      <alignment horizontal="center" vertical="center" wrapText="1"/>
    </xf>
    <xf numFmtId="43" fontId="101" fillId="0" borderId="9" xfId="9" applyFont="1" applyBorder="1" applyAlignment="1">
      <alignment horizontal="right" vertical="center"/>
    </xf>
    <xf numFmtId="43" fontId="100" fillId="14" borderId="0" xfId="9" applyFont="1" applyFill="1" applyBorder="1" applyAlignment="1">
      <alignment horizontal="center" vertical="center"/>
    </xf>
    <xf numFmtId="43" fontId="101" fillId="0" borderId="17" xfId="9" applyFont="1" applyBorder="1" applyAlignment="1">
      <alignment horizontal="right" vertical="center" wrapText="1"/>
    </xf>
    <xf numFmtId="43" fontId="96" fillId="0" borderId="9" xfId="9" applyFont="1" applyBorder="1" applyAlignment="1">
      <alignment horizontal="right" vertical="center"/>
    </xf>
    <xf numFmtId="43" fontId="100" fillId="14" borderId="9" xfId="9" applyFont="1" applyFill="1" applyBorder="1" applyAlignment="1">
      <alignment horizontal="right" vertical="center"/>
    </xf>
    <xf numFmtId="43" fontId="100" fillId="14" borderId="0" xfId="9" applyFont="1" applyFill="1" applyBorder="1" applyAlignment="1">
      <alignment horizontal="right" vertical="center"/>
    </xf>
    <xf numFmtId="43" fontId="101" fillId="0" borderId="9" xfId="9" applyFont="1" applyBorder="1" applyAlignment="1">
      <alignment horizontal="right" vertical="center" wrapText="1"/>
    </xf>
    <xf numFmtId="43" fontId="101" fillId="0" borderId="9" xfId="9" applyFont="1" applyBorder="1" applyAlignment="1">
      <alignment vertical="center" wrapText="1"/>
    </xf>
    <xf numFmtId="43" fontId="101" fillId="0" borderId="9" xfId="9" applyFont="1" applyBorder="1" applyAlignment="1">
      <alignment vertical="center"/>
    </xf>
    <xf numFmtId="43" fontId="100" fillId="14" borderId="9" xfId="9" applyFont="1" applyFill="1" applyBorder="1" applyAlignment="1">
      <alignment vertical="center" wrapText="1"/>
    </xf>
    <xf numFmtId="43" fontId="91" fillId="14" borderId="9" xfId="9" applyFont="1" applyFill="1" applyBorder="1" applyAlignment="1">
      <alignment horizontal="right" vertical="center" wrapText="1"/>
    </xf>
    <xf numFmtId="43" fontId="91" fillId="14" borderId="0" xfId="9" applyFont="1" applyFill="1" applyBorder="1" applyAlignment="1">
      <alignment horizontal="right" vertical="center" wrapText="1"/>
    </xf>
    <xf numFmtId="43" fontId="91" fillId="14" borderId="9" xfId="9" applyFont="1" applyFill="1" applyBorder="1" applyAlignment="1">
      <alignment horizontal="center" vertical="center"/>
    </xf>
    <xf numFmtId="43" fontId="96" fillId="15" borderId="9" xfId="9" applyFont="1" applyFill="1" applyBorder="1" applyAlignment="1">
      <alignment horizontal="right" vertical="center"/>
    </xf>
    <xf numFmtId="43" fontId="100" fillId="0" borderId="0" xfId="9" applyFont="1" applyFill="1" applyBorder="1" applyAlignment="1">
      <alignment horizontal="right" vertical="center"/>
    </xf>
    <xf numFmtId="0" fontId="96" fillId="33" borderId="9" xfId="0" applyFont="1" applyFill="1" applyBorder="1" applyAlignment="1">
      <alignment horizontal="justify" vertical="center" wrapText="1"/>
    </xf>
    <xf numFmtId="4" fontId="96" fillId="33" borderId="9" xfId="0" applyNumberFormat="1" applyFont="1" applyFill="1" applyBorder="1" applyAlignment="1">
      <alignment horizontal="right" vertical="center"/>
    </xf>
    <xf numFmtId="43" fontId="96" fillId="33" borderId="9" xfId="9" applyFont="1" applyFill="1" applyBorder="1" applyAlignment="1">
      <alignment horizontal="right" vertical="center"/>
    </xf>
    <xf numFmtId="0" fontId="15" fillId="0" borderId="9" xfId="0" applyFont="1" applyBorder="1" applyAlignment="1">
      <alignment horizontal="left" vertical="center" wrapText="1"/>
    </xf>
    <xf numFmtId="0" fontId="1" fillId="14" borderId="9" xfId="0" applyFont="1" applyFill="1" applyBorder="1" applyAlignment="1">
      <alignment horizontal="center" vertical="center" wrapText="1"/>
    </xf>
    <xf numFmtId="0" fontId="1" fillId="14" borderId="9" xfId="0" applyFont="1" applyFill="1" applyBorder="1" applyAlignment="1">
      <alignment horizontal="center" vertical="center"/>
    </xf>
    <xf numFmtId="0" fontId="50" fillId="0" borderId="9" xfId="0" applyFont="1" applyBorder="1" applyAlignment="1">
      <alignment horizontal="justify" vertical="center" wrapText="1"/>
    </xf>
    <xf numFmtId="0" fontId="50" fillId="14" borderId="0" xfId="0" applyFont="1" applyFill="1" applyBorder="1" applyAlignment="1">
      <alignment horizontal="left" vertical="center" wrapText="1"/>
    </xf>
    <xf numFmtId="4" fontId="50" fillId="14" borderId="0" xfId="0" applyNumberFormat="1" applyFont="1" applyFill="1" applyBorder="1" applyAlignment="1">
      <alignment horizontal="right" vertical="center"/>
    </xf>
    <xf numFmtId="0" fontId="50" fillId="0" borderId="9" xfId="0" applyFont="1" applyBorder="1" applyAlignment="1">
      <alignment horizontal="left" vertical="center" wrapText="1"/>
    </xf>
    <xf numFmtId="4" fontId="50" fillId="0" borderId="17" xfId="0" applyNumberFormat="1" applyFont="1" applyBorder="1" applyAlignment="1">
      <alignment horizontal="right" vertical="center"/>
    </xf>
    <xf numFmtId="43" fontId="50" fillId="0" borderId="17" xfId="9" applyFont="1" applyBorder="1" applyAlignment="1">
      <alignment horizontal="right" vertical="center" wrapText="1"/>
    </xf>
    <xf numFmtId="4" fontId="50" fillId="0" borderId="9" xfId="0" applyNumberFormat="1" applyFont="1" applyBorder="1" applyAlignment="1">
      <alignment horizontal="right" vertical="center"/>
    </xf>
    <xf numFmtId="43" fontId="50" fillId="0" borderId="9" xfId="9" applyFont="1" applyBorder="1" applyAlignment="1">
      <alignment horizontal="right" vertical="center"/>
    </xf>
    <xf numFmtId="0" fontId="1" fillId="14" borderId="9" xfId="0" applyFont="1" applyFill="1" applyBorder="1" applyAlignment="1">
      <alignment horizontal="left" vertical="center" wrapText="1"/>
    </xf>
    <xf numFmtId="4" fontId="1" fillId="14" borderId="9" xfId="0" applyNumberFormat="1" applyFont="1" applyFill="1" applyBorder="1" applyAlignment="1">
      <alignment horizontal="right" vertical="center"/>
    </xf>
    <xf numFmtId="43" fontId="1" fillId="14" borderId="9" xfId="9" applyFont="1" applyFill="1" applyBorder="1" applyAlignment="1">
      <alignment horizontal="right" vertical="center"/>
    </xf>
    <xf numFmtId="0" fontId="1" fillId="14" borderId="0" xfId="0" applyFont="1" applyFill="1" applyBorder="1" applyAlignment="1">
      <alignment horizontal="left" vertical="center" wrapText="1"/>
    </xf>
    <xf numFmtId="43" fontId="1" fillId="14" borderId="0" xfId="9" applyFont="1" applyFill="1" applyBorder="1" applyAlignment="1">
      <alignment horizontal="right" vertical="center"/>
    </xf>
    <xf numFmtId="4" fontId="1" fillId="14" borderId="0" xfId="0" applyNumberFormat="1" applyFont="1" applyFill="1" applyBorder="1" applyAlignment="1">
      <alignment horizontal="right" vertical="center"/>
    </xf>
    <xf numFmtId="4" fontId="182" fillId="0" borderId="0" xfId="0" applyNumberFormat="1" applyFont="1"/>
    <xf numFmtId="0" fontId="96" fillId="0" borderId="0" xfId="0" applyFont="1" applyAlignment="1">
      <alignment horizontal="center"/>
    </xf>
    <xf numFmtId="0" fontId="96" fillId="0" borderId="0" xfId="0" applyFont="1" applyAlignment="1">
      <alignment horizontal="left" wrapText="1"/>
    </xf>
    <xf numFmtId="0" fontId="96" fillId="0" borderId="0" xfId="0" applyFont="1" applyAlignment="1">
      <alignment horizontal="left" vertical="center" wrapText="1"/>
    </xf>
    <xf numFmtId="0" fontId="101" fillId="0" borderId="0" xfId="0" applyFont="1" applyAlignment="1">
      <alignment horizontal="left" vertical="center" wrapText="1"/>
    </xf>
    <xf numFmtId="0" fontId="91" fillId="0" borderId="0" xfId="0" applyFont="1" applyAlignment="1">
      <alignment horizontal="left" vertical="center" wrapText="1"/>
    </xf>
    <xf numFmtId="0" fontId="91" fillId="0" borderId="0" xfId="0" applyFont="1" applyAlignment="1">
      <alignment horizontal="center"/>
    </xf>
    <xf numFmtId="0" fontId="50" fillId="0" borderId="0" xfId="0" applyFont="1" applyAlignment="1">
      <alignment horizontal="left" vertical="center" wrapText="1"/>
    </xf>
    <xf numFmtId="0" fontId="96" fillId="0" borderId="0" xfId="0" applyFont="1" applyAlignment="1">
      <alignment vertical="center" wrapText="1"/>
    </xf>
    <xf numFmtId="43" fontId="96" fillId="0" borderId="0" xfId="9" applyFont="1"/>
    <xf numFmtId="0" fontId="96" fillId="0" borderId="0" xfId="0" applyFont="1" applyFill="1"/>
    <xf numFmtId="43" fontId="96" fillId="0" borderId="0" xfId="9" applyFont="1" applyFill="1"/>
    <xf numFmtId="0" fontId="183" fillId="0" borderId="0" xfId="0" applyFont="1"/>
    <xf numFmtId="43" fontId="183" fillId="0" borderId="0" xfId="9" applyFont="1"/>
    <xf numFmtId="43" fontId="96" fillId="0" borderId="0" xfId="9" applyFont="1" applyBorder="1"/>
    <xf numFmtId="43" fontId="96" fillId="0" borderId="0" xfId="9" applyFont="1" applyAlignment="1">
      <alignment vertical="center"/>
    </xf>
    <xf numFmtId="0" fontId="50" fillId="0" borderId="0" xfId="0" applyFont="1"/>
    <xf numFmtId="43" fontId="50" fillId="0" borderId="0" xfId="9" applyFont="1"/>
    <xf numFmtId="0" fontId="50" fillId="0" borderId="0" xfId="0" applyFont="1" applyBorder="1"/>
    <xf numFmtId="43" fontId="50" fillId="0" borderId="0" xfId="9" applyFont="1" applyBorder="1"/>
    <xf numFmtId="43" fontId="96" fillId="33" borderId="0" xfId="9" applyFont="1" applyFill="1"/>
    <xf numFmtId="0" fontId="96" fillId="33" borderId="0" xfId="0" applyFont="1" applyFill="1"/>
    <xf numFmtId="0" fontId="1" fillId="0" borderId="0" xfId="0" applyFont="1" applyAlignment="1">
      <alignment vertical="center" wrapText="1"/>
    </xf>
    <xf numFmtId="43" fontId="96" fillId="0" borderId="0" xfId="0" applyNumberFormat="1" applyFont="1"/>
    <xf numFmtId="0" fontId="91" fillId="0" borderId="0" xfId="0" applyFont="1" applyBorder="1" applyAlignment="1">
      <alignment horizontal="left" wrapText="1"/>
    </xf>
    <xf numFmtId="43" fontId="91" fillId="0" borderId="0" xfId="9" applyFont="1" applyBorder="1" applyAlignment="1">
      <alignment horizontal="left" wrapText="1"/>
    </xf>
    <xf numFmtId="43" fontId="91" fillId="0" borderId="0" xfId="9" applyFont="1" applyAlignment="1">
      <alignment horizontal="center"/>
    </xf>
    <xf numFmtId="0" fontId="91" fillId="0" borderId="0" xfId="0" applyFont="1" applyAlignment="1">
      <alignment vertical="center"/>
    </xf>
    <xf numFmtId="0" fontId="91" fillId="0" borderId="0" xfId="0" applyFont="1" applyAlignment="1">
      <alignment horizontal="justify" vertical="center"/>
    </xf>
    <xf numFmtId="0" fontId="96" fillId="0" borderId="0" xfId="0" applyFont="1" applyAlignment="1">
      <alignment horizontal="justify" vertical="center"/>
    </xf>
    <xf numFmtId="43" fontId="101" fillId="0" borderId="0" xfId="9" applyFont="1" applyAlignment="1">
      <alignment horizontal="left" vertical="center" wrapText="1"/>
    </xf>
    <xf numFmtId="0" fontId="96" fillId="0" borderId="0" xfId="0" applyFont="1" applyFill="1" applyAlignment="1">
      <alignment horizontal="left" vertical="center" wrapText="1"/>
    </xf>
    <xf numFmtId="43" fontId="96" fillId="0" borderId="0" xfId="9" applyFont="1" applyFill="1" applyAlignment="1">
      <alignment horizontal="left" vertical="center" wrapText="1"/>
    </xf>
    <xf numFmtId="43" fontId="96" fillId="0" borderId="0" xfId="9" applyFont="1" applyAlignment="1">
      <alignment horizontal="left" vertical="center" wrapText="1"/>
    </xf>
    <xf numFmtId="0" fontId="100" fillId="14" borderId="9" xfId="0" applyFont="1" applyFill="1" applyBorder="1" applyAlignment="1">
      <alignment horizontal="center" vertical="center"/>
    </xf>
    <xf numFmtId="182" fontId="1" fillId="14" borderId="9" xfId="9" applyNumberFormat="1" applyFont="1" applyFill="1" applyBorder="1" applyAlignment="1">
      <alignment horizontal="center" vertical="center" wrapText="1"/>
    </xf>
    <xf numFmtId="4" fontId="1" fillId="14" borderId="0" xfId="0" applyNumberFormat="1" applyFont="1" applyFill="1" applyBorder="1" applyAlignment="1">
      <alignment horizontal="center" vertical="center"/>
    </xf>
    <xf numFmtId="43" fontId="91" fillId="0" borderId="9" xfId="9" applyFont="1" applyBorder="1" applyAlignment="1">
      <alignment horizontal="right" wrapText="1"/>
    </xf>
    <xf numFmtId="10" fontId="1" fillId="0" borderId="9" xfId="0" applyNumberFormat="1" applyFont="1" applyBorder="1"/>
    <xf numFmtId="43" fontId="91" fillId="0" borderId="0" xfId="9" applyFont="1" applyBorder="1" applyAlignment="1">
      <alignment horizontal="right" wrapText="1"/>
    </xf>
    <xf numFmtId="10" fontId="91" fillId="0" borderId="0" xfId="0" applyNumberFormat="1" applyFont="1" applyBorder="1"/>
    <xf numFmtId="4" fontId="50" fillId="0" borderId="0" xfId="0" applyNumberFormat="1" applyFont="1"/>
    <xf numFmtId="4" fontId="50" fillId="0" borderId="9" xfId="0" applyNumberFormat="1" applyFont="1" applyBorder="1"/>
    <xf numFmtId="43" fontId="1" fillId="0" borderId="9" xfId="9" applyFont="1" applyBorder="1" applyAlignment="1">
      <alignment horizontal="right" wrapText="1"/>
    </xf>
    <xf numFmtId="4" fontId="96" fillId="0" borderId="9" xfId="0" applyNumberFormat="1" applyFont="1" applyBorder="1"/>
    <xf numFmtId="4" fontId="184" fillId="14" borderId="0" xfId="0" applyNumberFormat="1" applyFont="1" applyFill="1" applyBorder="1" applyAlignment="1">
      <alignment horizontal="right" vertical="center"/>
    </xf>
    <xf numFmtId="10" fontId="91" fillId="0" borderId="9" xfId="0" applyNumberFormat="1" applyFont="1" applyBorder="1"/>
    <xf numFmtId="43" fontId="100" fillId="14" borderId="9" xfId="9" applyFont="1" applyFill="1" applyBorder="1" applyAlignment="1">
      <alignment horizontal="center" vertical="center"/>
    </xf>
    <xf numFmtId="0" fontId="101" fillId="15" borderId="9" xfId="0" applyFont="1" applyFill="1" applyBorder="1" applyAlignment="1">
      <alignment vertical="center" wrapText="1"/>
    </xf>
    <xf numFmtId="164" fontId="101" fillId="15" borderId="9" xfId="0" applyNumberFormat="1" applyFont="1" applyFill="1" applyBorder="1" applyAlignment="1">
      <alignment horizontal="right" vertical="center"/>
    </xf>
    <xf numFmtId="43" fontId="101" fillId="15" borderId="9" xfId="9" applyFont="1" applyFill="1" applyBorder="1" applyAlignment="1">
      <alignment horizontal="center" vertical="center"/>
    </xf>
    <xf numFmtId="0" fontId="101" fillId="0" borderId="9" xfId="0" applyFont="1" applyBorder="1" applyAlignment="1">
      <alignment vertical="center" wrapText="1"/>
    </xf>
    <xf numFmtId="164" fontId="101" fillId="0" borderId="9" xfId="0" applyNumberFormat="1" applyFont="1" applyBorder="1" applyAlignment="1">
      <alignment horizontal="right" vertical="center"/>
    </xf>
    <xf numFmtId="43" fontId="101" fillId="0" borderId="9" xfId="9" applyFont="1" applyBorder="1" applyAlignment="1">
      <alignment horizontal="center" vertical="center"/>
    </xf>
    <xf numFmtId="0" fontId="91" fillId="14" borderId="9" xfId="0" applyFont="1" applyFill="1" applyBorder="1" applyAlignment="1">
      <alignment vertical="center"/>
    </xf>
    <xf numFmtId="43" fontId="91" fillId="14" borderId="9" xfId="9" applyFont="1" applyFill="1" applyBorder="1" applyAlignment="1">
      <alignment vertical="center"/>
    </xf>
    <xf numFmtId="4" fontId="91" fillId="14" borderId="9" xfId="0" applyNumberFormat="1" applyFont="1" applyFill="1" applyBorder="1" applyAlignment="1">
      <alignment horizontal="right" vertical="center"/>
    </xf>
    <xf numFmtId="0" fontId="91" fillId="0" borderId="0" xfId="0" applyFont="1" applyFill="1" applyBorder="1" applyAlignment="1">
      <alignment horizontal="center" vertical="center"/>
    </xf>
    <xf numFmtId="43" fontId="91" fillId="0" borderId="0" xfId="9" applyFont="1" applyFill="1" applyBorder="1" applyAlignment="1">
      <alignment horizontal="center" vertical="center"/>
    </xf>
    <xf numFmtId="4" fontId="184" fillId="0" borderId="0" xfId="0" applyNumberFormat="1" applyFont="1" applyFill="1" applyBorder="1" applyAlignment="1">
      <alignment horizontal="right" vertical="center"/>
    </xf>
    <xf numFmtId="43" fontId="50" fillId="14" borderId="0" xfId="9" applyFont="1" applyFill="1" applyBorder="1" applyAlignment="1">
      <alignment horizontal="right" vertical="center"/>
    </xf>
    <xf numFmtId="43" fontId="50" fillId="0" borderId="9" xfId="9" applyFont="1" applyBorder="1" applyAlignment="1">
      <alignment horizontal="right" wrapText="1"/>
    </xf>
    <xf numFmtId="10" fontId="50" fillId="0" borderId="9" xfId="0" applyNumberFormat="1" applyFont="1" applyBorder="1"/>
    <xf numFmtId="0" fontId="50" fillId="0" borderId="0" xfId="0" applyFont="1" applyBorder="1" applyAlignment="1">
      <alignment horizontal="left" wrapText="1"/>
    </xf>
    <xf numFmtId="43" fontId="50" fillId="0" borderId="0" xfId="9" applyFont="1" applyBorder="1" applyAlignment="1">
      <alignment horizontal="right" wrapText="1"/>
    </xf>
    <xf numFmtId="10" fontId="50" fillId="0" borderId="0" xfId="0" applyNumberFormat="1" applyFont="1" applyBorder="1"/>
    <xf numFmtId="0" fontId="100" fillId="17" borderId="9" xfId="0" applyFont="1" applyFill="1" applyBorder="1" applyAlignment="1">
      <alignment horizontal="center" vertical="center" wrapText="1"/>
    </xf>
    <xf numFmtId="43" fontId="91" fillId="17" borderId="9" xfId="9" applyFont="1" applyFill="1" applyBorder="1" applyAlignment="1">
      <alignment horizontal="center" vertical="center" wrapText="1"/>
    </xf>
    <xf numFmtId="0" fontId="100" fillId="18" borderId="9" xfId="0" applyFont="1" applyFill="1" applyBorder="1" applyAlignment="1">
      <alignment horizontal="center" vertical="center" wrapText="1"/>
    </xf>
    <xf numFmtId="0" fontId="100" fillId="19" borderId="9" xfId="0" applyFont="1" applyFill="1" applyBorder="1" applyAlignment="1">
      <alignment vertical="center" wrapText="1"/>
    </xf>
    <xf numFmtId="0" fontId="100" fillId="19" borderId="9" xfId="0" applyFont="1" applyFill="1" applyBorder="1" applyAlignment="1">
      <alignment horizontal="center" vertical="center" wrapText="1"/>
    </xf>
    <xf numFmtId="43" fontId="91" fillId="19" borderId="9" xfId="9" applyFont="1" applyFill="1" applyBorder="1" applyAlignment="1">
      <alignment horizontal="center" vertical="center" wrapText="1"/>
    </xf>
    <xf numFmtId="0" fontId="96" fillId="19" borderId="9" xfId="0" applyFont="1" applyFill="1" applyBorder="1"/>
    <xf numFmtId="43" fontId="96" fillId="0" borderId="9" xfId="9" applyFont="1" applyBorder="1" applyAlignment="1">
      <alignment horizontal="right" vertical="center" wrapText="1"/>
    </xf>
    <xf numFmtId="43" fontId="96" fillId="0" borderId="9" xfId="9" applyFont="1" applyFill="1" applyBorder="1" applyAlignment="1">
      <alignment horizontal="right" vertical="center" wrapText="1"/>
    </xf>
    <xf numFmtId="0" fontId="100" fillId="18" borderId="9" xfId="0" applyFont="1" applyFill="1" applyBorder="1" applyAlignment="1">
      <alignment vertical="center" wrapText="1"/>
    </xf>
    <xf numFmtId="4" fontId="91" fillId="18" borderId="9" xfId="0" applyNumberFormat="1" applyFont="1" applyFill="1" applyBorder="1" applyAlignment="1">
      <alignment horizontal="right" vertical="center"/>
    </xf>
    <xf numFmtId="43" fontId="91" fillId="18" borderId="9" xfId="9" applyFont="1" applyFill="1" applyBorder="1" applyAlignment="1">
      <alignment horizontal="right" vertical="center"/>
    </xf>
    <xf numFmtId="4" fontId="96" fillId="18" borderId="9" xfId="0" applyNumberFormat="1" applyFont="1" applyFill="1" applyBorder="1" applyAlignment="1">
      <alignment horizontal="right" vertical="center"/>
    </xf>
    <xf numFmtId="43" fontId="96" fillId="18" borderId="9" xfId="9" applyFont="1" applyFill="1" applyBorder="1" applyAlignment="1">
      <alignment horizontal="right" vertical="center" wrapText="1"/>
    </xf>
    <xf numFmtId="4" fontId="96" fillId="18" borderId="9" xfId="0" applyNumberFormat="1" applyFont="1" applyFill="1" applyBorder="1"/>
    <xf numFmtId="0" fontId="96" fillId="19" borderId="9" xfId="0" applyFont="1" applyFill="1" applyBorder="1" applyAlignment="1">
      <alignment horizontal="right" vertical="center"/>
    </xf>
    <xf numFmtId="43" fontId="96" fillId="19" borderId="9" xfId="9" applyFont="1" applyFill="1" applyBorder="1" applyAlignment="1">
      <alignment horizontal="right" vertical="center" wrapText="1"/>
    </xf>
    <xf numFmtId="4" fontId="96" fillId="19" borderId="9" xfId="0" applyNumberFormat="1" applyFont="1" applyFill="1" applyBorder="1"/>
    <xf numFmtId="0" fontId="100" fillId="18" borderId="9" xfId="0" applyFont="1" applyFill="1" applyBorder="1" applyAlignment="1">
      <alignment horizontal="left" vertical="center" wrapText="1"/>
    </xf>
    <xf numFmtId="0" fontId="100" fillId="19" borderId="9" xfId="0" applyFont="1" applyFill="1" applyBorder="1" applyAlignment="1">
      <alignment horizontal="left" vertical="center" wrapText="1"/>
    </xf>
    <xf numFmtId="0" fontId="96" fillId="0" borderId="9" xfId="0" applyFont="1" applyBorder="1" applyAlignment="1">
      <alignment horizontal="right" vertical="center"/>
    </xf>
    <xf numFmtId="4" fontId="100" fillId="18" borderId="9" xfId="0" applyNumberFormat="1" applyFont="1" applyFill="1" applyBorder="1" applyAlignment="1">
      <alignment horizontal="right" vertical="center"/>
    </xf>
    <xf numFmtId="43" fontId="100" fillId="18" borderId="9" xfId="9" applyFont="1" applyFill="1" applyBorder="1" applyAlignment="1">
      <alignment horizontal="right" vertical="center"/>
    </xf>
    <xf numFmtId="0" fontId="96" fillId="18" borderId="9" xfId="0" applyFont="1" applyFill="1" applyBorder="1" applyAlignment="1">
      <alignment horizontal="right" vertical="center" wrapText="1"/>
    </xf>
    <xf numFmtId="4" fontId="91" fillId="0" borderId="0" xfId="0" applyNumberFormat="1" applyFont="1" applyFill="1" applyBorder="1" applyAlignment="1">
      <alignment horizontal="right" vertical="center"/>
    </xf>
    <xf numFmtId="0" fontId="100" fillId="0" borderId="9" xfId="0" applyFont="1" applyBorder="1" applyAlignment="1">
      <alignment horizontal="center" vertical="center" wrapText="1"/>
    </xf>
    <xf numFmtId="4" fontId="91" fillId="18" borderId="9" xfId="0" applyNumberFormat="1" applyFont="1" applyFill="1" applyBorder="1" applyAlignment="1">
      <alignment horizontal="right" vertical="center" wrapText="1"/>
    </xf>
    <xf numFmtId="43" fontId="91" fillId="18" borderId="9" xfId="9" applyFont="1" applyFill="1" applyBorder="1" applyAlignment="1">
      <alignment horizontal="right" vertical="center" wrapText="1"/>
    </xf>
    <xf numFmtId="4" fontId="96" fillId="18" borderId="9" xfId="0" applyNumberFormat="1" applyFont="1" applyFill="1" applyBorder="1" applyAlignment="1">
      <alignment horizontal="right" vertical="center" wrapText="1"/>
    </xf>
    <xf numFmtId="0" fontId="100" fillId="0" borderId="0" xfId="0" applyFont="1" applyFill="1" applyBorder="1" applyAlignment="1">
      <alignment vertical="center" wrapText="1"/>
    </xf>
    <xf numFmtId="4" fontId="184" fillId="0" borderId="0" xfId="0" applyNumberFormat="1" applyFont="1" applyFill="1" applyBorder="1" applyAlignment="1">
      <alignment horizontal="right" vertical="center" wrapText="1"/>
    </xf>
    <xf numFmtId="43" fontId="184" fillId="0" borderId="0" xfId="9" applyFont="1" applyFill="1" applyBorder="1" applyAlignment="1">
      <alignment horizontal="right" vertical="center" wrapText="1"/>
    </xf>
    <xf numFmtId="4" fontId="96" fillId="0" borderId="0" xfId="0" applyNumberFormat="1" applyFont="1" applyFill="1"/>
    <xf numFmtId="0" fontId="185" fillId="0" borderId="0" xfId="0" applyFont="1" applyBorder="1" applyAlignment="1">
      <alignment horizontal="left" wrapText="1"/>
    </xf>
    <xf numFmtId="10" fontId="185" fillId="0" borderId="0" xfId="0" applyNumberFormat="1" applyFont="1" applyBorder="1"/>
    <xf numFmtId="43" fontId="185" fillId="0" borderId="0" xfId="9" applyFont="1" applyBorder="1" applyAlignment="1">
      <alignment horizontal="right" wrapText="1"/>
    </xf>
    <xf numFmtId="0" fontId="91" fillId="14" borderId="9" xfId="0" applyFont="1" applyFill="1" applyBorder="1" applyAlignment="1">
      <alignment vertical="center" wrapText="1"/>
    </xf>
    <xf numFmtId="0" fontId="91" fillId="0" borderId="9" xfId="0" applyFont="1" applyBorder="1" applyAlignment="1">
      <alignment horizontal="center"/>
    </xf>
    <xf numFmtId="43" fontId="91" fillId="14" borderId="9" xfId="9" applyFont="1" applyFill="1" applyBorder="1" applyAlignment="1">
      <alignment horizontal="right" vertical="center"/>
    </xf>
    <xf numFmtId="0" fontId="91" fillId="0" borderId="0" xfId="0" applyFont="1" applyFill="1" applyBorder="1" applyAlignment="1">
      <alignment vertical="center" wrapText="1"/>
    </xf>
    <xf numFmtId="4" fontId="186" fillId="0" borderId="0" xfId="0" applyNumberFormat="1" applyFont="1" applyFill="1" applyBorder="1" applyAlignment="1">
      <alignment horizontal="right" vertical="center"/>
    </xf>
    <xf numFmtId="43" fontId="91" fillId="0" borderId="0" xfId="9" applyFont="1" applyFill="1" applyBorder="1" applyAlignment="1">
      <alignment horizontal="right" vertical="center"/>
    </xf>
    <xf numFmtId="43" fontId="91" fillId="0" borderId="0" xfId="9" applyFont="1" applyAlignment="1">
      <alignment horizontal="left" vertical="center" wrapText="1"/>
    </xf>
    <xf numFmtId="0" fontId="96" fillId="0" borderId="9" xfId="0" applyFont="1" applyBorder="1"/>
    <xf numFmtId="4" fontId="96" fillId="0" borderId="9" xfId="0" applyNumberFormat="1" applyFont="1" applyBorder="1" applyAlignment="1">
      <alignment horizontal="right" vertical="center" wrapText="1"/>
    </xf>
    <xf numFmtId="0" fontId="96" fillId="15" borderId="9" xfId="0" applyFont="1" applyFill="1" applyBorder="1" applyAlignment="1">
      <alignment vertical="center" wrapText="1"/>
    </xf>
    <xf numFmtId="4" fontId="91" fillId="0" borderId="9" xfId="0" applyNumberFormat="1" applyFont="1" applyBorder="1"/>
    <xf numFmtId="0" fontId="91" fillId="25" borderId="9" xfId="0" applyFont="1" applyFill="1" applyBorder="1" applyAlignment="1">
      <alignment horizontal="center"/>
    </xf>
    <xf numFmtId="4" fontId="96" fillId="33" borderId="9" xfId="0" applyNumberFormat="1" applyFont="1" applyFill="1" applyBorder="1"/>
    <xf numFmtId="4" fontId="100" fillId="0" borderId="0" xfId="0" applyNumberFormat="1" applyFont="1" applyFill="1" applyBorder="1" applyAlignment="1">
      <alignment horizontal="right" vertical="center"/>
    </xf>
    <xf numFmtId="0" fontId="91" fillId="31" borderId="0" xfId="0" applyFont="1" applyFill="1"/>
    <xf numFmtId="43" fontId="101" fillId="15" borderId="9" xfId="9" applyFont="1" applyFill="1" applyBorder="1" applyAlignment="1">
      <alignment horizontal="right" vertical="center"/>
    </xf>
    <xf numFmtId="4" fontId="100" fillId="14" borderId="9" xfId="0" applyNumberFormat="1" applyFont="1" applyFill="1" applyBorder="1" applyAlignment="1">
      <alignment horizontal="center" vertical="center"/>
    </xf>
    <xf numFmtId="0" fontId="1" fillId="0" borderId="0" xfId="0" applyFont="1" applyAlignment="1">
      <alignment vertical="center"/>
    </xf>
    <xf numFmtId="0" fontId="0" fillId="0" borderId="0" xfId="0" applyAlignment="1">
      <alignment vertical="center"/>
    </xf>
    <xf numFmtId="4" fontId="187" fillId="0" borderId="0" xfId="0" applyNumberFormat="1" applyFont="1" applyFill="1"/>
    <xf numFmtId="0" fontId="188" fillId="0" borderId="0" xfId="0" applyFont="1"/>
    <xf numFmtId="0" fontId="189" fillId="0" borderId="0" xfId="0" applyFont="1" applyAlignment="1">
      <alignment horizontal="left" vertical="center" indent="5"/>
    </xf>
    <xf numFmtId="0" fontId="189" fillId="0" borderId="0" xfId="0" applyFont="1" applyAlignment="1">
      <alignment horizontal="left" vertical="center"/>
    </xf>
    <xf numFmtId="0" fontId="190" fillId="0" borderId="0" xfId="0" applyFont="1" applyAlignment="1">
      <alignment horizontal="left" vertical="center"/>
    </xf>
    <xf numFmtId="4" fontId="190" fillId="0" borderId="0" xfId="0" applyNumberFormat="1" applyFont="1" applyAlignment="1">
      <alignment horizontal="right" vertical="center"/>
    </xf>
    <xf numFmtId="4" fontId="190" fillId="0" borderId="19" xfId="0" applyNumberFormat="1" applyFont="1" applyBorder="1" applyAlignment="1">
      <alignment horizontal="right" vertical="center"/>
    </xf>
    <xf numFmtId="4" fontId="189" fillId="0" borderId="34" xfId="0" applyNumberFormat="1" applyFont="1" applyBorder="1" applyAlignment="1">
      <alignment horizontal="right" vertical="center"/>
    </xf>
    <xf numFmtId="4" fontId="108" fillId="0" borderId="0" xfId="0" applyNumberFormat="1" applyFont="1" applyBorder="1" applyAlignment="1">
      <alignment horizontal="right"/>
    </xf>
    <xf numFmtId="4" fontId="108" fillId="0" borderId="0" xfId="0" applyNumberFormat="1" applyFont="1" applyAlignment="1">
      <alignment horizontal="right"/>
    </xf>
    <xf numFmtId="4" fontId="189" fillId="0" borderId="19" xfId="0" applyNumberFormat="1" applyFont="1" applyBorder="1" applyAlignment="1">
      <alignment horizontal="right" vertical="center"/>
    </xf>
    <xf numFmtId="4" fontId="189" fillId="0" borderId="14" xfId="0" applyNumberFormat="1" applyFont="1" applyBorder="1" applyAlignment="1">
      <alignment horizontal="right" vertical="center"/>
    </xf>
    <xf numFmtId="0" fontId="190" fillId="0" borderId="0" xfId="0" applyFont="1" applyAlignment="1">
      <alignment horizontal="left" vertical="center" indent="5"/>
    </xf>
    <xf numFmtId="0" fontId="108" fillId="0" borderId="0" xfId="0" applyFont="1" applyAlignment="1">
      <alignment horizontal="left"/>
    </xf>
    <xf numFmtId="4" fontId="108" fillId="0" borderId="0" xfId="0" applyNumberFormat="1" applyFont="1"/>
    <xf numFmtId="0" fontId="190" fillId="0" borderId="0" xfId="0" applyFont="1" applyAlignment="1">
      <alignment vertical="center"/>
    </xf>
    <xf numFmtId="4" fontId="96" fillId="0" borderId="0" xfId="0" applyNumberFormat="1" applyFont="1" applyAlignment="1">
      <alignment horizontal="right"/>
    </xf>
    <xf numFmtId="4" fontId="125" fillId="0" borderId="9" xfId="0" applyNumberFormat="1" applyFont="1" applyFill="1" applyBorder="1" applyAlignment="1">
      <alignment horizontal="center" vertical="center" wrapText="1"/>
    </xf>
    <xf numFmtId="4" fontId="125" fillId="0" borderId="0" xfId="0" applyNumberFormat="1" applyFont="1"/>
    <xf numFmtId="0" fontId="5" fillId="2" borderId="0" xfId="0" applyFont="1" applyFill="1" applyAlignment="1">
      <alignment horizontal="center"/>
    </xf>
    <xf numFmtId="0" fontId="5" fillId="2" borderId="0" xfId="0" applyFont="1" applyFill="1" applyAlignment="1" applyProtection="1">
      <alignment horizontal="center"/>
      <protection locked="0"/>
    </xf>
    <xf numFmtId="4" fontId="0" fillId="0" borderId="0" xfId="0" applyNumberFormat="1" applyFont="1" applyBorder="1"/>
    <xf numFmtId="0" fontId="108" fillId="28" borderId="9" xfId="0" applyFont="1" applyFill="1" applyBorder="1"/>
    <xf numFmtId="0" fontId="81" fillId="28" borderId="9" xfId="0" applyFont="1" applyFill="1" applyBorder="1"/>
    <xf numFmtId="0" fontId="96" fillId="0" borderId="0" xfId="0" applyFont="1" applyAlignment="1">
      <alignment horizontal="left" vertical="center" wrapText="1"/>
    </xf>
    <xf numFmtId="0" fontId="101" fillId="0" borderId="0" xfId="0" applyFont="1" applyBorder="1" applyAlignment="1">
      <alignment horizontal="left" vertical="center" wrapText="1"/>
    </xf>
    <xf numFmtId="0" fontId="147" fillId="0" borderId="9" xfId="0" applyFont="1" applyBorder="1" applyAlignment="1">
      <alignment vertical="center" wrapText="1"/>
    </xf>
    <xf numFmtId="4" fontId="147" fillId="0" borderId="9" xfId="0" applyNumberFormat="1" applyFont="1" applyBorder="1" applyAlignment="1">
      <alignment horizontal="right" vertical="center" wrapText="1"/>
    </xf>
    <xf numFmtId="0" fontId="147" fillId="0" borderId="9" xfId="0" applyFont="1" applyBorder="1" applyAlignment="1">
      <alignment horizontal="left" vertical="center" wrapText="1"/>
    </xf>
    <xf numFmtId="4" fontId="0" fillId="0" borderId="9" xfId="0" applyNumberFormat="1" applyBorder="1" applyAlignment="1">
      <alignment horizontal="right" vertical="top" wrapText="1"/>
    </xf>
    <xf numFmtId="4" fontId="81" fillId="0" borderId="9" xfId="0" applyNumberFormat="1" applyFont="1" applyBorder="1" applyAlignment="1">
      <alignment horizontal="right" vertical="center" wrapText="1"/>
    </xf>
    <xf numFmtId="4" fontId="108" fillId="0" borderId="9" xfId="0" applyNumberFormat="1" applyFont="1" applyBorder="1" applyAlignment="1">
      <alignment horizontal="right" vertical="center" wrapText="1"/>
    </xf>
    <xf numFmtId="0" fontId="191" fillId="0" borderId="9" xfId="0" applyFont="1" applyBorder="1" applyAlignment="1">
      <alignment vertical="center" wrapText="1"/>
    </xf>
    <xf numFmtId="4" fontId="192" fillId="0" borderId="9" xfId="0" applyNumberFormat="1" applyFont="1" applyBorder="1" applyAlignment="1">
      <alignment horizontal="right" vertical="center" wrapText="1"/>
    </xf>
    <xf numFmtId="0" fontId="192" fillId="0" borderId="9" xfId="0" applyFont="1" applyBorder="1" applyAlignment="1">
      <alignment vertical="center" wrapText="1"/>
    </xf>
    <xf numFmtId="0" fontId="96" fillId="0" borderId="0" xfId="0" applyFont="1" applyAlignment="1">
      <alignment horizontal="left" wrapText="1"/>
    </xf>
    <xf numFmtId="0" fontId="91" fillId="0" borderId="0" xfId="0" applyFont="1" applyFill="1" applyAlignment="1">
      <alignment horizontal="left" vertical="center" wrapText="1"/>
    </xf>
    <xf numFmtId="0" fontId="96" fillId="31" borderId="9" xfId="0" applyFont="1" applyFill="1" applyBorder="1" applyAlignment="1">
      <alignment vertical="center" wrapText="1"/>
    </xf>
    <xf numFmtId="43" fontId="91" fillId="31" borderId="9" xfId="9" applyFont="1" applyFill="1" applyBorder="1" applyAlignment="1">
      <alignment horizontal="right" wrapText="1"/>
    </xf>
    <xf numFmtId="10" fontId="91" fillId="31" borderId="9" xfId="0" applyNumberFormat="1" applyFont="1" applyFill="1" applyBorder="1"/>
    <xf numFmtId="43" fontId="96" fillId="0" borderId="9" xfId="9" applyFont="1" applyBorder="1"/>
    <xf numFmtId="0" fontId="96" fillId="0" borderId="9" xfId="0" applyFont="1" applyBorder="1" applyAlignment="1">
      <alignment horizontal="center"/>
    </xf>
    <xf numFmtId="0" fontId="91" fillId="0" borderId="0" xfId="0" applyFont="1" applyAlignment="1">
      <alignment horizontal="center"/>
    </xf>
    <xf numFmtId="0" fontId="96" fillId="0" borderId="0" xfId="0" applyFont="1" applyAlignment="1">
      <alignment horizontal="center"/>
    </xf>
    <xf numFmtId="0" fontId="0" fillId="0" borderId="0" xfId="0" applyAlignment="1">
      <alignment horizontal="center"/>
    </xf>
    <xf numFmtId="0" fontId="86" fillId="0" borderId="0" xfId="0" applyFont="1" applyAlignment="1">
      <alignment horizontal="center"/>
    </xf>
    <xf numFmtId="0" fontId="84" fillId="0" borderId="0" xfId="0" applyFont="1" applyAlignment="1">
      <alignment horizontal="center"/>
    </xf>
    <xf numFmtId="0" fontId="0" fillId="0" borderId="0" xfId="0" applyAlignment="1">
      <alignment vertical="center"/>
    </xf>
    <xf numFmtId="0" fontId="86" fillId="27" borderId="9" xfId="0" applyFont="1" applyFill="1" applyBorder="1"/>
    <xf numFmtId="0" fontId="86" fillId="27" borderId="9" xfId="0" applyFont="1" applyFill="1" applyBorder="1" applyAlignment="1">
      <alignment horizontal="center"/>
    </xf>
    <xf numFmtId="0" fontId="86" fillId="31" borderId="9" xfId="0" applyFont="1" applyFill="1" applyBorder="1"/>
    <xf numFmtId="0" fontId="86" fillId="31" borderId="9" xfId="0" applyFont="1" applyFill="1" applyBorder="1" applyAlignment="1">
      <alignment horizontal="center"/>
    </xf>
    <xf numFmtId="0" fontId="105" fillId="0" borderId="9" xfId="0" applyFont="1" applyBorder="1"/>
    <xf numFmtId="0" fontId="91" fillId="0" borderId="9" xfId="0" applyFont="1" applyBorder="1"/>
    <xf numFmtId="0" fontId="94" fillId="0" borderId="9" xfId="0" applyFont="1" applyBorder="1"/>
    <xf numFmtId="0" fontId="105" fillId="27" borderId="9" xfId="0" applyFont="1" applyFill="1" applyBorder="1"/>
    <xf numFmtId="0" fontId="96" fillId="27" borderId="9" xfId="0" applyFont="1" applyFill="1" applyBorder="1"/>
    <xf numFmtId="4" fontId="91" fillId="27" borderId="9" xfId="0" applyNumberFormat="1" applyFont="1" applyFill="1" applyBorder="1"/>
    <xf numFmtId="0" fontId="105" fillId="0" borderId="0" xfId="0" applyFont="1" applyBorder="1"/>
    <xf numFmtId="4" fontId="91" fillId="0" borderId="0" xfId="0" applyNumberFormat="1" applyFont="1" applyBorder="1"/>
    <xf numFmtId="0" fontId="84" fillId="0" borderId="0" xfId="0" applyFont="1" applyBorder="1" applyAlignment="1"/>
    <xf numFmtId="4" fontId="96" fillId="0" borderId="0" xfId="0" applyNumberFormat="1" applyFont="1" applyAlignment="1">
      <alignment horizontal="center"/>
    </xf>
    <xf numFmtId="4" fontId="105" fillId="0" borderId="9" xfId="0" applyNumberFormat="1" applyFont="1" applyBorder="1"/>
    <xf numFmtId="0" fontId="94" fillId="0" borderId="0" xfId="0" applyFont="1" applyBorder="1"/>
    <xf numFmtId="0" fontId="124" fillId="0" borderId="0" xfId="0" applyFont="1" applyAlignment="1">
      <alignment horizontal="center"/>
    </xf>
    <xf numFmtId="0" fontId="124" fillId="0" borderId="0" xfId="0" applyFont="1"/>
    <xf numFmtId="0" fontId="125" fillId="0" borderId="0" xfId="0" applyFont="1"/>
    <xf numFmtId="0" fontId="125" fillId="27" borderId="9" xfId="0" applyFont="1" applyFill="1" applyBorder="1"/>
    <xf numFmtId="0" fontId="124" fillId="27" borderId="9" xfId="0" applyFont="1" applyFill="1" applyBorder="1"/>
    <xf numFmtId="0" fontId="125" fillId="0" borderId="9" xfId="0" applyFont="1" applyBorder="1"/>
    <xf numFmtId="4" fontId="125" fillId="0" borderId="9" xfId="0" applyNumberFormat="1" applyFont="1" applyBorder="1"/>
    <xf numFmtId="4" fontId="124" fillId="0" borderId="0" xfId="0" applyNumberFormat="1" applyFont="1"/>
    <xf numFmtId="4" fontId="124" fillId="27" borderId="9" xfId="0" applyNumberFormat="1" applyFont="1" applyFill="1" applyBorder="1"/>
    <xf numFmtId="0" fontId="193" fillId="0" borderId="0" xfId="0" applyFont="1" applyAlignment="1">
      <alignment horizontal="center"/>
    </xf>
    <xf numFmtId="0" fontId="79" fillId="0" borderId="0" xfId="0" applyFont="1" applyAlignment="1"/>
    <xf numFmtId="43" fontId="50" fillId="0" borderId="9" xfId="9" applyFont="1" applyBorder="1" applyAlignment="1">
      <alignment horizontal="right" vertical="center" wrapText="1"/>
    </xf>
    <xf numFmtId="4" fontId="0" fillId="40" borderId="9" xfId="0" applyNumberFormat="1" applyFont="1" applyFill="1" applyBorder="1"/>
    <xf numFmtId="0" fontId="105" fillId="0" borderId="0" xfId="0" applyFont="1" applyAlignment="1">
      <alignment horizontal="center"/>
    </xf>
    <xf numFmtId="0" fontId="94" fillId="0" borderId="0" xfId="0" applyFont="1" applyAlignment="1">
      <alignment horizontal="center"/>
    </xf>
    <xf numFmtId="4" fontId="194" fillId="0" borderId="0" xfId="0" applyNumberFormat="1" applyFont="1"/>
    <xf numFmtId="0" fontId="0" fillId="0" borderId="0" xfId="0" applyAlignment="1">
      <alignment vertical="center"/>
    </xf>
    <xf numFmtId="1" fontId="0" fillId="0" borderId="0" xfId="0" applyNumberFormat="1"/>
    <xf numFmtId="1" fontId="0" fillId="12" borderId="0" xfId="0" applyNumberFormat="1" applyFill="1"/>
    <xf numFmtId="1" fontId="80" fillId="12" borderId="0" xfId="0" applyNumberFormat="1" applyFont="1" applyFill="1" applyAlignment="1">
      <alignment horizontal="center"/>
    </xf>
    <xf numFmtId="1" fontId="0" fillId="11" borderId="1" xfId="0" applyNumberFormat="1" applyFill="1" applyBorder="1" applyProtection="1">
      <protection locked="0"/>
    </xf>
    <xf numFmtId="1" fontId="0" fillId="11" borderId="4" xfId="0" applyNumberFormat="1" applyFill="1" applyBorder="1" applyProtection="1">
      <protection locked="0"/>
    </xf>
    <xf numFmtId="1" fontId="0" fillId="11" borderId="4" xfId="0" applyNumberFormat="1" applyFill="1" applyBorder="1"/>
    <xf numFmtId="1" fontId="0" fillId="11" borderId="6" xfId="0" applyNumberFormat="1" applyFill="1" applyBorder="1"/>
    <xf numFmtId="0" fontId="9" fillId="0" borderId="9" xfId="0" applyFont="1" applyBorder="1" applyAlignment="1">
      <alignment vertical="center" wrapText="1"/>
    </xf>
    <xf numFmtId="0" fontId="15" fillId="0" borderId="9" xfId="0" applyFont="1" applyBorder="1" applyAlignment="1">
      <alignment vertical="center" wrapText="1"/>
    </xf>
    <xf numFmtId="0" fontId="192" fillId="0" borderId="9" xfId="0" applyFont="1" applyFill="1" applyBorder="1" applyAlignment="1">
      <alignment vertical="center" wrapText="1"/>
    </xf>
    <xf numFmtId="4" fontId="192" fillId="0" borderId="9" xfId="0" applyNumberFormat="1" applyFont="1" applyFill="1" applyBorder="1" applyAlignment="1">
      <alignment horizontal="right" vertical="center" wrapText="1"/>
    </xf>
    <xf numFmtId="4" fontId="161" fillId="0" borderId="0" xfId="0" applyNumberFormat="1" applyFont="1"/>
    <xf numFmtId="0" fontId="0" fillId="0" borderId="0" xfId="0" applyAlignment="1">
      <alignment vertical="center"/>
    </xf>
    <xf numFmtId="3" fontId="96" fillId="0" borderId="0" xfId="0" applyNumberFormat="1" applyFont="1" applyAlignment="1">
      <alignment horizontal="center"/>
    </xf>
    <xf numFmtId="1" fontId="0" fillId="11" borderId="4" xfId="0" applyNumberFormat="1" applyFill="1" applyBorder="1" applyAlignment="1" applyProtection="1">
      <alignment horizontal="left"/>
      <protection locked="0"/>
    </xf>
    <xf numFmtId="0" fontId="81" fillId="0" borderId="9" xfId="0" applyFont="1" applyBorder="1"/>
    <xf numFmtId="4" fontId="108" fillId="33" borderId="9" xfId="0" applyNumberFormat="1" applyFont="1" applyFill="1" applyBorder="1"/>
    <xf numFmtId="4" fontId="108" fillId="19" borderId="9" xfId="0" applyNumberFormat="1" applyFont="1" applyFill="1" applyBorder="1"/>
    <xf numFmtId="4" fontId="108" fillId="41" borderId="9" xfId="0" applyNumberFormat="1" applyFont="1" applyFill="1" applyBorder="1"/>
    <xf numFmtId="4" fontId="108" fillId="21" borderId="9" xfId="0" applyNumberFormat="1" applyFont="1" applyFill="1" applyBorder="1"/>
    <xf numFmtId="4" fontId="108" fillId="26" borderId="9" xfId="0" applyNumberFormat="1" applyFont="1" applyFill="1" applyBorder="1"/>
    <xf numFmtId="4" fontId="0" fillId="0" borderId="33" xfId="0" applyNumberFormat="1" applyBorder="1"/>
    <xf numFmtId="0" fontId="76" fillId="0" borderId="9" xfId="0" applyFont="1" applyBorder="1"/>
    <xf numFmtId="4" fontId="76" fillId="0" borderId="33" xfId="0" applyNumberFormat="1" applyFont="1" applyBorder="1"/>
    <xf numFmtId="0" fontId="96" fillId="0" borderId="0" xfId="0" applyFont="1" applyAlignment="1">
      <alignment horizontal="center"/>
    </xf>
    <xf numFmtId="39" fontId="96" fillId="0" borderId="9" xfId="0" applyNumberFormat="1" applyFont="1" applyBorder="1" applyAlignment="1">
      <alignment horizontal="right" vertical="center"/>
    </xf>
    <xf numFmtId="43" fontId="91" fillId="0" borderId="9" xfId="9" applyFont="1" applyFill="1" applyBorder="1" applyAlignment="1">
      <alignment horizontal="right" wrapText="1"/>
    </xf>
    <xf numFmtId="10" fontId="91" fillId="0" borderId="9" xfId="0" applyNumberFormat="1" applyFont="1" applyFill="1" applyBorder="1"/>
    <xf numFmtId="4" fontId="91" fillId="0" borderId="9" xfId="0" applyNumberFormat="1" applyFont="1" applyBorder="1" applyAlignment="1">
      <alignment vertical="center"/>
    </xf>
    <xf numFmtId="0" fontId="91" fillId="14" borderId="9" xfId="0" applyFont="1" applyFill="1" applyBorder="1" applyAlignment="1">
      <alignment horizontal="left" vertical="center" wrapText="1"/>
    </xf>
    <xf numFmtId="0" fontId="183" fillId="31" borderId="0" xfId="0" applyFont="1" applyFill="1" applyAlignment="1">
      <alignment vertical="center"/>
    </xf>
    <xf numFmtId="0" fontId="96" fillId="0" borderId="0" xfId="0" applyFont="1" applyAlignment="1">
      <alignment horizontal="left"/>
    </xf>
    <xf numFmtId="0" fontId="91" fillId="0" borderId="0" xfId="0" applyFont="1" applyAlignment="1">
      <alignment horizontal="left"/>
    </xf>
    <xf numFmtId="0" fontId="96" fillId="41" borderId="0" xfId="0" applyFont="1" applyFill="1"/>
    <xf numFmtId="0" fontId="96" fillId="41" borderId="0" xfId="0" applyFont="1" applyFill="1" applyBorder="1"/>
    <xf numFmtId="4" fontId="96" fillId="41" borderId="0" xfId="0" applyNumberFormat="1" applyFont="1" applyFill="1"/>
    <xf numFmtId="0" fontId="96" fillId="41" borderId="0" xfId="0" applyFont="1" applyFill="1" applyAlignment="1">
      <alignment vertical="center"/>
    </xf>
    <xf numFmtId="0" fontId="50" fillId="41" borderId="0" xfId="0" applyFont="1" applyFill="1"/>
    <xf numFmtId="0" fontId="50" fillId="41" borderId="0" xfId="0" applyFont="1" applyFill="1" applyBorder="1"/>
    <xf numFmtId="43" fontId="96" fillId="41" borderId="0" xfId="0" applyNumberFormat="1" applyFont="1" applyFill="1"/>
    <xf numFmtId="4" fontId="94" fillId="41" borderId="0" xfId="0" applyNumberFormat="1" applyFont="1" applyFill="1"/>
    <xf numFmtId="0" fontId="91" fillId="41" borderId="0" xfId="0" applyFont="1" applyFill="1" applyAlignment="1">
      <alignment horizontal="center"/>
    </xf>
    <xf numFmtId="0" fontId="94" fillId="0" borderId="0" xfId="0" applyFont="1" applyAlignment="1"/>
    <xf numFmtId="0" fontId="91" fillId="0" borderId="0" xfId="0" applyFont="1" applyAlignment="1"/>
    <xf numFmtId="0" fontId="76" fillId="0" borderId="0" xfId="0" applyFont="1" applyAlignment="1"/>
    <xf numFmtId="0" fontId="87" fillId="0" borderId="0" xfId="0" applyFont="1" applyBorder="1"/>
    <xf numFmtId="0" fontId="77" fillId="12" borderId="0" xfId="0" applyFont="1" applyFill="1"/>
    <xf numFmtId="0" fontId="135" fillId="12" borderId="0" xfId="0" applyFont="1" applyFill="1" applyAlignment="1">
      <alignment horizontal="center"/>
    </xf>
    <xf numFmtId="0" fontId="77" fillId="11" borderId="1" xfId="0" applyFont="1" applyFill="1" applyBorder="1" applyProtection="1">
      <protection locked="0"/>
    </xf>
    <xf numFmtId="0" fontId="77" fillId="11" borderId="4" xfId="0" applyFont="1" applyFill="1" applyBorder="1" applyProtection="1">
      <protection locked="0"/>
    </xf>
    <xf numFmtId="0" fontId="77" fillId="11" borderId="4" xfId="0" applyFont="1" applyFill="1" applyBorder="1"/>
    <xf numFmtId="0" fontId="77" fillId="11" borderId="6" xfId="0" applyFont="1" applyFill="1" applyBorder="1"/>
    <xf numFmtId="0" fontId="96" fillId="0" borderId="0" xfId="0" applyFont="1" applyAlignment="1">
      <alignment vertical="center" wrapText="1"/>
    </xf>
    <xf numFmtId="4" fontId="96" fillId="0" borderId="0" xfId="0" applyNumberFormat="1" applyFont="1" applyAlignment="1">
      <alignment horizontal="left" vertical="center" wrapText="1"/>
    </xf>
    <xf numFmtId="4" fontId="96" fillId="0" borderId="0" xfId="0" applyNumberFormat="1" applyFont="1" applyAlignment="1">
      <alignment vertical="center"/>
    </xf>
    <xf numFmtId="43" fontId="50" fillId="0" borderId="9" xfId="9" applyFont="1" applyBorder="1" applyAlignment="1">
      <alignment horizontal="left" vertical="center" wrapText="1"/>
    </xf>
    <xf numFmtId="49" fontId="0" fillId="11" borderId="9" xfId="0" applyNumberFormat="1" applyFill="1" applyBorder="1" applyProtection="1">
      <protection locked="0"/>
    </xf>
    <xf numFmtId="4" fontId="96" fillId="25" borderId="9" xfId="0" applyNumberFormat="1" applyFont="1" applyFill="1" applyBorder="1" applyAlignment="1">
      <alignment vertical="center"/>
    </xf>
    <xf numFmtId="0" fontId="37" fillId="25" borderId="42" xfId="0" applyNumberFormat="1" applyFont="1" applyFill="1" applyBorder="1" applyAlignment="1">
      <alignment horizontal="center"/>
    </xf>
    <xf numFmtId="0" fontId="0" fillId="0" borderId="0" xfId="0" applyAlignment="1">
      <alignment horizontal="center"/>
    </xf>
    <xf numFmtId="0" fontId="0" fillId="0" borderId="0" xfId="0" applyAlignment="1">
      <alignment vertical="center"/>
    </xf>
    <xf numFmtId="4" fontId="96" fillId="0" borderId="9" xfId="0" applyNumberFormat="1" applyFont="1" applyBorder="1" applyAlignment="1">
      <alignment vertical="center"/>
    </xf>
    <xf numFmtId="0" fontId="91" fillId="14" borderId="9" xfId="0" applyFont="1" applyFill="1" applyBorder="1" applyAlignment="1">
      <alignment horizontal="center" vertical="center"/>
    </xf>
    <xf numFmtId="43" fontId="120" fillId="19" borderId="0" xfId="9" applyFont="1" applyFill="1"/>
    <xf numFmtId="43" fontId="68" fillId="0" borderId="0" xfId="9" applyFont="1"/>
    <xf numFmtId="0" fontId="96" fillId="0" borderId="0" xfId="0" applyFont="1" applyBorder="1" applyAlignment="1">
      <alignment horizontal="left" wrapText="1"/>
    </xf>
    <xf numFmtId="43" fontId="96" fillId="0" borderId="0" xfId="9" applyFont="1" applyBorder="1" applyAlignment="1">
      <alignment horizontal="left" wrapText="1"/>
    </xf>
    <xf numFmtId="0" fontId="96" fillId="0" borderId="9" xfId="0" applyFont="1" applyBorder="1" applyAlignment="1">
      <alignment horizontal="justify" vertical="center" wrapText="1"/>
    </xf>
    <xf numFmtId="0" fontId="96" fillId="14" borderId="0" xfId="0" applyFont="1" applyFill="1" applyBorder="1" applyAlignment="1">
      <alignment horizontal="left" vertical="center"/>
    </xf>
    <xf numFmtId="0" fontId="96" fillId="14" borderId="0" xfId="0" applyFont="1" applyFill="1" applyBorder="1" applyAlignment="1">
      <alignment horizontal="center" vertical="center"/>
    </xf>
    <xf numFmtId="43" fontId="96" fillId="14" borderId="0" xfId="9" applyFont="1" applyFill="1" applyBorder="1" applyAlignment="1">
      <alignment horizontal="center" vertical="center"/>
    </xf>
    <xf numFmtId="4" fontId="96" fillId="14" borderId="0" xfId="0" applyNumberFormat="1" applyFont="1" applyFill="1" applyBorder="1" applyAlignment="1">
      <alignment horizontal="center" vertical="center"/>
    </xf>
    <xf numFmtId="43" fontId="96" fillId="0" borderId="9" xfId="9" applyFont="1" applyBorder="1" applyAlignment="1">
      <alignment horizontal="right" wrapText="1"/>
    </xf>
    <xf numFmtId="43" fontId="96" fillId="0" borderId="0" xfId="9" applyFont="1" applyBorder="1" applyAlignment="1">
      <alignment horizontal="right" wrapText="1"/>
    </xf>
    <xf numFmtId="3" fontId="96" fillId="0" borderId="0" xfId="0" applyNumberFormat="1" applyFont="1"/>
    <xf numFmtId="0" fontId="96" fillId="0" borderId="0" xfId="0" applyFont="1" applyAlignment="1">
      <alignment horizontal="center"/>
    </xf>
    <xf numFmtId="0" fontId="91" fillId="0" borderId="0" xfId="0" applyFont="1" applyAlignment="1">
      <alignment horizontal="center"/>
    </xf>
    <xf numFmtId="0" fontId="87" fillId="0" borderId="0" xfId="0" applyFont="1" applyAlignment="1">
      <alignment horizontal="center"/>
    </xf>
    <xf numFmtId="0" fontId="105" fillId="0" borderId="0" xfId="0" applyFont="1" applyAlignment="1">
      <alignment horizontal="center"/>
    </xf>
    <xf numFmtId="0" fontId="1" fillId="25" borderId="9" xfId="0" applyFont="1" applyFill="1" applyBorder="1" applyAlignment="1">
      <alignment horizontal="center" vertical="center" wrapText="1"/>
    </xf>
    <xf numFmtId="0" fontId="1" fillId="25" borderId="9" xfId="0" applyFont="1" applyFill="1" applyBorder="1" applyAlignment="1">
      <alignment horizontal="left" vertical="center" wrapText="1"/>
    </xf>
    <xf numFmtId="43" fontId="1" fillId="25" borderId="9" xfId="9" applyFont="1" applyFill="1" applyBorder="1" applyAlignment="1">
      <alignment horizontal="left" vertical="center" wrapText="1"/>
    </xf>
    <xf numFmtId="0" fontId="91" fillId="25" borderId="9" xfId="0" applyFont="1" applyFill="1" applyBorder="1"/>
    <xf numFmtId="0" fontId="91" fillId="14" borderId="9" xfId="0" applyFont="1" applyFill="1" applyBorder="1" applyAlignment="1">
      <alignment horizontal="center" vertical="center"/>
    </xf>
    <xf numFmtId="39" fontId="0" fillId="0" borderId="0" xfId="0" applyNumberFormat="1"/>
    <xf numFmtId="43" fontId="68" fillId="0" borderId="0" xfId="9" applyFont="1"/>
    <xf numFmtId="43" fontId="78" fillId="36" borderId="9" xfId="9" applyFont="1" applyFill="1" applyBorder="1" applyAlignment="1">
      <alignment horizontal="center"/>
    </xf>
    <xf numFmtId="43" fontId="77" fillId="18" borderId="9" xfId="9" applyFont="1" applyFill="1" applyBorder="1"/>
    <xf numFmtId="43" fontId="81" fillId="18" borderId="9" xfId="9" applyFont="1" applyFill="1" applyBorder="1"/>
    <xf numFmtId="43" fontId="81" fillId="0" borderId="0" xfId="9" applyFont="1"/>
    <xf numFmtId="43" fontId="68" fillId="0" borderId="0" xfId="9" applyFont="1" applyAlignment="1">
      <alignment horizontal="center" wrapText="1"/>
    </xf>
    <xf numFmtId="4" fontId="76" fillId="0" borderId="19" xfId="0" applyNumberFormat="1" applyFont="1" applyBorder="1" applyAlignment="1">
      <alignment horizontal="center"/>
    </xf>
    <xf numFmtId="4" fontId="0" fillId="33" borderId="9" xfId="0" applyNumberFormat="1" applyFont="1" applyFill="1" applyBorder="1"/>
    <xf numFmtId="0" fontId="96" fillId="0" borderId="0" xfId="0" applyFont="1" applyAlignment="1">
      <alignment horizontal="left" wrapText="1"/>
    </xf>
    <xf numFmtId="0" fontId="96" fillId="0" borderId="0" xfId="0" applyFont="1" applyAlignment="1">
      <alignment horizontal="left" vertical="center" wrapText="1"/>
    </xf>
    <xf numFmtId="0" fontId="91" fillId="0" borderId="0" xfId="0" applyFont="1" applyAlignment="1">
      <alignment horizontal="left"/>
    </xf>
    <xf numFmtId="0" fontId="129" fillId="0" borderId="0" xfId="0" applyFont="1" applyAlignment="1">
      <alignment horizontal="left" wrapText="1"/>
    </xf>
    <xf numFmtId="0" fontId="96" fillId="0" borderId="0" xfId="0" applyFont="1" applyAlignment="1">
      <alignment horizontal="center"/>
    </xf>
    <xf numFmtId="0" fontId="91" fillId="0" borderId="0" xfId="0" applyFont="1" applyAlignment="1">
      <alignment horizontal="center"/>
    </xf>
    <xf numFmtId="0" fontId="96" fillId="0" borderId="0" xfId="0" applyFont="1" applyAlignment="1">
      <alignment horizontal="right"/>
    </xf>
    <xf numFmtId="0" fontId="91" fillId="0" borderId="33" xfId="0" applyFont="1" applyBorder="1" applyAlignment="1">
      <alignment horizontal="center" vertical="center"/>
    </xf>
    <xf numFmtId="0" fontId="91" fillId="0" borderId="34" xfId="0" applyFont="1" applyBorder="1" applyAlignment="1">
      <alignment horizontal="center" vertical="center"/>
    </xf>
    <xf numFmtId="0" fontId="91" fillId="0" borderId="35" xfId="0" applyFont="1" applyBorder="1" applyAlignment="1">
      <alignment horizontal="center" vertical="center"/>
    </xf>
    <xf numFmtId="0" fontId="96" fillId="0" borderId="9" xfId="0" applyFont="1" applyBorder="1" applyAlignment="1">
      <alignment horizontal="left" wrapText="1"/>
    </xf>
    <xf numFmtId="0" fontId="96" fillId="0" borderId="9" xfId="0" applyFont="1" applyBorder="1" applyAlignment="1">
      <alignment horizontal="left" vertical="center" wrapText="1"/>
    </xf>
    <xf numFmtId="0" fontId="91" fillId="0" borderId="9" xfId="0" applyFont="1" applyBorder="1" applyAlignment="1">
      <alignment horizontal="center" wrapText="1"/>
    </xf>
    <xf numFmtId="0" fontId="96" fillId="0" borderId="53" xfId="0" applyFont="1" applyBorder="1" applyAlignment="1">
      <alignment horizontal="left" vertical="center" wrapText="1"/>
    </xf>
    <xf numFmtId="0" fontId="96" fillId="0" borderId="16" xfId="0" applyFont="1" applyBorder="1" applyAlignment="1">
      <alignment horizontal="left" vertical="center" wrapText="1"/>
    </xf>
    <xf numFmtId="0" fontId="96" fillId="0" borderId="54" xfId="0" applyFont="1" applyBorder="1" applyAlignment="1">
      <alignment horizontal="left" vertical="center" wrapText="1"/>
    </xf>
    <xf numFmtId="0" fontId="96" fillId="0" borderId="18" xfId="0" applyFont="1" applyBorder="1" applyAlignment="1">
      <alignment horizontal="left" vertical="center" wrapText="1"/>
    </xf>
    <xf numFmtId="0" fontId="96" fillId="0" borderId="0" xfId="0" applyFont="1" applyBorder="1" applyAlignment="1">
      <alignment horizontal="left" vertical="center" wrapText="1"/>
    </xf>
    <xf numFmtId="0" fontId="96" fillId="0" borderId="30" xfId="0" applyFont="1" applyBorder="1" applyAlignment="1">
      <alignment horizontal="left" vertical="center" wrapText="1"/>
    </xf>
    <xf numFmtId="0" fontId="96" fillId="0" borderId="25" xfId="0" applyFont="1" applyBorder="1" applyAlignment="1">
      <alignment horizontal="left" vertical="center" wrapText="1"/>
    </xf>
    <xf numFmtId="0" fontId="96" fillId="0" borderId="19" xfId="0" applyFont="1" applyBorder="1" applyAlignment="1">
      <alignment horizontal="left" vertical="center" wrapText="1"/>
    </xf>
    <xf numFmtId="0" fontId="96" fillId="0" borderId="55" xfId="0" applyFont="1" applyBorder="1" applyAlignment="1">
      <alignment horizontal="left" vertical="center" wrapText="1"/>
    </xf>
    <xf numFmtId="0" fontId="96" fillId="0" borderId="53" xfId="0" applyFont="1" applyBorder="1" applyAlignment="1">
      <alignment horizontal="left" wrapText="1"/>
    </xf>
    <xf numFmtId="0" fontId="96" fillId="0" borderId="16" xfId="0" applyFont="1" applyBorder="1" applyAlignment="1">
      <alignment horizontal="left" wrapText="1"/>
    </xf>
    <xf numFmtId="0" fontId="96" fillId="0" borderId="54" xfId="0" applyFont="1" applyBorder="1" applyAlignment="1">
      <alignment horizontal="left" wrapText="1"/>
    </xf>
    <xf numFmtId="0" fontId="96" fillId="0" borderId="25" xfId="0" applyFont="1" applyBorder="1" applyAlignment="1">
      <alignment horizontal="left"/>
    </xf>
    <xf numFmtId="0" fontId="96" fillId="0" borderId="19" xfId="0" applyFont="1" applyBorder="1" applyAlignment="1">
      <alignment horizontal="left"/>
    </xf>
    <xf numFmtId="0" fontId="96" fillId="0" borderId="55" xfId="0" applyFont="1" applyBorder="1" applyAlignment="1">
      <alignment horizontal="left"/>
    </xf>
    <xf numFmtId="0" fontId="91" fillId="0" borderId="9" xfId="0" applyFont="1" applyBorder="1" applyAlignment="1">
      <alignment horizontal="center" vertical="center" wrapText="1"/>
    </xf>
    <xf numFmtId="0" fontId="96" fillId="0" borderId="33" xfId="0" applyFont="1" applyBorder="1" applyAlignment="1">
      <alignment horizontal="left" vertical="center"/>
    </xf>
    <xf numFmtId="0" fontId="96" fillId="0" borderId="34" xfId="0" applyFont="1" applyBorder="1" applyAlignment="1">
      <alignment horizontal="left" vertical="center"/>
    </xf>
    <xf numFmtId="0" fontId="96" fillId="0" borderId="35" xfId="0" applyFont="1" applyBorder="1" applyAlignment="1">
      <alignment horizontal="left" vertical="center"/>
    </xf>
    <xf numFmtId="43" fontId="81" fillId="0" borderId="0" xfId="9" applyFont="1" applyAlignment="1">
      <alignment vertical="center"/>
    </xf>
    <xf numFmtId="43" fontId="173" fillId="0" borderId="0" xfId="9" applyFont="1"/>
    <xf numFmtId="43" fontId="151" fillId="0" borderId="0" xfId="9" applyFont="1" applyAlignment="1">
      <alignment horizontal="right"/>
    </xf>
    <xf numFmtId="0" fontId="0" fillId="33" borderId="0" xfId="0" applyFill="1" applyAlignment="1">
      <alignment vertical="center"/>
    </xf>
    <xf numFmtId="183" fontId="68" fillId="25" borderId="9" xfId="9" applyNumberFormat="1" applyFont="1" applyFill="1" applyBorder="1" applyAlignment="1">
      <alignment vertical="center"/>
    </xf>
    <xf numFmtId="4" fontId="184" fillId="0" borderId="0" xfId="0" applyNumberFormat="1" applyFont="1"/>
    <xf numFmtId="0" fontId="76" fillId="0" borderId="9" xfId="0" applyFont="1" applyBorder="1" applyAlignment="1">
      <alignment horizontal="center"/>
    </xf>
    <xf numFmtId="43" fontId="138" fillId="0" borderId="0" xfId="9" applyFont="1"/>
    <xf numFmtId="0" fontId="76" fillId="0" borderId="30" xfId="0" applyFont="1" applyFill="1" applyBorder="1" applyAlignment="1">
      <alignment horizontal="center"/>
    </xf>
    <xf numFmtId="43" fontId="108" fillId="0" borderId="9" xfId="9" applyFont="1" applyBorder="1"/>
    <xf numFmtId="43" fontId="131" fillId="0" borderId="9" xfId="0" applyNumberFormat="1" applyFont="1" applyBorder="1"/>
    <xf numFmtId="43" fontId="131" fillId="33" borderId="9" xfId="0" applyNumberFormat="1" applyFont="1" applyFill="1" applyBorder="1"/>
    <xf numFmtId="43" fontId="76" fillId="0" borderId="9" xfId="0" applyNumberFormat="1" applyFont="1" applyBorder="1"/>
    <xf numFmtId="43" fontId="108" fillId="0" borderId="0" xfId="0" applyNumberFormat="1" applyFont="1"/>
    <xf numFmtId="43" fontId="0" fillId="0" borderId="9" xfId="0" applyNumberFormat="1" applyBorder="1"/>
    <xf numFmtId="4" fontId="164" fillId="0" borderId="9" xfId="0" applyNumberFormat="1" applyFont="1" applyBorder="1"/>
    <xf numFmtId="0" fontId="0" fillId="0" borderId="0" xfId="0" applyFill="1"/>
    <xf numFmtId="43" fontId="68" fillId="0" borderId="0" xfId="9" applyFont="1" applyFill="1"/>
    <xf numFmtId="4" fontId="0" fillId="0" borderId="0" xfId="0" applyNumberFormat="1" applyFill="1"/>
    <xf numFmtId="17" fontId="0" fillId="0" borderId="0" xfId="0" applyNumberFormat="1" applyFill="1"/>
    <xf numFmtId="43" fontId="0" fillId="0" borderId="0" xfId="0" applyNumberFormat="1" applyFill="1"/>
    <xf numFmtId="178" fontId="0" fillId="0" borderId="0" xfId="0" applyNumberFormat="1" applyFill="1"/>
    <xf numFmtId="43" fontId="155" fillId="0" borderId="0" xfId="9" applyFont="1" applyAlignment="1">
      <alignment horizontal="center"/>
    </xf>
    <xf numFmtId="43" fontId="155" fillId="0" borderId="0" xfId="9" applyFont="1"/>
    <xf numFmtId="43" fontId="184" fillId="0" borderId="0" xfId="9" applyFont="1" applyFill="1" applyBorder="1" applyAlignment="1">
      <alignment horizontal="right" vertical="center"/>
    </xf>
    <xf numFmtId="43" fontId="182" fillId="0" borderId="0" xfId="9" applyFont="1" applyFill="1" applyBorder="1" applyAlignment="1">
      <alignment horizontal="right" vertical="center"/>
    </xf>
    <xf numFmtId="43" fontId="184" fillId="14" borderId="0" xfId="9" applyFont="1" applyFill="1" applyBorder="1" applyAlignment="1">
      <alignment horizontal="right" vertical="center"/>
    </xf>
    <xf numFmtId="43" fontId="184" fillId="0" borderId="16" xfId="9" applyFont="1" applyFill="1" applyBorder="1" applyAlignment="1">
      <alignment vertical="center" wrapText="1"/>
    </xf>
    <xf numFmtId="43" fontId="184" fillId="14" borderId="0" xfId="9" applyFont="1" applyFill="1" applyBorder="1" applyAlignment="1">
      <alignment horizontal="right" vertical="center" wrapText="1"/>
    </xf>
    <xf numFmtId="43" fontId="195" fillId="0" borderId="0" xfId="9" applyFont="1"/>
    <xf numFmtId="43" fontId="96" fillId="0" borderId="9" xfId="9" applyFont="1" applyBorder="1" applyAlignment="1">
      <alignment horizontal="right"/>
    </xf>
    <xf numFmtId="43" fontId="91" fillId="25" borderId="9" xfId="9" applyFont="1" applyFill="1" applyBorder="1" applyAlignment="1">
      <alignment horizontal="right"/>
    </xf>
    <xf numFmtId="43" fontId="184" fillId="14" borderId="0" xfId="9" applyFont="1" applyFill="1" applyBorder="1" applyAlignment="1">
      <alignment horizontal="center" vertical="center"/>
    </xf>
    <xf numFmtId="4" fontId="96" fillId="0" borderId="9" xfId="0" applyNumberFormat="1" applyFont="1" applyFill="1" applyBorder="1" applyAlignment="1">
      <alignment horizontal="right" vertical="center"/>
    </xf>
    <xf numFmtId="43" fontId="50" fillId="0" borderId="9" xfId="9" applyFont="1" applyBorder="1" applyAlignment="1">
      <alignment horizontal="right"/>
    </xf>
    <xf numFmtId="43" fontId="50" fillId="0" borderId="9" xfId="9" applyFont="1" applyBorder="1" applyAlignment="1"/>
    <xf numFmtId="0" fontId="196" fillId="0" borderId="9" xfId="0" applyFont="1" applyBorder="1" applyAlignment="1">
      <alignment vertical="center" wrapText="1"/>
    </xf>
    <xf numFmtId="17" fontId="196" fillId="0" borderId="9" xfId="0" applyNumberFormat="1" applyFont="1" applyBorder="1" applyAlignment="1">
      <alignment horizontal="center" vertical="center" wrapText="1"/>
    </xf>
    <xf numFmtId="0" fontId="196" fillId="0" borderId="9" xfId="0" applyFont="1" applyBorder="1" applyAlignment="1">
      <alignment horizontal="left" vertical="center" wrapText="1" indent="1"/>
    </xf>
    <xf numFmtId="43" fontId="196" fillId="0" borderId="9" xfId="9" applyFont="1" applyBorder="1" applyAlignment="1">
      <alignment vertical="center" wrapText="1"/>
    </xf>
    <xf numFmtId="0" fontId="196" fillId="41" borderId="9" xfId="0" applyFont="1" applyFill="1" applyBorder="1" applyAlignment="1">
      <alignment horizontal="left" vertical="center" wrapText="1" indent="1"/>
    </xf>
    <xf numFmtId="43" fontId="196" fillId="41" borderId="9" xfId="9" applyFont="1" applyFill="1" applyBorder="1" applyAlignment="1">
      <alignment vertical="center" wrapText="1"/>
    </xf>
    <xf numFmtId="0" fontId="0" fillId="41" borderId="9" xfId="0" applyFont="1" applyFill="1" applyBorder="1" applyAlignment="1">
      <alignment vertical="center" wrapText="1"/>
    </xf>
    <xf numFmtId="0" fontId="196" fillId="41" borderId="9" xfId="0" applyFont="1" applyFill="1" applyBorder="1" applyAlignment="1">
      <alignment vertical="center" wrapText="1"/>
    </xf>
    <xf numFmtId="17" fontId="196" fillId="0" borderId="9" xfId="0" applyNumberFormat="1" applyFont="1" applyFill="1" applyBorder="1" applyAlignment="1">
      <alignment horizontal="center" vertical="center" wrapText="1"/>
    </xf>
    <xf numFmtId="4" fontId="77" fillId="33" borderId="0" xfId="0" applyNumberFormat="1" applyFont="1" applyFill="1"/>
    <xf numFmtId="0" fontId="76" fillId="42" borderId="17" xfId="0" applyFont="1" applyFill="1" applyBorder="1"/>
    <xf numFmtId="0" fontId="76" fillId="42" borderId="17" xfId="0" applyFont="1" applyFill="1" applyBorder="1" applyAlignment="1">
      <alignment horizontal="center"/>
    </xf>
    <xf numFmtId="4" fontId="76" fillId="42" borderId="53" xfId="0" applyNumberFormat="1" applyFont="1" applyFill="1" applyBorder="1"/>
    <xf numFmtId="0" fontId="76" fillId="0" borderId="9" xfId="0" applyFont="1" applyBorder="1" applyAlignment="1">
      <alignment horizontal="center"/>
    </xf>
    <xf numFmtId="43" fontId="68" fillId="0" borderId="0" xfId="9" applyFont="1"/>
    <xf numFmtId="43" fontId="77" fillId="0" borderId="0" xfId="9" applyFont="1"/>
    <xf numFmtId="43" fontId="77" fillId="0" borderId="0" xfId="0" applyNumberFormat="1" applyFont="1"/>
    <xf numFmtId="0" fontId="131" fillId="0" borderId="9" xfId="0" applyFont="1" applyBorder="1"/>
    <xf numFmtId="43" fontId="131" fillId="0" borderId="9" xfId="9" applyFont="1" applyBorder="1"/>
    <xf numFmtId="43" fontId="96" fillId="0" borderId="9" xfId="9" applyFont="1" applyBorder="1" applyAlignment="1">
      <alignment vertical="center"/>
    </xf>
    <xf numFmtId="43" fontId="96" fillId="0" borderId="9" xfId="9" applyFont="1" applyBorder="1" applyAlignment="1">
      <alignment horizontal="center" vertical="center"/>
    </xf>
    <xf numFmtId="43" fontId="68" fillId="0" borderId="0" xfId="9" applyFont="1"/>
    <xf numFmtId="43" fontId="68" fillId="0" borderId="0" xfId="9" applyFont="1" applyFill="1"/>
    <xf numFmtId="4" fontId="77" fillId="11" borderId="5" xfId="0" applyNumberFormat="1" applyFont="1" applyFill="1" applyBorder="1" applyProtection="1">
      <protection locked="0"/>
    </xf>
    <xf numFmtId="4" fontId="85" fillId="0" borderId="0" xfId="0" applyNumberFormat="1" applyFont="1" applyFill="1" applyBorder="1" applyAlignment="1">
      <alignment horizontal="right" vertical="center" wrapText="1"/>
    </xf>
    <xf numFmtId="0" fontId="77" fillId="0" borderId="0" xfId="0" applyFont="1" applyAlignment="1">
      <alignment vertical="center"/>
    </xf>
    <xf numFmtId="4" fontId="0" fillId="0" borderId="9" xfId="0" applyNumberFormat="1" applyFont="1" applyBorder="1" applyAlignment="1">
      <alignment vertical="center"/>
    </xf>
    <xf numFmtId="43" fontId="96" fillId="0" borderId="9" xfId="9" applyFont="1" applyFill="1" applyBorder="1" applyAlignment="1">
      <alignment horizontal="right" vertical="center"/>
    </xf>
    <xf numFmtId="0" fontId="91" fillId="0" borderId="9" xfId="0" applyFont="1" applyBorder="1" applyAlignment="1">
      <alignment horizontal="left" vertical="center" wrapText="1"/>
    </xf>
    <xf numFmtId="43" fontId="91" fillId="0" borderId="9" xfId="0" applyNumberFormat="1" applyFont="1" applyBorder="1" applyAlignment="1">
      <alignment horizontal="left" vertical="center" wrapText="1"/>
    </xf>
    <xf numFmtId="4" fontId="91" fillId="0" borderId="0" xfId="0" applyNumberFormat="1" applyFont="1" applyBorder="1" applyAlignment="1">
      <alignment horizontal="left" wrapText="1"/>
    </xf>
    <xf numFmtId="43" fontId="68" fillId="0" borderId="0" xfId="9" applyFont="1"/>
    <xf numFmtId="4" fontId="83" fillId="0" borderId="9" xfId="0" applyNumberFormat="1" applyFont="1" applyFill="1" applyBorder="1" applyAlignment="1">
      <alignment horizontal="right" vertical="center"/>
    </xf>
    <xf numFmtId="0" fontId="100" fillId="0" borderId="0" xfId="0" applyFont="1" applyFill="1" applyBorder="1" applyAlignment="1">
      <alignment horizontal="left" vertical="center" wrapText="1"/>
    </xf>
    <xf numFmtId="43" fontId="143" fillId="0" borderId="0" xfId="9" applyFont="1" applyAlignment="1">
      <alignment horizontal="right" vertical="center" wrapText="1"/>
    </xf>
    <xf numFmtId="43" fontId="68" fillId="0" borderId="0" xfId="9" applyFont="1" applyAlignment="1">
      <alignment horizontal="right"/>
    </xf>
    <xf numFmtId="43" fontId="143" fillId="0" borderId="19" xfId="9" applyFont="1" applyBorder="1" applyAlignment="1">
      <alignment horizontal="right" vertical="center" wrapText="1"/>
    </xf>
    <xf numFmtId="43" fontId="142" fillId="0" borderId="0" xfId="9" applyFont="1" applyAlignment="1">
      <alignment horizontal="right" vertical="center" wrapText="1"/>
    </xf>
    <xf numFmtId="43" fontId="82" fillId="0" borderId="0" xfId="9" applyFont="1" applyAlignment="1">
      <alignment horizontal="right" vertical="center" wrapText="1"/>
    </xf>
    <xf numFmtId="43" fontId="68" fillId="0" borderId="0" xfId="9" applyFont="1"/>
    <xf numFmtId="43" fontId="142" fillId="0" borderId="49" xfId="9" applyFont="1" applyBorder="1" applyAlignment="1">
      <alignment horizontal="right" vertical="center" wrapText="1"/>
    </xf>
    <xf numFmtId="0" fontId="0" fillId="11" borderId="4" xfId="0" applyFill="1" applyBorder="1" applyAlignment="1" applyProtection="1">
      <alignment horizontal="left"/>
      <protection locked="0"/>
    </xf>
    <xf numFmtId="0" fontId="1" fillId="0" borderId="0" xfId="0" applyFont="1" applyBorder="1" applyAlignment="1">
      <alignment horizontal="left" wrapText="1"/>
    </xf>
    <xf numFmtId="10" fontId="1" fillId="0" borderId="0" xfId="0" applyNumberFormat="1" applyFont="1" applyBorder="1"/>
    <xf numFmtId="43" fontId="91" fillId="0" borderId="0" xfId="9" applyFont="1" applyFill="1" applyBorder="1" applyAlignment="1">
      <alignment horizontal="right" wrapText="1"/>
    </xf>
    <xf numFmtId="10" fontId="91" fillId="0" borderId="0" xfId="0" applyNumberFormat="1" applyFont="1" applyFill="1" applyBorder="1"/>
    <xf numFmtId="4" fontId="42" fillId="0" borderId="0" xfId="0" applyNumberFormat="1" applyFont="1" applyAlignment="1">
      <alignment vertical="center"/>
    </xf>
    <xf numFmtId="0" fontId="0" fillId="0" borderId="0" xfId="0" applyAlignment="1">
      <alignment horizontal="center"/>
    </xf>
    <xf numFmtId="0" fontId="87" fillId="0" borderId="0" xfId="0" applyFont="1" applyAlignment="1">
      <alignment horizontal="center"/>
    </xf>
    <xf numFmtId="0" fontId="0" fillId="0" borderId="0" xfId="0" applyAlignment="1">
      <alignment vertical="center"/>
    </xf>
    <xf numFmtId="43" fontId="77" fillId="0" borderId="0" xfId="0" applyNumberFormat="1" applyFont="1" applyProtection="1">
      <protection locked="0"/>
    </xf>
    <xf numFmtId="0" fontId="0" fillId="0" borderId="9" xfId="0" applyFill="1" applyBorder="1" applyAlignment="1" applyProtection="1">
      <alignment vertical="center"/>
      <protection locked="0"/>
    </xf>
    <xf numFmtId="4" fontId="0" fillId="0" borderId="9" xfId="0" applyNumberFormat="1" applyFill="1" applyBorder="1" applyAlignment="1" applyProtection="1">
      <alignment vertical="center"/>
      <protection locked="0"/>
    </xf>
    <xf numFmtId="43" fontId="76" fillId="18" borderId="9" xfId="9" applyFont="1" applyFill="1" applyBorder="1" applyAlignment="1">
      <alignment horizontal="center"/>
    </xf>
    <xf numFmtId="0" fontId="0" fillId="0" borderId="9" xfId="0" applyNumberFormat="1" applyFill="1" applyBorder="1" applyAlignment="1" applyProtection="1">
      <alignment horizontal="left" vertical="center"/>
      <protection locked="0"/>
    </xf>
    <xf numFmtId="43" fontId="76" fillId="18" borderId="9" xfId="9" applyFont="1" applyFill="1" applyBorder="1" applyAlignment="1">
      <alignment horizontal="center" vertical="center"/>
    </xf>
    <xf numFmtId="0" fontId="68" fillId="0" borderId="9" xfId="9" applyNumberFormat="1" applyFont="1" applyBorder="1" applyAlignment="1">
      <alignment horizontal="left" vertical="center"/>
    </xf>
    <xf numFmtId="43" fontId="68" fillId="0" borderId="9" xfId="9" applyFont="1" applyBorder="1" applyAlignment="1">
      <alignment vertical="center"/>
    </xf>
    <xf numFmtId="0" fontId="0" fillId="0" borderId="9" xfId="0" applyNumberFormat="1" applyBorder="1" applyAlignment="1">
      <alignment horizontal="left" vertical="center"/>
    </xf>
    <xf numFmtId="43" fontId="0" fillId="0" borderId="9" xfId="0" applyNumberFormat="1" applyBorder="1" applyAlignment="1">
      <alignment vertical="center"/>
    </xf>
    <xf numFmtId="43" fontId="76" fillId="0" borderId="0" xfId="9" applyFont="1" applyAlignment="1">
      <alignment horizontal="center" vertical="center"/>
    </xf>
    <xf numFmtId="14" fontId="76" fillId="0" borderId="9" xfId="9" applyNumberFormat="1" applyFont="1" applyBorder="1" applyAlignment="1">
      <alignment horizontal="center" vertical="center"/>
    </xf>
    <xf numFmtId="0" fontId="197" fillId="0" borderId="0" xfId="7" quotePrefix="1" applyFont="1" applyAlignment="1">
      <alignment horizontal="center"/>
    </xf>
    <xf numFmtId="0" fontId="198" fillId="0" borderId="0" xfId="7" applyFont="1" applyAlignment="1">
      <alignment horizontal="center"/>
    </xf>
    <xf numFmtId="14" fontId="87" fillId="0" borderId="0" xfId="0" applyNumberFormat="1" applyFont="1" applyAlignment="1">
      <alignment vertical="center" wrapText="1"/>
    </xf>
    <xf numFmtId="0" fontId="95" fillId="0" borderId="0" xfId="0" applyFont="1" applyAlignment="1">
      <alignment horizontal="right"/>
    </xf>
    <xf numFmtId="0" fontId="94" fillId="0" borderId="9" xfId="0" applyFont="1" applyBorder="1" applyAlignment="1">
      <alignment horizontal="center" vertical="center"/>
    </xf>
    <xf numFmtId="0" fontId="35" fillId="0" borderId="9" xfId="2" applyFont="1" applyFill="1" applyBorder="1" applyAlignment="1">
      <alignment vertical="center" wrapText="1"/>
    </xf>
    <xf numFmtId="0" fontId="9" fillId="0" borderId="9" xfId="6" applyNumberFormat="1" applyFont="1" applyFill="1" applyBorder="1" applyAlignment="1">
      <alignment horizontal="left" vertical="center" wrapText="1"/>
    </xf>
    <xf numFmtId="0" fontId="87" fillId="0" borderId="9" xfId="0" applyFont="1" applyFill="1" applyBorder="1"/>
    <xf numFmtId="0" fontId="35" fillId="0" borderId="9" xfId="1" applyFont="1" applyFill="1" applyBorder="1" applyAlignment="1">
      <alignment vertical="center" wrapText="1"/>
    </xf>
    <xf numFmtId="0" fontId="9" fillId="0" borderId="9" xfId="5" applyFont="1" applyFill="1" applyBorder="1" applyAlignment="1">
      <alignment horizontal="left" vertical="center" wrapText="1"/>
    </xf>
    <xf numFmtId="0" fontId="94" fillId="0" borderId="0" xfId="0" applyFont="1" applyBorder="1" applyAlignment="1">
      <alignment horizontal="center" vertical="center"/>
    </xf>
    <xf numFmtId="0" fontId="35" fillId="0" borderId="0" xfId="1" applyFont="1" applyFill="1" applyBorder="1" applyAlignment="1">
      <alignment vertical="center" wrapText="1"/>
    </xf>
    <xf numFmtId="0" fontId="9" fillId="0" borderId="0" xfId="5" applyFont="1" applyFill="1" applyBorder="1" applyAlignment="1">
      <alignment horizontal="left" vertical="center" wrapText="1"/>
    </xf>
    <xf numFmtId="0" fontId="87" fillId="0" borderId="0" xfId="0" applyFont="1" applyFill="1" applyBorder="1"/>
    <xf numFmtId="0" fontId="0" fillId="0" borderId="30" xfId="0" applyBorder="1" applyAlignment="1">
      <alignment horizontal="center" vertical="center"/>
    </xf>
    <xf numFmtId="1" fontId="68" fillId="0" borderId="0" xfId="9" applyNumberFormat="1" applyFont="1" applyAlignment="1">
      <alignment vertical="center"/>
    </xf>
    <xf numFmtId="1" fontId="68" fillId="0" borderId="9" xfId="9" applyNumberFormat="1" applyFont="1" applyBorder="1" applyAlignment="1">
      <alignment horizontal="left" vertical="center"/>
    </xf>
    <xf numFmtId="1" fontId="0" fillId="0" borderId="9" xfId="0" applyNumberFormat="1" applyFill="1" applyBorder="1" applyAlignment="1" applyProtection="1">
      <alignment vertical="center"/>
      <protection locked="0"/>
    </xf>
    <xf numFmtId="0" fontId="76" fillId="0" borderId="9" xfId="0" applyFont="1" applyBorder="1" applyAlignment="1">
      <alignment horizontal="center"/>
    </xf>
    <xf numFmtId="0" fontId="0" fillId="33" borderId="4" xfId="0" applyFill="1" applyBorder="1" applyProtection="1">
      <protection locked="0"/>
    </xf>
    <xf numFmtId="43" fontId="68" fillId="0" borderId="0" xfId="9" applyFont="1"/>
    <xf numFmtId="0" fontId="0" fillId="33" borderId="18" xfId="0" applyFill="1" applyBorder="1"/>
    <xf numFmtId="0" fontId="0" fillId="23" borderId="0" xfId="0" applyFill="1"/>
    <xf numFmtId="4" fontId="0" fillId="23" borderId="0" xfId="0" applyNumberFormat="1" applyFill="1"/>
    <xf numFmtId="4" fontId="125" fillId="33" borderId="9" xfId="0" applyNumberFormat="1" applyFont="1" applyFill="1" applyBorder="1" applyAlignment="1">
      <alignment vertical="center" wrapText="1"/>
    </xf>
    <xf numFmtId="4" fontId="125" fillId="33" borderId="9" xfId="0" applyNumberFormat="1" applyFont="1" applyFill="1" applyBorder="1" applyAlignment="1">
      <alignment horizontal="right" vertical="center" wrapText="1"/>
    </xf>
    <xf numFmtId="4" fontId="125" fillId="33" borderId="9" xfId="0" applyNumberFormat="1" applyFont="1" applyFill="1" applyBorder="1" applyAlignment="1">
      <alignment horizontal="right" vertical="center"/>
    </xf>
    <xf numFmtId="0" fontId="1" fillId="0" borderId="0" xfId="0" applyFont="1" applyFill="1" applyBorder="1" applyAlignment="1">
      <alignment horizontal="left" vertical="center" wrapText="1"/>
    </xf>
    <xf numFmtId="0" fontId="96" fillId="0" borderId="0" xfId="0" applyFont="1" applyAlignment="1">
      <alignment horizontal="left" vertical="center" wrapText="1"/>
    </xf>
    <xf numFmtId="43" fontId="68" fillId="0" borderId="0" xfId="9" applyFont="1"/>
    <xf numFmtId="43" fontId="1" fillId="0" borderId="0" xfId="9" applyFont="1" applyFill="1" applyBorder="1" applyAlignment="1">
      <alignment horizontal="left" vertical="center" wrapText="1"/>
    </xf>
    <xf numFmtId="0" fontId="96" fillId="0" borderId="0" xfId="0" applyFont="1" applyFill="1" applyBorder="1" applyAlignment="1">
      <alignment wrapText="1"/>
    </xf>
    <xf numFmtId="0" fontId="96" fillId="0" borderId="0" xfId="0" applyFont="1" applyAlignment="1">
      <alignment horizontal="center"/>
    </xf>
    <xf numFmtId="0" fontId="5" fillId="2" borderId="0" xfId="0" applyFont="1" applyFill="1" applyAlignment="1"/>
    <xf numFmtId="0" fontId="5" fillId="2" borderId="0" xfId="0" applyFont="1" applyFill="1" applyAlignment="1" applyProtection="1">
      <protection locked="0"/>
    </xf>
    <xf numFmtId="0" fontId="76" fillId="0" borderId="92" xfId="0" applyFont="1" applyBorder="1" applyAlignment="1">
      <alignment horizontal="left"/>
    </xf>
    <xf numFmtId="0" fontId="76" fillId="0" borderId="92" xfId="0" applyFont="1" applyBorder="1"/>
    <xf numFmtId="0" fontId="0" fillId="0" borderId="92" xfId="0" applyBorder="1"/>
    <xf numFmtId="43" fontId="96" fillId="0" borderId="17" xfId="9" applyFont="1" applyBorder="1" applyAlignment="1">
      <alignment horizontal="right" vertical="center"/>
    </xf>
    <xf numFmtId="0" fontId="76" fillId="0" borderId="9" xfId="0" applyFont="1" applyBorder="1" applyAlignment="1">
      <alignment horizontal="center"/>
    </xf>
    <xf numFmtId="43" fontId="68" fillId="0" borderId="0" xfId="9" applyFont="1"/>
    <xf numFmtId="43" fontId="68" fillId="0" borderId="9" xfId="9" applyFont="1" applyBorder="1"/>
    <xf numFmtId="43" fontId="68" fillId="0" borderId="0" xfId="9" applyFont="1"/>
    <xf numFmtId="43" fontId="131" fillId="33" borderId="9" xfId="9" applyFont="1" applyFill="1" applyBorder="1"/>
    <xf numFmtId="0" fontId="131" fillId="0" borderId="0" xfId="0" applyFont="1" applyBorder="1"/>
    <xf numFmtId="43" fontId="131" fillId="0" borderId="0" xfId="9" applyFont="1" applyBorder="1"/>
    <xf numFmtId="4" fontId="81" fillId="0" borderId="33" xfId="0" applyNumberFormat="1" applyFont="1" applyBorder="1"/>
    <xf numFmtId="43" fontId="68" fillId="0" borderId="0" xfId="9" applyFont="1"/>
    <xf numFmtId="4" fontId="81" fillId="33" borderId="9" xfId="0" applyNumberFormat="1" applyFont="1" applyFill="1" applyBorder="1"/>
    <xf numFmtId="4" fontId="81" fillId="33" borderId="33" xfId="0" applyNumberFormat="1" applyFont="1" applyFill="1" applyBorder="1"/>
    <xf numFmtId="173" fontId="91" fillId="0" borderId="9" xfId="0" applyNumberFormat="1" applyFont="1" applyBorder="1"/>
    <xf numFmtId="4" fontId="142" fillId="0" borderId="0" xfId="0" applyNumberFormat="1" applyFont="1" applyBorder="1" applyAlignment="1">
      <alignment horizontal="right" vertical="center" wrapText="1"/>
    </xf>
    <xf numFmtId="0" fontId="96" fillId="0" borderId="0" xfId="0" applyFont="1" applyAlignment="1">
      <alignment horizontal="left" vertical="center" wrapText="1"/>
    </xf>
    <xf numFmtId="9" fontId="91" fillId="0" borderId="9" xfId="17" applyNumberFormat="1" applyFont="1" applyBorder="1" applyAlignment="1">
      <alignment horizontal="center"/>
    </xf>
    <xf numFmtId="0" fontId="79" fillId="0" borderId="0" xfId="0" applyFont="1" applyAlignment="1">
      <alignment horizontal="center"/>
    </xf>
    <xf numFmtId="0" fontId="79" fillId="0" borderId="0" xfId="0" applyFont="1" applyAlignment="1" applyProtection="1">
      <alignment horizontal="center" wrapText="1"/>
      <protection locked="0"/>
    </xf>
    <xf numFmtId="0" fontId="199" fillId="0" borderId="0" xfId="0" applyFont="1" applyAlignment="1">
      <alignment horizontal="center"/>
    </xf>
    <xf numFmtId="0" fontId="0" fillId="0" borderId="0" xfId="0" applyAlignment="1">
      <alignment horizontal="center"/>
    </xf>
    <xf numFmtId="43" fontId="76" fillId="18" borderId="9" xfId="9" applyFont="1" applyFill="1" applyBorder="1" applyAlignment="1">
      <alignment horizontal="center" vertical="center"/>
    </xf>
    <xf numFmtId="0" fontId="76" fillId="0" borderId="0" xfId="0" applyFont="1" applyAlignment="1">
      <alignment horizontal="center"/>
    </xf>
    <xf numFmtId="43" fontId="76" fillId="0" borderId="0" xfId="9" applyFont="1" applyAlignment="1">
      <alignment horizontal="center" vertical="center"/>
    </xf>
    <xf numFmtId="0" fontId="200" fillId="0" borderId="33" xfId="0" applyFont="1" applyFill="1" applyBorder="1" applyAlignment="1" applyProtection="1">
      <alignment horizontal="left" vertical="center" wrapText="1"/>
      <protection locked="0"/>
    </xf>
    <xf numFmtId="0" fontId="200" fillId="0" borderId="34" xfId="0" applyFont="1" applyFill="1" applyBorder="1" applyAlignment="1" applyProtection="1">
      <alignment horizontal="left" vertical="center" wrapText="1"/>
      <protection locked="0"/>
    </xf>
    <xf numFmtId="0" fontId="200" fillId="0" borderId="35" xfId="0" applyFont="1" applyFill="1" applyBorder="1" applyAlignment="1" applyProtection="1">
      <alignment horizontal="left" vertical="center" wrapText="1"/>
      <protection locked="0"/>
    </xf>
    <xf numFmtId="0" fontId="0" fillId="0" borderId="30" xfId="0" applyBorder="1" applyAlignment="1">
      <alignment horizontal="center" vertical="center"/>
    </xf>
    <xf numFmtId="0" fontId="200" fillId="0" borderId="33" xfId="0" applyFont="1" applyBorder="1" applyAlignment="1">
      <alignment horizontal="center" vertical="center"/>
    </xf>
    <xf numFmtId="0" fontId="200" fillId="0" borderId="34" xfId="0" applyFont="1" applyBorder="1" applyAlignment="1">
      <alignment horizontal="center" vertical="center"/>
    </xf>
    <xf numFmtId="0" fontId="200" fillId="0" borderId="35" xfId="0" applyFont="1" applyBorder="1" applyAlignment="1">
      <alignment horizontal="center" vertical="center"/>
    </xf>
    <xf numFmtId="0" fontId="128" fillId="0" borderId="0" xfId="0" applyFont="1" applyAlignment="1">
      <alignment horizontal="center"/>
    </xf>
    <xf numFmtId="0" fontId="87" fillId="0" borderId="0" xfId="0" applyFont="1" applyAlignment="1">
      <alignment horizontal="center"/>
    </xf>
    <xf numFmtId="0" fontId="87" fillId="0" borderId="9" xfId="0" applyFont="1" applyBorder="1" applyAlignment="1">
      <alignment horizontal="center"/>
    </xf>
    <xf numFmtId="0" fontId="94" fillId="0" borderId="0" xfId="0" applyFont="1" applyBorder="1" applyAlignment="1">
      <alignment horizontal="center"/>
    </xf>
    <xf numFmtId="0" fontId="50" fillId="0" borderId="0" xfId="14" applyFont="1" applyBorder="1" applyAlignment="1">
      <alignment horizontal="justify"/>
    </xf>
    <xf numFmtId="0" fontId="50" fillId="0" borderId="0" xfId="14" applyFont="1" applyFill="1" applyAlignment="1">
      <alignment horizontal="left" wrapText="1"/>
    </xf>
    <xf numFmtId="0" fontId="96" fillId="31" borderId="0" xfId="14" applyFont="1" applyFill="1" applyAlignment="1">
      <alignment horizontal="left"/>
    </xf>
    <xf numFmtId="0" fontId="1" fillId="18" borderId="0" xfId="14" applyFont="1" applyFill="1" applyAlignment="1">
      <alignment horizontal="center"/>
    </xf>
    <xf numFmtId="0" fontId="50" fillId="0" borderId="0" xfId="14" applyFont="1" applyBorder="1" applyAlignment="1">
      <alignment horizontal="justify" wrapText="1"/>
    </xf>
    <xf numFmtId="0" fontId="50" fillId="31" borderId="0" xfId="14" applyFont="1" applyFill="1" applyBorder="1" applyAlignment="1">
      <alignment horizontal="justify" wrapText="1"/>
    </xf>
    <xf numFmtId="0" fontId="1" fillId="18" borderId="0" xfId="14" applyFont="1" applyFill="1" applyBorder="1" applyAlignment="1">
      <alignment horizontal="center"/>
    </xf>
    <xf numFmtId="0" fontId="120" fillId="19" borderId="28" xfId="0" applyFont="1" applyFill="1" applyBorder="1" applyAlignment="1">
      <alignment horizontal="center"/>
    </xf>
    <xf numFmtId="0" fontId="120" fillId="19" borderId="13" xfId="0" applyFont="1" applyFill="1" applyBorder="1" applyAlignment="1">
      <alignment horizontal="center"/>
    </xf>
    <xf numFmtId="0" fontId="120" fillId="19" borderId="29" xfId="0" applyFont="1" applyFill="1" applyBorder="1" applyAlignment="1">
      <alignment horizontal="center"/>
    </xf>
    <xf numFmtId="0" fontId="120" fillId="19" borderId="0" xfId="0" applyFont="1" applyFill="1" applyAlignment="1">
      <alignment horizontal="center"/>
    </xf>
    <xf numFmtId="0" fontId="0" fillId="11" borderId="9" xfId="0" applyFill="1" applyBorder="1" applyAlignment="1" applyProtection="1">
      <alignment horizontal="left"/>
      <protection locked="0"/>
    </xf>
    <xf numFmtId="0" fontId="0" fillId="13" borderId="0" xfId="0" applyFill="1" applyAlignment="1">
      <alignment horizontal="center"/>
    </xf>
    <xf numFmtId="0" fontId="0" fillId="33" borderId="9" xfId="0" applyFill="1" applyBorder="1" applyAlignment="1">
      <alignment horizontal="center"/>
    </xf>
    <xf numFmtId="0" fontId="0" fillId="40" borderId="9" xfId="0" applyFill="1" applyBorder="1" applyAlignment="1">
      <alignment horizontal="center"/>
    </xf>
    <xf numFmtId="0" fontId="96" fillId="0" borderId="0" xfId="0" applyFont="1" applyAlignment="1">
      <alignment vertical="center" wrapText="1"/>
    </xf>
    <xf numFmtId="0" fontId="101" fillId="0" borderId="0" xfId="0" applyFont="1" applyAlignment="1">
      <alignment vertical="center"/>
    </xf>
    <xf numFmtId="0" fontId="129" fillId="0" borderId="0" xfId="0" applyFont="1" applyAlignment="1">
      <alignment vertical="center" wrapText="1"/>
    </xf>
    <xf numFmtId="0" fontId="201" fillId="0" borderId="0" xfId="0" applyFont="1" applyAlignment="1">
      <alignment vertical="center"/>
    </xf>
    <xf numFmtId="0" fontId="104" fillId="0" borderId="0" xfId="0" applyFont="1" applyAlignment="1">
      <alignment vertical="center" wrapText="1"/>
    </xf>
    <xf numFmtId="0" fontId="96" fillId="0" borderId="0" xfId="0" applyFont="1" applyAlignment="1">
      <alignment horizontal="left" vertical="center" wrapText="1"/>
    </xf>
    <xf numFmtId="0" fontId="50" fillId="0" borderId="0" xfId="0" applyFont="1" applyAlignment="1">
      <alignment horizontal="left" wrapText="1"/>
    </xf>
    <xf numFmtId="0" fontId="51" fillId="0" borderId="0" xfId="0" applyFont="1" applyAlignment="1">
      <alignment horizontal="left" wrapText="1"/>
    </xf>
    <xf numFmtId="0" fontId="91" fillId="0" borderId="0" xfId="0" applyFont="1" applyAlignment="1">
      <alignment horizontal="left" vertical="center" wrapText="1"/>
    </xf>
    <xf numFmtId="0" fontId="91" fillId="0" borderId="0" xfId="0" applyNumberFormat="1" applyFont="1" applyAlignment="1">
      <alignment horizontal="left" vertical="center" wrapText="1"/>
    </xf>
    <xf numFmtId="0" fontId="96" fillId="0" borderId="0" xfId="0" applyFont="1" applyAlignment="1">
      <alignment horizontal="center"/>
    </xf>
    <xf numFmtId="0" fontId="96" fillId="0" borderId="0" xfId="0" applyFont="1" applyAlignment="1">
      <alignment horizontal="left" wrapText="1"/>
    </xf>
    <xf numFmtId="0" fontId="91" fillId="0" borderId="0" xfId="0" applyFont="1" applyAlignment="1">
      <alignment horizontal="center"/>
    </xf>
    <xf numFmtId="0" fontId="50" fillId="0" borderId="0" xfId="0" applyFont="1" applyAlignment="1">
      <alignment wrapText="1"/>
    </xf>
    <xf numFmtId="0" fontId="50" fillId="0" borderId="0" xfId="0" applyFont="1" applyAlignment="1">
      <alignment horizontal="left" vertical="center" wrapText="1"/>
    </xf>
    <xf numFmtId="0" fontId="83" fillId="0" borderId="0" xfId="0" applyFont="1" applyAlignment="1">
      <alignment horizontal="left" vertical="center" wrapText="1"/>
    </xf>
    <xf numFmtId="0" fontId="51" fillId="0" borderId="0" xfId="0" applyFont="1" applyAlignment="1">
      <alignment wrapText="1"/>
    </xf>
    <xf numFmtId="0" fontId="91" fillId="0" borderId="0" xfId="0" applyFont="1" applyAlignment="1">
      <alignment horizontal="left"/>
    </xf>
    <xf numFmtId="0" fontId="86" fillId="0" borderId="0" xfId="0" applyFont="1" applyAlignment="1">
      <alignment horizontal="center"/>
    </xf>
    <xf numFmtId="0" fontId="96" fillId="0" borderId="0" xfId="0" applyFont="1" applyAlignment="1">
      <alignment horizontal="left"/>
    </xf>
    <xf numFmtId="0" fontId="128" fillId="0" borderId="0" xfId="0" applyFont="1" applyAlignment="1" applyProtection="1">
      <alignment horizontal="center" wrapText="1"/>
      <protection locked="0"/>
    </xf>
    <xf numFmtId="0" fontId="127" fillId="0" borderId="0" xfId="0" applyFont="1" applyAlignment="1" applyProtection="1">
      <alignment horizontal="center"/>
      <protection locked="0"/>
    </xf>
    <xf numFmtId="0" fontId="96" fillId="0" borderId="9" xfId="0" applyFont="1" applyBorder="1" applyAlignment="1">
      <alignment horizontal="left" vertical="center"/>
    </xf>
    <xf numFmtId="49" fontId="96" fillId="0" borderId="9" xfId="0" applyNumberFormat="1" applyFont="1" applyBorder="1" applyAlignment="1">
      <alignment horizontal="center" vertical="center"/>
    </xf>
    <xf numFmtId="0" fontId="91" fillId="0" borderId="9" xfId="0" applyFont="1" applyBorder="1" applyAlignment="1">
      <alignment horizontal="center" vertical="center" wrapText="1"/>
    </xf>
    <xf numFmtId="0" fontId="101" fillId="0" borderId="0" xfId="0" applyFont="1" applyAlignment="1">
      <alignment horizontal="left" vertical="center" wrapText="1"/>
    </xf>
    <xf numFmtId="1" fontId="105" fillId="14" borderId="9" xfId="0" applyNumberFormat="1" applyFont="1" applyFill="1" applyBorder="1" applyAlignment="1">
      <alignment horizontal="center"/>
    </xf>
    <xf numFmtId="0" fontId="105" fillId="14" borderId="9" xfId="0" applyFont="1" applyFill="1" applyBorder="1" applyAlignment="1">
      <alignment horizontal="center"/>
    </xf>
    <xf numFmtId="0" fontId="84" fillId="0" borderId="33" xfId="0" applyFont="1" applyBorder="1" applyAlignment="1">
      <alignment horizontal="left" wrapText="1"/>
    </xf>
    <xf numFmtId="0" fontId="84" fillId="0" borderId="35" xfId="0" applyFont="1" applyBorder="1" applyAlignment="1">
      <alignment horizontal="left" wrapText="1"/>
    </xf>
    <xf numFmtId="0" fontId="3" fillId="0" borderId="50" xfId="0" applyFont="1" applyBorder="1" applyAlignment="1">
      <alignment horizontal="center"/>
    </xf>
    <xf numFmtId="0" fontId="3" fillId="0" borderId="58" xfId="0" applyFont="1" applyBorder="1" applyAlignment="1">
      <alignment horizontal="center"/>
    </xf>
    <xf numFmtId="0" fontId="3" fillId="0" borderId="51" xfId="0" applyFont="1" applyBorder="1" applyAlignment="1">
      <alignment horizontal="center"/>
    </xf>
    <xf numFmtId="0" fontId="3" fillId="0" borderId="0" xfId="0" applyNumberFormat="1" applyFont="1" applyFill="1" applyAlignment="1">
      <alignment horizontal="left" vertical="center" wrapText="1"/>
    </xf>
    <xf numFmtId="0" fontId="3" fillId="0" borderId="35" xfId="0" applyFont="1" applyBorder="1" applyAlignment="1">
      <alignment horizontal="center"/>
    </xf>
    <xf numFmtId="0" fontId="3" fillId="0" borderId="17" xfId="0" applyFont="1" applyBorder="1" applyAlignment="1">
      <alignment horizontal="center"/>
    </xf>
    <xf numFmtId="0" fontId="3" fillId="0" borderId="9" xfId="0" applyFont="1" applyBorder="1" applyAlignment="1">
      <alignment horizontal="center"/>
    </xf>
    <xf numFmtId="0" fontId="3" fillId="0" borderId="33" xfId="0" applyFont="1" applyBorder="1" applyAlignment="1">
      <alignment horizontal="center"/>
    </xf>
    <xf numFmtId="0" fontId="37" fillId="25" borderId="42" xfId="0" applyNumberFormat="1" applyFont="1" applyFill="1"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5" borderId="0" xfId="0" applyFill="1" applyAlignment="1">
      <alignment horizontal="center" vertical="center"/>
    </xf>
    <xf numFmtId="0" fontId="124" fillId="25" borderId="17" xfId="0" applyFont="1" applyFill="1" applyBorder="1" applyAlignment="1">
      <alignment horizontal="center" vertical="center"/>
    </xf>
    <xf numFmtId="0" fontId="124" fillId="25" borderId="31" xfId="0" applyFont="1" applyFill="1" applyBorder="1" applyAlignment="1">
      <alignment horizontal="center" vertical="center"/>
    </xf>
    <xf numFmtId="0" fontId="35" fillId="25" borderId="17" xfId="0" applyNumberFormat="1" applyFont="1" applyFill="1" applyBorder="1" applyAlignment="1">
      <alignment horizontal="center" vertical="center" wrapText="1"/>
    </xf>
    <xf numFmtId="0" fontId="35" fillId="25" borderId="31" xfId="0" applyNumberFormat="1" applyFont="1" applyFill="1" applyBorder="1" applyAlignment="1">
      <alignment horizontal="center" vertical="center" wrapText="1"/>
    </xf>
    <xf numFmtId="0" fontId="105" fillId="25" borderId="17" xfId="0" applyFont="1" applyFill="1" applyBorder="1" applyAlignment="1">
      <alignment horizontal="center" vertical="center" wrapText="1"/>
    </xf>
    <xf numFmtId="0" fontId="105" fillId="25" borderId="31" xfId="0" applyFont="1" applyFill="1" applyBorder="1" applyAlignment="1">
      <alignment horizontal="center" vertical="center" wrapText="1"/>
    </xf>
    <xf numFmtId="0" fontId="3" fillId="0" borderId="0" xfId="0" applyFont="1" applyAlignment="1">
      <alignment horizontal="justify" vertical="top"/>
    </xf>
    <xf numFmtId="0" fontId="50" fillId="0" borderId="0" xfId="0" applyFont="1" applyBorder="1" applyAlignment="1">
      <alignment horizontal="left" wrapText="1"/>
    </xf>
    <xf numFmtId="0" fontId="1" fillId="0" borderId="33" xfId="0" applyFont="1" applyBorder="1" applyAlignment="1">
      <alignment horizontal="left" wrapText="1"/>
    </xf>
    <xf numFmtId="0" fontId="1" fillId="0" borderId="35" xfId="0" applyFont="1" applyBorder="1" applyAlignment="1">
      <alignment horizontal="left" wrapText="1"/>
    </xf>
    <xf numFmtId="0" fontId="183" fillId="0" borderId="0" xfId="0" applyFont="1" applyAlignment="1">
      <alignment horizontal="left" vertical="center" wrapText="1"/>
    </xf>
    <xf numFmtId="0" fontId="91" fillId="0" borderId="19" xfId="0" applyFont="1" applyBorder="1" applyAlignment="1">
      <alignment vertical="center" wrapText="1"/>
    </xf>
    <xf numFmtId="0" fontId="21" fillId="0" borderId="0" xfId="0" applyFont="1" applyAlignment="1">
      <alignment horizontal="left" vertical="center" wrapText="1"/>
    </xf>
    <xf numFmtId="0" fontId="50" fillId="0" borderId="0" xfId="0" applyFont="1" applyFill="1" applyBorder="1" applyAlignment="1">
      <alignment horizontal="left" vertical="center" wrapText="1"/>
    </xf>
    <xf numFmtId="0" fontId="50" fillId="0" borderId="0" xfId="0" applyFont="1" applyFill="1" applyAlignment="1">
      <alignment horizontal="left" vertical="center" wrapText="1"/>
    </xf>
    <xf numFmtId="0" fontId="96" fillId="0" borderId="0" xfId="0" applyFont="1" applyFill="1" applyAlignment="1">
      <alignment horizontal="left" vertical="center" wrapText="1"/>
    </xf>
    <xf numFmtId="0" fontId="91" fillId="14" borderId="9" xfId="0" applyFont="1" applyFill="1" applyBorder="1" applyAlignment="1">
      <alignment horizontal="center" vertical="center"/>
    </xf>
    <xf numFmtId="0" fontId="91" fillId="0" borderId="0" xfId="0" applyFont="1" applyAlignment="1">
      <alignment horizontal="left" vertical="center"/>
    </xf>
    <xf numFmtId="0" fontId="96" fillId="33" borderId="0" xfId="0" applyFont="1" applyFill="1" applyAlignment="1">
      <alignment horizontal="left" vertical="center" wrapText="1"/>
    </xf>
    <xf numFmtId="0" fontId="96" fillId="0" borderId="0" xfId="0" applyFont="1" applyFill="1" applyAlignment="1">
      <alignment horizontal="left" wrapText="1"/>
    </xf>
    <xf numFmtId="0" fontId="96" fillId="31" borderId="0" xfId="0" applyFont="1" applyFill="1" applyAlignment="1">
      <alignment horizontal="left" vertical="center" wrapText="1"/>
    </xf>
    <xf numFmtId="0" fontId="101" fillId="0" borderId="16" xfId="0" applyFont="1" applyBorder="1" applyAlignment="1">
      <alignment horizontal="left" vertical="center" wrapText="1"/>
    </xf>
    <xf numFmtId="0" fontId="91" fillId="0" borderId="33" xfId="0" applyFont="1" applyBorder="1" applyAlignment="1">
      <alignment horizontal="left" wrapText="1"/>
    </xf>
    <xf numFmtId="0" fontId="91" fillId="0" borderId="35" xfId="0" applyFont="1" applyBorder="1" applyAlignment="1">
      <alignment horizontal="left" wrapText="1"/>
    </xf>
    <xf numFmtId="0" fontId="96" fillId="0" borderId="16" xfId="0" applyFont="1" applyBorder="1" applyAlignment="1">
      <alignment horizontal="left" wrapText="1"/>
    </xf>
    <xf numFmtId="0" fontId="91" fillId="0" borderId="0" xfId="0" applyFont="1" applyFill="1" applyAlignment="1">
      <alignment horizontal="left" wrapText="1"/>
    </xf>
    <xf numFmtId="17" fontId="0" fillId="21" borderId="19" xfId="0" applyNumberFormat="1" applyFill="1" applyBorder="1" applyAlignment="1">
      <alignment horizontal="center"/>
    </xf>
    <xf numFmtId="0" fontId="0" fillId="21" borderId="19" xfId="0" applyFill="1" applyBorder="1" applyAlignment="1">
      <alignment horizontal="center"/>
    </xf>
    <xf numFmtId="0" fontId="76" fillId="0" borderId="9" xfId="0" applyFont="1" applyBorder="1" applyAlignment="1">
      <alignment horizontal="center"/>
    </xf>
    <xf numFmtId="0" fontId="0" fillId="0" borderId="19" xfId="0" applyBorder="1" applyAlignment="1">
      <alignment horizontal="center"/>
    </xf>
    <xf numFmtId="0" fontId="105" fillId="0" borderId="0" xfId="0" applyFont="1" applyAlignment="1">
      <alignment horizontal="center"/>
    </xf>
    <xf numFmtId="0" fontId="94" fillId="0" borderId="0" xfId="0" applyFont="1" applyAlignment="1">
      <alignment horizontal="center"/>
    </xf>
    <xf numFmtId="0" fontId="189" fillId="0" borderId="0" xfId="0" applyFont="1" applyAlignment="1">
      <alignment horizontal="center" vertical="center"/>
    </xf>
    <xf numFmtId="0" fontId="142" fillId="0" borderId="0" xfId="0" applyFont="1" applyAlignment="1">
      <alignment horizontal="center" vertical="center"/>
    </xf>
    <xf numFmtId="0" fontId="0" fillId="0" borderId="0" xfId="0" applyAlignment="1">
      <alignment horizontal="left" wrapText="1"/>
    </xf>
    <xf numFmtId="0" fontId="1" fillId="0" borderId="9" xfId="0" applyFont="1" applyFill="1" applyBorder="1" applyAlignment="1">
      <alignment horizontal="left" vertical="center" wrapText="1"/>
    </xf>
    <xf numFmtId="0" fontId="150" fillId="0" borderId="0" xfId="0" applyFont="1" applyFill="1" applyBorder="1" applyAlignment="1">
      <alignment horizontal="center" vertical="center"/>
    </xf>
    <xf numFmtId="0" fontId="100" fillId="0" borderId="0" xfId="0" applyFont="1" applyFill="1" applyBorder="1" applyAlignment="1">
      <alignment horizontal="center" vertical="center"/>
    </xf>
    <xf numFmtId="0" fontId="0" fillId="0" borderId="0" xfId="0" applyFill="1" applyBorder="1" applyAlignment="1">
      <alignment horizontal="center" vertical="top"/>
    </xf>
    <xf numFmtId="0" fontId="84" fillId="0" borderId="0" xfId="0" applyFont="1" applyBorder="1" applyAlignment="1">
      <alignment horizontal="center"/>
    </xf>
    <xf numFmtId="4" fontId="84" fillId="0" borderId="0" xfId="0" applyNumberFormat="1" applyFont="1" applyBorder="1" applyAlignment="1">
      <alignment horizontal="center"/>
    </xf>
    <xf numFmtId="0" fontId="1" fillId="0" borderId="0" xfId="0" applyFont="1" applyFill="1" applyBorder="1" applyAlignment="1">
      <alignment horizontal="left" vertical="center" wrapText="1"/>
    </xf>
    <xf numFmtId="0" fontId="105" fillId="0" borderId="0" xfId="0" applyFont="1" applyBorder="1" applyAlignment="1">
      <alignment horizontal="center"/>
    </xf>
    <xf numFmtId="0" fontId="84" fillId="0" borderId="0" xfId="0" applyFont="1" applyBorder="1" applyAlignment="1"/>
    <xf numFmtId="0" fontId="84" fillId="0" borderId="0" xfId="0" applyFont="1" applyAlignment="1">
      <alignment horizontal="center"/>
    </xf>
    <xf numFmtId="0" fontId="84" fillId="0" borderId="0" xfId="0" applyFont="1" applyAlignment="1"/>
    <xf numFmtId="0" fontId="9" fillId="0" borderId="0" xfId="0" applyFont="1" applyFill="1" applyBorder="1" applyAlignment="1">
      <alignment horizontal="left" vertical="center" wrapText="1"/>
    </xf>
    <xf numFmtId="0" fontId="83" fillId="0" borderId="0" xfId="0" applyFont="1" applyAlignment="1">
      <alignment horizontal="center"/>
    </xf>
    <xf numFmtId="0" fontId="15" fillId="0" borderId="0" xfId="0" applyFont="1" applyFill="1" applyBorder="1" applyAlignment="1">
      <alignment horizontal="left" vertical="center" wrapText="1"/>
    </xf>
    <xf numFmtId="0" fontId="193" fillId="0" borderId="0" xfId="0" applyFont="1" applyAlignment="1">
      <alignment horizontal="center"/>
    </xf>
    <xf numFmtId="0" fontId="193" fillId="0" borderId="0" xfId="0" applyFont="1" applyAlignment="1"/>
    <xf numFmtId="0" fontId="124" fillId="0" borderId="0" xfId="0" applyFont="1" applyAlignment="1">
      <alignment horizontal="center"/>
    </xf>
    <xf numFmtId="0" fontId="202" fillId="0" borderId="0" xfId="0" applyFont="1" applyAlignment="1">
      <alignment horizontal="center" vertical="center"/>
    </xf>
    <xf numFmtId="0" fontId="0" fillId="0" borderId="0" xfId="0" applyAlignment="1">
      <alignment horizontal="center" vertical="center"/>
    </xf>
    <xf numFmtId="0" fontId="37" fillId="0" borderId="0" xfId="0" applyNumberFormat="1" applyFont="1" applyFill="1" applyAlignment="1">
      <alignment horizontal="center"/>
    </xf>
    <xf numFmtId="0" fontId="111" fillId="26" borderId="86" xfId="4" applyFont="1" applyFill="1" applyAlignment="1">
      <alignment horizontal="center" vertical="center"/>
    </xf>
    <xf numFmtId="0" fontId="84" fillId="0" borderId="0" xfId="0" applyFont="1" applyAlignment="1">
      <alignment horizontal="left" vertical="center" wrapText="1"/>
    </xf>
    <xf numFmtId="0" fontId="86" fillId="0" borderId="0" xfId="0" applyFont="1" applyAlignment="1">
      <alignment horizontal="left" vertical="center" wrapText="1"/>
    </xf>
    <xf numFmtId="0" fontId="19" fillId="0" borderId="0" xfId="0" applyFont="1" applyAlignment="1">
      <alignment horizontal="left" vertical="center" wrapText="1"/>
    </xf>
    <xf numFmtId="0" fontId="105" fillId="14" borderId="9" xfId="0" applyFont="1" applyFill="1" applyBorder="1" applyAlignment="1">
      <alignment horizontal="center" vertical="center"/>
    </xf>
    <xf numFmtId="0" fontId="89" fillId="0" borderId="0" xfId="0" applyFont="1" applyAlignment="1">
      <alignment horizontal="left" vertical="center" wrapText="1"/>
    </xf>
    <xf numFmtId="0" fontId="87" fillId="0" borderId="0" xfId="0" applyFont="1" applyAlignment="1">
      <alignment horizontal="left" vertical="center" wrapText="1"/>
    </xf>
    <xf numFmtId="0" fontId="104" fillId="0" borderId="16" xfId="0" applyFont="1" applyBorder="1" applyAlignment="1">
      <alignment horizontal="left" vertical="center" wrapText="1"/>
    </xf>
    <xf numFmtId="0" fontId="86" fillId="0" borderId="0" xfId="0" applyFont="1" applyAlignment="1">
      <alignment horizontal="left" vertical="center"/>
    </xf>
    <xf numFmtId="0" fontId="7"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pplyProtection="1">
      <alignment horizontal="center"/>
      <protection locked="0"/>
    </xf>
    <xf numFmtId="0" fontId="96" fillId="0" borderId="33" xfId="0" applyFont="1" applyBorder="1" applyAlignment="1">
      <alignment horizontal="left" vertical="center"/>
    </xf>
    <xf numFmtId="0" fontId="96" fillId="0" borderId="34" xfId="0" applyFont="1" applyBorder="1" applyAlignment="1">
      <alignment horizontal="left" vertical="center"/>
    </xf>
    <xf numFmtId="0" fontId="96" fillId="0" borderId="35" xfId="0" applyFont="1" applyBorder="1" applyAlignment="1">
      <alignment horizontal="left" vertical="center"/>
    </xf>
    <xf numFmtId="0" fontId="96" fillId="0" borderId="0" xfId="0" applyFont="1" applyAlignment="1">
      <alignment horizontal="right"/>
    </xf>
    <xf numFmtId="0" fontId="96" fillId="0" borderId="25" xfId="0" applyFont="1" applyBorder="1" applyAlignment="1">
      <alignment horizontal="left"/>
    </xf>
    <xf numFmtId="0" fontId="96" fillId="0" borderId="19" xfId="0" applyFont="1" applyBorder="1" applyAlignment="1">
      <alignment horizontal="left"/>
    </xf>
    <xf numFmtId="0" fontId="96" fillId="0" borderId="55" xfId="0" applyFont="1" applyBorder="1" applyAlignment="1">
      <alignment horizontal="left"/>
    </xf>
    <xf numFmtId="0" fontId="96" fillId="0" borderId="9" xfId="0" applyFont="1" applyBorder="1" applyAlignment="1">
      <alignment horizontal="left" wrapText="1"/>
    </xf>
    <xf numFmtId="0" fontId="96" fillId="0" borderId="9" xfId="0" applyFont="1" applyBorder="1" applyAlignment="1">
      <alignment horizontal="left" vertical="center" wrapText="1"/>
    </xf>
    <xf numFmtId="0" fontId="96" fillId="0" borderId="53" xfId="0" applyFont="1" applyBorder="1" applyAlignment="1">
      <alignment horizontal="left" wrapText="1"/>
    </xf>
    <xf numFmtId="0" fontId="96" fillId="0" borderId="54" xfId="0" applyFont="1" applyBorder="1" applyAlignment="1">
      <alignment horizontal="left" wrapText="1"/>
    </xf>
    <xf numFmtId="0" fontId="91" fillId="0" borderId="33" xfId="0" applyFont="1" applyBorder="1" applyAlignment="1">
      <alignment horizontal="center" vertical="center"/>
    </xf>
    <xf numFmtId="0" fontId="91" fillId="0" borderId="34" xfId="0" applyFont="1" applyBorder="1" applyAlignment="1">
      <alignment horizontal="center" vertical="center"/>
    </xf>
    <xf numFmtId="0" fontId="91" fillId="0" borderId="35" xfId="0" applyFont="1" applyBorder="1" applyAlignment="1">
      <alignment horizontal="center" vertical="center"/>
    </xf>
    <xf numFmtId="0" fontId="91" fillId="0" borderId="9" xfId="0" applyFont="1" applyBorder="1" applyAlignment="1">
      <alignment horizontal="center" wrapText="1"/>
    </xf>
    <xf numFmtId="0" fontId="96" fillId="0" borderId="53" xfId="0" applyFont="1" applyBorder="1" applyAlignment="1">
      <alignment horizontal="left" vertical="center" wrapText="1"/>
    </xf>
    <xf numFmtId="0" fontId="96" fillId="0" borderId="16" xfId="0" applyFont="1" applyBorder="1" applyAlignment="1">
      <alignment horizontal="left" vertical="center" wrapText="1"/>
    </xf>
    <xf numFmtId="0" fontId="96" fillId="0" borderId="54" xfId="0" applyFont="1" applyBorder="1" applyAlignment="1">
      <alignment horizontal="left" vertical="center" wrapText="1"/>
    </xf>
    <xf numFmtId="0" fontId="96" fillId="0" borderId="18" xfId="0" applyFont="1" applyBorder="1" applyAlignment="1">
      <alignment horizontal="left" vertical="center" wrapText="1"/>
    </xf>
    <xf numFmtId="0" fontId="96" fillId="0" borderId="0" xfId="0" applyFont="1" applyBorder="1" applyAlignment="1">
      <alignment horizontal="left" vertical="center" wrapText="1"/>
    </xf>
    <xf numFmtId="0" fontId="96" fillId="0" borderId="30" xfId="0" applyFont="1" applyBorder="1" applyAlignment="1">
      <alignment horizontal="left" vertical="center" wrapText="1"/>
    </xf>
    <xf numFmtId="0" fontId="96" fillId="0" borderId="25" xfId="0" applyFont="1" applyBorder="1" applyAlignment="1">
      <alignment horizontal="left" vertical="center" wrapText="1"/>
    </xf>
    <xf numFmtId="0" fontId="96" fillId="0" borderId="19" xfId="0" applyFont="1" applyBorder="1" applyAlignment="1">
      <alignment horizontal="left" vertical="center" wrapText="1"/>
    </xf>
    <xf numFmtId="0" fontId="96" fillId="0" borderId="55" xfId="0" applyFont="1" applyBorder="1" applyAlignment="1">
      <alignment horizontal="left" vertical="center" wrapText="1"/>
    </xf>
    <xf numFmtId="0" fontId="129" fillId="0" borderId="0" xfId="0" applyFont="1" applyAlignment="1">
      <alignment horizontal="left" wrapText="1"/>
    </xf>
    <xf numFmtId="169" fontId="76" fillId="0" borderId="0" xfId="9" applyNumberFormat="1"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169" fontId="7" fillId="0" borderId="0" xfId="9" applyNumberFormat="1" applyFont="1" applyAlignment="1">
      <alignment horizontal="center"/>
    </xf>
    <xf numFmtId="169" fontId="8" fillId="0" borderId="0" xfId="9" applyNumberFormat="1" applyFont="1" applyAlignment="1">
      <alignment horizontal="center"/>
    </xf>
    <xf numFmtId="169" fontId="7" fillId="0" borderId="0" xfId="9" applyNumberFormat="1" applyFont="1" applyAlignment="1">
      <alignment vertical="center"/>
    </xf>
    <xf numFmtId="0" fontId="14" fillId="0" borderId="6" xfId="0" applyFont="1" applyBorder="1"/>
    <xf numFmtId="0" fontId="14" fillId="0" borderId="7" xfId="0" applyFont="1" applyBorder="1"/>
    <xf numFmtId="4" fontId="13" fillId="0" borderId="84" xfId="0" applyNumberFormat="1" applyFont="1" applyBorder="1" applyAlignment="1">
      <alignment horizontal="center" wrapText="1"/>
    </xf>
    <xf numFmtId="4" fontId="13" fillId="0" borderId="0" xfId="0" applyNumberFormat="1" applyFont="1" applyBorder="1" applyAlignment="1">
      <alignment horizontal="center" wrapText="1"/>
    </xf>
    <xf numFmtId="4" fontId="13" fillId="0" borderId="84" xfId="0" applyNumberFormat="1" applyFont="1" applyBorder="1" applyAlignment="1">
      <alignment horizontal="center" vertical="center" wrapText="1"/>
    </xf>
    <xf numFmtId="4" fontId="13" fillId="0" borderId="85" xfId="0" applyNumberFormat="1" applyFont="1" applyBorder="1" applyAlignment="1">
      <alignment horizontal="center" vertical="center" wrapText="1"/>
    </xf>
    <xf numFmtId="4" fontId="13" fillId="0" borderId="80" xfId="0" applyNumberFormat="1" applyFont="1" applyBorder="1" applyAlignment="1">
      <alignment horizontal="center" vertical="center" wrapText="1"/>
    </xf>
    <xf numFmtId="4" fontId="13" fillId="0" borderId="81" xfId="0" applyNumberFormat="1" applyFont="1" applyBorder="1" applyAlignment="1">
      <alignment horizontal="center" vertical="center" wrapText="1"/>
    </xf>
    <xf numFmtId="0" fontId="12" fillId="0" borderId="82" xfId="0" applyFont="1" applyBorder="1" applyAlignment="1">
      <alignment horizontal="center" vertical="center" wrapText="1"/>
    </xf>
    <xf numFmtId="0" fontId="12" fillId="0" borderId="83" xfId="0" applyFont="1" applyBorder="1" applyAlignment="1">
      <alignment horizontal="center" vertical="center" wrapText="1"/>
    </xf>
    <xf numFmtId="0" fontId="10" fillId="2" borderId="1"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2" borderId="0" xfId="0" applyFont="1" applyFill="1" applyBorder="1" applyAlignment="1">
      <alignment horizontal="center"/>
    </xf>
    <xf numFmtId="0" fontId="10" fillId="2" borderId="5" xfId="0" applyFont="1" applyFill="1" applyBorder="1" applyAlignment="1">
      <alignment horizontal="center"/>
    </xf>
    <xf numFmtId="0" fontId="11" fillId="2" borderId="4" xfId="0" applyFont="1" applyFill="1" applyBorder="1" applyAlignment="1" applyProtection="1">
      <alignment horizontal="center"/>
    </xf>
    <xf numFmtId="0" fontId="11" fillId="2" borderId="0" xfId="0" applyFont="1" applyFill="1" applyBorder="1" applyAlignment="1" applyProtection="1">
      <alignment horizontal="center"/>
    </xf>
    <xf numFmtId="0" fontId="11" fillId="2" borderId="5" xfId="0" applyFont="1" applyFill="1" applyBorder="1" applyAlignment="1" applyProtection="1">
      <alignment horizontal="center"/>
    </xf>
    <xf numFmtId="0" fontId="10" fillId="2" borderId="79" xfId="0" applyFont="1" applyFill="1" applyBorder="1" applyAlignment="1">
      <alignment horizontal="center"/>
    </xf>
    <xf numFmtId="0" fontId="10" fillId="2" borderId="14" xfId="0" applyFont="1" applyFill="1" applyBorder="1" applyAlignment="1">
      <alignment horizontal="center"/>
    </xf>
    <xf numFmtId="0" fontId="10" fillId="2" borderId="15" xfId="0" applyFont="1" applyFill="1" applyBorder="1" applyAlignment="1">
      <alignment horizontal="center"/>
    </xf>
    <xf numFmtId="0" fontId="34" fillId="22" borderId="89" xfId="14" applyFont="1" applyFill="1" applyBorder="1" applyAlignment="1">
      <alignment horizontal="center" vertical="center"/>
    </xf>
    <xf numFmtId="0" fontId="91" fillId="0" borderId="0" xfId="0" applyFont="1" applyAlignment="1">
      <alignment horizontal="center" vertical="center"/>
    </xf>
    <xf numFmtId="0" fontId="3" fillId="0" borderId="0" xfId="0" applyFont="1" applyAlignment="1">
      <alignment horizontal="center" vertical="center"/>
    </xf>
    <xf numFmtId="0" fontId="3" fillId="0" borderId="0" xfId="0" applyNumberFormat="1" applyFont="1" applyFill="1" applyAlignment="1">
      <alignment horizontal="left"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6" fillId="22" borderId="9" xfId="0" applyFont="1" applyFill="1" applyBorder="1" applyAlignment="1">
      <alignment horizontal="center" vertical="center"/>
    </xf>
    <xf numFmtId="0" fontId="55"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xf>
    <xf numFmtId="0" fontId="0" fillId="0" borderId="0" xfId="0" applyAlignment="1">
      <alignment horizontal="left"/>
    </xf>
    <xf numFmtId="0" fontId="0" fillId="0" borderId="0" xfId="0" applyAlignment="1">
      <alignment horizontal="left" vertical="center" wrapText="1"/>
    </xf>
    <xf numFmtId="0" fontId="162" fillId="0" borderId="35" xfId="0" applyFont="1" applyBorder="1" applyAlignment="1">
      <alignment horizontal="center"/>
    </xf>
    <xf numFmtId="0" fontId="162" fillId="0" borderId="17" xfId="0" applyFont="1" applyBorder="1" applyAlignment="1">
      <alignment horizontal="center"/>
    </xf>
    <xf numFmtId="0" fontId="162" fillId="0" borderId="9" xfId="0" applyFont="1" applyBorder="1" applyAlignment="1">
      <alignment horizontal="center"/>
    </xf>
    <xf numFmtId="0" fontId="162" fillId="0" borderId="33" xfId="0" applyFont="1" applyBorder="1" applyAlignment="1">
      <alignment horizontal="center"/>
    </xf>
    <xf numFmtId="0" fontId="203" fillId="0" borderId="0" xfId="0" applyFont="1" applyAlignment="1">
      <alignment vertical="top"/>
    </xf>
    <xf numFmtId="0" fontId="163" fillId="0" borderId="0" xfId="0" applyFont="1" applyAlignment="1">
      <alignment vertical="top"/>
    </xf>
    <xf numFmtId="0" fontId="162" fillId="0" borderId="50" xfId="0" applyFont="1" applyBorder="1" applyAlignment="1">
      <alignment horizontal="center"/>
    </xf>
    <xf numFmtId="0" fontId="162" fillId="0" borderId="58" xfId="0" applyFont="1" applyBorder="1" applyAlignment="1">
      <alignment horizontal="center"/>
    </xf>
    <xf numFmtId="0" fontId="162" fillId="0" borderId="51" xfId="0" applyFont="1" applyBorder="1" applyAlignment="1">
      <alignment horizontal="center"/>
    </xf>
    <xf numFmtId="0" fontId="163" fillId="0" borderId="0" xfId="0" applyFont="1" applyAlignment="1">
      <alignment horizontal="left" vertical="center" wrapText="1"/>
    </xf>
    <xf numFmtId="0" fontId="163" fillId="0" borderId="0" xfId="0" applyFont="1" applyAlignment="1">
      <alignment horizontal="left" wrapText="1"/>
    </xf>
    <xf numFmtId="0" fontId="163" fillId="0" borderId="0" xfId="0" applyFont="1" applyAlignment="1">
      <alignment horizontal="left"/>
    </xf>
    <xf numFmtId="0" fontId="204" fillId="0" borderId="0" xfId="0" applyFont="1" applyAlignment="1">
      <alignment horizontal="left" wrapText="1"/>
    </xf>
    <xf numFmtId="0" fontId="163" fillId="0" borderId="0" xfId="0" applyFont="1" applyAlignment="1">
      <alignment vertical="top" wrapText="1"/>
    </xf>
    <xf numFmtId="0" fontId="163" fillId="0" borderId="0" xfId="0" applyFont="1" applyAlignment="1">
      <alignment horizontal="left" vertical="top" wrapText="1"/>
    </xf>
    <xf numFmtId="0" fontId="42" fillId="0" borderId="0" xfId="0" applyFont="1" applyAlignment="1">
      <alignment horizontal="center" vertical="center"/>
    </xf>
    <xf numFmtId="0" fontId="40" fillId="0" borderId="16" xfId="0" applyNumberFormat="1" applyFont="1" applyFill="1" applyBorder="1" applyAlignment="1" applyProtection="1">
      <alignment wrapText="1"/>
      <protection locked="0"/>
    </xf>
    <xf numFmtId="0" fontId="40" fillId="0" borderId="0" xfId="0" applyFont="1" applyAlignment="1">
      <alignment horizontal="left" vertical="center"/>
    </xf>
    <xf numFmtId="0" fontId="84" fillId="0" borderId="33" xfId="0" applyFont="1" applyBorder="1" applyAlignment="1">
      <alignment horizontal="left" vertical="center" wrapText="1"/>
    </xf>
    <xf numFmtId="0" fontId="84" fillId="0" borderId="35" xfId="0" applyFont="1" applyBorder="1" applyAlignment="1">
      <alignment horizontal="left" vertical="center" wrapText="1"/>
    </xf>
    <xf numFmtId="0" fontId="40" fillId="0" borderId="0" xfId="0" applyFont="1" applyAlignment="1" applyProtection="1">
      <alignment vertical="center"/>
      <protection locked="0"/>
    </xf>
    <xf numFmtId="0" fontId="3" fillId="0" borderId="0" xfId="0" applyFont="1" applyAlignment="1">
      <alignment horizontal="left" vertical="center"/>
    </xf>
    <xf numFmtId="0" fontId="205" fillId="0" borderId="9" xfId="0" applyNumberFormat="1" applyFont="1" applyFill="1" applyBorder="1" applyAlignment="1" applyProtection="1">
      <protection locked="0"/>
    </xf>
    <xf numFmtId="0" fontId="40" fillId="0" borderId="9" xfId="0" applyNumberFormat="1" applyFont="1" applyFill="1" applyBorder="1" applyAlignment="1" applyProtection="1">
      <protection locked="0"/>
    </xf>
    <xf numFmtId="0" fontId="0" fillId="0" borderId="9" xfId="0" applyNumberFormat="1" applyFont="1" applyFill="1" applyBorder="1" applyAlignment="1" applyProtection="1">
      <alignment wrapText="1"/>
      <protection locked="0"/>
    </xf>
    <xf numFmtId="0" fontId="0" fillId="0" borderId="9" xfId="0" applyNumberFormat="1" applyFill="1" applyBorder="1" applyAlignment="1" applyProtection="1">
      <alignment wrapText="1"/>
      <protection locked="0"/>
    </xf>
    <xf numFmtId="0" fontId="205" fillId="0" borderId="9" xfId="0" applyNumberFormat="1" applyFont="1" applyFill="1" applyBorder="1" applyAlignment="1"/>
    <xf numFmtId="0" fontId="40" fillId="0" borderId="9" xfId="0" applyNumberFormat="1" applyFont="1" applyFill="1" applyBorder="1" applyAlignment="1"/>
    <xf numFmtId="0" fontId="40" fillId="0" borderId="16" xfId="0" applyNumberFormat="1" applyFont="1" applyFill="1" applyBorder="1" applyAlignment="1">
      <alignment wrapText="1"/>
    </xf>
    <xf numFmtId="0" fontId="40" fillId="0" borderId="0" xfId="0" applyFont="1" applyAlignment="1">
      <alignment vertical="center"/>
    </xf>
    <xf numFmtId="0" fontId="0" fillId="0" borderId="18" xfId="0" applyNumberFormat="1" applyFont="1" applyFill="1" applyBorder="1" applyAlignment="1">
      <alignment horizontal="center" wrapText="1"/>
    </xf>
    <xf numFmtId="0" fontId="0" fillId="0" borderId="0" xfId="0" applyNumberFormat="1" applyFont="1" applyFill="1" applyBorder="1" applyAlignment="1">
      <alignment horizontal="center" wrapText="1"/>
    </xf>
    <xf numFmtId="0" fontId="0" fillId="0" borderId="18" xfId="0" applyNumberFormat="1" applyFont="1" applyFill="1" applyBorder="1" applyAlignment="1">
      <alignment horizontal="left" wrapText="1"/>
    </xf>
    <xf numFmtId="0" fontId="0" fillId="0" borderId="0" xfId="0" applyNumberFormat="1" applyFont="1" applyFill="1" applyBorder="1" applyAlignment="1">
      <alignment horizontal="left" wrapText="1"/>
    </xf>
    <xf numFmtId="0" fontId="205" fillId="0" borderId="18" xfId="0" applyNumberFormat="1" applyFont="1" applyFill="1" applyBorder="1" applyAlignment="1">
      <alignment horizontal="left"/>
    </xf>
    <xf numFmtId="0" fontId="205" fillId="0" borderId="0" xfId="0" applyNumberFormat="1" applyFont="1" applyFill="1" applyBorder="1" applyAlignment="1">
      <alignment horizontal="left"/>
    </xf>
    <xf numFmtId="0" fontId="3" fillId="0" borderId="0" xfId="0" applyFont="1" applyAlignment="1">
      <alignment vertical="center"/>
    </xf>
    <xf numFmtId="0" fontId="205" fillId="0" borderId="0" xfId="0" applyNumberFormat="1" applyFont="1" applyFill="1" applyAlignment="1">
      <alignment wrapText="1"/>
    </xf>
    <xf numFmtId="0" fontId="40" fillId="0" borderId="0" xfId="0" applyNumberFormat="1" applyFont="1" applyFill="1" applyAlignment="1">
      <alignment wrapText="1"/>
    </xf>
    <xf numFmtId="0" fontId="40" fillId="0" borderId="0" xfId="0" applyNumberFormat="1" applyFont="1" applyFill="1" applyAlignment="1">
      <alignment horizontal="left" wrapText="1"/>
    </xf>
    <xf numFmtId="0" fontId="76" fillId="0" borderId="0" xfId="0" applyFont="1" applyFill="1" applyAlignment="1">
      <alignment horizontal="center" vertical="center"/>
    </xf>
    <xf numFmtId="0" fontId="0" fillId="0" borderId="0" xfId="0" applyFill="1" applyAlignment="1">
      <alignment horizontal="center" vertical="center"/>
    </xf>
    <xf numFmtId="0" fontId="40" fillId="0" borderId="9" xfId="0" applyNumberFormat="1" applyFont="1" applyFill="1" applyBorder="1" applyAlignment="1">
      <alignment horizontal="center" vertical="center" wrapText="1"/>
    </xf>
    <xf numFmtId="0" fontId="0" fillId="0" borderId="0" xfId="0" applyAlignment="1">
      <alignment vertical="center"/>
    </xf>
    <xf numFmtId="0" fontId="37" fillId="25" borderId="9" xfId="0" applyNumberFormat="1" applyFont="1" applyFill="1" applyBorder="1" applyAlignment="1">
      <alignment horizontal="center" vertical="center"/>
    </xf>
    <xf numFmtId="0" fontId="0" fillId="25" borderId="34" xfId="0" applyNumberFormat="1" applyFont="1" applyFill="1" applyBorder="1" applyAlignment="1">
      <alignment wrapText="1"/>
    </xf>
    <xf numFmtId="0" fontId="0" fillId="25" borderId="35" xfId="0" applyNumberFormat="1" applyFont="1" applyFill="1" applyBorder="1" applyAlignment="1">
      <alignment wrapText="1"/>
    </xf>
    <xf numFmtId="0" fontId="39" fillId="0" borderId="9" xfId="0" applyNumberFormat="1" applyFont="1" applyFill="1" applyBorder="1" applyAlignment="1">
      <alignment horizontal="center" vertical="center" wrapText="1"/>
    </xf>
    <xf numFmtId="0" fontId="0" fillId="0" borderId="34" xfId="0" applyNumberFormat="1" applyFont="1" applyFill="1" applyBorder="1" applyAlignment="1">
      <alignment wrapText="1"/>
    </xf>
    <xf numFmtId="0" fontId="0" fillId="0" borderId="35" xfId="0" applyNumberFormat="1" applyFont="1" applyFill="1" applyBorder="1" applyAlignment="1">
      <alignment wrapText="1"/>
    </xf>
  </cellXfs>
  <cellStyles count="22">
    <cellStyle name="60% - Énfasis2" xfId="1" builtinId="36"/>
    <cellStyle name="60% - Énfasis3" xfId="2" builtinId="40"/>
    <cellStyle name="Buena" xfId="3" builtinId="26"/>
    <cellStyle name="Celda de comprobación" xfId="4" builtinId="23"/>
    <cellStyle name="Énfasis2" xfId="5" builtinId="33"/>
    <cellStyle name="Énfasis3" xfId="6" builtinId="37"/>
    <cellStyle name="Hipervínculo" xfId="7" builtinId="8"/>
    <cellStyle name="Hipervínculo 2" xfId="8"/>
    <cellStyle name="Millares" xfId="9" builtinId="3"/>
    <cellStyle name="Millares 2" xfId="10"/>
    <cellStyle name="Millares 3" xfId="11"/>
    <cellStyle name="Millares 4" xfId="12"/>
    <cellStyle name="Neutral" xfId="13" builtinId="28" customBuiltin="1"/>
    <cellStyle name="Normal" xfId="0" builtinId="0"/>
    <cellStyle name="Normal 2" xfId="14"/>
    <cellStyle name="Normal 3" xfId="15"/>
    <cellStyle name="Normal 4" xfId="16"/>
    <cellStyle name="Porcentaje" xfId="17" builtinId="5"/>
    <cellStyle name="Porcentaje 2" xfId="18"/>
    <cellStyle name="Porcentaje 3" xfId="19"/>
    <cellStyle name="Salida" xfId="20" builtinId="21"/>
    <cellStyle name="Total" xfId="21" builtinId="25" customBuiltin="1"/>
  </cellStyles>
  <dxfs count="97">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rgb="FF9C0006"/>
      </font>
      <fill>
        <patternFill>
          <bgColor rgb="FFFFC7CE"/>
        </patternFill>
      </fill>
    </dxf>
    <dxf>
      <fill>
        <patternFill>
          <bgColor rgb="FFFFC000"/>
        </patternFill>
      </fill>
    </dxf>
    <dxf>
      <fill>
        <patternFill>
          <bgColor rgb="FFFFC000"/>
        </patternFill>
      </fill>
    </dxf>
    <dxf>
      <fill>
        <patternFill>
          <bgColor theme="9" tint="0.79998168889431442"/>
        </patternFill>
      </fill>
    </dxf>
    <dxf>
      <fill>
        <patternFill>
          <bgColor rgb="FF92D050"/>
        </patternFill>
      </fill>
    </dxf>
    <dxf>
      <fill>
        <patternFill>
          <bgColor theme="6" tint="0.39994506668294322"/>
        </patternFill>
      </fill>
    </dxf>
    <dxf>
      <fill>
        <patternFill>
          <bgColor theme="9" tint="0.79998168889431442"/>
        </patternFill>
      </fill>
    </dxf>
    <dxf>
      <fill>
        <patternFill>
          <bgColor rgb="FF92D050"/>
        </patternFill>
      </fill>
    </dxf>
    <dxf>
      <fill>
        <patternFill>
          <bgColor theme="6" tint="0.39994506668294322"/>
        </patternFill>
      </fill>
    </dxf>
    <dxf>
      <fill>
        <patternFill>
          <bgColor rgb="FF92D050"/>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3.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s-DO"/>
        </a:p>
      </c:txPr>
    </c:title>
    <c:autoTitleDeleted val="0"/>
    <c:plotArea>
      <c:layout/>
      <c:areaChart>
        <c:grouping val="stacked"/>
        <c:varyColors val="0"/>
        <c:ser>
          <c:idx val="0"/>
          <c:order val="0"/>
          <c:tx>
            <c:strRef>
              <c:f>Rt!$H$58</c:f>
              <c:strCache>
                <c:ptCount val="1"/>
                <c:pt idx="0">
                  <c:v>Ingresos</c:v>
                </c:pt>
              </c:strCache>
            </c:strRef>
          </c:tx>
          <c:spPr>
            <a:solidFill>
              <a:srgbClr val="4F81BD"/>
            </a:solidFill>
            <a:ln w="25400">
              <a:noFill/>
            </a:ln>
          </c:spPr>
          <c:dLbls>
            <c:dLbl>
              <c:idx val="0"/>
              <c:layout>
                <c:manualLayout>
                  <c:x val="-2.4216524216524243E-2"/>
                  <c:y val="-5.5555555555555552E-2"/>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es-DO"/>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9943019943019995E-2"/>
                  <c:y val="-1.3888888888888973E-2"/>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es-DO"/>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4245014245014246E-3"/>
                  <c:y val="-0.25"/>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es-DO"/>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0"/>
                  <c:y val="-0.32407407407407407"/>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es-DO"/>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Rt!$G$59:$G$62</c:f>
              <c:strCache>
                <c:ptCount val="4"/>
                <c:pt idx="0">
                  <c:v>T 1</c:v>
                </c:pt>
                <c:pt idx="1">
                  <c:v>T 2</c:v>
                </c:pt>
                <c:pt idx="2">
                  <c:v>T 3</c:v>
                </c:pt>
                <c:pt idx="3">
                  <c:v>T 4</c:v>
                </c:pt>
              </c:strCache>
            </c:strRef>
          </c:cat>
          <c:val>
            <c:numRef>
              <c:f>Rt!$H$59:$H$62</c:f>
              <c:numCache>
                <c:formatCode>#,##0.00</c:formatCode>
                <c:ptCount val="4"/>
                <c:pt idx="0">
                  <c:v>61.640244250000002</c:v>
                </c:pt>
                <c:pt idx="1">
                  <c:v>0</c:v>
                </c:pt>
                <c:pt idx="2">
                  <c:v>0</c:v>
                </c:pt>
                <c:pt idx="3">
                  <c:v>0</c:v>
                </c:pt>
              </c:numCache>
            </c:numRef>
          </c:val>
        </c:ser>
        <c:dLbls>
          <c:showLegendKey val="0"/>
          <c:showVal val="0"/>
          <c:showCatName val="0"/>
          <c:showSerName val="0"/>
          <c:showPercent val="0"/>
          <c:showBubbleSize val="0"/>
        </c:dLbls>
        <c:axId val="-1128788256"/>
        <c:axId val="-1128786080"/>
      </c:areaChart>
      <c:barChart>
        <c:barDir val="col"/>
        <c:grouping val="clustered"/>
        <c:varyColors val="0"/>
        <c:ser>
          <c:idx val="1"/>
          <c:order val="1"/>
          <c:tx>
            <c:strRef>
              <c:f>Rt!$I$58</c:f>
              <c:strCache>
                <c:ptCount val="1"/>
                <c:pt idx="0">
                  <c:v>Egresos</c:v>
                </c:pt>
              </c:strCache>
            </c:strRef>
          </c:tx>
          <c:spPr>
            <a:solidFill>
              <a:srgbClr val="C0504D"/>
            </a:solidFill>
            <a:ln w="25400">
              <a:noFill/>
            </a:ln>
          </c:spPr>
          <c:invertIfNegative val="0"/>
          <c:dLbls>
            <c:dLbl>
              <c:idx val="0"/>
              <c:layout>
                <c:manualLayout>
                  <c:x val="1.4245014245013983E-3"/>
                  <c:y val="-7.407407407407407E-2"/>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es-DO"/>
                </a:p>
              </c:txPr>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25"/>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es-DO"/>
                </a:p>
              </c:txPr>
              <c:dLblPos val="outEnd"/>
              <c:showLegendKey val="0"/>
              <c:showVal val="1"/>
              <c:showCatName val="0"/>
              <c:showSerName val="0"/>
              <c:showPercent val="0"/>
              <c:showBubbleSize val="0"/>
              <c:extLst>
                <c:ext xmlns:c15="http://schemas.microsoft.com/office/drawing/2012/chart" uri="{CE6537A1-D6FC-4f65-9D91-7224C49458BB}"/>
              </c:extLst>
            </c:dLbl>
            <c:dLbl>
              <c:idx val="2"/>
              <c:layout>
                <c:manualLayout>
                  <c:x val="-2.564102564102564E-2"/>
                  <c:y val="9.4907407407407413E-2"/>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es-DO"/>
                </a:p>
              </c:txPr>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2.5641025641025744E-2"/>
                  <c:y val="8.3333333333333329E-2"/>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es-DO"/>
                </a:p>
              </c:txPr>
              <c:dLblPos val="outEnd"/>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Rt!$G$59:$G$62</c:f>
              <c:strCache>
                <c:ptCount val="4"/>
                <c:pt idx="0">
                  <c:v>T 1</c:v>
                </c:pt>
                <c:pt idx="1">
                  <c:v>T 2</c:v>
                </c:pt>
                <c:pt idx="2">
                  <c:v>T 3</c:v>
                </c:pt>
                <c:pt idx="3">
                  <c:v>T 4</c:v>
                </c:pt>
              </c:strCache>
            </c:strRef>
          </c:cat>
          <c:val>
            <c:numRef>
              <c:f>Rt!$I$59:$I$62</c:f>
              <c:numCache>
                <c:formatCode>#,##0.00</c:formatCode>
                <c:ptCount val="4"/>
                <c:pt idx="0">
                  <c:v>36.374825200000004</c:v>
                </c:pt>
                <c:pt idx="1">
                  <c:v>0</c:v>
                </c:pt>
                <c:pt idx="2">
                  <c:v>0</c:v>
                </c:pt>
                <c:pt idx="3">
                  <c:v>0</c:v>
                </c:pt>
              </c:numCache>
            </c:numRef>
          </c:val>
        </c:ser>
        <c:dLbls>
          <c:showLegendKey val="0"/>
          <c:showVal val="0"/>
          <c:showCatName val="0"/>
          <c:showSerName val="0"/>
          <c:showPercent val="0"/>
          <c:showBubbleSize val="0"/>
        </c:dLbls>
        <c:gapWidth val="150"/>
        <c:axId val="-1128788256"/>
        <c:axId val="-1128786080"/>
      </c:barChart>
      <c:catAx>
        <c:axId val="-112878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DO"/>
          </a:p>
        </c:txPr>
        <c:crossAx val="-1128786080"/>
        <c:crosses val="autoZero"/>
        <c:auto val="1"/>
        <c:lblAlgn val="ctr"/>
        <c:lblOffset val="100"/>
        <c:noMultiLvlLbl val="0"/>
      </c:catAx>
      <c:valAx>
        <c:axId val="-1128786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DO"/>
          </a:p>
        </c:txPr>
        <c:crossAx val="-1128788256"/>
        <c:crosses val="autoZero"/>
        <c:crossBetween val="between"/>
      </c:valAx>
      <c:spPr>
        <a:noFill/>
        <a:ln w="25400">
          <a:noFill/>
        </a:ln>
      </c:spPr>
    </c:plotArea>
    <c:legend>
      <c:legendPos val="r"/>
      <c:layout>
        <c:manualLayout>
          <c:xMode val="edge"/>
          <c:yMode val="edge"/>
          <c:wMode val="edge"/>
          <c:hMode val="edge"/>
          <c:x val="0.49038517621194788"/>
          <c:y val="0.93750328083989498"/>
          <c:w val="0.50641081723758896"/>
          <c:h val="0.96875328083989498"/>
        </c:manualLayout>
      </c:layout>
      <c:overlay val="0"/>
      <c:spPr>
        <a:noFill/>
        <a:ln w="25400">
          <a:noFill/>
        </a:ln>
      </c:spPr>
      <c:txPr>
        <a:bodyPr/>
        <a:lstStyle/>
        <a:p>
          <a:pPr>
            <a:defRPr sz="105" b="0" i="0" u="none" strike="noStrike" baseline="0">
              <a:solidFill>
                <a:srgbClr val="333333"/>
              </a:solidFill>
              <a:latin typeface="Calibri"/>
              <a:ea typeface="Calibri"/>
              <a:cs typeface="Calibri"/>
            </a:defRPr>
          </a:pPr>
          <a:endParaRPr lang="es-D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D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0</xdr:row>
      <xdr:rowOff>28575</xdr:rowOff>
    </xdr:from>
    <xdr:to>
      <xdr:col>4</xdr:col>
      <xdr:colOff>285750</xdr:colOff>
      <xdr:row>6</xdr:row>
      <xdr:rowOff>66675</xdr:rowOff>
    </xdr:to>
    <xdr:pic>
      <xdr:nvPicPr>
        <xdr:cNvPr id="289002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28575"/>
          <a:ext cx="11049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10</xdr:col>
      <xdr:colOff>209550</xdr:colOff>
      <xdr:row>9</xdr:row>
      <xdr:rowOff>9525</xdr:rowOff>
    </xdr:to>
    <xdr:pic>
      <xdr:nvPicPr>
        <xdr:cNvPr id="2890026" name="3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3000"/>
          <a:ext cx="6305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76200</xdr:rowOff>
    </xdr:from>
    <xdr:to>
      <xdr:col>8</xdr:col>
      <xdr:colOff>238125</xdr:colOff>
      <xdr:row>63</xdr:row>
      <xdr:rowOff>142875</xdr:rowOff>
    </xdr:to>
    <xdr:pic>
      <xdr:nvPicPr>
        <xdr:cNvPr id="2890027"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401050"/>
          <a:ext cx="5114925" cy="501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904875</xdr:colOff>
      <xdr:row>2</xdr:row>
      <xdr:rowOff>104775</xdr:rowOff>
    </xdr:to>
    <xdr:pic>
      <xdr:nvPicPr>
        <xdr:cNvPr id="2896070"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101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68</xdr:row>
      <xdr:rowOff>180975</xdr:rowOff>
    </xdr:from>
    <xdr:to>
      <xdr:col>12</xdr:col>
      <xdr:colOff>381000</xdr:colOff>
      <xdr:row>70</xdr:row>
      <xdr:rowOff>19050</xdr:rowOff>
    </xdr:to>
    <xdr:pic>
      <xdr:nvPicPr>
        <xdr:cNvPr id="2896071"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76600" y="8753475"/>
          <a:ext cx="2505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1038225</xdr:colOff>
      <xdr:row>2</xdr:row>
      <xdr:rowOff>104775</xdr:rowOff>
    </xdr:to>
    <xdr:pic>
      <xdr:nvPicPr>
        <xdr:cNvPr id="2897094"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197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2533650</xdr:colOff>
      <xdr:row>55</xdr:row>
      <xdr:rowOff>9525</xdr:rowOff>
    </xdr:from>
    <xdr:to>
      <xdr:col>2</xdr:col>
      <xdr:colOff>847725</xdr:colOff>
      <xdr:row>56</xdr:row>
      <xdr:rowOff>38100</xdr:rowOff>
    </xdr:to>
    <xdr:pic>
      <xdr:nvPicPr>
        <xdr:cNvPr id="2897095"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8448675"/>
          <a:ext cx="24955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133350</xdr:colOff>
      <xdr:row>2</xdr:row>
      <xdr:rowOff>123825</xdr:rowOff>
    </xdr:to>
    <xdr:pic>
      <xdr:nvPicPr>
        <xdr:cNvPr id="2898118"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9246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3152775</xdr:colOff>
      <xdr:row>76</xdr:row>
      <xdr:rowOff>19050</xdr:rowOff>
    </xdr:from>
    <xdr:to>
      <xdr:col>2</xdr:col>
      <xdr:colOff>981075</xdr:colOff>
      <xdr:row>77</xdr:row>
      <xdr:rowOff>28575</xdr:rowOff>
    </xdr:to>
    <xdr:pic>
      <xdr:nvPicPr>
        <xdr:cNvPr id="2898119" name="8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2775" y="8629650"/>
          <a:ext cx="24955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45</xdr:row>
      <xdr:rowOff>0</xdr:rowOff>
    </xdr:from>
    <xdr:to>
      <xdr:col>6</xdr:col>
      <xdr:colOff>866775</xdr:colOff>
      <xdr:row>46</xdr:row>
      <xdr:rowOff>9525</xdr:rowOff>
    </xdr:to>
    <xdr:pic>
      <xdr:nvPicPr>
        <xdr:cNvPr id="289914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7991475"/>
          <a:ext cx="2486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6</xdr:col>
      <xdr:colOff>247650</xdr:colOff>
      <xdr:row>2</xdr:row>
      <xdr:rowOff>104775</xdr:rowOff>
    </xdr:to>
    <xdr:pic>
      <xdr:nvPicPr>
        <xdr:cNvPr id="2899143" name="28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562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933450</xdr:colOff>
      <xdr:row>4</xdr:row>
      <xdr:rowOff>66675</xdr:rowOff>
    </xdr:to>
    <xdr:pic>
      <xdr:nvPicPr>
        <xdr:cNvPr id="2900166"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91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581025</xdr:colOff>
      <xdr:row>62</xdr:row>
      <xdr:rowOff>9525</xdr:rowOff>
    </xdr:from>
    <xdr:to>
      <xdr:col>5</xdr:col>
      <xdr:colOff>904875</xdr:colOff>
      <xdr:row>63</xdr:row>
      <xdr:rowOff>19050</xdr:rowOff>
    </xdr:to>
    <xdr:pic>
      <xdr:nvPicPr>
        <xdr:cNvPr id="2900167" name="8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67225" y="11220450"/>
          <a:ext cx="24955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66675</xdr:colOff>
      <xdr:row>2</xdr:row>
      <xdr:rowOff>104775</xdr:rowOff>
    </xdr:to>
    <xdr:pic>
      <xdr:nvPicPr>
        <xdr:cNvPr id="290109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246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62</xdr:row>
      <xdr:rowOff>19050</xdr:rowOff>
    </xdr:from>
    <xdr:to>
      <xdr:col>16</xdr:col>
      <xdr:colOff>66675</xdr:colOff>
      <xdr:row>76</xdr:row>
      <xdr:rowOff>95250</xdr:rowOff>
    </xdr:to>
    <xdr:graphicFrame macro="">
      <xdr:nvGraphicFramePr>
        <xdr:cNvPr id="290211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866775</xdr:colOff>
      <xdr:row>4</xdr:row>
      <xdr:rowOff>38100</xdr:rowOff>
    </xdr:to>
    <xdr:pic>
      <xdr:nvPicPr>
        <xdr:cNvPr id="2904163"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0"/>
          <a:ext cx="30956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1</xdr:col>
      <xdr:colOff>3200400</xdr:colOff>
      <xdr:row>4</xdr:row>
      <xdr:rowOff>9525</xdr:rowOff>
    </xdr:to>
    <xdr:pic>
      <xdr:nvPicPr>
        <xdr:cNvPr id="2905187"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3276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714375</xdr:colOff>
      <xdr:row>2</xdr:row>
      <xdr:rowOff>104775</xdr:rowOff>
    </xdr:to>
    <xdr:pic>
      <xdr:nvPicPr>
        <xdr:cNvPr id="29062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723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7</xdr:col>
      <xdr:colOff>857250</xdr:colOff>
      <xdr:row>45</xdr:row>
      <xdr:rowOff>123825</xdr:rowOff>
    </xdr:to>
    <xdr:pic>
      <xdr:nvPicPr>
        <xdr:cNvPr id="177750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4791075"/>
          <a:ext cx="4953000" cy="412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685800</xdr:colOff>
      <xdr:row>22</xdr:row>
      <xdr:rowOff>66675</xdr:rowOff>
    </xdr:from>
    <xdr:to>
      <xdr:col>2</xdr:col>
      <xdr:colOff>685800</xdr:colOff>
      <xdr:row>24</xdr:row>
      <xdr:rowOff>9525</xdr:rowOff>
    </xdr:to>
    <xdr:sp macro="" textlink="">
      <xdr:nvSpPr>
        <xdr:cNvPr id="2907235" name="Text Box 1"/>
        <xdr:cNvSpPr txBox="1">
          <a:spLocks noChangeArrowheads="1"/>
        </xdr:cNvSpPr>
      </xdr:nvSpPr>
      <xdr:spPr bwMode="auto">
        <a:xfrm>
          <a:off x="4276725" y="39243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13</xdr:col>
      <xdr:colOff>0</xdr:colOff>
      <xdr:row>50</xdr:row>
      <xdr:rowOff>0</xdr:rowOff>
    </xdr:from>
    <xdr:to>
      <xdr:col>26</xdr:col>
      <xdr:colOff>571500</xdr:colOff>
      <xdr:row>89</xdr:row>
      <xdr:rowOff>142875</xdr:rowOff>
    </xdr:to>
    <xdr:pic>
      <xdr:nvPicPr>
        <xdr:cNvPr id="2908457"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96900" y="11858625"/>
          <a:ext cx="12192000" cy="961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91</xdr:row>
      <xdr:rowOff>0</xdr:rowOff>
    </xdr:from>
    <xdr:to>
      <xdr:col>26</xdr:col>
      <xdr:colOff>571500</xdr:colOff>
      <xdr:row>105</xdr:row>
      <xdr:rowOff>666750</xdr:rowOff>
    </xdr:to>
    <xdr:pic>
      <xdr:nvPicPr>
        <xdr:cNvPr id="2908458"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96900" y="21726525"/>
          <a:ext cx="12192000" cy="975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117</xdr:row>
      <xdr:rowOff>28575</xdr:rowOff>
    </xdr:from>
    <xdr:to>
      <xdr:col>6</xdr:col>
      <xdr:colOff>485775</xdr:colOff>
      <xdr:row>134</xdr:row>
      <xdr:rowOff>0</xdr:rowOff>
    </xdr:to>
    <xdr:pic>
      <xdr:nvPicPr>
        <xdr:cNvPr id="2908459" name="3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36033075"/>
          <a:ext cx="7277100"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15</xdr:col>
      <xdr:colOff>361950</xdr:colOff>
      <xdr:row>6</xdr:row>
      <xdr:rowOff>76200</xdr:rowOff>
    </xdr:from>
    <xdr:to>
      <xdr:col>35</xdr:col>
      <xdr:colOff>361950</xdr:colOff>
      <xdr:row>48</xdr:row>
      <xdr:rowOff>38100</xdr:rowOff>
    </xdr:to>
    <xdr:pic>
      <xdr:nvPicPr>
        <xdr:cNvPr id="290938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11350" y="638175"/>
          <a:ext cx="12192000" cy="975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1</xdr:row>
      <xdr:rowOff>0</xdr:rowOff>
    </xdr:from>
    <xdr:to>
      <xdr:col>36</xdr:col>
      <xdr:colOff>0</xdr:colOff>
      <xdr:row>46</xdr:row>
      <xdr:rowOff>66675</xdr:rowOff>
    </xdr:to>
    <xdr:pic>
      <xdr:nvPicPr>
        <xdr:cNvPr id="2909383"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0" y="190500"/>
          <a:ext cx="12192000" cy="975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28574</xdr:colOff>
      <xdr:row>1</xdr:row>
      <xdr:rowOff>163831</xdr:rowOff>
    </xdr:from>
    <xdr:to>
      <xdr:col>18</xdr:col>
      <xdr:colOff>0</xdr:colOff>
      <xdr:row>5</xdr:row>
      <xdr:rowOff>76245</xdr:rowOff>
    </xdr:to>
    <xdr:sp macro="" textlink="">
      <xdr:nvSpPr>
        <xdr:cNvPr id="2" name="Rectángulo 1"/>
        <xdr:cNvSpPr/>
      </xdr:nvSpPr>
      <xdr:spPr>
        <a:xfrm>
          <a:off x="9182099" y="361951"/>
          <a:ext cx="3629026" cy="6857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Deben anexar los reportes del sigef con</a:t>
          </a:r>
          <a:r>
            <a:rPr lang="es-DO" sz="1100" baseline="0"/>
            <a:t> los balances que presentan estas cuentas y de las demás anexar las conciliaciones bancarias</a:t>
          </a:r>
          <a:endParaRPr lang="es-DO" sz="1100"/>
        </a:p>
      </xdr:txBody>
    </xdr:sp>
    <xdr:clientData/>
  </xdr:twoCellAnchor>
  <xdr:twoCellAnchor>
    <xdr:from>
      <xdr:col>12</xdr:col>
      <xdr:colOff>28575</xdr:colOff>
      <xdr:row>6</xdr:row>
      <xdr:rowOff>28575</xdr:rowOff>
    </xdr:from>
    <xdr:to>
      <xdr:col>16</xdr:col>
      <xdr:colOff>622935</xdr:colOff>
      <xdr:row>8</xdr:row>
      <xdr:rowOff>11471</xdr:rowOff>
    </xdr:to>
    <xdr:sp macro="" textlink="">
      <xdr:nvSpPr>
        <xdr:cNvPr id="3" name="Rectángulo 2"/>
        <xdr:cNvSpPr/>
      </xdr:nvSpPr>
      <xdr:spPr>
        <a:xfrm>
          <a:off x="790575" y="1171575"/>
          <a:ext cx="3695700" cy="371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Especificar tasa de interés anual</a:t>
          </a:r>
        </a:p>
      </xdr:txBody>
    </xdr:sp>
    <xdr:clientData/>
  </xdr:twoCellAnchor>
  <xdr:twoCellAnchor>
    <xdr:from>
      <xdr:col>12</xdr:col>
      <xdr:colOff>0</xdr:colOff>
      <xdr:row>9</xdr:row>
      <xdr:rowOff>0</xdr:rowOff>
    </xdr:from>
    <xdr:to>
      <xdr:col>18</xdr:col>
      <xdr:colOff>0</xdr:colOff>
      <xdr:row>11</xdr:row>
      <xdr:rowOff>304800</xdr:rowOff>
    </xdr:to>
    <xdr:sp macro="" textlink="">
      <xdr:nvSpPr>
        <xdr:cNvPr id="4" name="Rectángulo 3"/>
        <xdr:cNvSpPr/>
      </xdr:nvSpPr>
      <xdr:spPr>
        <a:xfrm>
          <a:off x="9153525" y="1638300"/>
          <a:ext cx="3657600" cy="6000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Explicar</a:t>
          </a:r>
          <a:r>
            <a:rPr lang="es-DO" sz="1100" baseline="0"/>
            <a:t> porque no existen cuentas por cobrar por los servicios brindados.</a:t>
          </a:r>
          <a:endParaRPr lang="es-DO" sz="1100"/>
        </a:p>
      </xdr:txBody>
    </xdr:sp>
    <xdr:clientData/>
  </xdr:twoCellAnchor>
  <xdr:twoCellAnchor>
    <xdr:from>
      <xdr:col>12</xdr:col>
      <xdr:colOff>0</xdr:colOff>
      <xdr:row>12</xdr:row>
      <xdr:rowOff>0</xdr:rowOff>
    </xdr:from>
    <xdr:to>
      <xdr:col>17</xdr:col>
      <xdr:colOff>704850</xdr:colOff>
      <xdr:row>16</xdr:row>
      <xdr:rowOff>123825</xdr:rowOff>
    </xdr:to>
    <xdr:sp macro="" textlink="">
      <xdr:nvSpPr>
        <xdr:cNvPr id="5" name="Rectángulo 4"/>
        <xdr:cNvSpPr/>
      </xdr:nvSpPr>
      <xdr:spPr>
        <a:xfrm>
          <a:off x="762000" y="2286000"/>
          <a:ext cx="4514850" cy="885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Detallar inventario: Materiales y suministros para consumo y prestación de servicios,  Materiales y suministro para la producción,  etc. y anexar la relación de lugar.  La diferencia existente de RD$102,320 corresponde a publicidad y promociones ver nota de materiales y suministros en el Estado de Rendimiento financiero.</a:t>
          </a:r>
        </a:p>
      </xdr:txBody>
    </xdr:sp>
    <xdr:clientData/>
  </xdr:twoCellAnchor>
  <xdr:twoCellAnchor>
    <xdr:from>
      <xdr:col>12</xdr:col>
      <xdr:colOff>0</xdr:colOff>
      <xdr:row>19</xdr:row>
      <xdr:rowOff>1</xdr:rowOff>
    </xdr:from>
    <xdr:to>
      <xdr:col>18</xdr:col>
      <xdr:colOff>0</xdr:colOff>
      <xdr:row>22</xdr:row>
      <xdr:rowOff>49579</xdr:rowOff>
    </xdr:to>
    <xdr:sp macro="" textlink="">
      <xdr:nvSpPr>
        <xdr:cNvPr id="6" name="Rectángulo 5"/>
        <xdr:cNvSpPr/>
      </xdr:nvSpPr>
      <xdr:spPr>
        <a:xfrm>
          <a:off x="762000" y="3619501"/>
          <a:ext cx="4495800" cy="628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es-DO" sz="1100"/>
            <a:t>Separar cifras</a:t>
          </a:r>
          <a:r>
            <a:rPr lang="es-DO" sz="1100" baseline="0"/>
            <a:t> con la coma y elaborar el cuadro  de la siguiente manera para transparentar la amortización que debe ser llevada al gasto en la cuenta otros gastos (contratación de servicios)</a:t>
          </a:r>
          <a:endParaRPr lang="es-DO" sz="1100"/>
        </a:p>
      </xdr:txBody>
    </xdr:sp>
    <xdr:clientData/>
  </xdr:twoCellAnchor>
  <xdr:twoCellAnchor>
    <xdr:from>
      <xdr:col>12</xdr:col>
      <xdr:colOff>0</xdr:colOff>
      <xdr:row>24</xdr:row>
      <xdr:rowOff>0</xdr:rowOff>
    </xdr:from>
    <xdr:to>
      <xdr:col>17</xdr:col>
      <xdr:colOff>657225</xdr:colOff>
      <xdr:row>26</xdr:row>
      <xdr:rowOff>28575</xdr:rowOff>
    </xdr:to>
    <xdr:sp macro="" textlink="">
      <xdr:nvSpPr>
        <xdr:cNvPr id="7" name="Rectángulo 6"/>
        <xdr:cNvSpPr/>
      </xdr:nvSpPr>
      <xdr:spPr>
        <a:xfrm>
          <a:off x="762000" y="4572000"/>
          <a:ext cx="4467225" cy="409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En el presentado en PDF</a:t>
          </a:r>
          <a:r>
            <a:rPr lang="es-DO" sz="1100" baseline="0"/>
            <a:t> deben anexar el cuadro en la nota</a:t>
          </a:r>
          <a:endParaRPr lang="es-DO" sz="1100"/>
        </a:p>
      </xdr:txBody>
    </xdr:sp>
    <xdr:clientData/>
  </xdr:twoCellAnchor>
  <xdr:twoCellAnchor>
    <xdr:from>
      <xdr:col>11</xdr:col>
      <xdr:colOff>596265</xdr:colOff>
      <xdr:row>26</xdr:row>
      <xdr:rowOff>323849</xdr:rowOff>
    </xdr:from>
    <xdr:to>
      <xdr:col>17</xdr:col>
      <xdr:colOff>596265</xdr:colOff>
      <xdr:row>28</xdr:row>
      <xdr:rowOff>428624</xdr:rowOff>
    </xdr:to>
    <xdr:sp macro="" textlink="">
      <xdr:nvSpPr>
        <xdr:cNvPr id="8" name="Rectángulo 7"/>
        <xdr:cNvSpPr/>
      </xdr:nvSpPr>
      <xdr:spPr>
        <a:xfrm>
          <a:off x="9144000" y="5924549"/>
          <a:ext cx="3657600" cy="523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deben</a:t>
          </a:r>
          <a:r>
            <a:rPr lang="es-DO" sz="1100" baseline="0"/>
            <a:t> hacer una separación de las del sector público y el privado</a:t>
          </a:r>
          <a:endParaRPr lang="es-DO" sz="1100"/>
        </a:p>
      </xdr:txBody>
    </xdr:sp>
    <xdr:clientData/>
  </xdr:twoCellAnchor>
  <xdr:twoCellAnchor>
    <xdr:from>
      <xdr:col>12</xdr:col>
      <xdr:colOff>0</xdr:colOff>
      <xdr:row>30</xdr:row>
      <xdr:rowOff>0</xdr:rowOff>
    </xdr:from>
    <xdr:to>
      <xdr:col>17</xdr:col>
      <xdr:colOff>666750</xdr:colOff>
      <xdr:row>33</xdr:row>
      <xdr:rowOff>38100</xdr:rowOff>
    </xdr:to>
    <xdr:sp macro="" textlink="">
      <xdr:nvSpPr>
        <xdr:cNvPr id="9" name="Rectángulo 8"/>
        <xdr:cNvSpPr/>
      </xdr:nvSpPr>
      <xdr:spPr>
        <a:xfrm>
          <a:off x="762000" y="5715000"/>
          <a:ext cx="4476750" cy="609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Deben hacer una relación de la transferencias  corrientes y de capital recibida por mes con su monto y su procedencia, con la finalidad de validar los montos recibidos para fines de nuestra consolidación.</a:t>
          </a:r>
        </a:p>
      </xdr:txBody>
    </xdr:sp>
    <xdr:clientData/>
  </xdr:twoCellAnchor>
  <xdr:twoCellAnchor>
    <xdr:from>
      <xdr:col>12</xdr:col>
      <xdr:colOff>0</xdr:colOff>
      <xdr:row>35</xdr:row>
      <xdr:rowOff>1</xdr:rowOff>
    </xdr:from>
    <xdr:to>
      <xdr:col>18</xdr:col>
      <xdr:colOff>0</xdr:colOff>
      <xdr:row>36</xdr:row>
      <xdr:rowOff>278137</xdr:rowOff>
    </xdr:to>
    <xdr:sp macro="" textlink="">
      <xdr:nvSpPr>
        <xdr:cNvPr id="10" name="Rectángulo 9"/>
        <xdr:cNvSpPr/>
      </xdr:nvSpPr>
      <xdr:spPr>
        <a:xfrm>
          <a:off x="9153525" y="8372476"/>
          <a:ext cx="3657600" cy="4667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es-DO" sz="1100"/>
            <a:t>Eliminar, porque tiende</a:t>
          </a:r>
          <a:r>
            <a:rPr lang="es-DO" sz="1100" baseline="0"/>
            <a:t> a confundir cuando se totalizan todas las filas</a:t>
          </a:r>
          <a:endParaRPr lang="es-DO" sz="1100"/>
        </a:p>
      </xdr:txBody>
    </xdr:sp>
    <xdr:clientData/>
  </xdr:twoCellAnchor>
  <xdr:twoCellAnchor>
    <xdr:from>
      <xdr:col>12</xdr:col>
      <xdr:colOff>0</xdr:colOff>
      <xdr:row>38</xdr:row>
      <xdr:rowOff>0</xdr:rowOff>
    </xdr:from>
    <xdr:to>
      <xdr:col>17</xdr:col>
      <xdr:colOff>657225</xdr:colOff>
      <xdr:row>39</xdr:row>
      <xdr:rowOff>123825</xdr:rowOff>
    </xdr:to>
    <xdr:sp macro="" textlink="">
      <xdr:nvSpPr>
        <xdr:cNvPr id="11" name="Rectángulo 10"/>
        <xdr:cNvSpPr/>
      </xdr:nvSpPr>
      <xdr:spPr>
        <a:xfrm>
          <a:off x="762000" y="7239000"/>
          <a:ext cx="4467225" cy="314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Deben detallar los beneficiarios</a:t>
          </a:r>
        </a:p>
      </xdr:txBody>
    </xdr:sp>
    <xdr:clientData/>
  </xdr:twoCellAnchor>
  <xdr:twoCellAnchor>
    <xdr:from>
      <xdr:col>11</xdr:col>
      <xdr:colOff>624839</xdr:colOff>
      <xdr:row>41</xdr:row>
      <xdr:rowOff>0</xdr:rowOff>
    </xdr:from>
    <xdr:to>
      <xdr:col>17</xdr:col>
      <xdr:colOff>624839</xdr:colOff>
      <xdr:row>43</xdr:row>
      <xdr:rowOff>87691</xdr:rowOff>
    </xdr:to>
    <xdr:sp macro="" textlink="">
      <xdr:nvSpPr>
        <xdr:cNvPr id="12" name="Rectángulo 11"/>
        <xdr:cNvSpPr/>
      </xdr:nvSpPr>
      <xdr:spPr>
        <a:xfrm>
          <a:off x="9153524" y="9867900"/>
          <a:ext cx="3657600" cy="4762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es-DO" sz="1100"/>
            <a:t>Corregir valor de acuerdo a la observación anterior y corregirlo en el ERF</a:t>
          </a:r>
        </a:p>
      </xdr:txBody>
    </xdr:sp>
    <xdr:clientData/>
  </xdr:twoCellAnchor>
  <xdr:twoCellAnchor>
    <xdr:from>
      <xdr:col>12</xdr:col>
      <xdr:colOff>0</xdr:colOff>
      <xdr:row>44</xdr:row>
      <xdr:rowOff>0</xdr:rowOff>
    </xdr:from>
    <xdr:to>
      <xdr:col>18</xdr:col>
      <xdr:colOff>0</xdr:colOff>
      <xdr:row>45</xdr:row>
      <xdr:rowOff>344840</xdr:rowOff>
    </xdr:to>
    <xdr:sp macro="" textlink="">
      <xdr:nvSpPr>
        <xdr:cNvPr id="13" name="Rectángulo 12"/>
        <xdr:cNvSpPr/>
      </xdr:nvSpPr>
      <xdr:spPr>
        <a:xfrm>
          <a:off x="9153525" y="10439400"/>
          <a:ext cx="3657600" cy="533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Corregir concepto  y ponerlo de acuerdo al nombre de la cuenta</a:t>
          </a:r>
        </a:p>
      </xdr:txBody>
    </xdr:sp>
    <xdr:clientData/>
  </xdr:twoCellAnchor>
  <xdr:twoCellAnchor>
    <xdr:from>
      <xdr:col>11</xdr:col>
      <xdr:colOff>761999</xdr:colOff>
      <xdr:row>47</xdr:row>
      <xdr:rowOff>0</xdr:rowOff>
    </xdr:from>
    <xdr:to>
      <xdr:col>17</xdr:col>
      <xdr:colOff>638174</xdr:colOff>
      <xdr:row>48</xdr:row>
      <xdr:rowOff>123825</xdr:rowOff>
    </xdr:to>
    <xdr:sp macro="" textlink="">
      <xdr:nvSpPr>
        <xdr:cNvPr id="14" name="Rectángulo 13"/>
        <xdr:cNvSpPr/>
      </xdr:nvSpPr>
      <xdr:spPr>
        <a:xfrm>
          <a:off x="761999" y="8953500"/>
          <a:ext cx="4448175" cy="314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Corregir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2686050</xdr:colOff>
      <xdr:row>0</xdr:row>
      <xdr:rowOff>0</xdr:rowOff>
    </xdr:from>
    <xdr:to>
      <xdr:col>0</xdr:col>
      <xdr:colOff>2686050</xdr:colOff>
      <xdr:row>1</xdr:row>
      <xdr:rowOff>9525</xdr:rowOff>
    </xdr:to>
    <xdr:sp macro="" textlink="">
      <xdr:nvSpPr>
        <xdr:cNvPr id="2891875" name="Text Box 1"/>
        <xdr:cNvSpPr txBox="1">
          <a:spLocks noChangeArrowheads="1"/>
        </xdr:cNvSpPr>
      </xdr:nvSpPr>
      <xdr:spPr bwMode="auto">
        <a:xfrm>
          <a:off x="26860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100</xdr:col>
      <xdr:colOff>0</xdr:colOff>
      <xdr:row>4</xdr:row>
      <xdr:rowOff>0</xdr:rowOff>
    </xdr:from>
    <xdr:to>
      <xdr:col>120</xdr:col>
      <xdr:colOff>0</xdr:colOff>
      <xdr:row>54</xdr:row>
      <xdr:rowOff>133350</xdr:rowOff>
    </xdr:to>
    <xdr:pic>
      <xdr:nvPicPr>
        <xdr:cNvPr id="2630288"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40175" y="962025"/>
          <a:ext cx="12192000" cy="975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120</xdr:col>
      <xdr:colOff>0</xdr:colOff>
      <xdr:row>4</xdr:row>
      <xdr:rowOff>0</xdr:rowOff>
    </xdr:from>
    <xdr:to>
      <xdr:col>140</xdr:col>
      <xdr:colOff>0</xdr:colOff>
      <xdr:row>54</xdr:row>
      <xdr:rowOff>133350</xdr:rowOff>
    </xdr:to>
    <xdr:pic>
      <xdr:nvPicPr>
        <xdr:cNvPr id="2630289"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032175" y="962025"/>
          <a:ext cx="12192000" cy="975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285750</xdr:colOff>
      <xdr:row>6</xdr:row>
      <xdr:rowOff>19050</xdr:rowOff>
    </xdr:from>
    <xdr:to>
      <xdr:col>4</xdr:col>
      <xdr:colOff>1047750</xdr:colOff>
      <xdr:row>12</xdr:row>
      <xdr:rowOff>228600</xdr:rowOff>
    </xdr:to>
    <xdr:pic>
      <xdr:nvPicPr>
        <xdr:cNvPr id="289309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0" y="1276350"/>
          <a:ext cx="135255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409575</xdr:colOff>
      <xdr:row>37</xdr:row>
      <xdr:rowOff>123825</xdr:rowOff>
    </xdr:from>
    <xdr:to>
      <xdr:col>4</xdr:col>
      <xdr:colOff>809625</xdr:colOff>
      <xdr:row>43</xdr:row>
      <xdr:rowOff>0</xdr:rowOff>
    </xdr:to>
    <xdr:pic>
      <xdr:nvPicPr>
        <xdr:cNvPr id="289309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5575" y="8924925"/>
          <a:ext cx="9906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390525</xdr:colOff>
      <xdr:row>892</xdr:row>
      <xdr:rowOff>76200</xdr:rowOff>
    </xdr:from>
    <xdr:to>
      <xdr:col>8</xdr:col>
      <xdr:colOff>733425</xdr:colOff>
      <xdr:row>916</xdr:row>
      <xdr:rowOff>114300</xdr:rowOff>
    </xdr:to>
    <xdr:pic>
      <xdr:nvPicPr>
        <xdr:cNvPr id="2893099"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28542850"/>
          <a:ext cx="5848350" cy="461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4</xdr:col>
      <xdr:colOff>1000125</xdr:colOff>
      <xdr:row>4</xdr:row>
      <xdr:rowOff>57150</xdr:rowOff>
    </xdr:to>
    <xdr:pic>
      <xdr:nvPicPr>
        <xdr:cNvPr id="2980301"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2980302"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4</xdr:col>
      <xdr:colOff>914400</xdr:colOff>
      <xdr:row>41</xdr:row>
      <xdr:rowOff>171450</xdr:rowOff>
    </xdr:to>
    <xdr:pic>
      <xdr:nvPicPr>
        <xdr:cNvPr id="2980303"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4</xdr:col>
      <xdr:colOff>990600</xdr:colOff>
      <xdr:row>101</xdr:row>
      <xdr:rowOff>342900</xdr:rowOff>
    </xdr:to>
    <xdr:pic>
      <xdr:nvPicPr>
        <xdr:cNvPr id="2980304"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131</xdr:row>
      <xdr:rowOff>19050</xdr:rowOff>
    </xdr:from>
    <xdr:to>
      <xdr:col>4</xdr:col>
      <xdr:colOff>971550</xdr:colOff>
      <xdr:row>134</xdr:row>
      <xdr:rowOff>28575</xdr:rowOff>
    </xdr:to>
    <xdr:pic>
      <xdr:nvPicPr>
        <xdr:cNvPr id="2980305"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18585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185</xdr:row>
      <xdr:rowOff>123825</xdr:rowOff>
    </xdr:from>
    <xdr:to>
      <xdr:col>4</xdr:col>
      <xdr:colOff>981075</xdr:colOff>
      <xdr:row>188</xdr:row>
      <xdr:rowOff>9525</xdr:rowOff>
    </xdr:to>
    <xdr:pic>
      <xdr:nvPicPr>
        <xdr:cNvPr id="2980306"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2252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240</xdr:row>
      <xdr:rowOff>95250</xdr:rowOff>
    </xdr:from>
    <xdr:to>
      <xdr:col>4</xdr:col>
      <xdr:colOff>895350</xdr:colOff>
      <xdr:row>243</xdr:row>
      <xdr:rowOff>38100</xdr:rowOff>
    </xdr:to>
    <xdr:pic>
      <xdr:nvPicPr>
        <xdr:cNvPr id="2980307"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645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415</xdr:row>
      <xdr:rowOff>66675</xdr:rowOff>
    </xdr:from>
    <xdr:to>
      <xdr:col>4</xdr:col>
      <xdr:colOff>942975</xdr:colOff>
      <xdr:row>418</xdr:row>
      <xdr:rowOff>95250</xdr:rowOff>
    </xdr:to>
    <xdr:pic>
      <xdr:nvPicPr>
        <xdr:cNvPr id="2980308"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4002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467</xdr:row>
      <xdr:rowOff>76200</xdr:rowOff>
    </xdr:from>
    <xdr:to>
      <xdr:col>4</xdr:col>
      <xdr:colOff>1000125</xdr:colOff>
      <xdr:row>469</xdr:row>
      <xdr:rowOff>133350</xdr:rowOff>
    </xdr:to>
    <xdr:pic>
      <xdr:nvPicPr>
        <xdr:cNvPr id="2980309"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642985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506</xdr:row>
      <xdr:rowOff>85725</xdr:rowOff>
    </xdr:from>
    <xdr:to>
      <xdr:col>4</xdr:col>
      <xdr:colOff>981075</xdr:colOff>
      <xdr:row>509</xdr:row>
      <xdr:rowOff>85725</xdr:rowOff>
    </xdr:to>
    <xdr:pic>
      <xdr:nvPicPr>
        <xdr:cNvPr id="2980310"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48825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549</xdr:row>
      <xdr:rowOff>57150</xdr:rowOff>
    </xdr:from>
    <xdr:to>
      <xdr:col>4</xdr:col>
      <xdr:colOff>904875</xdr:colOff>
      <xdr:row>552</xdr:row>
      <xdr:rowOff>85725</xdr:rowOff>
    </xdr:to>
    <xdr:pic>
      <xdr:nvPicPr>
        <xdr:cNvPr id="29803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62323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596</xdr:row>
      <xdr:rowOff>104775</xdr:rowOff>
    </xdr:from>
    <xdr:to>
      <xdr:col>4</xdr:col>
      <xdr:colOff>1057275</xdr:colOff>
      <xdr:row>597</xdr:row>
      <xdr:rowOff>581025</xdr:rowOff>
    </xdr:to>
    <xdr:pic>
      <xdr:nvPicPr>
        <xdr:cNvPr id="29803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57954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363</xdr:row>
      <xdr:rowOff>0</xdr:rowOff>
    </xdr:from>
    <xdr:to>
      <xdr:col>4</xdr:col>
      <xdr:colOff>981075</xdr:colOff>
      <xdr:row>365</xdr:row>
      <xdr:rowOff>133350</xdr:rowOff>
    </xdr:to>
    <xdr:pic>
      <xdr:nvPicPr>
        <xdr:cNvPr id="2980313"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8181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642</xdr:row>
      <xdr:rowOff>57150</xdr:rowOff>
    </xdr:from>
    <xdr:to>
      <xdr:col>4</xdr:col>
      <xdr:colOff>971550</xdr:colOff>
      <xdr:row>644</xdr:row>
      <xdr:rowOff>304800</xdr:rowOff>
    </xdr:to>
    <xdr:pic>
      <xdr:nvPicPr>
        <xdr:cNvPr id="2980314"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56061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329</xdr:row>
          <xdr:rowOff>76200</xdr:rowOff>
        </xdr:from>
        <xdr:to>
          <xdr:col>4</xdr:col>
          <xdr:colOff>1076325</xdr:colOff>
          <xdr:row>360</xdr:row>
          <xdr:rowOff>161925</xdr:rowOff>
        </xdr:to>
        <xdr:pic>
          <xdr:nvPicPr>
            <xdr:cNvPr id="2980315" name="18 Imagen"/>
            <xdr:cNvPicPr>
              <a:picLocks noChangeAspect="1" noChangeArrowheads="1"/>
              <a:extLst>
                <a:ext uri="{84589F7E-364E-4C9E-8A38-B11213B215E9}">
                  <a14:cameraTool cellRange="nota12!$A$6:$K$32" spid="_x0000_s2980316"/>
                </a:ext>
              </a:extLst>
            </xdr:cNvPicPr>
          </xdr:nvPicPr>
          <xdr:blipFill>
            <a:blip xmlns:r="http://schemas.openxmlformats.org/officeDocument/2006/relationships" r:embed="rId3"/>
            <a:srcRect/>
            <a:stretch>
              <a:fillRect/>
            </a:stretch>
          </xdr:blipFill>
          <xdr:spPr bwMode="auto">
            <a:xfrm>
              <a:off x="85725" y="62274450"/>
              <a:ext cx="6400800" cy="62484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990600</xdr:colOff>
      <xdr:row>2</xdr:row>
      <xdr:rowOff>104775</xdr:rowOff>
    </xdr:to>
    <xdr:pic>
      <xdr:nvPicPr>
        <xdr:cNvPr id="2942626"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0"/>
          <a:ext cx="7562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904875</xdr:colOff>
      <xdr:row>2</xdr:row>
      <xdr:rowOff>104775</xdr:rowOff>
    </xdr:to>
    <xdr:pic>
      <xdr:nvPicPr>
        <xdr:cNvPr id="2895046"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101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3152775</xdr:colOff>
      <xdr:row>113</xdr:row>
      <xdr:rowOff>171450</xdr:rowOff>
    </xdr:from>
    <xdr:to>
      <xdr:col>12</xdr:col>
      <xdr:colOff>371475</xdr:colOff>
      <xdr:row>115</xdr:row>
      <xdr:rowOff>9525</xdr:rowOff>
    </xdr:to>
    <xdr:pic>
      <xdr:nvPicPr>
        <xdr:cNvPr id="2895047"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2775" y="17354550"/>
          <a:ext cx="24955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FORME%20FINANCIERO%20PLANTILLA%20JJ.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uditoria%20Interna\Downloads\PROGRAMAS%20AUDITORIA%20JJ%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JJ\1A%20EMPRESAS\CORAMON\ESTADO%20CORAMON%20CG%2020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ontrol%20interno\coraamoca\Auditoria%202020\APT2020\compras\Nueva%20carpeta\ACTIVOS%20FIJO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D"/>
      <sheetName val="DATOS"/>
      <sheetName val="1"/>
      <sheetName val="CUENTAS"/>
      <sheetName val="ECPN"/>
      <sheetName val="2"/>
      <sheetName val="FINANCIERO"/>
      <sheetName val="3"/>
      <sheetName val="FISCAL"/>
      <sheetName val="4"/>
      <sheetName val="MERCANTIL"/>
      <sheetName val="CONTROL"/>
      <sheetName val="SB"/>
      <sheetName val="CALCUL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2">
          <cell r="H12" t="str">
            <v>REVISADO, VERSIÓN FINAL</v>
          </cell>
        </row>
        <row r="13">
          <cell r="H13" t="str">
            <v xml:space="preserve">PENDIENTE </v>
          </cell>
        </row>
        <row r="14">
          <cell r="H14" t="str">
            <v>PENDIENTE DE REVISIÓN</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Pres"/>
      <sheetName val="NP"/>
      <sheetName val="POA"/>
      <sheetName val="Plan"/>
      <sheetName val="PROGRAMA"/>
      <sheetName val="Sheet2"/>
      <sheetName val="CajA"/>
      <sheetName val="Bancos"/>
      <sheetName val="cxc"/>
      <sheetName val="EX"/>
      <sheetName val="AF"/>
      <sheetName val="AD"/>
      <sheetName val="INV"/>
      <sheetName val="cxp"/>
      <sheetName val="PB"/>
      <sheetName val="PL"/>
      <sheetName val="C"/>
      <sheetName val="I"/>
      <sheetName val="CY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BALANZA"/>
      <sheetName val="BALANZA G"/>
      <sheetName val="Mat"/>
      <sheetName val="DE"/>
      <sheetName val="Pres A"/>
      <sheetName val="25A"/>
      <sheetName val="Notas NF"/>
      <sheetName val="Nota 13"/>
      <sheetName val="BG"/>
      <sheetName val="ER"/>
      <sheetName val="FE"/>
      <sheetName val="EP"/>
      <sheetName val="EEP"/>
      <sheetName val="Notas"/>
      <sheetName val="ELAI"/>
      <sheetName val="A"/>
      <sheetName val="Hoja1"/>
      <sheetName val="RESULTADO"/>
      <sheetName val="EST.Ej.PREs."/>
      <sheetName val="FLUJO"/>
      <sheetName val="PATRIMONIO"/>
      <sheetName val="Rf"/>
      <sheetName val="IPT"/>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3">
          <cell r="B53">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F."/>
      <sheetName val="1"/>
      <sheetName val="2"/>
      <sheetName val="3"/>
      <sheetName val="4"/>
      <sheetName val="5"/>
      <sheetName val="6"/>
      <sheetName val="7"/>
      <sheetName val="8"/>
      <sheetName val="9"/>
      <sheetName val="Hoja1"/>
    </sheetNames>
    <sheetDataSet>
      <sheetData sheetId="0"/>
      <sheetData sheetId="1"/>
      <sheetData sheetId="2"/>
      <sheetData sheetId="3"/>
      <sheetData sheetId="4"/>
      <sheetData sheetId="5"/>
      <sheetData sheetId="6"/>
      <sheetData sheetId="7"/>
      <sheetData sheetId="8"/>
      <sheetData sheetId="9">
        <row r="27">
          <cell r="B27">
            <v>0</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1.xml"/><Relationship Id="rId1" Type="http://schemas.openxmlformats.org/officeDocument/2006/relationships/printerSettings" Target="../printerSettings/printerSettings35.bin"/><Relationship Id="rId4" Type="http://schemas.openxmlformats.org/officeDocument/2006/relationships/comments" Target="../comments4.xml"/></Relationships>
</file>

<file path=xl/worksheets/_rels/sheet4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5:G27"/>
  <sheetViews>
    <sheetView topLeftCell="A37" workbookViewId="0">
      <selection activeCell="K24" sqref="K24"/>
    </sheetView>
  </sheetViews>
  <sheetFormatPr baseColWidth="10" defaultColWidth="9.140625" defaultRowHeight="15"/>
  <sheetData>
    <row r="15" spans="1:7" ht="21">
      <c r="A15" s="1536" t="s">
        <v>916</v>
      </c>
      <c r="B15" s="1536"/>
      <c r="C15" s="1536"/>
      <c r="D15" s="1536"/>
      <c r="E15" s="1536"/>
      <c r="F15" s="1536"/>
      <c r="G15" s="1536"/>
    </row>
    <row r="16" spans="1:7" ht="21">
      <c r="A16" s="1822" t="s">
        <v>899</v>
      </c>
      <c r="B16" s="1822"/>
      <c r="C16" s="1822"/>
      <c r="D16" s="1822"/>
      <c r="E16" s="1822"/>
      <c r="F16" s="1822"/>
      <c r="G16" s="1822"/>
    </row>
    <row r="17" spans="1:7" ht="21">
      <c r="A17" s="29"/>
      <c r="B17" s="29"/>
      <c r="C17" s="29"/>
      <c r="D17" s="29"/>
      <c r="E17" s="29"/>
      <c r="F17" s="29"/>
      <c r="G17" s="29"/>
    </row>
    <row r="18" spans="1:7" ht="21">
      <c r="A18" s="29"/>
      <c r="B18" s="29"/>
      <c r="C18" s="29"/>
      <c r="D18" s="29"/>
      <c r="E18" s="29"/>
      <c r="F18" s="29"/>
      <c r="G18" s="29"/>
    </row>
    <row r="19" spans="1:7" ht="21">
      <c r="A19" s="29"/>
      <c r="B19" s="29"/>
      <c r="C19" s="29"/>
      <c r="D19" s="29"/>
      <c r="E19" s="29"/>
      <c r="F19" s="29"/>
      <c r="G19" s="29"/>
    </row>
    <row r="20" spans="1:7" ht="21">
      <c r="A20" s="29"/>
      <c r="B20" s="29"/>
      <c r="C20" s="29"/>
      <c r="D20" s="29"/>
      <c r="E20" s="29"/>
      <c r="F20" s="29"/>
      <c r="G20" s="29"/>
    </row>
    <row r="21" spans="1:7" ht="21">
      <c r="A21" s="29"/>
      <c r="B21" s="29"/>
      <c r="C21" s="29"/>
      <c r="D21" s="29"/>
      <c r="E21" s="29"/>
      <c r="F21" s="29"/>
      <c r="G21" s="29"/>
    </row>
    <row r="22" spans="1:7" ht="21">
      <c r="A22" s="29"/>
      <c r="B22" s="29"/>
      <c r="C22" s="29"/>
      <c r="D22" s="29"/>
      <c r="E22" s="29"/>
      <c r="F22" s="29"/>
      <c r="G22" s="29"/>
    </row>
    <row r="23" spans="1:7" ht="21">
      <c r="A23" s="29"/>
      <c r="B23" s="29"/>
      <c r="C23" s="29"/>
      <c r="D23" s="29"/>
      <c r="E23" s="29"/>
      <c r="F23" s="29"/>
      <c r="G23" s="29"/>
    </row>
    <row r="24" spans="1:7" ht="21">
      <c r="A24" s="29"/>
      <c r="B24" s="29"/>
      <c r="C24" s="29"/>
      <c r="D24" s="29"/>
      <c r="E24" s="29"/>
      <c r="F24" s="29"/>
      <c r="G24" s="29"/>
    </row>
    <row r="25" spans="1:7" ht="21">
      <c r="A25" s="1820" t="s">
        <v>917</v>
      </c>
      <c r="B25" s="1820"/>
      <c r="C25" s="1820"/>
      <c r="D25" s="1820"/>
      <c r="E25" s="1820"/>
      <c r="F25" s="1820"/>
      <c r="G25" s="1820"/>
    </row>
    <row r="26" spans="1:7" ht="43.5" customHeight="1">
      <c r="A26" s="1821" t="str">
        <f>+BALANZA!B2</f>
        <v>Del Ejercicio terminado el  31 de marzo de 2026  y  2025</v>
      </c>
      <c r="B26" s="1821"/>
      <c r="C26" s="1821"/>
      <c r="D26" s="1821"/>
      <c r="E26" s="1821"/>
      <c r="F26" s="1821"/>
      <c r="G26" s="1821"/>
    </row>
    <row r="27" spans="1:7" ht="21">
      <c r="A27" s="29"/>
      <c r="B27" s="29"/>
      <c r="C27" s="29"/>
      <c r="D27" s="29"/>
      <c r="E27" s="29"/>
      <c r="F27" s="29"/>
      <c r="G27" s="29"/>
    </row>
  </sheetData>
  <mergeCells count="3">
    <mergeCell ref="A25:G25"/>
    <mergeCell ref="A26:G26"/>
    <mergeCell ref="A16:G16"/>
  </mergeCells>
  <printOptions horizontalCentered="1" verticalCentered="1"/>
  <pageMargins left="0.70866141732283472" right="0.70866141732283472" top="0.74803149606299213" bottom="0.74803149606299213" header="0.31496062992125984" footer="0.31496062992125984"/>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CU392"/>
  <sheetViews>
    <sheetView topLeftCell="A7" zoomScaleNormal="100" workbookViewId="0">
      <pane xSplit="11610" ySplit="2550" topLeftCell="BI61" activePane="bottomLeft"/>
      <selection activeCell="A27" sqref="A27:C29"/>
      <selection pane="topRight" activeCell="S2" sqref="S1:S65536"/>
      <selection pane="bottomLeft" activeCell="B80" sqref="B80"/>
      <selection pane="bottomRight" activeCell="BJ10" sqref="BJ10:BJ12"/>
    </sheetView>
  </sheetViews>
  <sheetFormatPr baseColWidth="10" defaultColWidth="9.140625" defaultRowHeight="15"/>
  <cols>
    <col min="1" max="1" width="11.42578125" customWidth="1"/>
    <col min="2" max="2" width="39.140625" customWidth="1"/>
    <col min="3" max="3" width="16.5703125" style="11" customWidth="1"/>
    <col min="4" max="4" width="13.5703125" customWidth="1"/>
    <col min="5" max="5" width="13.28515625" customWidth="1"/>
    <col min="6" max="6" width="13.7109375" bestFit="1" customWidth="1"/>
    <col min="7" max="7" width="12.7109375" customWidth="1"/>
    <col min="8" max="8" width="13" bestFit="1" customWidth="1"/>
    <col min="9" max="9" width="14.28515625" customWidth="1"/>
    <col min="10" max="11" width="12.7109375" bestFit="1" customWidth="1"/>
    <col min="12" max="12" width="10.85546875" bestFit="1" customWidth="1"/>
    <col min="13" max="13" width="10.42578125" bestFit="1" customWidth="1"/>
    <col min="14" max="14" width="10.85546875" bestFit="1" customWidth="1"/>
    <col min="15" max="17" width="10.42578125" bestFit="1" customWidth="1"/>
    <col min="18" max="18" width="11.42578125" customWidth="1"/>
    <col min="19" max="19" width="42.5703125" customWidth="1"/>
    <col min="20" max="20" width="15.28515625" customWidth="1"/>
    <col min="21" max="31" width="14.42578125" bestFit="1" customWidth="1"/>
    <col min="32" max="32" width="13.42578125" bestFit="1" customWidth="1"/>
    <col min="33" max="33" width="11.42578125" customWidth="1"/>
    <col min="34" max="34" width="11.42578125" hidden="1" customWidth="1"/>
    <col min="35" max="35" width="6.140625" hidden="1" customWidth="1"/>
    <col min="36" max="36" width="16.140625" hidden="1" customWidth="1"/>
    <col min="37" max="37" width="11.42578125" hidden="1" customWidth="1"/>
    <col min="38" max="38" width="56.28515625" hidden="1" customWidth="1"/>
    <col min="39" max="39" width="7.140625" hidden="1" customWidth="1"/>
    <col min="40" max="45" width="3.42578125" hidden="1" customWidth="1"/>
    <col min="46" max="51" width="11.42578125" hidden="1" customWidth="1"/>
    <col min="52" max="53" width="11.42578125" customWidth="1"/>
    <col min="54" max="54" width="36.85546875" customWidth="1"/>
    <col min="55" max="55" width="15.28515625" customWidth="1"/>
    <col min="56" max="56" width="5.28515625" customWidth="1"/>
    <col min="57" max="57" width="11.42578125" customWidth="1"/>
    <col min="58" max="58" width="36.85546875" customWidth="1"/>
    <col min="59" max="59" width="15.28515625" customWidth="1"/>
    <col min="60" max="61" width="11.42578125" customWidth="1"/>
    <col min="62" max="62" width="36.85546875" customWidth="1"/>
    <col min="63" max="63" width="15.28515625" customWidth="1"/>
    <col min="64" max="65" width="11.42578125" customWidth="1"/>
    <col min="66" max="66" width="36.85546875" customWidth="1"/>
    <col min="67" max="67" width="15.28515625" customWidth="1"/>
    <col min="68" max="69" width="11.42578125" customWidth="1"/>
    <col min="70" max="70" width="36.85546875" customWidth="1"/>
    <col min="71" max="71" width="15.28515625" customWidth="1"/>
    <col min="72" max="73" width="11.42578125" customWidth="1"/>
    <col min="74" max="74" width="36.85546875" customWidth="1"/>
    <col min="75" max="75" width="15.28515625" customWidth="1"/>
    <col min="76" max="77" width="11.42578125" customWidth="1"/>
    <col min="78" max="78" width="36.85546875" customWidth="1"/>
    <col min="79" max="79" width="15.28515625" customWidth="1"/>
    <col min="80" max="81" width="11.42578125" customWidth="1"/>
    <col min="82" max="82" width="36.85546875" customWidth="1"/>
    <col min="83" max="83" width="15.28515625" customWidth="1"/>
    <col min="84" max="85" width="11.42578125" customWidth="1"/>
    <col min="86" max="86" width="36.85546875" customWidth="1"/>
    <col min="87" max="87" width="15.28515625" customWidth="1"/>
    <col min="88" max="89" width="11.42578125" customWidth="1"/>
    <col min="90" max="90" width="36.85546875" customWidth="1"/>
    <col min="91" max="91" width="15.28515625" customWidth="1"/>
    <col min="92" max="93" width="11.42578125" customWidth="1"/>
    <col min="94" max="94" width="36.85546875" customWidth="1"/>
    <col min="95" max="95" width="15.28515625" customWidth="1"/>
    <col min="96" max="97" width="11.42578125" customWidth="1"/>
    <col min="98" max="98" width="36.85546875" customWidth="1"/>
    <col min="99" max="99" width="15.28515625" customWidth="1"/>
  </cols>
  <sheetData>
    <row r="1" spans="1:99" ht="18.75" thickBot="1">
      <c r="E1">
        <f>14000/30*1.18</f>
        <v>550.66666666666663</v>
      </c>
      <c r="R1" s="1845">
        <f>H3</f>
        <v>0</v>
      </c>
      <c r="S1" s="1846"/>
      <c r="T1" s="1847"/>
      <c r="AJ1" t="s">
        <v>1</v>
      </c>
      <c r="AU1" t="s">
        <v>0</v>
      </c>
      <c r="BA1" s="1845" t="s">
        <v>1534</v>
      </c>
      <c r="BB1" s="1846"/>
      <c r="BC1" s="1847"/>
      <c r="BD1" s="505"/>
      <c r="BE1" s="1845" t="s">
        <v>1535</v>
      </c>
      <c r="BF1" s="1846"/>
      <c r="BG1" s="1847"/>
      <c r="BH1" s="505"/>
      <c r="BI1" s="1845" t="s">
        <v>1536</v>
      </c>
      <c r="BJ1" s="1846"/>
      <c r="BK1" s="1847"/>
      <c r="BL1" s="505"/>
      <c r="BM1" s="1848" t="s">
        <v>1537</v>
      </c>
      <c r="BN1" s="1848"/>
      <c r="BO1" s="1848"/>
      <c r="BP1" s="505"/>
      <c r="BQ1" s="1845" t="s">
        <v>1538</v>
      </c>
      <c r="BR1" s="1846"/>
      <c r="BS1" s="1847"/>
      <c r="BT1" s="505"/>
      <c r="BU1" s="1848" t="s">
        <v>1539</v>
      </c>
      <c r="BV1" s="1848"/>
      <c r="BW1" s="1848"/>
      <c r="BX1" s="505"/>
      <c r="BY1" s="1848" t="s">
        <v>1540</v>
      </c>
      <c r="BZ1" s="1848"/>
      <c r="CA1" s="1848"/>
      <c r="CB1" s="505"/>
      <c r="CC1" s="1845" t="s">
        <v>1541</v>
      </c>
      <c r="CD1" s="1846"/>
      <c r="CE1" s="1847"/>
      <c r="CF1" s="505"/>
      <c r="CG1" s="1848" t="s">
        <v>1542</v>
      </c>
      <c r="CH1" s="1848"/>
      <c r="CI1" s="1848"/>
      <c r="CJ1" s="505"/>
      <c r="CK1" s="1845" t="s">
        <v>1543</v>
      </c>
      <c r="CL1" s="1846"/>
      <c r="CM1" s="1847"/>
      <c r="CN1" s="505"/>
      <c r="CO1" s="1845" t="s">
        <v>1544</v>
      </c>
      <c r="CP1" s="1846"/>
      <c r="CQ1" s="1847"/>
      <c r="CR1" s="505"/>
      <c r="CS1" s="1845" t="s">
        <v>1545</v>
      </c>
      <c r="CT1" s="1846"/>
      <c r="CU1" s="1847"/>
    </row>
    <row r="2" spans="1:99" ht="27">
      <c r="A2" s="1484" t="s">
        <v>920</v>
      </c>
      <c r="B2" s="699" t="s">
        <v>1825</v>
      </c>
      <c r="E2">
        <f>146*1.18</f>
        <v>172.28</v>
      </c>
      <c r="AJ2" t="s">
        <v>4</v>
      </c>
      <c r="AN2" t="s">
        <v>2</v>
      </c>
      <c r="AU2" t="s">
        <v>0</v>
      </c>
    </row>
    <row r="3" spans="1:99">
      <c r="A3" s="698" t="s">
        <v>1826</v>
      </c>
      <c r="B3" s="698" t="s">
        <v>1827</v>
      </c>
      <c r="E3">
        <f>+E2*60</f>
        <v>10336.799999999999</v>
      </c>
      <c r="R3" s="39" t="s">
        <v>898</v>
      </c>
      <c r="S3" s="39"/>
      <c r="T3" s="25"/>
      <c r="AL3" t="s">
        <v>0</v>
      </c>
      <c r="AN3" t="s">
        <v>5</v>
      </c>
      <c r="BA3" s="39" t="s">
        <v>898</v>
      </c>
      <c r="BB3" s="39"/>
      <c r="BC3" s="25">
        <f>SUM(BC7:BC1013)</f>
        <v>-18075999.459999997</v>
      </c>
      <c r="BE3" s="39" t="s">
        <v>898</v>
      </c>
      <c r="BF3" s="39"/>
      <c r="BG3" s="25">
        <f>SUM(BG7:BG297)</f>
        <v>15084582.559999999</v>
      </c>
      <c r="BI3" s="39" t="s">
        <v>898</v>
      </c>
      <c r="BJ3" s="39"/>
      <c r="BK3" s="25">
        <f>SUM(BK7:BK297)</f>
        <v>6554905.9400000013</v>
      </c>
      <c r="BM3" s="39" t="s">
        <v>898</v>
      </c>
      <c r="BN3" s="39"/>
      <c r="BO3" s="25">
        <f>SUM(BO8:BO253)</f>
        <v>0</v>
      </c>
      <c r="BQ3" s="39" t="s">
        <v>898</v>
      </c>
      <c r="BR3" s="39"/>
      <c r="BS3" s="25">
        <f>SUM(BS8:BS253)</f>
        <v>0</v>
      </c>
      <c r="BU3" s="39" t="s">
        <v>898</v>
      </c>
      <c r="BV3" s="39"/>
      <c r="BW3" s="25">
        <f>SUM(BW8:BW253)</f>
        <v>0</v>
      </c>
      <c r="BY3" s="39" t="s">
        <v>898</v>
      </c>
      <c r="BZ3" s="39"/>
      <c r="CA3" s="25">
        <f>SUM(CA8:CA253)</f>
        <v>0</v>
      </c>
      <c r="CC3" s="39" t="s">
        <v>898</v>
      </c>
      <c r="CD3" s="39"/>
      <c r="CE3" s="25">
        <f>SUM(CE8:CE253)</f>
        <v>0</v>
      </c>
      <c r="CG3" s="39" t="s">
        <v>898</v>
      </c>
      <c r="CH3" s="39"/>
      <c r="CI3" s="25">
        <f>SUM(CI8:CI253)</f>
        <v>0</v>
      </c>
      <c r="CK3" s="39" t="s">
        <v>898</v>
      </c>
      <c r="CL3" s="39"/>
      <c r="CM3" s="25">
        <f>SUM(CM8:CM253)</f>
        <v>0</v>
      </c>
      <c r="CO3" s="39" t="s">
        <v>898</v>
      </c>
      <c r="CP3" s="39"/>
      <c r="CQ3" s="25">
        <f>SUM(CQ8:CQ253)</f>
        <v>0</v>
      </c>
      <c r="CS3" s="39" t="s">
        <v>898</v>
      </c>
      <c r="CT3" s="39"/>
      <c r="CU3" s="25">
        <f>SUM(CU8:CU253)</f>
        <v>0</v>
      </c>
    </row>
    <row r="4" spans="1:99">
      <c r="A4" s="1485" t="s">
        <v>1828</v>
      </c>
      <c r="B4" s="712">
        <f>+BALANZA!B4</f>
        <v>2026</v>
      </c>
      <c r="R4" s="40" t="s">
        <v>918</v>
      </c>
      <c r="T4" s="11">
        <f t="shared" ref="T4:AE4" ca="1" si="0">SUM(T7:T1012)</f>
        <v>-18149054.649999999</v>
      </c>
      <c r="U4" s="11">
        <f t="shared" ca="1" si="0"/>
        <v>-9131922.3800000008</v>
      </c>
      <c r="V4" s="11">
        <f t="shared" ca="1" si="0"/>
        <v>-7241746.0199999968</v>
      </c>
      <c r="W4" s="11">
        <f t="shared" ca="1" si="0"/>
        <v>0</v>
      </c>
      <c r="X4" s="11">
        <f t="shared" ca="1" si="0"/>
        <v>0</v>
      </c>
      <c r="Y4" s="11">
        <f t="shared" ca="1" si="0"/>
        <v>0</v>
      </c>
      <c r="Z4" s="11">
        <f t="shared" ca="1" si="0"/>
        <v>0</v>
      </c>
      <c r="AA4" s="11">
        <f t="shared" ca="1" si="0"/>
        <v>0</v>
      </c>
      <c r="AB4" s="11">
        <f t="shared" ca="1" si="0"/>
        <v>0</v>
      </c>
      <c r="AC4" s="11">
        <f t="shared" ca="1" si="0"/>
        <v>0</v>
      </c>
      <c r="AD4" s="11">
        <f t="shared" ca="1" si="0"/>
        <v>0</v>
      </c>
      <c r="AE4" s="11">
        <f t="shared" ca="1" si="0"/>
        <v>0</v>
      </c>
      <c r="AJ4" t="s">
        <v>0</v>
      </c>
      <c r="BA4" s="40" t="s">
        <v>918</v>
      </c>
      <c r="BC4" s="11"/>
      <c r="BE4" s="40" t="s">
        <v>918</v>
      </c>
      <c r="BG4" s="11"/>
      <c r="BI4" s="40" t="s">
        <v>918</v>
      </c>
      <c r="BK4" s="11"/>
      <c r="BM4" s="40" t="s">
        <v>918</v>
      </c>
      <c r="BO4" s="11"/>
      <c r="BQ4" s="40" t="s">
        <v>918</v>
      </c>
      <c r="BS4" s="11"/>
      <c r="BU4" s="40" t="s">
        <v>918</v>
      </c>
      <c r="BW4" s="11"/>
      <c r="BY4" s="40" t="s">
        <v>918</v>
      </c>
      <c r="CA4" s="11"/>
      <c r="CC4" s="40" t="s">
        <v>918</v>
      </c>
      <c r="CE4" s="11"/>
      <c r="CG4" s="40" t="s">
        <v>918</v>
      </c>
      <c r="CI4" s="11"/>
      <c r="CK4" s="40" t="s">
        <v>918</v>
      </c>
      <c r="CM4" s="11"/>
      <c r="CO4" s="40" t="s">
        <v>918</v>
      </c>
      <c r="CQ4" s="11"/>
      <c r="CS4" s="40" t="s">
        <v>918</v>
      </c>
      <c r="CU4" s="11"/>
    </row>
    <row r="5" spans="1:99" ht="15.75" thickBot="1">
      <c r="R5" s="40"/>
      <c r="T5" s="11">
        <f ca="1">+T4-BC3</f>
        <v>-73055.190000001341</v>
      </c>
      <c r="U5" s="11">
        <f ca="1">+U4-BG3</f>
        <v>-24216504.939999998</v>
      </c>
      <c r="V5" s="11">
        <f ca="1">+V4-BK3</f>
        <v>-13796651.959999997</v>
      </c>
      <c r="W5" s="11">
        <f ca="1">+W4-BO3</f>
        <v>0</v>
      </c>
      <c r="X5" s="11">
        <f ca="1">+X4-BS3</f>
        <v>0</v>
      </c>
      <c r="Y5" s="11">
        <f ca="1">+Y4-BW3</f>
        <v>0</v>
      </c>
      <c r="Z5" s="11">
        <f ca="1">+Z4-CA3</f>
        <v>0</v>
      </c>
      <c r="AA5" s="11">
        <f ca="1">+AA4-CE3</f>
        <v>0</v>
      </c>
      <c r="AB5" s="11">
        <f ca="1">+AB4-CI3</f>
        <v>0</v>
      </c>
      <c r="AC5" s="11">
        <f ca="1">+AC4-CM3</f>
        <v>0</v>
      </c>
      <c r="AD5" s="11">
        <f ca="1">+AD4-CQ3</f>
        <v>0</v>
      </c>
      <c r="AE5" s="11">
        <f ca="1">+AE4-CU3</f>
        <v>0</v>
      </c>
      <c r="BA5" s="40"/>
      <c r="BC5" s="11"/>
      <c r="BE5" s="40"/>
      <c r="BG5" s="11"/>
      <c r="BI5" s="40"/>
      <c r="BK5" s="11"/>
      <c r="BM5" s="40"/>
      <c r="BO5" s="11"/>
      <c r="BQ5" s="40"/>
      <c r="BS5" s="11"/>
      <c r="BU5" s="40"/>
      <c r="BW5" s="11"/>
      <c r="BY5" s="40"/>
      <c r="CA5" s="11"/>
      <c r="CC5" s="40"/>
      <c r="CE5" s="11"/>
      <c r="CG5" s="40"/>
      <c r="CI5" s="11"/>
      <c r="CK5" s="40"/>
      <c r="CM5" s="11"/>
      <c r="CO5" s="40"/>
      <c r="CQ5" s="11"/>
      <c r="CS5" s="40"/>
      <c r="CU5" s="11"/>
    </row>
    <row r="6" spans="1:99" ht="15.75" thickBot="1">
      <c r="B6" s="23" t="s">
        <v>1829</v>
      </c>
      <c r="C6" s="739">
        <f>+B4</f>
        <v>2026</v>
      </c>
      <c r="D6" s="739">
        <f>+BALANZA!C4</f>
        <v>2025</v>
      </c>
      <c r="R6" s="509" t="s">
        <v>918</v>
      </c>
      <c r="S6" s="510" t="s">
        <v>892</v>
      </c>
      <c r="T6" s="511" t="s">
        <v>1534</v>
      </c>
      <c r="U6" s="511" t="s">
        <v>1535</v>
      </c>
      <c r="V6" s="511" t="s">
        <v>1536</v>
      </c>
      <c r="W6" s="511" t="s">
        <v>1537</v>
      </c>
      <c r="X6" s="511" t="s">
        <v>1538</v>
      </c>
      <c r="Y6" s="511" t="s">
        <v>1539</v>
      </c>
      <c r="Z6" s="511" t="s">
        <v>1540</v>
      </c>
      <c r="AA6" s="511" t="s">
        <v>1541</v>
      </c>
      <c r="AB6" s="511" t="s">
        <v>1542</v>
      </c>
      <c r="AC6" s="511" t="s">
        <v>1543</v>
      </c>
      <c r="AD6" s="511" t="s">
        <v>1544</v>
      </c>
      <c r="AE6" s="511" t="s">
        <v>1545</v>
      </c>
      <c r="AI6" s="1"/>
      <c r="AJ6" s="2" t="s">
        <v>6</v>
      </c>
      <c r="AK6" s="2" t="s">
        <v>7</v>
      </c>
      <c r="AL6" s="2" t="s">
        <v>8</v>
      </c>
      <c r="AM6" s="2" t="s">
        <v>9</v>
      </c>
      <c r="AN6" s="2" t="s">
        <v>10</v>
      </c>
      <c r="AO6" s="2" t="s">
        <v>11</v>
      </c>
      <c r="AP6" s="2" t="s">
        <v>12</v>
      </c>
      <c r="AQ6" s="2" t="s">
        <v>13</v>
      </c>
      <c r="AR6" s="2" t="s">
        <v>14</v>
      </c>
      <c r="AS6" s="3" t="s">
        <v>0</v>
      </c>
      <c r="AU6" s="2"/>
      <c r="AV6" s="2"/>
      <c r="AW6" s="2" t="s">
        <v>0</v>
      </c>
      <c r="AX6" s="2"/>
      <c r="AY6" s="5"/>
      <c r="BA6" s="40" t="s">
        <v>918</v>
      </c>
      <c r="BB6" s="958" t="s">
        <v>892</v>
      </c>
      <c r="BC6" s="12" t="s">
        <v>893</v>
      </c>
      <c r="BE6" s="40" t="s">
        <v>918</v>
      </c>
      <c r="BF6" s="958" t="s">
        <v>892</v>
      </c>
      <c r="BG6" s="12" t="s">
        <v>893</v>
      </c>
      <c r="BI6" s="40" t="s">
        <v>918</v>
      </c>
      <c r="BJ6" s="958" t="s">
        <v>892</v>
      </c>
      <c r="BK6" s="12" t="s">
        <v>893</v>
      </c>
      <c r="BM6" s="40" t="s">
        <v>918</v>
      </c>
      <c r="BN6" s="958" t="s">
        <v>892</v>
      </c>
      <c r="BO6" s="12" t="s">
        <v>893</v>
      </c>
      <c r="BQ6" s="40" t="s">
        <v>918</v>
      </c>
      <c r="BR6" s="958" t="s">
        <v>892</v>
      </c>
      <c r="BS6" s="12" t="s">
        <v>893</v>
      </c>
      <c r="BU6" s="40" t="s">
        <v>918</v>
      </c>
      <c r="BV6" s="958" t="s">
        <v>892</v>
      </c>
      <c r="BW6" s="12" t="s">
        <v>893</v>
      </c>
      <c r="BY6" s="40" t="s">
        <v>918</v>
      </c>
      <c r="BZ6" s="958" t="s">
        <v>892</v>
      </c>
      <c r="CA6" s="12" t="s">
        <v>893</v>
      </c>
      <c r="CC6" s="40" t="s">
        <v>918</v>
      </c>
      <c r="CD6" s="958" t="s">
        <v>892</v>
      </c>
      <c r="CE6" s="12" t="s">
        <v>893</v>
      </c>
      <c r="CG6" s="40" t="s">
        <v>918</v>
      </c>
      <c r="CH6" s="958" t="s">
        <v>892</v>
      </c>
      <c r="CI6" s="12" t="s">
        <v>893</v>
      </c>
      <c r="CK6" s="40" t="s">
        <v>918</v>
      </c>
      <c r="CL6" s="958" t="s">
        <v>892</v>
      </c>
      <c r="CM6" s="12" t="s">
        <v>893</v>
      </c>
      <c r="CO6" s="40" t="s">
        <v>918</v>
      </c>
      <c r="CP6" s="958" t="s">
        <v>892</v>
      </c>
      <c r="CQ6" s="12" t="s">
        <v>893</v>
      </c>
      <c r="CS6" s="40" t="s">
        <v>918</v>
      </c>
      <c r="CT6" s="958" t="s">
        <v>892</v>
      </c>
      <c r="CU6" s="12" t="s">
        <v>893</v>
      </c>
    </row>
    <row r="7" spans="1:99">
      <c r="B7" s="700" t="s">
        <v>1830</v>
      </c>
      <c r="C7" s="701">
        <f>+'BALANZA G'!C13</f>
        <v>95000</v>
      </c>
      <c r="D7" s="742">
        <f>+'BALANZA G'!D13</f>
        <v>95000</v>
      </c>
      <c r="R7" s="506"/>
      <c r="S7" s="506"/>
      <c r="T7" s="507"/>
      <c r="U7" s="507"/>
      <c r="V7" s="507"/>
      <c r="W7" s="507"/>
      <c r="X7" s="507"/>
      <c r="Y7" s="507"/>
      <c r="Z7" s="507"/>
      <c r="AA7" s="507"/>
      <c r="AB7" s="507"/>
      <c r="AC7" s="507"/>
      <c r="AD7" s="507"/>
      <c r="AE7" s="507"/>
      <c r="AF7" s="11"/>
      <c r="AI7" s="4">
        <v>1</v>
      </c>
      <c r="AJ7" s="5" t="s">
        <v>24</v>
      </c>
      <c r="AK7" s="5" t="s">
        <v>22</v>
      </c>
      <c r="AL7" s="5" t="s">
        <v>25</v>
      </c>
      <c r="AM7" s="5" t="s">
        <v>0</v>
      </c>
      <c r="AN7" s="5" t="s">
        <v>18</v>
      </c>
      <c r="AO7" s="5" t="s">
        <v>16</v>
      </c>
      <c r="AP7" s="5" t="s">
        <v>17</v>
      </c>
      <c r="AQ7" s="5" t="s">
        <v>3</v>
      </c>
      <c r="AR7" s="5" t="s">
        <v>18</v>
      </c>
      <c r="AS7" s="6"/>
      <c r="AU7" s="5"/>
      <c r="AV7" s="5"/>
      <c r="AW7" s="5"/>
      <c r="AX7" s="5"/>
      <c r="AY7" s="5"/>
      <c r="BA7" s="31"/>
      <c r="BB7" s="32"/>
      <c r="BC7" s="33"/>
      <c r="BE7" s="31"/>
      <c r="BF7" s="32"/>
      <c r="BG7" s="33"/>
      <c r="BI7" s="31"/>
      <c r="BJ7" s="32"/>
      <c r="BK7" s="33"/>
      <c r="BM7" s="31"/>
      <c r="BN7" s="32"/>
      <c r="BO7" s="33"/>
      <c r="BQ7" s="31"/>
      <c r="BR7" s="32"/>
      <c r="BS7" s="33"/>
      <c r="BU7" s="31"/>
      <c r="BV7" s="32"/>
      <c r="BW7" s="33"/>
      <c r="BY7" s="31"/>
      <c r="BZ7" s="32"/>
      <c r="CA7" s="33"/>
      <c r="CC7" s="31"/>
      <c r="CD7" s="32"/>
      <c r="CE7" s="33"/>
      <c r="CG7" s="31"/>
      <c r="CH7" s="32"/>
      <c r="CI7" s="33"/>
      <c r="CK7" s="31"/>
      <c r="CL7" s="32"/>
      <c r="CM7" s="33"/>
      <c r="CO7" s="31"/>
      <c r="CP7" s="32"/>
      <c r="CQ7" s="33"/>
      <c r="CS7" s="31"/>
      <c r="CT7" s="32"/>
      <c r="CU7" s="33"/>
    </row>
    <row r="8" spans="1:99">
      <c r="B8" s="700" t="s">
        <v>1843</v>
      </c>
      <c r="C8" s="701">
        <f>+'BALANZA G'!C12</f>
        <v>0</v>
      </c>
      <c r="D8" s="742">
        <f>+'BALANZA G'!D12</f>
        <v>0</v>
      </c>
      <c r="R8" s="506" t="s">
        <v>540</v>
      </c>
      <c r="S8" s="506" t="s">
        <v>3789</v>
      </c>
      <c r="T8" s="507">
        <f t="shared" ref="T8:T43" ca="1" si="1">SUMIF($BB$7:$BC$297,S8,$BC$7:$BC$297)</f>
        <v>-3993167</v>
      </c>
      <c r="U8" s="507">
        <f t="shared" ref="U8:U43" ca="1" si="2">SUMIF($BF$7:$BG$297,S8,$BG$7:$BG$297)</f>
        <v>-3993167</v>
      </c>
      <c r="V8" s="507">
        <f t="shared" ref="V8:V43" ca="1" si="3">SUMIF($BJ$7:$BK$297,S8,$BK$7:$BK$297)</f>
        <v>-3993167</v>
      </c>
      <c r="W8" s="507">
        <f t="shared" ref="W8:W43" ca="1" si="4">SUMIF($BN$7:$BO$297,S8,$BO$7:$BO$297)</f>
        <v>0</v>
      </c>
      <c r="X8" s="507">
        <f t="shared" ref="X8:X43" ca="1" si="5">SUMIF($BR$7:$BS$297,S8,$BS$7:$BS$297)</f>
        <v>0</v>
      </c>
      <c r="Y8" s="507">
        <f t="shared" ref="Y8:Y43" ca="1" si="6">SUMIF($BV$7:$BW$297,S8,$BW$7:$BW$297)</f>
        <v>0</v>
      </c>
      <c r="Z8" s="507">
        <f t="shared" ref="Z8:Z43" ca="1" si="7">SUMIF($BZ$7:$CA$297,S8,$CA$7:$CA$297)</f>
        <v>0</v>
      </c>
      <c r="AA8" s="507">
        <f t="shared" ref="AA8:AA43" ca="1" si="8">SUMIF($CD$7:$CE$297,S8,$CE$7:$CE$297)</f>
        <v>0</v>
      </c>
      <c r="AB8" s="507">
        <f t="shared" ref="AB8:AB43" ca="1" si="9">SUMIF($CH$7:$CI$297,S8,$CI$7:$CI$297)</f>
        <v>0</v>
      </c>
      <c r="AC8" s="507">
        <f t="shared" ref="AC8:AC43" ca="1" si="10">SUMIF($CL$7:$CM$297,S8,$CM$7:$CM$297)</f>
        <v>0</v>
      </c>
      <c r="AD8" s="507">
        <f t="shared" ref="AD8:AD43" ca="1" si="11">SUMIF($CP$7:$CQ$297,S8,$CQ$7:$CQ$297)</f>
        <v>0</v>
      </c>
      <c r="AE8" s="507">
        <f t="shared" ref="AE8:AE43" ca="1" si="12">SUMIF($CT$7:$CU$297,S8,$CU$7:$CU$297)</f>
        <v>0</v>
      </c>
      <c r="AF8" s="11">
        <f t="shared" ref="AF8:AF71" ca="1" si="13">SUM(T8:AE8)</f>
        <v>-11979501</v>
      </c>
      <c r="AI8" s="4">
        <v>5</v>
      </c>
      <c r="AJ8" s="5" t="s">
        <v>28</v>
      </c>
      <c r="AK8" s="5" t="s">
        <v>26</v>
      </c>
      <c r="AL8" s="5" t="s">
        <v>29</v>
      </c>
      <c r="AM8" s="5" t="s">
        <v>0</v>
      </c>
      <c r="AN8" s="5" t="s">
        <v>18</v>
      </c>
      <c r="AO8" s="5" t="s">
        <v>16</v>
      </c>
      <c r="AP8" s="5" t="s">
        <v>17</v>
      </c>
      <c r="AQ8" s="5" t="s">
        <v>3</v>
      </c>
      <c r="AR8" s="5" t="s">
        <v>18</v>
      </c>
      <c r="AS8" s="6"/>
      <c r="AU8" s="5"/>
      <c r="AV8" s="5"/>
      <c r="AW8" s="5"/>
      <c r="AX8" s="5"/>
      <c r="AY8" s="5"/>
      <c r="BA8" s="34"/>
      <c r="BB8" s="34"/>
      <c r="BC8" s="36"/>
      <c r="BE8" s="34"/>
      <c r="BG8" s="36"/>
      <c r="BI8" s="34"/>
      <c r="BJ8" s="35"/>
      <c r="BK8" s="36"/>
      <c r="BM8" s="34"/>
      <c r="BN8" s="35"/>
      <c r="BO8" s="36"/>
      <c r="BQ8" s="34"/>
      <c r="BR8" s="35"/>
      <c r="BS8" s="36"/>
      <c r="BU8" s="34"/>
      <c r="BV8" s="34"/>
      <c r="BW8" s="36"/>
      <c r="BY8" s="34"/>
      <c r="BZ8" s="35"/>
      <c r="CA8" s="36"/>
      <c r="CC8" s="34"/>
      <c r="CD8" s="35"/>
      <c r="CE8" s="36"/>
      <c r="CG8" s="34"/>
      <c r="CH8" s="34"/>
      <c r="CI8" s="36"/>
      <c r="CK8" s="34"/>
      <c r="CL8" s="35"/>
      <c r="CM8" s="36"/>
      <c r="CO8" s="34"/>
      <c r="CP8" s="34"/>
      <c r="CQ8" s="36"/>
      <c r="CS8" s="34"/>
      <c r="CT8" s="35"/>
      <c r="CU8" s="36"/>
    </row>
    <row r="9" spans="1:99">
      <c r="B9" s="700" t="s">
        <v>1831</v>
      </c>
      <c r="C9" s="743">
        <f>+'BALANZA G'!C23</f>
        <v>0</v>
      </c>
      <c r="D9" s="742">
        <f>+'BALANZA G'!D23</f>
        <v>1391.2</v>
      </c>
      <c r="R9" s="506"/>
      <c r="S9" s="506" t="s">
        <v>546</v>
      </c>
      <c r="T9" s="507">
        <f t="shared" ca="1" si="1"/>
        <v>0</v>
      </c>
      <c r="U9" s="507">
        <f t="shared" ca="1" si="2"/>
        <v>0</v>
      </c>
      <c r="V9" s="507">
        <f t="shared" ca="1" si="3"/>
        <v>0</v>
      </c>
      <c r="W9" s="507">
        <f t="shared" ca="1" si="4"/>
        <v>0</v>
      </c>
      <c r="X9" s="507">
        <f t="shared" ca="1" si="5"/>
        <v>0</v>
      </c>
      <c r="Y9" s="507">
        <f t="shared" ca="1" si="6"/>
        <v>0</v>
      </c>
      <c r="Z9" s="507">
        <f t="shared" ca="1" si="7"/>
        <v>0</v>
      </c>
      <c r="AA9" s="507">
        <f t="shared" ca="1" si="8"/>
        <v>0</v>
      </c>
      <c r="AB9" s="507">
        <f t="shared" ca="1" si="9"/>
        <v>0</v>
      </c>
      <c r="AC9" s="507">
        <f t="shared" ca="1" si="10"/>
        <v>0</v>
      </c>
      <c r="AD9" s="507">
        <f t="shared" ca="1" si="11"/>
        <v>0</v>
      </c>
      <c r="AE9" s="507">
        <f t="shared" ca="1" si="12"/>
        <v>0</v>
      </c>
      <c r="AF9" s="11">
        <f t="shared" ca="1" si="13"/>
        <v>0</v>
      </c>
      <c r="AI9" s="4">
        <v>7</v>
      </c>
      <c r="AJ9" s="5" t="s">
        <v>30</v>
      </c>
      <c r="AK9" s="5" t="s">
        <v>26</v>
      </c>
      <c r="AL9" s="5" t="s">
        <v>31</v>
      </c>
      <c r="AM9" s="5" t="s">
        <v>0</v>
      </c>
      <c r="AN9" s="5" t="s">
        <v>18</v>
      </c>
      <c r="AO9" s="5" t="s">
        <v>16</v>
      </c>
      <c r="AP9" s="5" t="s">
        <v>17</v>
      </c>
      <c r="AQ9" s="5" t="s">
        <v>3</v>
      </c>
      <c r="AR9" s="5" t="s">
        <v>18</v>
      </c>
      <c r="AS9" s="6"/>
      <c r="AU9" s="5"/>
      <c r="AV9" s="5"/>
      <c r="AW9" s="5"/>
      <c r="AX9" s="5"/>
      <c r="AY9" s="5"/>
      <c r="BA9" s="34" t="s">
        <v>3789</v>
      </c>
      <c r="BB9" s="35" t="s">
        <v>3789</v>
      </c>
      <c r="BC9" s="36">
        <v>-3993167</v>
      </c>
      <c r="BE9" s="34" t="s">
        <v>3789</v>
      </c>
      <c r="BF9" s="34" t="s">
        <v>3789</v>
      </c>
      <c r="BG9" s="36">
        <v>-3993167</v>
      </c>
      <c r="BI9" s="34"/>
      <c r="BJ9" s="35"/>
      <c r="BK9" s="36"/>
      <c r="BM9" s="34"/>
      <c r="BN9" s="35"/>
      <c r="BO9" s="36"/>
      <c r="BQ9" s="34"/>
      <c r="BR9" s="35"/>
      <c r="BS9" s="36"/>
      <c r="BU9" s="34"/>
      <c r="BV9" s="34"/>
      <c r="BW9" s="36"/>
      <c r="BY9" s="34"/>
      <c r="BZ9" s="35"/>
      <c r="CA9" s="36"/>
      <c r="CC9" s="34"/>
      <c r="CD9" s="35"/>
      <c r="CE9" s="36"/>
      <c r="CG9" s="34"/>
      <c r="CH9" s="34"/>
      <c r="CI9" s="36"/>
      <c r="CK9" s="34"/>
      <c r="CL9" s="35"/>
      <c r="CM9" s="36"/>
      <c r="CO9" s="34"/>
      <c r="CP9" s="34"/>
      <c r="CQ9" s="36"/>
      <c r="CS9" s="34"/>
      <c r="CT9" s="35"/>
      <c r="CU9" s="36"/>
    </row>
    <row r="10" spans="1:99">
      <c r="B10" s="700" t="s">
        <v>1832</v>
      </c>
      <c r="C10" s="743">
        <f>+'BALANZA G'!C24</f>
        <v>0</v>
      </c>
      <c r="D10" s="742">
        <f>+'BALANZA G'!D24</f>
        <v>0</v>
      </c>
      <c r="F10" s="19"/>
      <c r="G10" s="19"/>
      <c r="R10" s="506"/>
      <c r="S10" s="506" t="s">
        <v>500</v>
      </c>
      <c r="T10" s="507">
        <f t="shared" ca="1" si="1"/>
        <v>-14809357.609999999</v>
      </c>
      <c r="U10" s="507">
        <f t="shared" ca="1" si="2"/>
        <v>-11120286.07</v>
      </c>
      <c r="V10" s="507">
        <f t="shared" ca="1" si="3"/>
        <v>-19102447.57</v>
      </c>
      <c r="W10" s="507">
        <f t="shared" ca="1" si="4"/>
        <v>0</v>
      </c>
      <c r="X10" s="507">
        <f t="shared" ca="1" si="5"/>
        <v>0</v>
      </c>
      <c r="Y10" s="507">
        <f t="shared" ca="1" si="6"/>
        <v>0</v>
      </c>
      <c r="Z10" s="507">
        <f t="shared" ca="1" si="7"/>
        <v>0</v>
      </c>
      <c r="AA10" s="507">
        <f t="shared" ca="1" si="8"/>
        <v>0</v>
      </c>
      <c r="AB10" s="507">
        <f t="shared" ca="1" si="9"/>
        <v>0</v>
      </c>
      <c r="AC10" s="507">
        <f t="shared" ca="1" si="10"/>
        <v>0</v>
      </c>
      <c r="AD10" s="507">
        <f t="shared" ca="1" si="11"/>
        <v>0</v>
      </c>
      <c r="AE10" s="507">
        <f t="shared" ca="1" si="12"/>
        <v>0</v>
      </c>
      <c r="AF10" s="11">
        <f t="shared" ca="1" si="13"/>
        <v>-45032091.25</v>
      </c>
      <c r="AI10" s="4">
        <v>9</v>
      </c>
      <c r="AJ10" s="5" t="s">
        <v>32</v>
      </c>
      <c r="AK10" s="5" t="s">
        <v>26</v>
      </c>
      <c r="AL10" s="5" t="s">
        <v>33</v>
      </c>
      <c r="AM10" s="5" t="s">
        <v>0</v>
      </c>
      <c r="AN10" s="5" t="s">
        <v>18</v>
      </c>
      <c r="AO10" s="5" t="s">
        <v>16</v>
      </c>
      <c r="AP10" s="5" t="s">
        <v>17</v>
      </c>
      <c r="AQ10" s="5" t="s">
        <v>3</v>
      </c>
      <c r="AR10" s="5" t="s">
        <v>18</v>
      </c>
      <c r="AS10" s="6"/>
      <c r="AU10" s="5"/>
      <c r="AV10" s="5"/>
      <c r="AW10" s="5"/>
      <c r="AX10" s="5"/>
      <c r="AY10" s="5"/>
      <c r="BA10" s="34" t="s">
        <v>3790</v>
      </c>
      <c r="BB10" s="35" t="s">
        <v>3790</v>
      </c>
      <c r="BC10" s="36">
        <v>-4628652</v>
      </c>
      <c r="BE10" s="34" t="s">
        <v>3790</v>
      </c>
      <c r="BF10" s="34" t="s">
        <v>3790</v>
      </c>
      <c r="BG10" s="36">
        <v>-4628652</v>
      </c>
      <c r="BI10" s="34" t="s">
        <v>3789</v>
      </c>
      <c r="BJ10" s="35" t="s">
        <v>3789</v>
      </c>
      <c r="BK10" s="36">
        <v>-3993167</v>
      </c>
      <c r="BM10" s="34"/>
      <c r="BN10" s="35"/>
      <c r="BO10" s="36"/>
      <c r="BQ10" s="34"/>
      <c r="BR10" s="35"/>
      <c r="BS10" s="36"/>
      <c r="BU10" s="34"/>
      <c r="BV10" s="34"/>
      <c r="BW10" s="36"/>
      <c r="BY10" s="34"/>
      <c r="BZ10" s="35"/>
      <c r="CA10" s="36"/>
      <c r="CC10" s="34"/>
      <c r="CD10" s="35"/>
      <c r="CE10" s="36"/>
      <c r="CG10" s="34"/>
      <c r="CH10" s="34"/>
      <c r="CI10" s="36"/>
      <c r="CK10" s="34"/>
      <c r="CL10" s="35"/>
      <c r="CM10" s="36"/>
      <c r="CO10" s="34"/>
      <c r="CP10" s="35"/>
      <c r="CQ10" s="36"/>
      <c r="CS10" s="34"/>
      <c r="CT10" s="35"/>
      <c r="CU10" s="36"/>
    </row>
    <row r="11" spans="1:99">
      <c r="B11" s="700" t="s">
        <v>1974</v>
      </c>
      <c r="C11" s="743">
        <f>IF('BALANZA G'!C25&gt;0,'BALANZA G'!C25,0)</f>
        <v>717555.3</v>
      </c>
      <c r="D11" s="742"/>
      <c r="F11" s="19"/>
      <c r="G11" s="19"/>
      <c r="R11" s="506"/>
      <c r="S11" s="506" t="s">
        <v>490</v>
      </c>
      <c r="T11" s="507">
        <f t="shared" ca="1" si="1"/>
        <v>0</v>
      </c>
      <c r="U11" s="507">
        <f t="shared" ca="1" si="2"/>
        <v>0</v>
      </c>
      <c r="V11" s="507">
        <f t="shared" ca="1" si="3"/>
        <v>0</v>
      </c>
      <c r="W11" s="507">
        <f t="shared" ca="1" si="4"/>
        <v>0</v>
      </c>
      <c r="X11" s="507">
        <f t="shared" ca="1" si="5"/>
        <v>0</v>
      </c>
      <c r="Y11" s="507">
        <f t="shared" ca="1" si="6"/>
        <v>0</v>
      </c>
      <c r="Z11" s="507">
        <f t="shared" ca="1" si="7"/>
        <v>0</v>
      </c>
      <c r="AA11" s="507">
        <f t="shared" ca="1" si="8"/>
        <v>0</v>
      </c>
      <c r="AB11" s="507">
        <f t="shared" ca="1" si="9"/>
        <v>0</v>
      </c>
      <c r="AC11" s="507">
        <f t="shared" ca="1" si="10"/>
        <v>0</v>
      </c>
      <c r="AD11" s="507">
        <f t="shared" ca="1" si="11"/>
        <v>0</v>
      </c>
      <c r="AE11" s="507">
        <f t="shared" ca="1" si="12"/>
        <v>0</v>
      </c>
      <c r="AF11" s="11">
        <f t="shared" ca="1" si="13"/>
        <v>0</v>
      </c>
      <c r="AI11" s="4">
        <v>11</v>
      </c>
      <c r="AJ11" s="5" t="s">
        <v>34</v>
      </c>
      <c r="AK11" s="5" t="s">
        <v>26</v>
      </c>
      <c r="AL11" s="5" t="s">
        <v>35</v>
      </c>
      <c r="AM11" s="5" t="s">
        <v>0</v>
      </c>
      <c r="AN11" s="5" t="s">
        <v>18</v>
      </c>
      <c r="AO11" s="5" t="s">
        <v>16</v>
      </c>
      <c r="AP11" s="5" t="s">
        <v>17</v>
      </c>
      <c r="AQ11" s="5" t="s">
        <v>3</v>
      </c>
      <c r="AR11" s="5" t="s">
        <v>18</v>
      </c>
      <c r="AS11" s="6"/>
      <c r="AU11" s="5"/>
      <c r="AV11" s="5"/>
      <c r="AW11" s="5"/>
      <c r="AX11" s="5"/>
      <c r="AY11" s="5"/>
      <c r="BA11" s="34" t="s">
        <v>500</v>
      </c>
      <c r="BB11" s="35" t="s">
        <v>500</v>
      </c>
      <c r="BC11" s="36">
        <v>-14809357.609999999</v>
      </c>
      <c r="BE11" s="34" t="s">
        <v>500</v>
      </c>
      <c r="BF11" s="34" t="s">
        <v>500</v>
      </c>
      <c r="BG11" s="36">
        <v>-11120286.07</v>
      </c>
      <c r="BI11" s="34" t="s">
        <v>3790</v>
      </c>
      <c r="BJ11" s="34" t="s">
        <v>3790</v>
      </c>
      <c r="BK11" s="36">
        <v>-4628652</v>
      </c>
      <c r="BM11" s="34"/>
      <c r="BN11" s="35"/>
      <c r="BO11" s="36"/>
      <c r="BQ11" s="34"/>
      <c r="BR11" s="35"/>
      <c r="BS11" s="36"/>
      <c r="BU11" s="34"/>
      <c r="BV11" s="34"/>
      <c r="BW11" s="36"/>
      <c r="BY11" s="34"/>
      <c r="BZ11" s="35"/>
      <c r="CA11" s="36"/>
      <c r="CC11" s="34"/>
      <c r="CD11" s="35"/>
      <c r="CE11" s="36"/>
      <c r="CG11" s="34"/>
      <c r="CH11" s="34"/>
      <c r="CI11" s="36"/>
      <c r="CK11" s="34"/>
      <c r="CL11" s="35"/>
      <c r="CM11" s="36"/>
      <c r="CO11" s="34"/>
      <c r="CP11" s="35"/>
      <c r="CQ11" s="36"/>
      <c r="CS11" s="34"/>
      <c r="CT11" s="35"/>
      <c r="CU11" s="36"/>
    </row>
    <row r="12" spans="1:99">
      <c r="B12" s="702" t="s">
        <v>1833</v>
      </c>
      <c r="C12" s="703">
        <f>SUM(C7:C11)</f>
        <v>812555.3</v>
      </c>
      <c r="D12" s="741">
        <f>SUM(D7:D10)</f>
        <v>96391.2</v>
      </c>
      <c r="F12" s="19"/>
      <c r="G12" s="19"/>
      <c r="R12" s="506" t="s">
        <v>540</v>
      </c>
      <c r="S12" s="506" t="s">
        <v>3790</v>
      </c>
      <c r="T12" s="507">
        <f t="shared" ca="1" si="1"/>
        <v>-4628652</v>
      </c>
      <c r="U12" s="507">
        <f t="shared" ca="1" si="2"/>
        <v>-4628652</v>
      </c>
      <c r="V12" s="507">
        <f t="shared" ca="1" si="3"/>
        <v>-4628652</v>
      </c>
      <c r="W12" s="507">
        <f t="shared" ca="1" si="4"/>
        <v>0</v>
      </c>
      <c r="X12" s="507">
        <f t="shared" ca="1" si="5"/>
        <v>0</v>
      </c>
      <c r="Y12" s="507">
        <f t="shared" ca="1" si="6"/>
        <v>0</v>
      </c>
      <c r="Z12" s="507">
        <f t="shared" ca="1" si="7"/>
        <v>0</v>
      </c>
      <c r="AA12" s="507">
        <f t="shared" ca="1" si="8"/>
        <v>0</v>
      </c>
      <c r="AB12" s="507">
        <f t="shared" ca="1" si="9"/>
        <v>0</v>
      </c>
      <c r="AC12" s="507">
        <f t="shared" ca="1" si="10"/>
        <v>0</v>
      </c>
      <c r="AD12" s="507">
        <f t="shared" ca="1" si="11"/>
        <v>0</v>
      </c>
      <c r="AE12" s="507">
        <f t="shared" ca="1" si="12"/>
        <v>0</v>
      </c>
      <c r="AF12" s="11">
        <f t="shared" ca="1" si="13"/>
        <v>-13885956</v>
      </c>
      <c r="AI12" s="4">
        <v>13</v>
      </c>
      <c r="AJ12" s="5" t="s">
        <v>36</v>
      </c>
      <c r="AK12" s="5" t="s">
        <v>26</v>
      </c>
      <c r="AL12" s="5" t="s">
        <v>37</v>
      </c>
      <c r="AM12" s="5" t="s">
        <v>0</v>
      </c>
      <c r="AN12" s="5" t="s">
        <v>18</v>
      </c>
      <c r="AO12" s="5" t="s">
        <v>16</v>
      </c>
      <c r="AP12" s="5" t="s">
        <v>17</v>
      </c>
      <c r="AQ12" s="5" t="s">
        <v>3</v>
      </c>
      <c r="AR12" s="5" t="s">
        <v>18</v>
      </c>
      <c r="AS12" s="6"/>
      <c r="AU12" s="5"/>
      <c r="AV12" s="5"/>
      <c r="AW12" s="5"/>
      <c r="AX12" s="5"/>
      <c r="AY12" s="5"/>
      <c r="BA12" s="34" t="s">
        <v>2264</v>
      </c>
      <c r="BB12" s="35" t="s">
        <v>2265</v>
      </c>
      <c r="BC12" s="36">
        <v>153288.54999999999</v>
      </c>
      <c r="BE12" s="34" t="s">
        <v>570</v>
      </c>
      <c r="BF12" s="35" t="s">
        <v>4265</v>
      </c>
      <c r="BG12" s="36">
        <v>23683822.670000002</v>
      </c>
      <c r="BI12" s="34" t="s">
        <v>500</v>
      </c>
      <c r="BJ12" s="34" t="s">
        <v>500</v>
      </c>
      <c r="BK12" s="36">
        <v>-19102447.57</v>
      </c>
      <c r="BM12" s="34"/>
      <c r="BN12" s="35"/>
      <c r="BO12" s="36"/>
      <c r="BQ12" s="34"/>
      <c r="BR12" s="35"/>
      <c r="BS12" s="36"/>
      <c r="BU12" s="34"/>
      <c r="BV12" s="35"/>
      <c r="BW12" s="36"/>
      <c r="BY12" s="34"/>
      <c r="BZ12" s="35"/>
      <c r="CA12" s="36"/>
      <c r="CC12" s="34"/>
      <c r="CD12" s="35"/>
      <c r="CE12" s="36"/>
      <c r="CG12" s="34"/>
      <c r="CH12" s="34"/>
      <c r="CI12" s="36"/>
      <c r="CK12" s="34"/>
      <c r="CL12" s="35"/>
      <c r="CM12" s="36"/>
      <c r="CO12" s="34"/>
      <c r="CP12" s="35"/>
      <c r="CQ12" s="36"/>
      <c r="CS12" s="34"/>
      <c r="CT12" s="35"/>
      <c r="CU12" s="36"/>
    </row>
    <row r="13" spans="1:99" ht="15.75" thickBot="1">
      <c r="B13" s="704" t="s">
        <v>1834</v>
      </c>
      <c r="C13" s="744">
        <f>+D12</f>
        <v>96391.2</v>
      </c>
      <c r="D13" s="740"/>
      <c r="R13" s="506" t="s">
        <v>540</v>
      </c>
      <c r="S13" s="506" t="s">
        <v>3791</v>
      </c>
      <c r="T13" s="507">
        <f t="shared" ca="1" si="1"/>
        <v>0</v>
      </c>
      <c r="U13" s="507">
        <f t="shared" ca="1" si="2"/>
        <v>0</v>
      </c>
      <c r="V13" s="507">
        <f t="shared" ca="1" si="3"/>
        <v>0</v>
      </c>
      <c r="W13" s="507">
        <f t="shared" ca="1" si="4"/>
        <v>0</v>
      </c>
      <c r="X13" s="507">
        <f t="shared" ca="1" si="5"/>
        <v>0</v>
      </c>
      <c r="Y13" s="507">
        <f t="shared" ca="1" si="6"/>
        <v>0</v>
      </c>
      <c r="Z13" s="507">
        <f t="shared" ca="1" si="7"/>
        <v>0</v>
      </c>
      <c r="AA13" s="507">
        <f t="shared" ca="1" si="8"/>
        <v>0</v>
      </c>
      <c r="AB13" s="507">
        <f t="shared" ca="1" si="9"/>
        <v>0</v>
      </c>
      <c r="AC13" s="507">
        <f t="shared" ca="1" si="10"/>
        <v>0</v>
      </c>
      <c r="AD13" s="507">
        <f t="shared" ca="1" si="11"/>
        <v>0</v>
      </c>
      <c r="AE13" s="507">
        <f t="shared" ca="1" si="12"/>
        <v>0</v>
      </c>
      <c r="AF13" s="11">
        <f t="shared" ca="1" si="13"/>
        <v>0</v>
      </c>
      <c r="AI13" s="4">
        <v>15</v>
      </c>
      <c r="AJ13" s="5" t="s">
        <v>38</v>
      </c>
      <c r="AK13" s="5" t="s">
        <v>26</v>
      </c>
      <c r="AL13" s="5" t="s">
        <v>39</v>
      </c>
      <c r="AM13" s="5" t="s">
        <v>0</v>
      </c>
      <c r="AN13" s="5" t="s">
        <v>18</v>
      </c>
      <c r="AO13" s="5" t="s">
        <v>16</v>
      </c>
      <c r="AP13" s="5" t="s">
        <v>17</v>
      </c>
      <c r="AQ13" s="5" t="s">
        <v>3</v>
      </c>
      <c r="AR13" s="5" t="s">
        <v>18</v>
      </c>
      <c r="AS13" s="6"/>
      <c r="AU13" s="5"/>
      <c r="AV13" s="5"/>
      <c r="AW13" s="5"/>
      <c r="AX13" s="5"/>
      <c r="AY13" s="5"/>
      <c r="BA13" s="34" t="s">
        <v>658</v>
      </c>
      <c r="BB13" s="35" t="s">
        <v>2266</v>
      </c>
      <c r="BC13" s="36">
        <v>76591.44</v>
      </c>
      <c r="BE13" s="34" t="s">
        <v>4030</v>
      </c>
      <c r="BF13" s="35" t="s">
        <v>4031</v>
      </c>
      <c r="BG13" s="36">
        <v>20000</v>
      </c>
      <c r="BI13" s="34" t="s">
        <v>570</v>
      </c>
      <c r="BJ13" s="35" t="s">
        <v>4265</v>
      </c>
      <c r="BK13" s="36">
        <v>13529344</v>
      </c>
      <c r="BM13" s="34"/>
      <c r="BN13" s="35"/>
      <c r="BO13" s="36"/>
      <c r="BQ13" s="34"/>
      <c r="BR13" s="35"/>
      <c r="BS13" s="36"/>
      <c r="BU13" s="34"/>
      <c r="BV13" s="35"/>
      <c r="BW13" s="36"/>
      <c r="BY13" s="34"/>
      <c r="BZ13" s="35"/>
      <c r="CA13" s="36"/>
      <c r="CC13" s="34"/>
      <c r="CD13" s="35"/>
      <c r="CE13" s="36"/>
      <c r="CG13" s="34"/>
      <c r="CH13" s="35"/>
      <c r="CI13" s="36"/>
      <c r="CK13" s="34"/>
      <c r="CL13" s="35"/>
      <c r="CM13" s="36"/>
      <c r="CO13" s="34"/>
      <c r="CP13" s="35"/>
      <c r="CQ13" s="36"/>
      <c r="CS13" s="34"/>
      <c r="CT13" s="35"/>
      <c r="CU13" s="36"/>
    </row>
    <row r="14" spans="1:99" ht="15.75" thickBot="1">
      <c r="B14" s="705" t="s">
        <v>1835</v>
      </c>
      <c r="C14" s="706">
        <f>+C12-C13</f>
        <v>716164.10000000009</v>
      </c>
      <c r="D14" s="740"/>
      <c r="F14" s="11">
        <f>239825929.61-F15</f>
        <v>213960472.61000001</v>
      </c>
      <c r="R14" s="506"/>
      <c r="S14" s="506" t="s">
        <v>2887</v>
      </c>
      <c r="T14" s="507">
        <f t="shared" ca="1" si="1"/>
        <v>4927104.53</v>
      </c>
      <c r="U14" s="507">
        <f t="shared" ca="1" si="2"/>
        <v>5136462.7399999993</v>
      </c>
      <c r="V14" s="507">
        <f t="shared" ca="1" si="3"/>
        <v>4817004.78</v>
      </c>
      <c r="W14" s="507">
        <f t="shared" ca="1" si="4"/>
        <v>0</v>
      </c>
      <c r="X14" s="507">
        <f t="shared" ca="1" si="5"/>
        <v>0</v>
      </c>
      <c r="Y14" s="507">
        <f t="shared" ca="1" si="6"/>
        <v>0</v>
      </c>
      <c r="Z14" s="507">
        <f t="shared" ca="1" si="7"/>
        <v>0</v>
      </c>
      <c r="AA14" s="507">
        <f t="shared" ca="1" si="8"/>
        <v>0</v>
      </c>
      <c r="AB14" s="507">
        <f t="shared" ca="1" si="9"/>
        <v>0</v>
      </c>
      <c r="AC14" s="507">
        <f t="shared" ca="1" si="10"/>
        <v>0</v>
      </c>
      <c r="AD14" s="507">
        <f t="shared" ca="1" si="11"/>
        <v>0</v>
      </c>
      <c r="AE14" s="507">
        <f t="shared" ca="1" si="12"/>
        <v>0</v>
      </c>
      <c r="AF14" s="11">
        <f t="shared" ca="1" si="13"/>
        <v>14880572.050000001</v>
      </c>
      <c r="AI14" s="4">
        <v>17</v>
      </c>
      <c r="AJ14" s="5" t="s">
        <v>40</v>
      </c>
      <c r="AK14" s="5" t="s">
        <v>26</v>
      </c>
      <c r="AL14" s="5" t="s">
        <v>41</v>
      </c>
      <c r="AM14" s="5" t="s">
        <v>0</v>
      </c>
      <c r="AN14" s="5" t="s">
        <v>18</v>
      </c>
      <c r="AO14" s="5" t="s">
        <v>16</v>
      </c>
      <c r="AP14" s="5" t="s">
        <v>17</v>
      </c>
      <c r="AQ14" s="5" t="s">
        <v>3</v>
      </c>
      <c r="AR14" s="5" t="s">
        <v>18</v>
      </c>
      <c r="AS14" s="6"/>
      <c r="AU14" s="5"/>
      <c r="AV14" s="5"/>
      <c r="AW14" s="5"/>
      <c r="AX14" s="5"/>
      <c r="AY14" s="5"/>
      <c r="BA14" s="34" t="s">
        <v>2269</v>
      </c>
      <c r="BB14" s="35" t="s">
        <v>2270</v>
      </c>
      <c r="BC14" s="36">
        <v>26507.29</v>
      </c>
      <c r="BE14" s="34" t="s">
        <v>3783</v>
      </c>
      <c r="BF14" s="35" t="s">
        <v>3775</v>
      </c>
      <c r="BG14" s="36">
        <v>409500</v>
      </c>
      <c r="BI14" s="34" t="s">
        <v>4030</v>
      </c>
      <c r="BJ14" s="35" t="s">
        <v>4031</v>
      </c>
      <c r="BK14" s="36">
        <v>10000</v>
      </c>
      <c r="BM14" s="34"/>
      <c r="BN14" s="35"/>
      <c r="BO14" s="36"/>
      <c r="BQ14" s="34"/>
      <c r="BR14" s="35"/>
      <c r="BS14" s="36"/>
      <c r="BU14" s="34"/>
      <c r="BV14" s="35"/>
      <c r="BW14" s="36"/>
      <c r="BY14" s="34"/>
      <c r="BZ14" s="35"/>
      <c r="CA14" s="36"/>
      <c r="CC14" s="34"/>
      <c r="CD14" s="35"/>
      <c r="CE14" s="36"/>
      <c r="CG14" s="34"/>
      <c r="CH14" s="35"/>
      <c r="CI14" s="36"/>
      <c r="CK14" s="34"/>
      <c r="CL14" s="35"/>
      <c r="CM14" s="36"/>
      <c r="CO14" s="34"/>
      <c r="CP14" s="35"/>
      <c r="CQ14" s="36"/>
      <c r="CS14" s="34"/>
      <c r="CT14" s="35"/>
      <c r="CU14" s="36"/>
    </row>
    <row r="15" spans="1:99" ht="15.75" thickBot="1">
      <c r="B15" s="707"/>
      <c r="C15" s="708"/>
      <c r="F15" s="11">
        <f>+C18+C19+C20</f>
        <v>25865457</v>
      </c>
      <c r="R15" s="506" t="s">
        <v>3783</v>
      </c>
      <c r="S15" s="506" t="s">
        <v>3775</v>
      </c>
      <c r="T15" s="507">
        <f t="shared" ca="1" si="1"/>
        <v>0</v>
      </c>
      <c r="U15" s="507">
        <f t="shared" ca="1" si="2"/>
        <v>409500</v>
      </c>
      <c r="V15" s="507">
        <f t="shared" ca="1" si="3"/>
        <v>204750</v>
      </c>
      <c r="W15" s="507">
        <f t="shared" ca="1" si="4"/>
        <v>0</v>
      </c>
      <c r="X15" s="507">
        <f t="shared" ca="1" si="5"/>
        <v>0</v>
      </c>
      <c r="Y15" s="507">
        <f t="shared" ca="1" si="6"/>
        <v>0</v>
      </c>
      <c r="Z15" s="507">
        <f t="shared" ca="1" si="7"/>
        <v>0</v>
      </c>
      <c r="AA15" s="507">
        <f t="shared" ca="1" si="8"/>
        <v>0</v>
      </c>
      <c r="AB15" s="507">
        <f t="shared" ca="1" si="9"/>
        <v>0</v>
      </c>
      <c r="AC15" s="507">
        <f t="shared" ca="1" si="10"/>
        <v>0</v>
      </c>
      <c r="AD15" s="507">
        <f t="shared" ca="1" si="11"/>
        <v>0</v>
      </c>
      <c r="AE15" s="507">
        <f t="shared" ca="1" si="12"/>
        <v>0</v>
      </c>
      <c r="AF15" s="11">
        <f t="shared" ca="1" si="13"/>
        <v>614250</v>
      </c>
      <c r="AI15" s="4">
        <v>19</v>
      </c>
      <c r="AJ15" s="5" t="s">
        <v>42</v>
      </c>
      <c r="AK15" s="5" t="s">
        <v>20</v>
      </c>
      <c r="AL15" s="5" t="s">
        <v>43</v>
      </c>
      <c r="AM15" s="5" t="s">
        <v>0</v>
      </c>
      <c r="AN15" s="5" t="s">
        <v>18</v>
      </c>
      <c r="AO15" s="5" t="s">
        <v>16</v>
      </c>
      <c r="AP15" s="5" t="s">
        <v>17</v>
      </c>
      <c r="AQ15" s="5" t="s">
        <v>3</v>
      </c>
      <c r="AR15" s="5" t="s">
        <v>18</v>
      </c>
      <c r="AS15" s="6"/>
      <c r="AU15" s="5"/>
      <c r="AV15" s="5"/>
      <c r="AW15" s="5"/>
      <c r="AX15" s="5"/>
      <c r="AY15" s="5"/>
      <c r="BA15" s="34" t="s">
        <v>661</v>
      </c>
      <c r="BB15" s="35" t="s">
        <v>2887</v>
      </c>
      <c r="BC15" s="36">
        <v>4927104.53</v>
      </c>
      <c r="BE15" s="34" t="s">
        <v>4266</v>
      </c>
      <c r="BF15" s="35" t="s">
        <v>4260</v>
      </c>
      <c r="BG15" s="36">
        <v>128920</v>
      </c>
      <c r="BI15" s="34" t="s">
        <v>3783</v>
      </c>
      <c r="BJ15" s="35" t="s">
        <v>3775</v>
      </c>
      <c r="BK15" s="36">
        <v>204750</v>
      </c>
      <c r="BM15" s="34"/>
      <c r="BN15" s="35"/>
      <c r="BO15" s="36"/>
      <c r="BQ15" s="34"/>
      <c r="BR15" s="35"/>
      <c r="BS15" s="36"/>
      <c r="BU15" s="34"/>
      <c r="BV15" s="35"/>
      <c r="BW15" s="36"/>
      <c r="BY15" s="34"/>
      <c r="BZ15" s="35"/>
      <c r="CA15" s="36"/>
      <c r="CC15" s="34"/>
      <c r="CD15" s="35"/>
      <c r="CE15" s="36"/>
      <c r="CG15" s="34"/>
      <c r="CH15" s="35"/>
      <c r="CI15" s="36"/>
      <c r="CK15" s="34"/>
      <c r="CL15" s="35"/>
      <c r="CM15" s="36"/>
      <c r="CO15" s="34"/>
      <c r="CP15" s="35"/>
      <c r="CQ15" s="36"/>
      <c r="CS15" s="34"/>
      <c r="CT15" s="35"/>
      <c r="CU15" s="36"/>
    </row>
    <row r="16" spans="1:99" ht="15.75" thickBot="1">
      <c r="B16" s="705" t="s">
        <v>1836</v>
      </c>
      <c r="C16" s="745">
        <f>'ES F '!B52</f>
        <v>12076254.619999999</v>
      </c>
      <c r="D16" s="747">
        <f>'ES F '!C52</f>
        <v>9091175.9409999996</v>
      </c>
      <c r="R16" s="506" t="s">
        <v>570</v>
      </c>
      <c r="S16" s="506" t="s">
        <v>2250</v>
      </c>
      <c r="T16" s="507">
        <f t="shared" ca="1" si="1"/>
        <v>0</v>
      </c>
      <c r="U16" s="507">
        <f t="shared" ca="1" si="2"/>
        <v>0</v>
      </c>
      <c r="V16" s="507">
        <f t="shared" ca="1" si="3"/>
        <v>0</v>
      </c>
      <c r="W16" s="507">
        <f t="shared" ca="1" si="4"/>
        <v>0</v>
      </c>
      <c r="X16" s="507">
        <f t="shared" ca="1" si="5"/>
        <v>0</v>
      </c>
      <c r="Y16" s="507">
        <f t="shared" ca="1" si="6"/>
        <v>0</v>
      </c>
      <c r="Z16" s="507">
        <f t="shared" ca="1" si="7"/>
        <v>0</v>
      </c>
      <c r="AA16" s="507">
        <f t="shared" ca="1" si="8"/>
        <v>0</v>
      </c>
      <c r="AB16" s="507">
        <f t="shared" ca="1" si="9"/>
        <v>0</v>
      </c>
      <c r="AC16" s="507">
        <f t="shared" ca="1" si="10"/>
        <v>0</v>
      </c>
      <c r="AD16" s="507">
        <f t="shared" ca="1" si="11"/>
        <v>0</v>
      </c>
      <c r="AE16" s="507">
        <f t="shared" ca="1" si="12"/>
        <v>0</v>
      </c>
      <c r="AF16" s="11">
        <f t="shared" ca="1" si="13"/>
        <v>0</v>
      </c>
      <c r="AI16" s="4">
        <v>21</v>
      </c>
      <c r="AJ16" s="5" t="s">
        <v>45</v>
      </c>
      <c r="AK16" s="5" t="s">
        <v>44</v>
      </c>
      <c r="AL16" s="5" t="s">
        <v>46</v>
      </c>
      <c r="AM16" s="5" t="s">
        <v>0</v>
      </c>
      <c r="AN16" s="5" t="s">
        <v>18</v>
      </c>
      <c r="AO16" s="5" t="s">
        <v>16</v>
      </c>
      <c r="AP16" s="5" t="s">
        <v>17</v>
      </c>
      <c r="AQ16" s="5" t="s">
        <v>3</v>
      </c>
      <c r="AR16" s="5" t="s">
        <v>18</v>
      </c>
      <c r="AS16" s="6"/>
      <c r="AU16" s="5"/>
      <c r="AV16" s="5"/>
      <c r="AW16" s="5"/>
      <c r="AX16" s="5"/>
      <c r="AY16" s="5"/>
      <c r="BA16" s="34" t="s">
        <v>701</v>
      </c>
      <c r="BB16" s="35" t="s">
        <v>2281</v>
      </c>
      <c r="BC16" s="36">
        <v>54283.21</v>
      </c>
      <c r="BE16" s="34" t="s">
        <v>4033</v>
      </c>
      <c r="BF16" s="35" t="s">
        <v>3904</v>
      </c>
      <c r="BG16" s="36">
        <v>266118.21999999997</v>
      </c>
      <c r="BI16" s="34" t="s">
        <v>4266</v>
      </c>
      <c r="BJ16" s="35" t="s">
        <v>4260</v>
      </c>
      <c r="BK16" s="36">
        <v>128920</v>
      </c>
      <c r="BM16" s="34"/>
      <c r="BN16" s="35"/>
      <c r="BO16" s="36"/>
      <c r="BQ16" s="34"/>
      <c r="BR16" s="35"/>
      <c r="BS16" s="36"/>
      <c r="BU16" s="34"/>
      <c r="BV16" s="35"/>
      <c r="BW16" s="36"/>
      <c r="BY16" s="34"/>
      <c r="BZ16" s="35"/>
      <c r="CA16" s="36"/>
      <c r="CC16" s="34"/>
      <c r="CD16" s="35"/>
      <c r="CE16" s="36"/>
      <c r="CG16" s="34"/>
      <c r="CH16" s="35"/>
      <c r="CI16" s="36"/>
      <c r="CK16" s="34"/>
      <c r="CL16" s="35"/>
      <c r="CM16" s="36"/>
      <c r="CO16" s="34"/>
      <c r="CP16" s="35"/>
      <c r="CQ16" s="36"/>
      <c r="CS16" s="34"/>
      <c r="CT16" s="35"/>
      <c r="CU16" s="36"/>
    </row>
    <row r="17" spans="1:99" ht="15.75" thickBot="1">
      <c r="B17" s="705" t="s">
        <v>1835</v>
      </c>
      <c r="C17" s="11">
        <f>+C16-D16</f>
        <v>2985078.6789999995</v>
      </c>
      <c r="D17" s="746">
        <v>1</v>
      </c>
      <c r="E17" s="243">
        <v>2</v>
      </c>
      <c r="F17" s="243">
        <v>3</v>
      </c>
      <c r="G17" s="243">
        <v>4</v>
      </c>
      <c r="H17" s="243">
        <v>5</v>
      </c>
      <c r="I17" s="243">
        <v>6</v>
      </c>
      <c r="J17" s="243">
        <v>7</v>
      </c>
      <c r="K17" s="243">
        <v>8</v>
      </c>
      <c r="L17" s="243">
        <v>9</v>
      </c>
      <c r="M17" s="243">
        <v>10</v>
      </c>
      <c r="N17" s="243">
        <v>11</v>
      </c>
      <c r="O17" s="243">
        <v>12</v>
      </c>
      <c r="R17" s="506" t="s">
        <v>576</v>
      </c>
      <c r="S17" s="506" t="s">
        <v>2251</v>
      </c>
      <c r="T17" s="507">
        <f t="shared" ca="1" si="1"/>
        <v>0</v>
      </c>
      <c r="U17" s="507">
        <f t="shared" ca="1" si="2"/>
        <v>0</v>
      </c>
      <c r="V17" s="507">
        <f t="shared" ca="1" si="3"/>
        <v>0</v>
      </c>
      <c r="W17" s="507">
        <f t="shared" ca="1" si="4"/>
        <v>0</v>
      </c>
      <c r="X17" s="507">
        <f t="shared" ca="1" si="5"/>
        <v>0</v>
      </c>
      <c r="Y17" s="507">
        <f t="shared" ca="1" si="6"/>
        <v>0</v>
      </c>
      <c r="Z17" s="507">
        <f t="shared" ca="1" si="7"/>
        <v>0</v>
      </c>
      <c r="AA17" s="507">
        <f t="shared" ca="1" si="8"/>
        <v>0</v>
      </c>
      <c r="AB17" s="507">
        <f t="shared" ca="1" si="9"/>
        <v>0</v>
      </c>
      <c r="AC17" s="507">
        <f t="shared" ca="1" si="10"/>
        <v>0</v>
      </c>
      <c r="AD17" s="507">
        <f t="shared" ca="1" si="11"/>
        <v>0</v>
      </c>
      <c r="AE17" s="507">
        <f t="shared" ca="1" si="12"/>
        <v>0</v>
      </c>
      <c r="AF17" s="11">
        <f t="shared" ca="1" si="13"/>
        <v>0</v>
      </c>
      <c r="AI17" s="4">
        <v>23</v>
      </c>
      <c r="AJ17" s="5" t="s">
        <v>47</v>
      </c>
      <c r="AK17" s="5" t="s">
        <v>44</v>
      </c>
      <c r="AL17" s="5" t="s">
        <v>48</v>
      </c>
      <c r="AM17" s="5" t="s">
        <v>0</v>
      </c>
      <c r="AN17" s="5" t="s">
        <v>18</v>
      </c>
      <c r="AO17" s="5" t="s">
        <v>16</v>
      </c>
      <c r="AP17" s="5" t="s">
        <v>17</v>
      </c>
      <c r="AQ17" s="5" t="s">
        <v>3</v>
      </c>
      <c r="AR17" s="5" t="s">
        <v>18</v>
      </c>
      <c r="AS17" s="6"/>
      <c r="AU17" s="5"/>
      <c r="AV17" s="5"/>
      <c r="AW17" s="5"/>
      <c r="AX17" s="5"/>
      <c r="AY17" s="5"/>
      <c r="BA17" s="34" t="s">
        <v>701</v>
      </c>
      <c r="BB17" s="35" t="s">
        <v>2281</v>
      </c>
      <c r="BC17" s="36">
        <v>-54283.21</v>
      </c>
      <c r="BE17" s="34" t="s">
        <v>584</v>
      </c>
      <c r="BF17" s="35" t="s">
        <v>2254</v>
      </c>
      <c r="BG17" s="36">
        <v>547580</v>
      </c>
      <c r="BI17" s="34" t="s">
        <v>617</v>
      </c>
      <c r="BJ17" s="35" t="s">
        <v>2394</v>
      </c>
      <c r="BK17" s="36">
        <v>155800</v>
      </c>
      <c r="BM17" s="34"/>
      <c r="BN17" s="35"/>
      <c r="BO17" s="36"/>
      <c r="BQ17" s="34"/>
      <c r="BR17" s="35"/>
      <c r="BS17" s="36"/>
      <c r="BU17" s="34"/>
      <c r="BV17" s="35"/>
      <c r="BW17" s="36"/>
      <c r="BY17" s="34"/>
      <c r="BZ17" s="35"/>
      <c r="CA17" s="36"/>
      <c r="CC17" s="34"/>
      <c r="CD17" s="35"/>
      <c r="CE17" s="36"/>
      <c r="CG17" s="34"/>
      <c r="CH17" s="35"/>
      <c r="CI17" s="36"/>
      <c r="CK17" s="34"/>
      <c r="CL17" s="35"/>
      <c r="CM17" s="36"/>
      <c r="CO17" s="34"/>
      <c r="CP17" s="35"/>
      <c r="CQ17" s="36"/>
      <c r="CS17" s="34"/>
      <c r="CT17" s="35"/>
      <c r="CU17" s="36"/>
    </row>
    <row r="18" spans="1:99" ht="15.75" thickBot="1">
      <c r="B18" s="709" t="s">
        <v>1837</v>
      </c>
      <c r="C18" s="735">
        <f>SUM(D18:O18)</f>
        <v>11979501</v>
      </c>
      <c r="D18" s="738">
        <f>+'19'!D25</f>
        <v>3993167</v>
      </c>
      <c r="E18" s="738">
        <f>+'19'!E25</f>
        <v>3993167</v>
      </c>
      <c r="F18" s="738">
        <f>+'19'!F25</f>
        <v>3993167</v>
      </c>
      <c r="G18" s="738">
        <f>+'19'!G25</f>
        <v>0</v>
      </c>
      <c r="H18" s="738">
        <f>+'19'!H25</f>
        <v>0</v>
      </c>
      <c r="I18" s="738">
        <f>+'19'!I25</f>
        <v>0</v>
      </c>
      <c r="J18" s="738">
        <f>+'19'!J25</f>
        <v>0</v>
      </c>
      <c r="K18" s="738">
        <f>+'19'!K25</f>
        <v>0</v>
      </c>
      <c r="L18" s="738">
        <f>+'19'!L25</f>
        <v>0</v>
      </c>
      <c r="M18" s="738">
        <f>+'19'!M25</f>
        <v>0</v>
      </c>
      <c r="N18" s="738">
        <f>+'19'!N25</f>
        <v>0</v>
      </c>
      <c r="O18" s="738">
        <f>+'19'!O25</f>
        <v>0</v>
      </c>
      <c r="R18" s="506" t="s">
        <v>596</v>
      </c>
      <c r="S18" s="506" t="s">
        <v>2249</v>
      </c>
      <c r="T18" s="507">
        <f t="shared" ca="1" si="1"/>
        <v>0</v>
      </c>
      <c r="U18" s="507">
        <f t="shared" ca="1" si="2"/>
        <v>0</v>
      </c>
      <c r="V18" s="507">
        <f t="shared" ca="1" si="3"/>
        <v>0</v>
      </c>
      <c r="W18" s="507">
        <f t="shared" ca="1" si="4"/>
        <v>0</v>
      </c>
      <c r="X18" s="507">
        <f t="shared" ca="1" si="5"/>
        <v>0</v>
      </c>
      <c r="Y18" s="507">
        <f t="shared" ca="1" si="6"/>
        <v>0</v>
      </c>
      <c r="Z18" s="507">
        <f t="shared" ca="1" si="7"/>
        <v>0</v>
      </c>
      <c r="AA18" s="507">
        <f t="shared" ca="1" si="8"/>
        <v>0</v>
      </c>
      <c r="AB18" s="507">
        <f t="shared" ca="1" si="9"/>
        <v>0</v>
      </c>
      <c r="AC18" s="507">
        <f t="shared" ca="1" si="10"/>
        <v>0</v>
      </c>
      <c r="AD18" s="507">
        <f t="shared" ca="1" si="11"/>
        <v>0</v>
      </c>
      <c r="AE18" s="507">
        <f t="shared" ca="1" si="12"/>
        <v>0</v>
      </c>
      <c r="AF18" s="11">
        <f t="shared" ca="1" si="13"/>
        <v>0</v>
      </c>
      <c r="AI18" s="4">
        <v>25</v>
      </c>
      <c r="AJ18" s="5" t="s">
        <v>49</v>
      </c>
      <c r="AK18" s="5" t="s">
        <v>44</v>
      </c>
      <c r="AL18" s="5" t="s">
        <v>50</v>
      </c>
      <c r="AM18" s="5" t="s">
        <v>0</v>
      </c>
      <c r="AN18" s="5" t="s">
        <v>18</v>
      </c>
      <c r="AO18" s="5" t="s">
        <v>16</v>
      </c>
      <c r="AP18" s="5" t="s">
        <v>17</v>
      </c>
      <c r="AQ18" s="5" t="s">
        <v>3</v>
      </c>
      <c r="AR18" s="5" t="s">
        <v>18</v>
      </c>
      <c r="AS18" s="6"/>
      <c r="AU18" s="5"/>
      <c r="AV18" s="5"/>
      <c r="AW18" s="5"/>
      <c r="AX18" s="5"/>
      <c r="AY18" s="5"/>
      <c r="BA18" s="34" t="s">
        <v>3848</v>
      </c>
      <c r="BB18" s="35" t="s">
        <v>3849</v>
      </c>
      <c r="BC18" s="36">
        <v>45048.24</v>
      </c>
      <c r="BE18" s="34" t="s">
        <v>3802</v>
      </c>
      <c r="BF18" s="35" t="s">
        <v>3803</v>
      </c>
      <c r="BG18" s="36">
        <v>119035</v>
      </c>
      <c r="BI18" s="34" t="s">
        <v>4033</v>
      </c>
      <c r="BJ18" s="35" t="s">
        <v>3904</v>
      </c>
      <c r="BK18" s="36">
        <v>65502.27</v>
      </c>
      <c r="BM18" s="34"/>
      <c r="BN18" s="35"/>
      <c r="BO18" s="36"/>
      <c r="BQ18" s="34"/>
      <c r="BR18" s="35"/>
      <c r="BS18" s="36"/>
      <c r="BU18" s="34"/>
      <c r="BV18" s="35"/>
      <c r="BW18" s="36"/>
      <c r="BY18" s="34"/>
      <c r="BZ18" s="35"/>
      <c r="CA18" s="36"/>
      <c r="CC18" s="34"/>
      <c r="CD18" s="35"/>
      <c r="CE18" s="36"/>
      <c r="CG18" s="34"/>
      <c r="CH18" s="35"/>
      <c r="CI18" s="36"/>
      <c r="CK18" s="34"/>
      <c r="CL18" s="35"/>
      <c r="CM18" s="36"/>
      <c r="CO18" s="34"/>
      <c r="CP18" s="35"/>
      <c r="CQ18" s="36"/>
      <c r="CS18" s="34"/>
      <c r="CT18" s="35"/>
      <c r="CU18" s="36"/>
    </row>
    <row r="19" spans="1:99" ht="15.75" thickBot="1">
      <c r="B19" s="710" t="s">
        <v>1838</v>
      </c>
      <c r="C19" s="735">
        <f>SUM(D19:O19)</f>
        <v>0</v>
      </c>
      <c r="D19" s="738">
        <f>+'19'!D26</f>
        <v>0</v>
      </c>
      <c r="E19" s="738">
        <f>+'19'!E26</f>
        <v>0</v>
      </c>
      <c r="F19" s="738">
        <f>+'19'!F26</f>
        <v>0</v>
      </c>
      <c r="G19" s="738">
        <f>+'19'!G26</f>
        <v>0</v>
      </c>
      <c r="H19" s="738">
        <f>+'19'!H26</f>
        <v>0</v>
      </c>
      <c r="I19" s="738">
        <f>+'19'!I26</f>
        <v>0</v>
      </c>
      <c r="J19" s="738">
        <f>+'19'!J26</f>
        <v>0</v>
      </c>
      <c r="K19" s="738">
        <f>+'19'!K26</f>
        <v>0</v>
      </c>
      <c r="L19" s="738">
        <f>+'19'!L26</f>
        <v>0</v>
      </c>
      <c r="M19" s="738">
        <f>+'19'!M26</f>
        <v>0</v>
      </c>
      <c r="N19" s="738">
        <f>+'19'!N26</f>
        <v>0</v>
      </c>
      <c r="O19" s="738">
        <f>+'19'!O26</f>
        <v>0</v>
      </c>
      <c r="R19" s="506" t="s">
        <v>584</v>
      </c>
      <c r="S19" s="506" t="s">
        <v>2254</v>
      </c>
      <c r="T19" s="507">
        <f t="shared" ca="1" si="1"/>
        <v>0</v>
      </c>
      <c r="U19" s="507">
        <f t="shared" ca="1" si="2"/>
        <v>547580</v>
      </c>
      <c r="V19" s="507">
        <f t="shared" ca="1" si="3"/>
        <v>1094830</v>
      </c>
      <c r="W19" s="507">
        <f t="shared" ca="1" si="4"/>
        <v>0</v>
      </c>
      <c r="X19" s="507">
        <f t="shared" ca="1" si="5"/>
        <v>0</v>
      </c>
      <c r="Y19" s="507">
        <f t="shared" ca="1" si="6"/>
        <v>0</v>
      </c>
      <c r="Z19" s="507">
        <f t="shared" ca="1" si="7"/>
        <v>0</v>
      </c>
      <c r="AA19" s="507">
        <f t="shared" ca="1" si="8"/>
        <v>0</v>
      </c>
      <c r="AB19" s="507">
        <f t="shared" ca="1" si="9"/>
        <v>0</v>
      </c>
      <c r="AC19" s="507">
        <f t="shared" ca="1" si="10"/>
        <v>0</v>
      </c>
      <c r="AD19" s="507">
        <f t="shared" ca="1" si="11"/>
        <v>0</v>
      </c>
      <c r="AE19" s="507">
        <f t="shared" ca="1" si="12"/>
        <v>0</v>
      </c>
      <c r="AF19" s="11">
        <f t="shared" ca="1" si="13"/>
        <v>1642410</v>
      </c>
      <c r="AI19" s="4">
        <v>27</v>
      </c>
      <c r="AJ19" s="5" t="s">
        <v>51</v>
      </c>
      <c r="AK19" s="5" t="s">
        <v>44</v>
      </c>
      <c r="AL19" s="5" t="s">
        <v>52</v>
      </c>
      <c r="AM19" s="5" t="s">
        <v>0</v>
      </c>
      <c r="AN19" s="5" t="s">
        <v>18</v>
      </c>
      <c r="AO19" s="5" t="s">
        <v>16</v>
      </c>
      <c r="AP19" s="5" t="s">
        <v>17</v>
      </c>
      <c r="AQ19" s="5" t="s">
        <v>0</v>
      </c>
      <c r="AR19" s="5" t="s">
        <v>18</v>
      </c>
      <c r="AS19" s="6"/>
      <c r="AU19" s="5"/>
      <c r="AV19" s="5"/>
      <c r="AW19" s="5"/>
      <c r="AX19" s="5"/>
      <c r="AY19" s="5"/>
      <c r="BA19" s="34" t="s">
        <v>715</v>
      </c>
      <c r="BB19" s="35" t="s">
        <v>2283</v>
      </c>
      <c r="BC19" s="36">
        <v>-5003.83</v>
      </c>
      <c r="BE19" s="34" t="s">
        <v>604</v>
      </c>
      <c r="BF19" s="35" t="s">
        <v>2256</v>
      </c>
      <c r="BG19" s="36">
        <v>215000</v>
      </c>
      <c r="BI19" s="34" t="s">
        <v>584</v>
      </c>
      <c r="BJ19" s="35" t="s">
        <v>2254</v>
      </c>
      <c r="BK19" s="36">
        <v>1094830</v>
      </c>
      <c r="BM19" s="34"/>
      <c r="BN19" s="35"/>
      <c r="BO19" s="36"/>
      <c r="BQ19" s="34"/>
      <c r="BR19" s="35"/>
      <c r="BS19" s="36"/>
      <c r="BU19" s="34"/>
      <c r="BV19" s="35"/>
      <c r="BW19" s="36"/>
      <c r="BY19" s="34"/>
      <c r="BZ19" s="35"/>
      <c r="CA19" s="36"/>
      <c r="CC19" s="34"/>
      <c r="CD19" s="35"/>
      <c r="CE19" s="36"/>
      <c r="CG19" s="34"/>
      <c r="CH19" s="35"/>
      <c r="CI19" s="36"/>
      <c r="CK19" s="34"/>
      <c r="CL19" s="35"/>
      <c r="CM19" s="36"/>
      <c r="CO19" s="34"/>
      <c r="CP19" s="35"/>
      <c r="CQ19" s="36"/>
      <c r="CS19" s="34"/>
      <c r="CT19" s="35"/>
      <c r="CU19" s="36"/>
    </row>
    <row r="20" spans="1:99">
      <c r="B20" s="710" t="s">
        <v>2928</v>
      </c>
      <c r="C20" s="735">
        <f>SUM(D20:O20)</f>
        <v>13885956</v>
      </c>
      <c r="D20" s="738">
        <f>+'19'!D27</f>
        <v>4628652</v>
      </c>
      <c r="E20" s="738">
        <f>+'19'!E27</f>
        <v>4628652</v>
      </c>
      <c r="F20" s="738">
        <f>+'19'!F27</f>
        <v>4628652</v>
      </c>
      <c r="G20" s="738">
        <f>+'19'!G27</f>
        <v>0</v>
      </c>
      <c r="H20" s="738">
        <f>+'19'!H27</f>
        <v>0</v>
      </c>
      <c r="I20" s="738">
        <f>+'19'!I27</f>
        <v>0</v>
      </c>
      <c r="J20" s="738">
        <f>+'19'!J27</f>
        <v>0</v>
      </c>
      <c r="K20" s="738">
        <f>+'19'!K27</f>
        <v>0</v>
      </c>
      <c r="L20" s="738">
        <f>+'19'!L27</f>
        <v>0</v>
      </c>
      <c r="M20" s="738">
        <f>+'19'!M27</f>
        <v>0</v>
      </c>
      <c r="N20" s="738">
        <f>+'19'!N27</f>
        <v>0</v>
      </c>
      <c r="O20" s="738">
        <f>+'19'!O27</f>
        <v>0</v>
      </c>
      <c r="R20" s="506" t="s">
        <v>2758</v>
      </c>
      <c r="S20" s="506" t="s">
        <v>2368</v>
      </c>
      <c r="T20" s="507">
        <f t="shared" ca="1" si="1"/>
        <v>0</v>
      </c>
      <c r="U20" s="507">
        <f t="shared" ca="1" si="2"/>
        <v>0</v>
      </c>
      <c r="V20" s="507">
        <f t="shared" ca="1" si="3"/>
        <v>0</v>
      </c>
      <c r="W20" s="507">
        <f t="shared" ca="1" si="4"/>
        <v>0</v>
      </c>
      <c r="X20" s="507">
        <f t="shared" ca="1" si="5"/>
        <v>0</v>
      </c>
      <c r="Y20" s="507">
        <f t="shared" ca="1" si="6"/>
        <v>0</v>
      </c>
      <c r="Z20" s="507">
        <f t="shared" ca="1" si="7"/>
        <v>0</v>
      </c>
      <c r="AA20" s="507">
        <f t="shared" ca="1" si="8"/>
        <v>0</v>
      </c>
      <c r="AB20" s="507">
        <f t="shared" ca="1" si="9"/>
        <v>0</v>
      </c>
      <c r="AC20" s="507">
        <f t="shared" ca="1" si="10"/>
        <v>0</v>
      </c>
      <c r="AD20" s="507">
        <f t="shared" ca="1" si="11"/>
        <v>0</v>
      </c>
      <c r="AE20" s="507">
        <f t="shared" ca="1" si="12"/>
        <v>0</v>
      </c>
      <c r="AF20" s="11">
        <f t="shared" ca="1" si="13"/>
        <v>0</v>
      </c>
      <c r="AI20" s="4">
        <v>29</v>
      </c>
      <c r="AJ20" s="5" t="s">
        <v>56</v>
      </c>
      <c r="AK20" s="5" t="s">
        <v>54</v>
      </c>
      <c r="AL20" s="5" t="s">
        <v>57</v>
      </c>
      <c r="AM20" s="5" t="s">
        <v>0</v>
      </c>
      <c r="AN20" s="5" t="s">
        <v>18</v>
      </c>
      <c r="AO20" s="5" t="s">
        <v>16</v>
      </c>
      <c r="AP20" s="5" t="s">
        <v>17</v>
      </c>
      <c r="AQ20" s="5" t="s">
        <v>3</v>
      </c>
      <c r="AR20" s="5" t="s">
        <v>18</v>
      </c>
      <c r="AS20" s="6"/>
      <c r="AU20" s="5"/>
      <c r="AV20" s="5"/>
      <c r="AW20" s="5"/>
      <c r="AX20" s="5"/>
      <c r="AY20" s="5"/>
      <c r="BA20" s="34" t="s">
        <v>759</v>
      </c>
      <c r="BB20" s="35" t="s">
        <v>4246</v>
      </c>
      <c r="BC20" s="36">
        <v>55675.19</v>
      </c>
      <c r="BE20" s="34" t="s">
        <v>631</v>
      </c>
      <c r="BF20" s="35" t="s">
        <v>2261</v>
      </c>
      <c r="BG20" s="36">
        <v>1743756.21</v>
      </c>
      <c r="BI20" s="34" t="s">
        <v>3802</v>
      </c>
      <c r="BJ20" s="35" t="s">
        <v>3803</v>
      </c>
      <c r="BK20" s="36">
        <v>238070</v>
      </c>
      <c r="BM20" s="34"/>
      <c r="BN20" s="35"/>
      <c r="BO20" s="36"/>
      <c r="BQ20" s="34"/>
      <c r="BR20" s="35"/>
      <c r="BS20" s="36"/>
      <c r="BU20" s="34"/>
      <c r="BV20" s="35"/>
      <c r="BW20" s="36"/>
      <c r="BY20" s="34"/>
      <c r="BZ20" s="35"/>
      <c r="CA20" s="36"/>
      <c r="CC20" s="34"/>
      <c r="CD20" s="35"/>
      <c r="CE20" s="36"/>
      <c r="CG20" s="34"/>
      <c r="CH20" s="35"/>
      <c r="CI20" s="36"/>
      <c r="CK20" s="34"/>
      <c r="CL20" s="35"/>
      <c r="CM20" s="36"/>
      <c r="CO20" s="34"/>
      <c r="CP20" s="35"/>
      <c r="CQ20" s="36"/>
      <c r="CS20" s="34"/>
      <c r="CT20" s="35"/>
      <c r="CU20" s="36"/>
    </row>
    <row r="21" spans="1:99">
      <c r="B21" s="710" t="s">
        <v>1839</v>
      </c>
      <c r="C21" s="736">
        <f>SUM(D21:O21)</f>
        <v>45032091.25</v>
      </c>
      <c r="D21" s="737">
        <f>+'19'!D28</f>
        <v>14809357.609999999</v>
      </c>
      <c r="E21" s="737">
        <f>+'19'!E28</f>
        <v>11120286.07</v>
      </c>
      <c r="F21" s="737">
        <f>+'19'!F28</f>
        <v>19102447.57</v>
      </c>
      <c r="G21" s="737">
        <f>+'19'!G28</f>
        <v>0</v>
      </c>
      <c r="H21" s="737">
        <f>+'19'!H28</f>
        <v>0</v>
      </c>
      <c r="I21" s="737">
        <f>+'19'!I28</f>
        <v>0</v>
      </c>
      <c r="J21" s="737">
        <f>+'19'!J28</f>
        <v>0</v>
      </c>
      <c r="K21" s="737">
        <f>+'19'!K28</f>
        <v>0</v>
      </c>
      <c r="L21" s="737">
        <f>+'19'!L28</f>
        <v>0</v>
      </c>
      <c r="M21" s="737">
        <f>+'19'!M28</f>
        <v>0</v>
      </c>
      <c r="N21" s="737">
        <f>+'19'!N28</f>
        <v>0</v>
      </c>
      <c r="O21" s="737">
        <f>+'19'!O28</f>
        <v>0</v>
      </c>
      <c r="R21" s="506" t="s">
        <v>587</v>
      </c>
      <c r="S21" s="506" t="s">
        <v>2255</v>
      </c>
      <c r="T21" s="507">
        <f t="shared" ca="1" si="1"/>
        <v>0</v>
      </c>
      <c r="U21" s="507">
        <f t="shared" ca="1" si="2"/>
        <v>0</v>
      </c>
      <c r="V21" s="507">
        <f t="shared" ca="1" si="3"/>
        <v>0</v>
      </c>
      <c r="W21" s="507">
        <f t="shared" ca="1" si="4"/>
        <v>0</v>
      </c>
      <c r="X21" s="507">
        <f t="shared" ca="1" si="5"/>
        <v>0</v>
      </c>
      <c r="Y21" s="507">
        <f t="shared" ca="1" si="6"/>
        <v>0</v>
      </c>
      <c r="Z21" s="507">
        <f t="shared" ca="1" si="7"/>
        <v>0</v>
      </c>
      <c r="AA21" s="507">
        <f t="shared" ca="1" si="8"/>
        <v>0</v>
      </c>
      <c r="AB21" s="507">
        <f t="shared" ca="1" si="9"/>
        <v>0</v>
      </c>
      <c r="AC21" s="507">
        <f t="shared" ca="1" si="10"/>
        <v>0</v>
      </c>
      <c r="AD21" s="507">
        <f t="shared" ca="1" si="11"/>
        <v>0</v>
      </c>
      <c r="AE21" s="507">
        <f t="shared" ca="1" si="12"/>
        <v>0</v>
      </c>
      <c r="AF21" s="11">
        <f t="shared" ca="1" si="13"/>
        <v>0</v>
      </c>
      <c r="AI21" s="4">
        <v>31</v>
      </c>
      <c r="AJ21" s="5" t="s">
        <v>58</v>
      </c>
      <c r="AK21" s="5" t="s">
        <v>54</v>
      </c>
      <c r="AL21" s="5" t="s">
        <v>59</v>
      </c>
      <c r="AM21" s="5" t="s">
        <v>0</v>
      </c>
      <c r="AN21" s="5" t="s">
        <v>18</v>
      </c>
      <c r="AO21" s="5" t="s">
        <v>16</v>
      </c>
      <c r="AP21" s="5" t="s">
        <v>17</v>
      </c>
      <c r="AQ21" s="5" t="s">
        <v>3</v>
      </c>
      <c r="AR21" s="5" t="s">
        <v>18</v>
      </c>
      <c r="AS21" s="6"/>
      <c r="AU21" s="5"/>
      <c r="AV21" s="5"/>
      <c r="AW21" s="5"/>
      <c r="AX21" s="5"/>
      <c r="AY21" s="5"/>
      <c r="BA21" s="34" t="s">
        <v>774</v>
      </c>
      <c r="BB21" s="35" t="s">
        <v>2064</v>
      </c>
      <c r="BC21" s="36">
        <v>36961.910000000003</v>
      </c>
      <c r="BE21" s="34" t="s">
        <v>634</v>
      </c>
      <c r="BF21" s="35" t="s">
        <v>2262</v>
      </c>
      <c r="BG21" s="36">
        <v>1742956.89</v>
      </c>
      <c r="BI21" s="34" t="s">
        <v>604</v>
      </c>
      <c r="BJ21" s="35" t="s">
        <v>2256</v>
      </c>
      <c r="BK21" s="36">
        <v>215000</v>
      </c>
      <c r="BM21" s="34"/>
      <c r="BN21" s="35"/>
      <c r="BO21" s="36"/>
      <c r="BQ21" s="34"/>
      <c r="BR21" s="35"/>
      <c r="BS21" s="36"/>
      <c r="BU21" s="34"/>
      <c r="BV21" s="35"/>
      <c r="BW21" s="36"/>
      <c r="BY21" s="34"/>
      <c r="BZ21" s="35"/>
      <c r="CA21" s="36"/>
      <c r="CC21" s="34"/>
      <c r="CD21" s="35"/>
      <c r="CE21" s="36"/>
      <c r="CG21" s="34"/>
      <c r="CH21" s="35"/>
      <c r="CI21" s="36"/>
      <c r="CK21" s="34"/>
      <c r="CL21" s="35"/>
      <c r="CM21" s="36"/>
      <c r="CO21" s="34"/>
      <c r="CP21" s="35"/>
      <c r="CQ21" s="36"/>
      <c r="CS21" s="34"/>
      <c r="CT21" s="35"/>
      <c r="CU21" s="36"/>
    </row>
    <row r="22" spans="1:99">
      <c r="B22" s="710" t="s">
        <v>1840</v>
      </c>
      <c r="C22" s="711">
        <f>SUM(C18:C21)</f>
        <v>70897548.25</v>
      </c>
      <c r="D22" s="737">
        <f>+D21+D20+D19+D18</f>
        <v>23431176.609999999</v>
      </c>
      <c r="E22" s="737">
        <f t="shared" ref="E22:O22" si="14">+E21+E20+E19+E18</f>
        <v>19742105.07</v>
      </c>
      <c r="F22" s="737">
        <f t="shared" si="14"/>
        <v>27724266.57</v>
      </c>
      <c r="G22" s="737">
        <f t="shared" si="14"/>
        <v>0</v>
      </c>
      <c r="H22" s="737">
        <f t="shared" si="14"/>
        <v>0</v>
      </c>
      <c r="I22" s="737">
        <f t="shared" si="14"/>
        <v>0</v>
      </c>
      <c r="J22" s="737">
        <f t="shared" si="14"/>
        <v>0</v>
      </c>
      <c r="K22" s="737">
        <f t="shared" si="14"/>
        <v>0</v>
      </c>
      <c r="L22" s="737">
        <f t="shared" si="14"/>
        <v>0</v>
      </c>
      <c r="M22" s="737">
        <f t="shared" si="14"/>
        <v>0</v>
      </c>
      <c r="N22" s="737">
        <f t="shared" si="14"/>
        <v>0</v>
      </c>
      <c r="O22" s="737">
        <f t="shared" si="14"/>
        <v>0</v>
      </c>
      <c r="R22" s="506" t="s">
        <v>3802</v>
      </c>
      <c r="S22" s="506" t="s">
        <v>3803</v>
      </c>
      <c r="T22" s="507">
        <f ca="1">SUMIF($BB$7:$BC$297,S22,$BC$7:$BC$297)</f>
        <v>0</v>
      </c>
      <c r="U22" s="507">
        <f ca="1">SUMIF($BF$7:$BG$297,S22,$BG$7:$BG$297)</f>
        <v>119035</v>
      </c>
      <c r="V22" s="507">
        <f ca="1">SUMIF($BJ$7:$BK$297,S22,$BK$7:$BK$297)</f>
        <v>238070</v>
      </c>
      <c r="W22" s="507">
        <f ca="1">SUMIF($BN$7:$BO$297,S22,$BO$7:$BO$297)</f>
        <v>0</v>
      </c>
      <c r="X22" s="507">
        <f ca="1">SUMIF($BR$7:$BS$297,S22,$BS$7:$BS$297)</f>
        <v>0</v>
      </c>
      <c r="Y22" s="507">
        <f ca="1">SUMIF($BV$7:$BW$297,S22,$BW$7:$BW$297)</f>
        <v>0</v>
      </c>
      <c r="Z22" s="507">
        <f ca="1">SUMIF($BZ$7:$CA$297,S22,$CA$7:$CA$297)</f>
        <v>0</v>
      </c>
      <c r="AA22" s="507">
        <f ca="1">SUMIF($CD$7:$CE$297,S22,$CE$7:$CE$297)</f>
        <v>0</v>
      </c>
      <c r="AB22" s="507">
        <f ca="1">SUMIF($CH$7:$CI$297,S22,$CI$7:$CI$297)</f>
        <v>0</v>
      </c>
      <c r="AC22" s="507">
        <f ca="1">SUMIF($CL$7:$CM$297,S22,$CM$7:$CM$297)</f>
        <v>0</v>
      </c>
      <c r="AD22" s="507">
        <f ca="1">SUMIF($CP$7:$CQ$297,S22,$CQ$7:$CQ$297)</f>
        <v>0</v>
      </c>
      <c r="AE22" s="507">
        <f ca="1">SUMIF($CT$7:$CU$297,S22,$CU$7:$CU$297)</f>
        <v>0</v>
      </c>
      <c r="AF22" s="11">
        <f ca="1">SUM(T22:AE22)</f>
        <v>357105</v>
      </c>
      <c r="AI22" s="4">
        <v>33</v>
      </c>
      <c r="AJ22" s="5" t="s">
        <v>60</v>
      </c>
      <c r="AK22" s="5" t="s">
        <v>54</v>
      </c>
      <c r="AL22" s="5" t="s">
        <v>61</v>
      </c>
      <c r="AM22" s="5" t="s">
        <v>0</v>
      </c>
      <c r="AN22" s="5" t="s">
        <v>18</v>
      </c>
      <c r="AO22" s="5" t="s">
        <v>16</v>
      </c>
      <c r="AP22" s="5" t="s">
        <v>17</v>
      </c>
      <c r="AQ22" s="5" t="s">
        <v>3</v>
      </c>
      <c r="AR22" s="5" t="s">
        <v>18</v>
      </c>
      <c r="AS22" s="6"/>
      <c r="AU22" s="5"/>
      <c r="AV22" s="5"/>
      <c r="AW22" s="5"/>
      <c r="AX22" s="5"/>
      <c r="AY22" s="5"/>
      <c r="BA22" s="34" t="s">
        <v>2294</v>
      </c>
      <c r="BB22" s="35" t="s">
        <v>2227</v>
      </c>
      <c r="BC22" s="36">
        <v>12130</v>
      </c>
      <c r="BE22" s="34" t="s">
        <v>637</v>
      </c>
      <c r="BF22" s="35" t="s">
        <v>2263</v>
      </c>
      <c r="BG22" s="36">
        <v>290855.33</v>
      </c>
      <c r="BI22" s="34" t="s">
        <v>631</v>
      </c>
      <c r="BJ22" s="35" t="s">
        <v>2261</v>
      </c>
      <c r="BK22" s="36">
        <v>906344.15</v>
      </c>
      <c r="BM22" s="34"/>
      <c r="BN22" s="35"/>
      <c r="BO22" s="36"/>
      <c r="BQ22" s="34"/>
      <c r="BR22" s="35"/>
      <c r="BS22" s="36"/>
      <c r="BU22" s="34"/>
      <c r="BV22" s="35"/>
      <c r="BW22" s="36"/>
      <c r="BY22" s="34"/>
      <c r="BZ22" s="35"/>
      <c r="CA22" s="36"/>
      <c r="CC22" s="34"/>
      <c r="CD22" s="35"/>
      <c r="CE22" s="36"/>
      <c r="CG22" s="34"/>
      <c r="CH22" s="35"/>
      <c r="CI22" s="36"/>
      <c r="CK22" s="34"/>
      <c r="CL22" s="35"/>
      <c r="CM22" s="36"/>
      <c r="CO22" s="34"/>
      <c r="CP22" s="35"/>
      <c r="CQ22" s="36"/>
      <c r="CS22" s="34"/>
      <c r="CT22" s="35"/>
      <c r="CU22" s="36"/>
    </row>
    <row r="23" spans="1:99">
      <c r="C23" s="733">
        <f>+C25+C22</f>
        <v>0</v>
      </c>
      <c r="D23" s="740">
        <v>2991667</v>
      </c>
      <c r="E23" s="740">
        <v>2991667</v>
      </c>
      <c r="F23" s="740">
        <v>2991667</v>
      </c>
      <c r="G23" s="740">
        <v>2991667</v>
      </c>
      <c r="H23" s="740">
        <v>2991667</v>
      </c>
      <c r="I23" s="740">
        <v>2991667</v>
      </c>
      <c r="J23" s="740">
        <v>2991667</v>
      </c>
      <c r="K23" s="740">
        <v>2991667</v>
      </c>
      <c r="L23" s="740">
        <v>2991667</v>
      </c>
      <c r="M23" s="740">
        <v>2991667</v>
      </c>
      <c r="N23" s="740">
        <v>2991667</v>
      </c>
      <c r="O23" s="740">
        <v>2991667</v>
      </c>
      <c r="R23" s="506" t="s">
        <v>604</v>
      </c>
      <c r="S23" s="506" t="s">
        <v>2256</v>
      </c>
      <c r="T23" s="507">
        <f t="shared" ca="1" si="1"/>
        <v>0</v>
      </c>
      <c r="U23" s="507">
        <f t="shared" ca="1" si="2"/>
        <v>215000</v>
      </c>
      <c r="V23" s="507">
        <f t="shared" ca="1" si="3"/>
        <v>215000</v>
      </c>
      <c r="W23" s="507">
        <f t="shared" ca="1" si="4"/>
        <v>0</v>
      </c>
      <c r="X23" s="507">
        <f t="shared" ca="1" si="5"/>
        <v>0</v>
      </c>
      <c r="Y23" s="507">
        <f t="shared" ca="1" si="6"/>
        <v>0</v>
      </c>
      <c r="Z23" s="507">
        <f t="shared" ca="1" si="7"/>
        <v>0</v>
      </c>
      <c r="AA23" s="507">
        <f t="shared" ca="1" si="8"/>
        <v>0</v>
      </c>
      <c r="AB23" s="507">
        <f t="shared" ca="1" si="9"/>
        <v>0</v>
      </c>
      <c r="AC23" s="507">
        <f t="shared" ca="1" si="10"/>
        <v>0</v>
      </c>
      <c r="AD23" s="507">
        <f t="shared" ca="1" si="11"/>
        <v>0</v>
      </c>
      <c r="AE23" s="507">
        <f t="shared" ca="1" si="12"/>
        <v>0</v>
      </c>
      <c r="AF23" s="11">
        <f t="shared" ca="1" si="13"/>
        <v>430000</v>
      </c>
      <c r="AI23" s="4">
        <v>35</v>
      </c>
      <c r="AJ23" s="5" t="s">
        <v>63</v>
      </c>
      <c r="AK23" s="5" t="s">
        <v>62</v>
      </c>
      <c r="AL23" s="5" t="s">
        <v>64</v>
      </c>
      <c r="AM23" s="5" t="s">
        <v>0</v>
      </c>
      <c r="AN23" s="5" t="s">
        <v>18</v>
      </c>
      <c r="AO23" s="5" t="s">
        <v>16</v>
      </c>
      <c r="AP23" s="5" t="s">
        <v>17</v>
      </c>
      <c r="AQ23" s="5" t="s">
        <v>3</v>
      </c>
      <c r="AR23" s="5" t="s">
        <v>18</v>
      </c>
      <c r="AS23" s="6"/>
      <c r="AU23" s="5"/>
      <c r="AV23" s="5"/>
      <c r="AW23" s="5"/>
      <c r="AX23" s="5"/>
      <c r="AY23" s="5"/>
      <c r="BA23" s="34" t="s">
        <v>785</v>
      </c>
      <c r="BB23" s="35" t="s">
        <v>2295</v>
      </c>
      <c r="BC23" s="36">
        <v>450</v>
      </c>
      <c r="BE23" s="34" t="s">
        <v>2264</v>
      </c>
      <c r="BF23" s="35" t="s">
        <v>2265</v>
      </c>
      <c r="BG23" s="36">
        <v>146935.25</v>
      </c>
      <c r="BI23" s="34" t="s">
        <v>634</v>
      </c>
      <c r="BJ23" s="35" t="s">
        <v>2262</v>
      </c>
      <c r="BK23" s="36">
        <v>957720.04</v>
      </c>
      <c r="BM23" s="34"/>
      <c r="BN23" s="35"/>
      <c r="BO23" s="36"/>
      <c r="BQ23" s="34"/>
      <c r="BR23" s="35"/>
      <c r="BS23" s="36"/>
      <c r="BU23" s="34"/>
      <c r="BV23" s="35"/>
      <c r="BW23" s="36"/>
      <c r="BY23" s="34"/>
      <c r="BZ23" s="35"/>
      <c r="CA23" s="36"/>
      <c r="CC23" s="34"/>
      <c r="CD23" s="35"/>
      <c r="CE23" s="36"/>
      <c r="CG23" s="34"/>
      <c r="CH23" s="35"/>
      <c r="CI23" s="36"/>
      <c r="CK23" s="34"/>
      <c r="CL23" s="35"/>
      <c r="CM23" s="36"/>
      <c r="CO23" s="34"/>
      <c r="CP23" s="35"/>
      <c r="CQ23" s="36"/>
      <c r="CS23" s="34"/>
      <c r="CT23" s="35"/>
      <c r="CU23" s="36"/>
    </row>
    <row r="24" spans="1:99">
      <c r="C24" s="734" t="str">
        <f>IF(C23=0,"CORRECTO","ERROR")</f>
        <v>CORRECTO</v>
      </c>
      <c r="D24" s="19">
        <f t="shared" ref="D24:I24" si="15">+D19-D23</f>
        <v>-2991667</v>
      </c>
      <c r="E24" s="19">
        <f t="shared" si="15"/>
        <v>-2991667</v>
      </c>
      <c r="F24" s="19">
        <f t="shared" si="15"/>
        <v>-2991667</v>
      </c>
      <c r="G24" s="19">
        <f t="shared" si="15"/>
        <v>-2991667</v>
      </c>
      <c r="H24" s="19">
        <f t="shared" si="15"/>
        <v>-2991667</v>
      </c>
      <c r="I24" s="19">
        <f t="shared" si="15"/>
        <v>-2991667</v>
      </c>
      <c r="J24" s="19">
        <f t="shared" ref="J24:O24" si="16">+J19-J23</f>
        <v>-2991667</v>
      </c>
      <c r="K24" s="19">
        <f t="shared" si="16"/>
        <v>-2991667</v>
      </c>
      <c r="L24" s="19">
        <f t="shared" si="16"/>
        <v>-2991667</v>
      </c>
      <c r="M24" s="19">
        <f t="shared" si="16"/>
        <v>-2991667</v>
      </c>
      <c r="N24" s="19">
        <f t="shared" si="16"/>
        <v>-2991667</v>
      </c>
      <c r="O24" s="19">
        <f t="shared" si="16"/>
        <v>-2991667</v>
      </c>
      <c r="R24" s="506" t="s">
        <v>610</v>
      </c>
      <c r="S24" s="506" t="s">
        <v>2257</v>
      </c>
      <c r="T24" s="507">
        <f t="shared" ca="1" si="1"/>
        <v>0</v>
      </c>
      <c r="U24" s="507">
        <f t="shared" ca="1" si="2"/>
        <v>0</v>
      </c>
      <c r="V24" s="507">
        <f t="shared" ca="1" si="3"/>
        <v>0</v>
      </c>
      <c r="W24" s="507">
        <f t="shared" ca="1" si="4"/>
        <v>0</v>
      </c>
      <c r="X24" s="507">
        <f t="shared" ca="1" si="5"/>
        <v>0</v>
      </c>
      <c r="Y24" s="507">
        <f t="shared" ca="1" si="6"/>
        <v>0</v>
      </c>
      <c r="Z24" s="507">
        <f t="shared" ca="1" si="7"/>
        <v>0</v>
      </c>
      <c r="AA24" s="507">
        <f t="shared" ca="1" si="8"/>
        <v>0</v>
      </c>
      <c r="AB24" s="507">
        <f t="shared" ca="1" si="9"/>
        <v>0</v>
      </c>
      <c r="AC24" s="507">
        <f t="shared" ca="1" si="10"/>
        <v>0</v>
      </c>
      <c r="AD24" s="507">
        <f t="shared" ca="1" si="11"/>
        <v>0</v>
      </c>
      <c r="AE24" s="507">
        <f t="shared" ca="1" si="12"/>
        <v>0</v>
      </c>
      <c r="AF24" s="11">
        <f t="shared" ca="1" si="13"/>
        <v>0</v>
      </c>
      <c r="AI24" s="4">
        <v>37</v>
      </c>
      <c r="AJ24" s="5" t="s">
        <v>65</v>
      </c>
      <c r="AK24" s="5" t="s">
        <v>62</v>
      </c>
      <c r="AL24" s="5" t="s">
        <v>66</v>
      </c>
      <c r="AM24" s="5" t="s">
        <v>0</v>
      </c>
      <c r="AN24" s="5" t="s">
        <v>18</v>
      </c>
      <c r="AO24" s="5" t="s">
        <v>16</v>
      </c>
      <c r="AP24" s="5" t="s">
        <v>17</v>
      </c>
      <c r="AQ24" s="5" t="s">
        <v>3</v>
      </c>
      <c r="AR24" s="5" t="s">
        <v>18</v>
      </c>
      <c r="AS24" s="6"/>
      <c r="AU24" s="5"/>
      <c r="AV24" s="5"/>
      <c r="AW24" s="5"/>
      <c r="AX24" s="5"/>
      <c r="AY24" s="5"/>
      <c r="BA24" s="34" t="s">
        <v>2300</v>
      </c>
      <c r="BB24" s="35" t="s">
        <v>2301</v>
      </c>
      <c r="BC24" s="36">
        <v>2850</v>
      </c>
      <c r="BE24" s="34" t="s">
        <v>658</v>
      </c>
      <c r="BF24" s="35" t="s">
        <v>2266</v>
      </c>
      <c r="BG24" s="36">
        <v>76677.760000000009</v>
      </c>
      <c r="BI24" s="34" t="s">
        <v>637</v>
      </c>
      <c r="BJ24" s="35" t="s">
        <v>2263</v>
      </c>
      <c r="BK24" s="36">
        <v>146499.67000000001</v>
      </c>
      <c r="BM24" s="34"/>
      <c r="BN24" s="35"/>
      <c r="BO24" s="36"/>
      <c r="BQ24" s="34"/>
      <c r="BR24" s="35"/>
      <c r="BS24" s="36"/>
      <c r="BU24" s="34"/>
      <c r="BV24" s="35"/>
      <c r="BW24" s="36"/>
      <c r="BY24" s="34"/>
      <c r="BZ24" s="35"/>
      <c r="CA24" s="36"/>
      <c r="CC24" s="34"/>
      <c r="CD24" s="35"/>
      <c r="CE24" s="36"/>
      <c r="CG24" s="34"/>
      <c r="CH24" s="35"/>
      <c r="CI24" s="36"/>
      <c r="CK24" s="34"/>
      <c r="CL24" s="35"/>
      <c r="CM24" s="36"/>
      <c r="CO24" s="34"/>
      <c r="CP24" s="35"/>
      <c r="CQ24" s="36"/>
      <c r="CS24" s="34"/>
      <c r="CT24" s="35"/>
      <c r="CU24" s="36"/>
    </row>
    <row r="25" spans="1:99">
      <c r="A25" s="508" t="s">
        <v>1841</v>
      </c>
      <c r="B25" s="719">
        <f>+B4</f>
        <v>2026</v>
      </c>
      <c r="C25" s="720">
        <f>SUM(C26:C34)</f>
        <v>-70897548.25</v>
      </c>
      <c r="R25" s="506" t="s">
        <v>2259</v>
      </c>
      <c r="S25" s="506" t="s">
        <v>2260</v>
      </c>
      <c r="T25" s="507">
        <f t="shared" ca="1" si="1"/>
        <v>0</v>
      </c>
      <c r="U25" s="507">
        <f t="shared" ca="1" si="2"/>
        <v>0</v>
      </c>
      <c r="V25" s="507">
        <f t="shared" ca="1" si="3"/>
        <v>0</v>
      </c>
      <c r="W25" s="507">
        <f t="shared" ca="1" si="4"/>
        <v>0</v>
      </c>
      <c r="X25" s="507">
        <f t="shared" ca="1" si="5"/>
        <v>0</v>
      </c>
      <c r="Y25" s="507">
        <f t="shared" ca="1" si="6"/>
        <v>0</v>
      </c>
      <c r="Z25" s="507">
        <f t="shared" ca="1" si="7"/>
        <v>0</v>
      </c>
      <c r="AA25" s="507">
        <f t="shared" ca="1" si="8"/>
        <v>0</v>
      </c>
      <c r="AB25" s="507">
        <f t="shared" ca="1" si="9"/>
        <v>0</v>
      </c>
      <c r="AC25" s="507">
        <f t="shared" ca="1" si="10"/>
        <v>0</v>
      </c>
      <c r="AD25" s="507">
        <f t="shared" ca="1" si="11"/>
        <v>0</v>
      </c>
      <c r="AE25" s="507">
        <f t="shared" ca="1" si="12"/>
        <v>0</v>
      </c>
      <c r="AF25" s="11">
        <f t="shared" ca="1" si="13"/>
        <v>0</v>
      </c>
      <c r="AI25" s="4">
        <v>39</v>
      </c>
      <c r="AJ25" s="5" t="s">
        <v>67</v>
      </c>
      <c r="AK25" s="5" t="s">
        <v>53</v>
      </c>
      <c r="AL25" s="5" t="s">
        <v>68</v>
      </c>
      <c r="AM25" s="5" t="s">
        <v>0</v>
      </c>
      <c r="AN25" s="5" t="s">
        <v>18</v>
      </c>
      <c r="AO25" s="5" t="s">
        <v>16</v>
      </c>
      <c r="AP25" s="5" t="s">
        <v>17</v>
      </c>
      <c r="AQ25" s="5" t="s">
        <v>3</v>
      </c>
      <c r="AR25" s="5" t="s">
        <v>18</v>
      </c>
      <c r="AS25" s="6"/>
      <c r="AU25" s="5"/>
      <c r="AV25" s="5"/>
      <c r="AW25" s="5"/>
      <c r="AX25" s="5"/>
      <c r="AY25" s="5"/>
      <c r="BA25" s="34" t="s">
        <v>833</v>
      </c>
      <c r="BB25" s="35" t="s">
        <v>2307</v>
      </c>
      <c r="BC25" s="36">
        <v>5003.83</v>
      </c>
      <c r="BE25" s="34" t="s">
        <v>2269</v>
      </c>
      <c r="BF25" s="35" t="s">
        <v>2270</v>
      </c>
      <c r="BG25" s="36">
        <v>25180.41</v>
      </c>
      <c r="BI25" s="34" t="s">
        <v>2264</v>
      </c>
      <c r="BJ25" s="35" t="s">
        <v>2265</v>
      </c>
      <c r="BK25" s="36">
        <v>160500.28</v>
      </c>
      <c r="BM25" s="34"/>
      <c r="BN25" s="35"/>
      <c r="BO25" s="36"/>
      <c r="BQ25" s="34"/>
      <c r="BR25" s="35"/>
      <c r="BS25" s="36"/>
      <c r="BU25" s="34"/>
      <c r="BV25" s="35"/>
      <c r="BW25" s="36"/>
      <c r="BY25" s="34"/>
      <c r="BZ25" s="35"/>
      <c r="CA25" s="36"/>
      <c r="CC25" s="34"/>
      <c r="CD25" s="35"/>
      <c r="CE25" s="36"/>
      <c r="CG25" s="34"/>
      <c r="CH25" s="35"/>
      <c r="CI25" s="36"/>
      <c r="CK25" s="34"/>
      <c r="CL25" s="35"/>
      <c r="CM25" s="36"/>
      <c r="CO25" s="34"/>
      <c r="CP25" s="35"/>
      <c r="CQ25" s="36"/>
      <c r="CS25" s="34"/>
      <c r="CT25" s="35"/>
      <c r="CU25" s="36"/>
    </row>
    <row r="26" spans="1:99">
      <c r="A26" s="713"/>
      <c r="B26" s="714"/>
      <c r="C26" s="721"/>
      <c r="D26" s="19">
        <f>+D22</f>
        <v>23431176.609999999</v>
      </c>
      <c r="E26" s="19">
        <f>+D26+E22</f>
        <v>43173281.68</v>
      </c>
      <c r="F26" s="19">
        <f t="shared" ref="F26:O26" si="17">+E26+F22</f>
        <v>70897548.25</v>
      </c>
      <c r="G26" s="19">
        <f t="shared" si="17"/>
        <v>70897548.25</v>
      </c>
      <c r="H26" s="19">
        <f t="shared" si="17"/>
        <v>70897548.25</v>
      </c>
      <c r="I26" s="19">
        <f t="shared" si="17"/>
        <v>70897548.25</v>
      </c>
      <c r="J26" s="19">
        <f t="shared" si="17"/>
        <v>70897548.25</v>
      </c>
      <c r="K26" s="19">
        <f t="shared" si="17"/>
        <v>70897548.25</v>
      </c>
      <c r="L26" s="19">
        <f t="shared" si="17"/>
        <v>70897548.25</v>
      </c>
      <c r="M26" s="19">
        <f t="shared" si="17"/>
        <v>70897548.25</v>
      </c>
      <c r="N26" s="19">
        <f t="shared" si="17"/>
        <v>70897548.25</v>
      </c>
      <c r="O26" s="19">
        <f t="shared" si="17"/>
        <v>70897548.25</v>
      </c>
      <c r="R26" s="506" t="s">
        <v>631</v>
      </c>
      <c r="S26" s="506" t="s">
        <v>2261</v>
      </c>
      <c r="T26" s="507">
        <f t="shared" ca="1" si="1"/>
        <v>0</v>
      </c>
      <c r="U26" s="507">
        <f t="shared" ca="1" si="2"/>
        <v>1743756.21</v>
      </c>
      <c r="V26" s="507">
        <f t="shared" ca="1" si="3"/>
        <v>906344.15</v>
      </c>
      <c r="W26" s="507">
        <f t="shared" ca="1" si="4"/>
        <v>0</v>
      </c>
      <c r="X26" s="507">
        <f t="shared" ca="1" si="5"/>
        <v>0</v>
      </c>
      <c r="Y26" s="507">
        <f t="shared" ca="1" si="6"/>
        <v>0</v>
      </c>
      <c r="Z26" s="507">
        <f t="shared" ca="1" si="7"/>
        <v>0</v>
      </c>
      <c r="AA26" s="507">
        <f t="shared" ca="1" si="8"/>
        <v>0</v>
      </c>
      <c r="AB26" s="507">
        <f t="shared" ca="1" si="9"/>
        <v>0</v>
      </c>
      <c r="AC26" s="507">
        <f t="shared" ca="1" si="10"/>
        <v>0</v>
      </c>
      <c r="AD26" s="507">
        <f t="shared" ca="1" si="11"/>
        <v>0</v>
      </c>
      <c r="AE26" s="507">
        <f t="shared" ca="1" si="12"/>
        <v>0</v>
      </c>
      <c r="AF26" s="11">
        <f t="shared" ca="1" si="13"/>
        <v>2650100.36</v>
      </c>
      <c r="AI26" s="4">
        <v>41</v>
      </c>
      <c r="AJ26" s="5" t="s">
        <v>71</v>
      </c>
      <c r="AK26" s="5" t="s">
        <v>70</v>
      </c>
      <c r="AL26" s="5" t="s">
        <v>72</v>
      </c>
      <c r="AM26" s="5" t="s">
        <v>0</v>
      </c>
      <c r="AN26" s="5" t="s">
        <v>18</v>
      </c>
      <c r="AO26" s="5" t="s">
        <v>16</v>
      </c>
      <c r="AP26" s="5" t="s">
        <v>17</v>
      </c>
      <c r="AQ26" s="5" t="s">
        <v>3</v>
      </c>
      <c r="AR26" s="5" t="s">
        <v>18</v>
      </c>
      <c r="AS26" s="6"/>
      <c r="AU26" s="5"/>
      <c r="AV26" s="5"/>
      <c r="AW26" s="5"/>
      <c r="AX26" s="5"/>
      <c r="AY26" s="5"/>
      <c r="BA26" s="34" t="s">
        <v>833</v>
      </c>
      <c r="BB26" s="35" t="s">
        <v>2307</v>
      </c>
      <c r="BC26" s="36">
        <v>1190</v>
      </c>
      <c r="BE26" s="34" t="s">
        <v>661</v>
      </c>
      <c r="BF26" s="35" t="s">
        <v>2887</v>
      </c>
      <c r="BG26" s="36">
        <v>5136462.7399999993</v>
      </c>
      <c r="BI26" s="34" t="s">
        <v>658</v>
      </c>
      <c r="BJ26" s="35" t="s">
        <v>2266</v>
      </c>
      <c r="BK26" s="36">
        <v>76921.8</v>
      </c>
      <c r="BM26" s="34"/>
      <c r="BN26" s="35"/>
      <c r="BO26" s="36"/>
      <c r="BQ26" s="34"/>
      <c r="BR26" s="35"/>
      <c r="BS26" s="36"/>
      <c r="BU26" s="34"/>
      <c r="BV26" s="35"/>
      <c r="BW26" s="36"/>
      <c r="BY26" s="34"/>
      <c r="BZ26" s="35"/>
      <c r="CA26" s="36"/>
      <c r="CC26" s="34"/>
      <c r="CD26" s="35"/>
      <c r="CE26" s="36"/>
      <c r="CG26" s="34"/>
      <c r="CH26" s="35"/>
      <c r="CI26" s="36"/>
      <c r="CK26" s="34"/>
      <c r="CL26" s="35"/>
      <c r="CM26" s="36"/>
      <c r="CN26" s="11"/>
      <c r="CO26" s="34"/>
      <c r="CP26" s="35"/>
      <c r="CQ26" s="36"/>
      <c r="CS26" s="34"/>
      <c r="CT26" s="35"/>
      <c r="CU26" s="36"/>
    </row>
    <row r="27" spans="1:99">
      <c r="A27" s="715" t="s">
        <v>3789</v>
      </c>
      <c r="B27" s="716" t="s">
        <v>4256</v>
      </c>
      <c r="C27" s="722">
        <v>-11979501</v>
      </c>
      <c r="D27" s="11">
        <f>+'25A'!C31</f>
        <v>0</v>
      </c>
      <c r="F27" s="11"/>
      <c r="R27" s="506" t="s">
        <v>634</v>
      </c>
      <c r="S27" s="506" t="s">
        <v>2262</v>
      </c>
      <c r="T27" s="507">
        <f t="shared" ca="1" si="1"/>
        <v>0</v>
      </c>
      <c r="U27" s="507">
        <f t="shared" ca="1" si="2"/>
        <v>1742956.89</v>
      </c>
      <c r="V27" s="507">
        <f t="shared" ca="1" si="3"/>
        <v>957720.04</v>
      </c>
      <c r="W27" s="507">
        <f t="shared" ca="1" si="4"/>
        <v>0</v>
      </c>
      <c r="X27" s="507">
        <f t="shared" ca="1" si="5"/>
        <v>0</v>
      </c>
      <c r="Y27" s="507">
        <f t="shared" ca="1" si="6"/>
        <v>0</v>
      </c>
      <c r="Z27" s="507">
        <f t="shared" ca="1" si="7"/>
        <v>0</v>
      </c>
      <c r="AA27" s="507">
        <f t="shared" ca="1" si="8"/>
        <v>0</v>
      </c>
      <c r="AB27" s="507">
        <f t="shared" ca="1" si="9"/>
        <v>0</v>
      </c>
      <c r="AC27" s="507">
        <f t="shared" ca="1" si="10"/>
        <v>0</v>
      </c>
      <c r="AD27" s="507">
        <f t="shared" ca="1" si="11"/>
        <v>0</v>
      </c>
      <c r="AE27" s="507">
        <f t="shared" ca="1" si="12"/>
        <v>0</v>
      </c>
      <c r="AF27" s="11">
        <f t="shared" ca="1" si="13"/>
        <v>2700676.9299999997</v>
      </c>
      <c r="AI27" s="4">
        <v>43</v>
      </c>
      <c r="AJ27" s="5" t="s">
        <v>73</v>
      </c>
      <c r="AK27" s="5" t="s">
        <v>69</v>
      </c>
      <c r="AL27" s="5" t="s">
        <v>74</v>
      </c>
      <c r="AM27" s="5" t="s">
        <v>0</v>
      </c>
      <c r="AN27" s="5" t="s">
        <v>18</v>
      </c>
      <c r="AO27" s="5" t="s">
        <v>16</v>
      </c>
      <c r="AP27" s="5" t="s">
        <v>17</v>
      </c>
      <c r="AQ27" s="5" t="s">
        <v>3</v>
      </c>
      <c r="AR27" s="5" t="s">
        <v>18</v>
      </c>
      <c r="AS27" s="6"/>
      <c r="AU27" s="5"/>
      <c r="AV27" s="5"/>
      <c r="AW27" s="5"/>
      <c r="AX27" s="5"/>
      <c r="AY27" s="5"/>
      <c r="BA27" s="34" t="s">
        <v>209</v>
      </c>
      <c r="BB27" s="35" t="s">
        <v>4194</v>
      </c>
      <c r="BC27" s="36">
        <v>17380</v>
      </c>
      <c r="BE27" s="34" t="s">
        <v>667</v>
      </c>
      <c r="BF27" s="35" t="s">
        <v>2274</v>
      </c>
      <c r="BG27" s="36">
        <v>82162.5</v>
      </c>
      <c r="BI27" s="34" t="s">
        <v>2269</v>
      </c>
      <c r="BJ27" s="35" t="s">
        <v>2270</v>
      </c>
      <c r="BK27" s="36">
        <v>25397.41</v>
      </c>
      <c r="BM27" s="34"/>
      <c r="BN27" s="35"/>
      <c r="BO27" s="36"/>
      <c r="BQ27" s="34"/>
      <c r="BR27" s="35"/>
      <c r="BS27" s="36"/>
      <c r="BU27" s="34"/>
      <c r="BV27" s="35"/>
      <c r="BW27" s="36"/>
      <c r="BY27" s="34"/>
      <c r="BZ27" s="35"/>
      <c r="CA27" s="36"/>
      <c r="CC27" s="34"/>
      <c r="CD27" s="35"/>
      <c r="CE27" s="36"/>
      <c r="CG27" s="34"/>
      <c r="CH27" s="35"/>
      <c r="CI27" s="36"/>
      <c r="CK27" s="34"/>
      <c r="CL27" s="35"/>
      <c r="CM27" s="36"/>
      <c r="CO27" s="34"/>
      <c r="CP27" s="35"/>
      <c r="CQ27" s="36"/>
      <c r="CS27" s="34"/>
      <c r="CT27" s="35"/>
      <c r="CU27" s="36"/>
    </row>
    <row r="28" spans="1:99">
      <c r="A28" s="715" t="s">
        <v>3790</v>
      </c>
      <c r="B28" s="716" t="s">
        <v>4257</v>
      </c>
      <c r="C28" s="722">
        <v>-13885956</v>
      </c>
      <c r="F28" s="11"/>
      <c r="R28" s="506" t="s">
        <v>637</v>
      </c>
      <c r="S28" s="506" t="s">
        <v>2263</v>
      </c>
      <c r="T28" s="507">
        <f t="shared" ca="1" si="1"/>
        <v>0</v>
      </c>
      <c r="U28" s="507">
        <f t="shared" ca="1" si="2"/>
        <v>290855.33</v>
      </c>
      <c r="V28" s="507">
        <f t="shared" ca="1" si="3"/>
        <v>146499.67000000001</v>
      </c>
      <c r="W28" s="507">
        <f t="shared" ca="1" si="4"/>
        <v>0</v>
      </c>
      <c r="X28" s="507">
        <f t="shared" ca="1" si="5"/>
        <v>0</v>
      </c>
      <c r="Y28" s="507">
        <f t="shared" ca="1" si="6"/>
        <v>0</v>
      </c>
      <c r="Z28" s="507">
        <f t="shared" ca="1" si="7"/>
        <v>0</v>
      </c>
      <c r="AA28" s="507">
        <f t="shared" ca="1" si="8"/>
        <v>0</v>
      </c>
      <c r="AB28" s="507">
        <f t="shared" ca="1" si="9"/>
        <v>0</v>
      </c>
      <c r="AC28" s="507">
        <f t="shared" ca="1" si="10"/>
        <v>0</v>
      </c>
      <c r="AD28" s="507">
        <f t="shared" ca="1" si="11"/>
        <v>0</v>
      </c>
      <c r="AE28" s="507">
        <f t="shared" ca="1" si="12"/>
        <v>0</v>
      </c>
      <c r="AF28" s="11">
        <f t="shared" ca="1" si="13"/>
        <v>437355</v>
      </c>
      <c r="AI28" s="4">
        <v>45</v>
      </c>
      <c r="AJ28" s="5" t="s">
        <v>77</v>
      </c>
      <c r="AK28" s="5" t="s">
        <v>75</v>
      </c>
      <c r="AL28" s="5" t="s">
        <v>78</v>
      </c>
      <c r="AM28" s="5" t="s">
        <v>0</v>
      </c>
      <c r="AN28" s="5" t="s">
        <v>18</v>
      </c>
      <c r="AO28" s="5" t="s">
        <v>16</v>
      </c>
      <c r="AP28" s="5" t="s">
        <v>17</v>
      </c>
      <c r="AQ28" s="5" t="s">
        <v>3</v>
      </c>
      <c r="AR28" s="5" t="s">
        <v>18</v>
      </c>
      <c r="AS28" s="6"/>
      <c r="AU28" s="5"/>
      <c r="AV28" s="5"/>
      <c r="AW28" s="5"/>
      <c r="AX28" s="5"/>
      <c r="AY28" s="5"/>
      <c r="BA28" s="34"/>
      <c r="BB28" s="35"/>
      <c r="BC28" s="36"/>
      <c r="BE28" s="34" t="s">
        <v>701</v>
      </c>
      <c r="BF28" s="35" t="s">
        <v>2281</v>
      </c>
      <c r="BG28" s="36">
        <v>54283.21</v>
      </c>
      <c r="BI28" s="34" t="s">
        <v>661</v>
      </c>
      <c r="BJ28" s="35" t="s">
        <v>2887</v>
      </c>
      <c r="BK28" s="36">
        <v>4817004.78</v>
      </c>
      <c r="BM28" s="34"/>
      <c r="BN28" s="35"/>
      <c r="BO28" s="36"/>
      <c r="BQ28" s="34"/>
      <c r="BR28" s="35"/>
      <c r="BS28" s="36"/>
      <c r="BU28" s="34"/>
      <c r="BV28" s="35"/>
      <c r="BW28" s="36"/>
      <c r="BY28" s="34"/>
      <c r="BZ28" s="35"/>
      <c r="CA28" s="36"/>
      <c r="CC28" s="34"/>
      <c r="CD28" s="35"/>
      <c r="CE28" s="36"/>
      <c r="CG28" s="34"/>
      <c r="CH28" s="35"/>
      <c r="CI28" s="36"/>
      <c r="CK28" s="34"/>
      <c r="CL28" s="35"/>
      <c r="CM28" s="36"/>
      <c r="CO28" s="34"/>
      <c r="CP28" s="35"/>
      <c r="CQ28" s="36"/>
      <c r="CS28" s="34"/>
      <c r="CT28" s="35"/>
      <c r="CU28" s="36"/>
    </row>
    <row r="29" spans="1:99">
      <c r="A29" s="715" t="s">
        <v>500</v>
      </c>
      <c r="B29" s="716" t="s">
        <v>1841</v>
      </c>
      <c r="C29" s="722">
        <v>-45032091.25</v>
      </c>
      <c r="D29" s="11">
        <f>+'Notas NF'!C495</f>
        <v>0</v>
      </c>
      <c r="E29" s="1713">
        <f>+C29+'19'!C28+C30</f>
        <v>0</v>
      </c>
      <c r="F29" s="11"/>
      <c r="R29" s="506" t="s">
        <v>2264</v>
      </c>
      <c r="S29" s="506" t="s">
        <v>2265</v>
      </c>
      <c r="T29" s="507">
        <f t="shared" ca="1" si="1"/>
        <v>153288.54999999999</v>
      </c>
      <c r="U29" s="507">
        <f t="shared" ca="1" si="2"/>
        <v>146935.25</v>
      </c>
      <c r="V29" s="507">
        <f t="shared" ca="1" si="3"/>
        <v>160500.28</v>
      </c>
      <c r="W29" s="507">
        <f t="shared" ca="1" si="4"/>
        <v>0</v>
      </c>
      <c r="X29" s="507">
        <f t="shared" ca="1" si="5"/>
        <v>0</v>
      </c>
      <c r="Y29" s="507">
        <f t="shared" ca="1" si="6"/>
        <v>0</v>
      </c>
      <c r="Z29" s="507">
        <f t="shared" ca="1" si="7"/>
        <v>0</v>
      </c>
      <c r="AA29" s="507">
        <f t="shared" ca="1" si="8"/>
        <v>0</v>
      </c>
      <c r="AB29" s="507">
        <f t="shared" ca="1" si="9"/>
        <v>0</v>
      </c>
      <c r="AC29" s="507">
        <f t="shared" ca="1" si="10"/>
        <v>0</v>
      </c>
      <c r="AD29" s="507">
        <f t="shared" ca="1" si="11"/>
        <v>0</v>
      </c>
      <c r="AE29" s="507">
        <f t="shared" ca="1" si="12"/>
        <v>0</v>
      </c>
      <c r="AF29" s="11">
        <f t="shared" ca="1" si="13"/>
        <v>460724.07999999996</v>
      </c>
      <c r="AI29" s="4">
        <v>47</v>
      </c>
      <c r="AJ29" s="5" t="s">
        <v>79</v>
      </c>
      <c r="AK29" s="5" t="s">
        <v>75</v>
      </c>
      <c r="AL29" s="5" t="s">
        <v>80</v>
      </c>
      <c r="AM29" s="5" t="s">
        <v>0</v>
      </c>
      <c r="AN29" s="5" t="s">
        <v>18</v>
      </c>
      <c r="AO29" s="5" t="s">
        <v>16</v>
      </c>
      <c r="AP29" s="5" t="s">
        <v>17</v>
      </c>
      <c r="AQ29" s="5" t="s">
        <v>3</v>
      </c>
      <c r="AR29" s="5" t="s">
        <v>18</v>
      </c>
      <c r="AS29" s="6"/>
      <c r="AU29" s="5"/>
      <c r="AV29" s="5"/>
      <c r="AW29" s="5"/>
      <c r="AX29" s="5"/>
      <c r="AY29" s="5"/>
      <c r="BA29" s="34"/>
      <c r="BB29" s="35"/>
      <c r="BC29" s="36"/>
      <c r="BE29" s="34" t="s">
        <v>701</v>
      </c>
      <c r="BF29" s="35" t="s">
        <v>2281</v>
      </c>
      <c r="BG29" s="36">
        <v>-54283.21</v>
      </c>
      <c r="BI29" s="34" t="s">
        <v>2272</v>
      </c>
      <c r="BJ29" s="35" t="s">
        <v>4277</v>
      </c>
      <c r="BK29" s="36">
        <v>354</v>
      </c>
      <c r="BM29" s="34"/>
      <c r="BN29" s="35"/>
      <c r="BO29" s="36"/>
      <c r="BQ29" s="34"/>
      <c r="BR29" s="35"/>
      <c r="BS29" s="36"/>
      <c r="BU29" s="34"/>
      <c r="BV29" s="35"/>
      <c r="BW29" s="36"/>
      <c r="BY29" s="34"/>
      <c r="BZ29" s="35"/>
      <c r="CA29" s="36"/>
      <c r="CC29" s="34"/>
      <c r="CD29" s="35"/>
      <c r="CE29" s="36"/>
      <c r="CG29" s="34"/>
      <c r="CH29" s="35"/>
      <c r="CI29" s="36"/>
      <c r="CK29" s="34"/>
      <c r="CL29" s="35"/>
      <c r="CM29" s="36"/>
      <c r="CN29" s="11"/>
      <c r="CO29" s="34"/>
      <c r="CP29" s="35"/>
      <c r="CQ29" s="36"/>
      <c r="CS29" s="34"/>
      <c r="CT29" s="35"/>
      <c r="CU29" s="36"/>
    </row>
    <row r="30" spans="1:99">
      <c r="A30" s="715"/>
      <c r="B30" s="716"/>
      <c r="C30" s="722"/>
      <c r="D30" s="110">
        <f>+D29+C29</f>
        <v>-45032091.25</v>
      </c>
      <c r="R30" s="506" t="s">
        <v>658</v>
      </c>
      <c r="S30" s="506" t="s">
        <v>2266</v>
      </c>
      <c r="T30" s="507">
        <f t="shared" ca="1" si="1"/>
        <v>76591.44</v>
      </c>
      <c r="U30" s="507">
        <f t="shared" ca="1" si="2"/>
        <v>76677.760000000009</v>
      </c>
      <c r="V30" s="507">
        <f t="shared" ca="1" si="3"/>
        <v>76921.8</v>
      </c>
      <c r="W30" s="507">
        <f t="shared" ca="1" si="4"/>
        <v>0</v>
      </c>
      <c r="X30" s="507">
        <f t="shared" ca="1" si="5"/>
        <v>0</v>
      </c>
      <c r="Y30" s="507">
        <f t="shared" ca="1" si="6"/>
        <v>0</v>
      </c>
      <c r="Z30" s="507">
        <f t="shared" ca="1" si="7"/>
        <v>0</v>
      </c>
      <c r="AA30" s="507">
        <f t="shared" ca="1" si="8"/>
        <v>0</v>
      </c>
      <c r="AB30" s="507">
        <f t="shared" ca="1" si="9"/>
        <v>0</v>
      </c>
      <c r="AC30" s="507">
        <f t="shared" ca="1" si="10"/>
        <v>0</v>
      </c>
      <c r="AD30" s="507">
        <f t="shared" ca="1" si="11"/>
        <v>0</v>
      </c>
      <c r="AE30" s="507">
        <f t="shared" ca="1" si="12"/>
        <v>0</v>
      </c>
      <c r="AF30" s="11">
        <f t="shared" ca="1" si="13"/>
        <v>230191</v>
      </c>
      <c r="AI30" s="4">
        <v>49</v>
      </c>
      <c r="AJ30" s="5" t="s">
        <v>81</v>
      </c>
      <c r="AK30" s="5" t="s">
        <v>75</v>
      </c>
      <c r="AL30" s="5" t="s">
        <v>82</v>
      </c>
      <c r="AM30" s="5" t="s">
        <v>0</v>
      </c>
      <c r="AN30" s="5" t="s">
        <v>18</v>
      </c>
      <c r="AO30" s="5" t="s">
        <v>16</v>
      </c>
      <c r="AP30" s="5" t="s">
        <v>17</v>
      </c>
      <c r="AQ30" s="5" t="s">
        <v>3</v>
      </c>
      <c r="AR30" s="5" t="s">
        <v>18</v>
      </c>
      <c r="AS30" s="6"/>
      <c r="AU30" s="5"/>
      <c r="AV30" s="5"/>
      <c r="AW30" s="5"/>
      <c r="AX30" s="5"/>
      <c r="AY30" s="5"/>
      <c r="BA30" s="34"/>
      <c r="BB30" s="35"/>
      <c r="BC30" s="36"/>
      <c r="BE30" s="34" t="s">
        <v>715</v>
      </c>
      <c r="BF30" s="35" t="s">
        <v>2283</v>
      </c>
      <c r="BG30" s="36">
        <v>-702462.42</v>
      </c>
      <c r="BI30" s="34" t="s">
        <v>667</v>
      </c>
      <c r="BJ30" s="35" t="s">
        <v>2274</v>
      </c>
      <c r="BK30" s="36">
        <v>512337</v>
      </c>
      <c r="BM30" s="34"/>
      <c r="BN30" s="35"/>
      <c r="BO30" s="36"/>
      <c r="BQ30" s="34"/>
      <c r="BR30" s="35"/>
      <c r="BS30" s="36"/>
      <c r="BU30" s="34"/>
      <c r="BV30" s="35"/>
      <c r="BW30" s="36"/>
      <c r="BY30" s="34"/>
      <c r="BZ30" s="35"/>
      <c r="CA30" s="36"/>
      <c r="CC30" s="34"/>
      <c r="CD30" s="35"/>
      <c r="CE30" s="36"/>
      <c r="CG30" s="34"/>
      <c r="CH30" s="35"/>
      <c r="CI30" s="36"/>
      <c r="CK30" s="34"/>
      <c r="CL30" s="35"/>
      <c r="CM30" s="36"/>
      <c r="CO30" s="34"/>
      <c r="CP30" s="35"/>
      <c r="CQ30" s="36"/>
      <c r="CS30" s="34"/>
      <c r="CT30" s="35"/>
      <c r="CU30" s="36"/>
    </row>
    <row r="31" spans="1:99">
      <c r="A31" s="715"/>
      <c r="B31" s="716"/>
      <c r="C31" s="722"/>
      <c r="R31" s="506" t="s">
        <v>2267</v>
      </c>
      <c r="S31" s="506" t="s">
        <v>2268</v>
      </c>
      <c r="T31" s="507">
        <f t="shared" ca="1" si="1"/>
        <v>0</v>
      </c>
      <c r="U31" s="507">
        <f t="shared" ca="1" si="2"/>
        <v>0</v>
      </c>
      <c r="V31" s="507">
        <f t="shared" ca="1" si="3"/>
        <v>0</v>
      </c>
      <c r="W31" s="507">
        <f t="shared" ca="1" si="4"/>
        <v>0</v>
      </c>
      <c r="X31" s="507">
        <f t="shared" ca="1" si="5"/>
        <v>0</v>
      </c>
      <c r="Y31" s="507">
        <f t="shared" ca="1" si="6"/>
        <v>0</v>
      </c>
      <c r="Z31" s="507">
        <f t="shared" ca="1" si="7"/>
        <v>0</v>
      </c>
      <c r="AA31" s="507">
        <f t="shared" ca="1" si="8"/>
        <v>0</v>
      </c>
      <c r="AB31" s="507">
        <f t="shared" ca="1" si="9"/>
        <v>0</v>
      </c>
      <c r="AC31" s="507">
        <f t="shared" ca="1" si="10"/>
        <v>0</v>
      </c>
      <c r="AD31" s="507">
        <f t="shared" ca="1" si="11"/>
        <v>0</v>
      </c>
      <c r="AE31" s="507">
        <f t="shared" ca="1" si="12"/>
        <v>0</v>
      </c>
      <c r="AF31" s="11">
        <f t="shared" ca="1" si="13"/>
        <v>0</v>
      </c>
      <c r="AI31" s="4">
        <v>51</v>
      </c>
      <c r="AJ31" s="5" t="s">
        <v>83</v>
      </c>
      <c r="AK31" s="5" t="s">
        <v>75</v>
      </c>
      <c r="AL31" s="5" t="s">
        <v>84</v>
      </c>
      <c r="AM31" s="5" t="s">
        <v>0</v>
      </c>
      <c r="AN31" s="5" t="s">
        <v>18</v>
      </c>
      <c r="AO31" s="5" t="s">
        <v>16</v>
      </c>
      <c r="AP31" s="5" t="s">
        <v>17</v>
      </c>
      <c r="AQ31" s="5" t="s">
        <v>3</v>
      </c>
      <c r="AR31" s="5" t="s">
        <v>18</v>
      </c>
      <c r="AS31" s="6"/>
      <c r="AU31" s="5"/>
      <c r="AV31" s="5"/>
      <c r="AW31" s="5"/>
      <c r="AX31" s="5"/>
      <c r="AY31" s="5"/>
      <c r="BA31" s="34"/>
      <c r="BB31" s="35"/>
      <c r="BC31" s="36"/>
      <c r="BE31" s="34" t="s">
        <v>742</v>
      </c>
      <c r="BF31" s="35" t="s">
        <v>2287</v>
      </c>
      <c r="BG31" s="36">
        <v>4630</v>
      </c>
      <c r="BI31" s="34" t="s">
        <v>2275</v>
      </c>
      <c r="BJ31" s="35" t="s">
        <v>2276</v>
      </c>
      <c r="BK31" s="36">
        <v>2200</v>
      </c>
      <c r="BM31" s="34"/>
      <c r="BN31" s="35"/>
      <c r="BO31" s="36"/>
      <c r="BQ31" s="34"/>
      <c r="BR31" s="35"/>
      <c r="BS31" s="36"/>
      <c r="BU31" s="34"/>
      <c r="BV31" s="35"/>
      <c r="BW31" s="36"/>
      <c r="BY31" s="34"/>
      <c r="BZ31" s="35"/>
      <c r="CA31" s="36"/>
      <c r="CC31" s="34"/>
      <c r="CD31" s="35"/>
      <c r="CE31" s="36"/>
      <c r="CG31" s="34"/>
      <c r="CH31" s="35"/>
      <c r="CI31" s="36"/>
      <c r="CK31" s="34"/>
      <c r="CL31" s="35"/>
      <c r="CM31" s="36"/>
      <c r="CO31" s="34"/>
      <c r="CP31" s="35"/>
      <c r="CQ31" s="36"/>
      <c r="CS31" s="34"/>
      <c r="CT31" s="35"/>
      <c r="CU31" s="36"/>
    </row>
    <row r="32" spans="1:99">
      <c r="A32" s="715"/>
      <c r="B32" s="716"/>
      <c r="C32" s="722"/>
      <c r="R32" s="506" t="s">
        <v>2269</v>
      </c>
      <c r="S32" s="506" t="s">
        <v>2270</v>
      </c>
      <c r="T32" s="507">
        <f t="shared" ca="1" si="1"/>
        <v>26507.29</v>
      </c>
      <c r="U32" s="507">
        <f t="shared" ca="1" si="2"/>
        <v>25180.41</v>
      </c>
      <c r="V32" s="507">
        <f t="shared" ca="1" si="3"/>
        <v>25397.41</v>
      </c>
      <c r="W32" s="507">
        <f t="shared" ca="1" si="4"/>
        <v>0</v>
      </c>
      <c r="X32" s="507">
        <f t="shared" ca="1" si="5"/>
        <v>0</v>
      </c>
      <c r="Y32" s="507">
        <f t="shared" ca="1" si="6"/>
        <v>0</v>
      </c>
      <c r="Z32" s="507">
        <f t="shared" ca="1" si="7"/>
        <v>0</v>
      </c>
      <c r="AA32" s="507">
        <f t="shared" ca="1" si="8"/>
        <v>0</v>
      </c>
      <c r="AB32" s="507">
        <f t="shared" ca="1" si="9"/>
        <v>0</v>
      </c>
      <c r="AC32" s="507">
        <f t="shared" ca="1" si="10"/>
        <v>0</v>
      </c>
      <c r="AD32" s="507">
        <f t="shared" ca="1" si="11"/>
        <v>0</v>
      </c>
      <c r="AE32" s="507">
        <f t="shared" ca="1" si="12"/>
        <v>0</v>
      </c>
      <c r="AF32" s="11">
        <f t="shared" ca="1" si="13"/>
        <v>77085.11</v>
      </c>
      <c r="AI32" s="4">
        <v>53</v>
      </c>
      <c r="AJ32" s="5" t="s">
        <v>86</v>
      </c>
      <c r="AK32" s="5" t="s">
        <v>85</v>
      </c>
      <c r="AL32" s="5" t="s">
        <v>87</v>
      </c>
      <c r="AM32" s="5" t="s">
        <v>0</v>
      </c>
      <c r="AN32" s="5" t="s">
        <v>18</v>
      </c>
      <c r="AO32" s="5" t="s">
        <v>16</v>
      </c>
      <c r="AP32" s="5" t="s">
        <v>17</v>
      </c>
      <c r="AQ32" s="5" t="s">
        <v>3</v>
      </c>
      <c r="AR32" s="5" t="s">
        <v>18</v>
      </c>
      <c r="AS32" s="6"/>
      <c r="AU32" s="5"/>
      <c r="AV32" s="5"/>
      <c r="AW32" s="5"/>
      <c r="AX32" s="5"/>
      <c r="AY32" s="5"/>
      <c r="BA32" s="34"/>
      <c r="BB32" s="35"/>
      <c r="BC32" s="36"/>
      <c r="BE32" s="34" t="s">
        <v>759</v>
      </c>
      <c r="BF32" s="35" t="s">
        <v>4246</v>
      </c>
      <c r="BG32" s="36">
        <v>45701.1</v>
      </c>
      <c r="BI32" s="34" t="s">
        <v>701</v>
      </c>
      <c r="BJ32" s="35" t="s">
        <v>2281</v>
      </c>
      <c r="BK32" s="36">
        <v>54283.21</v>
      </c>
      <c r="BM32" s="34"/>
      <c r="BN32" s="35"/>
      <c r="BO32" s="36"/>
      <c r="BQ32" s="34"/>
      <c r="BR32" s="35"/>
      <c r="BS32" s="36"/>
      <c r="BU32" s="34"/>
      <c r="BV32" s="35"/>
      <c r="BW32" s="36"/>
      <c r="BY32" s="34"/>
      <c r="BZ32" s="35"/>
      <c r="CA32" s="36"/>
      <c r="CC32" s="34"/>
      <c r="CD32" s="35"/>
      <c r="CE32" s="36"/>
      <c r="CG32" s="34"/>
      <c r="CH32" s="35"/>
      <c r="CI32" s="36"/>
      <c r="CK32" s="34"/>
      <c r="CL32" s="35"/>
      <c r="CM32" s="36"/>
      <c r="CO32" s="34"/>
      <c r="CP32" s="35"/>
      <c r="CQ32" s="36"/>
      <c r="CS32" s="34"/>
      <c r="CT32" s="35"/>
      <c r="CU32" s="36"/>
    </row>
    <row r="33" spans="1:99">
      <c r="A33" s="715"/>
      <c r="B33" s="716"/>
      <c r="C33" s="722"/>
      <c r="R33" s="506" t="s">
        <v>664</v>
      </c>
      <c r="S33" s="506" t="s">
        <v>2271</v>
      </c>
      <c r="T33" s="507">
        <f t="shared" ca="1" si="1"/>
        <v>0</v>
      </c>
      <c r="U33" s="507">
        <f t="shared" ca="1" si="2"/>
        <v>0</v>
      </c>
      <c r="V33" s="507">
        <f t="shared" ca="1" si="3"/>
        <v>0</v>
      </c>
      <c r="W33" s="507">
        <f t="shared" ca="1" si="4"/>
        <v>0</v>
      </c>
      <c r="X33" s="507">
        <f t="shared" ca="1" si="5"/>
        <v>0</v>
      </c>
      <c r="Y33" s="507">
        <f t="shared" ca="1" si="6"/>
        <v>0</v>
      </c>
      <c r="Z33" s="507">
        <f t="shared" ca="1" si="7"/>
        <v>0</v>
      </c>
      <c r="AA33" s="507">
        <f t="shared" ca="1" si="8"/>
        <v>0</v>
      </c>
      <c r="AB33" s="507">
        <f t="shared" ca="1" si="9"/>
        <v>0</v>
      </c>
      <c r="AC33" s="507">
        <f t="shared" ca="1" si="10"/>
        <v>0</v>
      </c>
      <c r="AD33" s="507">
        <f t="shared" ca="1" si="11"/>
        <v>0</v>
      </c>
      <c r="AE33" s="507">
        <f t="shared" ca="1" si="12"/>
        <v>0</v>
      </c>
      <c r="AF33" s="11">
        <f t="shared" ca="1" si="13"/>
        <v>0</v>
      </c>
      <c r="AI33" s="4">
        <v>55</v>
      </c>
      <c r="AJ33" s="5" t="s">
        <v>90</v>
      </c>
      <c r="AK33" s="5" t="s">
        <v>88</v>
      </c>
      <c r="AL33" s="5" t="s">
        <v>91</v>
      </c>
      <c r="AM33" s="5" t="s">
        <v>0</v>
      </c>
      <c r="AN33" s="5" t="s">
        <v>18</v>
      </c>
      <c r="AO33" s="5" t="s">
        <v>16</v>
      </c>
      <c r="AP33" s="5" t="s">
        <v>17</v>
      </c>
      <c r="AQ33" s="5" t="s">
        <v>3</v>
      </c>
      <c r="AR33" s="5" t="s">
        <v>18</v>
      </c>
      <c r="AS33" s="6"/>
      <c r="AU33" s="5"/>
      <c r="AV33" s="5"/>
      <c r="AW33" s="5"/>
      <c r="AX33" s="5"/>
      <c r="AY33" s="5"/>
      <c r="BA33" s="34"/>
      <c r="BB33" s="35"/>
      <c r="BC33" s="36"/>
      <c r="BE33" s="34" t="s">
        <v>745</v>
      </c>
      <c r="BF33" s="35" t="s">
        <v>2344</v>
      </c>
      <c r="BG33" s="36">
        <v>1000</v>
      </c>
      <c r="BI33" s="34" t="s">
        <v>701</v>
      </c>
      <c r="BJ33" s="35" t="s">
        <v>2281</v>
      </c>
      <c r="BK33" s="36">
        <v>-54283.21</v>
      </c>
      <c r="BM33" s="34"/>
      <c r="BN33" s="35"/>
      <c r="BO33" s="36"/>
      <c r="BQ33" s="34"/>
      <c r="BR33" s="35"/>
      <c r="BS33" s="36"/>
      <c r="BU33" s="34"/>
      <c r="BV33" s="35"/>
      <c r="BW33" s="36"/>
      <c r="BY33" s="34"/>
      <c r="BZ33" s="35"/>
      <c r="CA33" s="36"/>
      <c r="CC33" s="34"/>
      <c r="CD33" s="35"/>
      <c r="CE33" s="36"/>
      <c r="CG33" s="34"/>
      <c r="CH33" s="35"/>
      <c r="CI33" s="36"/>
      <c r="CK33" s="34"/>
      <c r="CL33" s="35"/>
      <c r="CM33" s="36"/>
      <c r="CO33" s="34"/>
      <c r="CP33" s="35"/>
      <c r="CQ33" s="36"/>
      <c r="CS33" s="34"/>
      <c r="CT33" s="35"/>
      <c r="CU33" s="36"/>
    </row>
    <row r="34" spans="1:99">
      <c r="A34" s="717"/>
      <c r="B34" s="718"/>
      <c r="C34" s="723"/>
      <c r="R34" s="506" t="s">
        <v>2272</v>
      </c>
      <c r="S34" s="506" t="s">
        <v>2273</v>
      </c>
      <c r="T34" s="507">
        <f t="shared" ca="1" si="1"/>
        <v>0</v>
      </c>
      <c r="U34" s="507">
        <f t="shared" ca="1" si="2"/>
        <v>0</v>
      </c>
      <c r="V34" s="507">
        <f t="shared" ca="1" si="3"/>
        <v>0</v>
      </c>
      <c r="W34" s="507">
        <f t="shared" ca="1" si="4"/>
        <v>0</v>
      </c>
      <c r="X34" s="507">
        <f t="shared" ca="1" si="5"/>
        <v>0</v>
      </c>
      <c r="Y34" s="507">
        <f t="shared" ca="1" si="6"/>
        <v>0</v>
      </c>
      <c r="Z34" s="507">
        <f t="shared" ca="1" si="7"/>
        <v>0</v>
      </c>
      <c r="AA34" s="507">
        <f t="shared" ca="1" si="8"/>
        <v>0</v>
      </c>
      <c r="AB34" s="507">
        <f t="shared" ca="1" si="9"/>
        <v>0</v>
      </c>
      <c r="AC34" s="507">
        <f t="shared" ca="1" si="10"/>
        <v>0</v>
      </c>
      <c r="AD34" s="507">
        <f t="shared" ca="1" si="11"/>
        <v>0</v>
      </c>
      <c r="AE34" s="507">
        <f t="shared" ca="1" si="12"/>
        <v>0</v>
      </c>
      <c r="AF34" s="11">
        <f t="shared" ca="1" si="13"/>
        <v>0</v>
      </c>
      <c r="AI34" s="4">
        <v>57</v>
      </c>
      <c r="AJ34" s="5" t="s">
        <v>92</v>
      </c>
      <c r="AK34" s="5" t="s">
        <v>88</v>
      </c>
      <c r="AL34" s="5" t="s">
        <v>93</v>
      </c>
      <c r="AM34" s="5" t="s">
        <v>0</v>
      </c>
      <c r="AN34" s="5" t="s">
        <v>18</v>
      </c>
      <c r="AO34" s="5" t="s">
        <v>16</v>
      </c>
      <c r="AP34" s="5" t="s">
        <v>17</v>
      </c>
      <c r="AQ34" s="5" t="s">
        <v>3</v>
      </c>
      <c r="AR34" s="5" t="s">
        <v>18</v>
      </c>
      <c r="AS34" s="6"/>
      <c r="AU34" s="5"/>
      <c r="AV34" s="5"/>
      <c r="AW34" s="5"/>
      <c r="AX34" s="5"/>
      <c r="AY34" s="5"/>
      <c r="BA34" s="34"/>
      <c r="BB34" s="35"/>
      <c r="BC34" s="36"/>
      <c r="BE34" s="34" t="s">
        <v>748</v>
      </c>
      <c r="BF34" s="35" t="s">
        <v>2289</v>
      </c>
      <c r="BG34" s="36">
        <v>2855.45</v>
      </c>
      <c r="BI34" s="34" t="s">
        <v>715</v>
      </c>
      <c r="BJ34" s="35" t="s">
        <v>2283</v>
      </c>
      <c r="BK34" s="36">
        <v>2251432.9900000002</v>
      </c>
      <c r="BM34" s="34"/>
      <c r="BN34" s="35"/>
      <c r="BO34" s="36"/>
      <c r="BQ34" s="34"/>
      <c r="BR34" s="35"/>
      <c r="BS34" s="36"/>
      <c r="BU34" s="34"/>
      <c r="BV34" s="35"/>
      <c r="BW34" s="36"/>
      <c r="BY34" s="34"/>
      <c r="BZ34" s="35"/>
      <c r="CA34" s="36"/>
      <c r="CC34" s="34"/>
      <c r="CD34" s="35"/>
      <c r="CE34" s="36"/>
      <c r="CG34" s="34"/>
      <c r="CH34" s="35"/>
      <c r="CI34" s="36"/>
      <c r="CK34" s="34"/>
      <c r="CL34" s="35"/>
      <c r="CM34" s="36"/>
      <c r="CO34" s="34"/>
      <c r="CP34" s="35"/>
      <c r="CQ34" s="36"/>
      <c r="CS34" s="34"/>
      <c r="CT34" s="35"/>
      <c r="CU34" s="36"/>
    </row>
    <row r="35" spans="1:99">
      <c r="E35" s="1632">
        <f>+C40/11</f>
        <v>3383015.1518181819</v>
      </c>
      <c r="R35" s="506" t="s">
        <v>667</v>
      </c>
      <c r="S35" s="506" t="s">
        <v>2274</v>
      </c>
      <c r="T35" s="507">
        <f t="shared" ca="1" si="1"/>
        <v>0</v>
      </c>
      <c r="U35" s="507">
        <f t="shared" ca="1" si="2"/>
        <v>82162.5</v>
      </c>
      <c r="V35" s="507">
        <f t="shared" ca="1" si="3"/>
        <v>512337</v>
      </c>
      <c r="W35" s="507">
        <f t="shared" ca="1" si="4"/>
        <v>0</v>
      </c>
      <c r="X35" s="507">
        <f t="shared" ca="1" si="5"/>
        <v>0</v>
      </c>
      <c r="Y35" s="507">
        <f t="shared" ca="1" si="6"/>
        <v>0</v>
      </c>
      <c r="Z35" s="507">
        <f t="shared" ca="1" si="7"/>
        <v>0</v>
      </c>
      <c r="AA35" s="507">
        <f t="shared" ca="1" si="8"/>
        <v>0</v>
      </c>
      <c r="AB35" s="507">
        <f t="shared" ca="1" si="9"/>
        <v>0</v>
      </c>
      <c r="AC35" s="507">
        <f t="shared" ca="1" si="10"/>
        <v>0</v>
      </c>
      <c r="AD35" s="507">
        <f t="shared" ca="1" si="11"/>
        <v>0</v>
      </c>
      <c r="AE35" s="507">
        <f t="shared" ca="1" si="12"/>
        <v>0</v>
      </c>
      <c r="AF35" s="11">
        <f t="shared" ca="1" si="13"/>
        <v>594499.5</v>
      </c>
      <c r="AI35" s="4">
        <v>59</v>
      </c>
      <c r="AJ35" s="5" t="s">
        <v>94</v>
      </c>
      <c r="AK35" s="5" t="s">
        <v>88</v>
      </c>
      <c r="AL35" s="5" t="s">
        <v>95</v>
      </c>
      <c r="AM35" s="5" t="s">
        <v>0</v>
      </c>
      <c r="AN35" s="5" t="s">
        <v>18</v>
      </c>
      <c r="AO35" s="5" t="s">
        <v>16</v>
      </c>
      <c r="AP35" s="5" t="s">
        <v>17</v>
      </c>
      <c r="AQ35" s="5" t="s">
        <v>3</v>
      </c>
      <c r="AR35" s="5" t="s">
        <v>18</v>
      </c>
      <c r="AS35" s="6"/>
      <c r="AU35" s="5"/>
      <c r="AV35" s="5"/>
      <c r="AW35" s="5"/>
      <c r="AX35" s="5"/>
      <c r="AY35" s="5"/>
      <c r="BA35" s="34"/>
      <c r="BB35" s="35"/>
      <c r="BC35" s="36"/>
      <c r="BE35" s="34" t="s">
        <v>774</v>
      </c>
      <c r="BF35" s="35" t="s">
        <v>2064</v>
      </c>
      <c r="BG35" s="36">
        <v>51963.75</v>
      </c>
      <c r="BI35" s="34" t="s">
        <v>742</v>
      </c>
      <c r="BJ35" s="35" t="s">
        <v>2287</v>
      </c>
      <c r="BK35" s="36">
        <v>202575</v>
      </c>
      <c r="BM35" s="34"/>
      <c r="BN35" s="35"/>
      <c r="BO35" s="36"/>
      <c r="BQ35" s="34"/>
      <c r="BR35" s="35"/>
      <c r="BS35" s="36"/>
      <c r="BU35" s="34"/>
      <c r="BV35" s="35"/>
      <c r="BW35" s="36"/>
      <c r="BY35" s="34"/>
      <c r="BZ35" s="35"/>
      <c r="CA35" s="36"/>
      <c r="CC35" s="34"/>
      <c r="CD35" s="35"/>
      <c r="CE35" s="36"/>
      <c r="CG35" s="34"/>
      <c r="CH35" s="35"/>
      <c r="CI35" s="36"/>
      <c r="CK35" s="34"/>
      <c r="CL35" s="35"/>
      <c r="CM35" s="36"/>
      <c r="CO35" s="34"/>
      <c r="CP35" s="35"/>
      <c r="CQ35" s="36"/>
      <c r="CS35" s="34"/>
      <c r="CT35" s="35"/>
      <c r="CU35" s="36"/>
    </row>
    <row r="36" spans="1:99">
      <c r="R36" s="506" t="s">
        <v>2275</v>
      </c>
      <c r="S36" s="506" t="s">
        <v>2276</v>
      </c>
      <c r="T36" s="507">
        <f t="shared" ca="1" si="1"/>
        <v>0</v>
      </c>
      <c r="U36" s="507">
        <f t="shared" ca="1" si="2"/>
        <v>0</v>
      </c>
      <c r="V36" s="507">
        <f t="shared" ca="1" si="3"/>
        <v>2200</v>
      </c>
      <c r="W36" s="507">
        <f t="shared" ca="1" si="4"/>
        <v>0</v>
      </c>
      <c r="X36" s="507">
        <f t="shared" ca="1" si="5"/>
        <v>0</v>
      </c>
      <c r="Y36" s="507">
        <f t="shared" ca="1" si="6"/>
        <v>0</v>
      </c>
      <c r="Z36" s="507">
        <f t="shared" ca="1" si="7"/>
        <v>0</v>
      </c>
      <c r="AA36" s="507">
        <f t="shared" ca="1" si="8"/>
        <v>0</v>
      </c>
      <c r="AB36" s="507">
        <f t="shared" ca="1" si="9"/>
        <v>0</v>
      </c>
      <c r="AC36" s="507">
        <f t="shared" ca="1" si="10"/>
        <v>0</v>
      </c>
      <c r="AD36" s="507">
        <f t="shared" ca="1" si="11"/>
        <v>0</v>
      </c>
      <c r="AE36" s="507">
        <f t="shared" ca="1" si="12"/>
        <v>0</v>
      </c>
      <c r="AF36" s="11">
        <f t="shared" ca="1" si="13"/>
        <v>2200</v>
      </c>
      <c r="AI36" s="4">
        <v>61</v>
      </c>
      <c r="AJ36" s="5" t="s">
        <v>96</v>
      </c>
      <c r="AK36" s="5" t="s">
        <v>88</v>
      </c>
      <c r="AL36" s="5" t="s">
        <v>97</v>
      </c>
      <c r="AM36" s="5" t="s">
        <v>0</v>
      </c>
      <c r="AN36" s="5" t="s">
        <v>18</v>
      </c>
      <c r="AO36" s="5" t="s">
        <v>16</v>
      </c>
      <c r="AP36" s="5" t="s">
        <v>17</v>
      </c>
      <c r="AQ36" s="5" t="s">
        <v>3</v>
      </c>
      <c r="AR36" s="5" t="s">
        <v>18</v>
      </c>
      <c r="AS36" s="6"/>
      <c r="AU36" s="5"/>
      <c r="AV36" s="5"/>
      <c r="AW36" s="5"/>
      <c r="AX36" s="5"/>
      <c r="AY36" s="5"/>
      <c r="BA36" s="34"/>
      <c r="BB36" s="35"/>
      <c r="BC36" s="36"/>
      <c r="BE36" s="34" t="s">
        <v>785</v>
      </c>
      <c r="BF36" s="35" t="s">
        <v>2295</v>
      </c>
      <c r="BG36" s="36">
        <v>1601.4</v>
      </c>
      <c r="BI36" s="34" t="s">
        <v>759</v>
      </c>
      <c r="BJ36" s="35" t="s">
        <v>4246</v>
      </c>
      <c r="BK36" s="36">
        <v>76611.69</v>
      </c>
      <c r="BM36" s="34"/>
      <c r="BN36" s="35"/>
      <c r="BO36" s="36"/>
      <c r="BQ36" s="34"/>
      <c r="BR36" s="35"/>
      <c r="BS36" s="36"/>
      <c r="BU36" s="34"/>
      <c r="BV36" s="35"/>
      <c r="BW36" s="36"/>
      <c r="BY36" s="34"/>
      <c r="BZ36" s="35"/>
      <c r="CA36" s="36"/>
      <c r="CC36" s="34"/>
      <c r="CD36" s="35"/>
      <c r="CE36" s="36"/>
      <c r="CG36" s="34"/>
      <c r="CH36" s="35"/>
      <c r="CI36" s="36"/>
      <c r="CK36" s="34"/>
      <c r="CL36" s="35"/>
      <c r="CM36" s="36"/>
      <c r="CO36" s="34"/>
      <c r="CP36" s="35"/>
      <c r="CQ36" s="36"/>
      <c r="CS36" s="34"/>
      <c r="CT36" s="35"/>
      <c r="CU36" s="36"/>
    </row>
    <row r="37" spans="1:99">
      <c r="D37" s="913" t="s">
        <v>2352</v>
      </c>
      <c r="R37" s="506" t="s">
        <v>219</v>
      </c>
      <c r="S37" s="506" t="s">
        <v>2277</v>
      </c>
      <c r="T37" s="507">
        <f t="shared" ca="1" si="1"/>
        <v>0</v>
      </c>
      <c r="U37" s="507">
        <f t="shared" ca="1" si="2"/>
        <v>0</v>
      </c>
      <c r="V37" s="507">
        <f t="shared" ca="1" si="3"/>
        <v>0</v>
      </c>
      <c r="W37" s="507">
        <f t="shared" ca="1" si="4"/>
        <v>0</v>
      </c>
      <c r="X37" s="507">
        <f t="shared" ca="1" si="5"/>
        <v>0</v>
      </c>
      <c r="Y37" s="507">
        <f t="shared" ca="1" si="6"/>
        <v>0</v>
      </c>
      <c r="Z37" s="507">
        <f t="shared" ca="1" si="7"/>
        <v>0</v>
      </c>
      <c r="AA37" s="507">
        <f t="shared" ca="1" si="8"/>
        <v>0</v>
      </c>
      <c r="AB37" s="507">
        <f t="shared" ca="1" si="9"/>
        <v>0</v>
      </c>
      <c r="AC37" s="507">
        <f t="shared" ca="1" si="10"/>
        <v>0</v>
      </c>
      <c r="AD37" s="507">
        <f t="shared" ca="1" si="11"/>
        <v>0</v>
      </c>
      <c r="AE37" s="507">
        <f t="shared" ca="1" si="12"/>
        <v>0</v>
      </c>
      <c r="AF37" s="11">
        <f t="shared" ca="1" si="13"/>
        <v>0</v>
      </c>
      <c r="AI37" s="4">
        <v>63</v>
      </c>
      <c r="AJ37" s="5" t="s">
        <v>98</v>
      </c>
      <c r="AK37" s="5" t="s">
        <v>88</v>
      </c>
      <c r="AL37" s="5" t="s">
        <v>99</v>
      </c>
      <c r="AM37" s="5" t="s">
        <v>0</v>
      </c>
      <c r="AN37" s="5" t="s">
        <v>18</v>
      </c>
      <c r="AO37" s="5" t="s">
        <v>16</v>
      </c>
      <c r="AP37" s="5" t="s">
        <v>17</v>
      </c>
      <c r="AQ37" s="5" t="s">
        <v>3</v>
      </c>
      <c r="AR37" s="5" t="s">
        <v>18</v>
      </c>
      <c r="AS37" s="6"/>
      <c r="AU37" s="5"/>
      <c r="AV37" s="5"/>
      <c r="AW37" s="5"/>
      <c r="AX37" s="5"/>
      <c r="AY37" s="5"/>
      <c r="BA37" s="34"/>
      <c r="BB37" s="35"/>
      <c r="BC37" s="36"/>
      <c r="BE37" s="34" t="s">
        <v>791</v>
      </c>
      <c r="BF37" s="35" t="s">
        <v>4267</v>
      </c>
      <c r="BG37" s="36">
        <v>39850</v>
      </c>
      <c r="BI37" s="34" t="s">
        <v>748</v>
      </c>
      <c r="BJ37" s="35" t="s">
        <v>2289</v>
      </c>
      <c r="BK37" s="36">
        <v>1717.8</v>
      </c>
      <c r="BM37" s="34"/>
      <c r="BN37" s="35"/>
      <c r="BO37" s="36"/>
      <c r="BQ37" s="34"/>
      <c r="BR37" s="35"/>
      <c r="BS37" s="36"/>
      <c r="BU37" s="34"/>
      <c r="BV37" s="35"/>
      <c r="BW37" s="36"/>
      <c r="BY37" s="34"/>
      <c r="BZ37" s="35"/>
      <c r="CA37" s="36"/>
      <c r="CC37" s="34"/>
      <c r="CD37" s="35"/>
      <c r="CE37" s="36"/>
      <c r="CG37" s="34"/>
      <c r="CH37" s="35"/>
      <c r="CI37" s="36"/>
      <c r="CK37" s="34"/>
      <c r="CL37" s="35"/>
      <c r="CM37" s="36"/>
      <c r="CO37" s="34"/>
      <c r="CP37" s="35"/>
      <c r="CQ37" s="36"/>
      <c r="CS37" s="34"/>
      <c r="CT37" s="35"/>
      <c r="CU37" s="36"/>
    </row>
    <row r="38" spans="1:99">
      <c r="A38" s="1714" t="s">
        <v>1842</v>
      </c>
      <c r="B38" s="1715">
        <f>+B25</f>
        <v>2026</v>
      </c>
      <c r="C38" s="1716">
        <f>SUM(C39:C125)</f>
        <v>74426277.290000021</v>
      </c>
      <c r="D38" s="914">
        <f>+ERF!B24</f>
        <v>70695157.480000004</v>
      </c>
      <c r="I38" s="740"/>
      <c r="R38" s="506" t="s">
        <v>686</v>
      </c>
      <c r="S38" s="506" t="s">
        <v>2278</v>
      </c>
      <c r="T38" s="507">
        <f t="shared" ca="1" si="1"/>
        <v>0</v>
      </c>
      <c r="U38" s="507">
        <f t="shared" ca="1" si="2"/>
        <v>0</v>
      </c>
      <c r="V38" s="507">
        <f t="shared" ca="1" si="3"/>
        <v>0</v>
      </c>
      <c r="W38" s="507">
        <f t="shared" ca="1" si="4"/>
        <v>0</v>
      </c>
      <c r="X38" s="507">
        <f t="shared" ca="1" si="5"/>
        <v>0</v>
      </c>
      <c r="Y38" s="507">
        <f t="shared" ca="1" si="6"/>
        <v>0</v>
      </c>
      <c r="Z38" s="507">
        <f t="shared" ca="1" si="7"/>
        <v>0</v>
      </c>
      <c r="AA38" s="507">
        <f t="shared" ca="1" si="8"/>
        <v>0</v>
      </c>
      <c r="AB38" s="507">
        <f t="shared" ca="1" si="9"/>
        <v>0</v>
      </c>
      <c r="AC38" s="507">
        <f t="shared" ca="1" si="10"/>
        <v>0</v>
      </c>
      <c r="AD38" s="507">
        <f t="shared" ca="1" si="11"/>
        <v>0</v>
      </c>
      <c r="AE38" s="507">
        <f t="shared" ca="1" si="12"/>
        <v>0</v>
      </c>
      <c r="AF38" s="11">
        <f t="shared" ca="1" si="13"/>
        <v>0</v>
      </c>
      <c r="AI38" s="4">
        <v>65</v>
      </c>
      <c r="AJ38" s="5" t="s">
        <v>102</v>
      </c>
      <c r="AK38" s="5" t="s">
        <v>100</v>
      </c>
      <c r="AL38" s="5" t="s">
        <v>103</v>
      </c>
      <c r="AM38" s="5" t="s">
        <v>0</v>
      </c>
      <c r="AN38" s="5" t="s">
        <v>18</v>
      </c>
      <c r="AO38" s="5" t="s">
        <v>16</v>
      </c>
      <c r="AP38" s="5" t="s">
        <v>17</v>
      </c>
      <c r="AQ38" s="5" t="s">
        <v>3</v>
      </c>
      <c r="AR38" s="5" t="s">
        <v>18</v>
      </c>
      <c r="AS38" s="6"/>
      <c r="AU38" s="5"/>
      <c r="AV38" s="5"/>
      <c r="AW38" s="5"/>
      <c r="AX38" s="5"/>
      <c r="AY38" s="5"/>
      <c r="BA38" s="34"/>
      <c r="BB38" s="35"/>
      <c r="BC38" s="36"/>
      <c r="BE38" s="34" t="s">
        <v>3891</v>
      </c>
      <c r="BF38" s="35" t="s">
        <v>3861</v>
      </c>
      <c r="BG38" s="36">
        <v>4500</v>
      </c>
      <c r="BI38" s="34" t="s">
        <v>3932</v>
      </c>
      <c r="BJ38" s="35" t="s">
        <v>3933</v>
      </c>
      <c r="BK38" s="36">
        <v>203388</v>
      </c>
      <c r="BM38" s="34"/>
      <c r="BN38" s="35"/>
      <c r="BO38" s="36"/>
      <c r="BQ38" s="34"/>
      <c r="BR38" s="35"/>
      <c r="BS38" s="36"/>
      <c r="BU38" s="34"/>
      <c r="BV38" s="35"/>
      <c r="BW38" s="36"/>
      <c r="BY38" s="34"/>
      <c r="BZ38" s="35"/>
      <c r="CA38" s="36"/>
      <c r="CC38" s="34"/>
      <c r="CD38" s="35"/>
      <c r="CE38" s="36"/>
      <c r="CG38" s="34"/>
      <c r="CH38" s="35"/>
      <c r="CI38" s="36"/>
      <c r="CK38" s="34"/>
      <c r="CL38" s="35"/>
      <c r="CM38" s="36"/>
      <c r="CO38" s="34"/>
      <c r="CP38" s="35"/>
      <c r="CQ38" s="36"/>
      <c r="CS38" s="34"/>
      <c r="CT38" s="35"/>
      <c r="CU38" s="36"/>
    </row>
    <row r="39" spans="1:99">
      <c r="A39" s="724"/>
      <c r="B39" s="725"/>
      <c r="C39" s="726"/>
      <c r="D39" s="11">
        <f>+D38-C38</f>
        <v>-3731119.8100000173</v>
      </c>
      <c r="E39" s="902">
        <f>+G52+G45+G49-H46</f>
        <v>-6869383.2900001863</v>
      </c>
      <c r="F39" s="11">
        <f>+E39-D39</f>
        <v>-3138263.480000169</v>
      </c>
      <c r="I39" s="740"/>
      <c r="R39" s="506" t="s">
        <v>692</v>
      </c>
      <c r="S39" s="506" t="s">
        <v>2343</v>
      </c>
      <c r="T39" s="507">
        <f t="shared" ca="1" si="1"/>
        <v>0</v>
      </c>
      <c r="U39" s="507">
        <f t="shared" ca="1" si="2"/>
        <v>0</v>
      </c>
      <c r="V39" s="507">
        <f t="shared" ca="1" si="3"/>
        <v>0</v>
      </c>
      <c r="W39" s="507">
        <f t="shared" ca="1" si="4"/>
        <v>0</v>
      </c>
      <c r="X39" s="507">
        <f t="shared" ca="1" si="5"/>
        <v>0</v>
      </c>
      <c r="Y39" s="507">
        <f t="shared" ca="1" si="6"/>
        <v>0</v>
      </c>
      <c r="Z39" s="507">
        <f t="shared" ca="1" si="7"/>
        <v>0</v>
      </c>
      <c r="AA39" s="507">
        <f t="shared" ca="1" si="8"/>
        <v>0</v>
      </c>
      <c r="AB39" s="507">
        <f t="shared" ca="1" si="9"/>
        <v>0</v>
      </c>
      <c r="AC39" s="507">
        <f t="shared" ca="1" si="10"/>
        <v>0</v>
      </c>
      <c r="AD39" s="507">
        <f t="shared" ca="1" si="11"/>
        <v>0</v>
      </c>
      <c r="AE39" s="507">
        <f t="shared" ca="1" si="12"/>
        <v>0</v>
      </c>
      <c r="AF39" s="11">
        <f t="shared" ca="1" si="13"/>
        <v>0</v>
      </c>
      <c r="AI39" s="4">
        <v>67</v>
      </c>
      <c r="AJ39" s="5" t="s">
        <v>104</v>
      </c>
      <c r="AK39" s="5" t="s">
        <v>100</v>
      </c>
      <c r="AL39" s="5" t="s">
        <v>105</v>
      </c>
      <c r="AM39" s="5" t="s">
        <v>0</v>
      </c>
      <c r="AN39" s="5" t="s">
        <v>18</v>
      </c>
      <c r="AO39" s="5" t="s">
        <v>16</v>
      </c>
      <c r="AP39" s="5" t="s">
        <v>17</v>
      </c>
      <c r="AQ39" s="5" t="s">
        <v>3</v>
      </c>
      <c r="AR39" s="5" t="s">
        <v>18</v>
      </c>
      <c r="AS39" s="6"/>
      <c r="AU39" s="5"/>
      <c r="AV39" s="5"/>
      <c r="AW39" s="5"/>
      <c r="AX39" s="5"/>
      <c r="AY39" s="5"/>
      <c r="BA39" s="34"/>
      <c r="BB39" s="35"/>
      <c r="BC39" s="36"/>
      <c r="BE39" s="34" t="s">
        <v>818</v>
      </c>
      <c r="BF39" s="35" t="s">
        <v>4268</v>
      </c>
      <c r="BG39" s="36">
        <v>44847.95</v>
      </c>
      <c r="BI39" s="34" t="s">
        <v>774</v>
      </c>
      <c r="BJ39" s="35" t="s">
        <v>2064</v>
      </c>
      <c r="BK39" s="36">
        <v>548338.06000000006</v>
      </c>
      <c r="BM39" s="34"/>
      <c r="BN39" s="35"/>
      <c r="BO39" s="36"/>
      <c r="BQ39" s="34"/>
      <c r="BR39" s="35"/>
      <c r="BS39" s="36"/>
      <c r="BU39" s="34"/>
      <c r="BV39" s="35"/>
      <c r="BW39" s="36"/>
      <c r="BY39" s="34"/>
      <c r="BZ39" s="35"/>
      <c r="CA39" s="36"/>
      <c r="CC39" s="34"/>
      <c r="CD39" s="35"/>
      <c r="CE39" s="36"/>
      <c r="CG39" s="34"/>
      <c r="CH39" s="35"/>
      <c r="CI39" s="36"/>
      <c r="CK39" s="34"/>
      <c r="CL39" s="35"/>
      <c r="CM39" s="36"/>
      <c r="CO39" s="34"/>
      <c r="CP39" s="35"/>
      <c r="CQ39" s="36"/>
      <c r="CS39" s="34"/>
      <c r="CT39" s="35"/>
      <c r="CU39" s="36"/>
    </row>
    <row r="40" spans="1:99">
      <c r="A40" s="727" t="s">
        <v>570</v>
      </c>
      <c r="B40" s="728" t="s">
        <v>4265</v>
      </c>
      <c r="C40" s="729">
        <v>37213166.670000002</v>
      </c>
      <c r="I40" s="740"/>
      <c r="R40" s="506" t="s">
        <v>695</v>
      </c>
      <c r="S40" s="506" t="s">
        <v>2279</v>
      </c>
      <c r="T40" s="507">
        <f t="shared" ca="1" si="1"/>
        <v>0</v>
      </c>
      <c r="U40" s="507">
        <f t="shared" ca="1" si="2"/>
        <v>0</v>
      </c>
      <c r="V40" s="507">
        <f t="shared" ca="1" si="3"/>
        <v>0</v>
      </c>
      <c r="W40" s="507">
        <f t="shared" ca="1" si="4"/>
        <v>0</v>
      </c>
      <c r="X40" s="507">
        <f t="shared" ca="1" si="5"/>
        <v>0</v>
      </c>
      <c r="Y40" s="507">
        <f t="shared" ca="1" si="6"/>
        <v>0</v>
      </c>
      <c r="Z40" s="507">
        <f t="shared" ca="1" si="7"/>
        <v>0</v>
      </c>
      <c r="AA40" s="507">
        <f t="shared" ca="1" si="8"/>
        <v>0</v>
      </c>
      <c r="AB40" s="507">
        <f t="shared" ca="1" si="9"/>
        <v>0</v>
      </c>
      <c r="AC40" s="507">
        <f t="shared" ca="1" si="10"/>
        <v>0</v>
      </c>
      <c r="AD40" s="507">
        <f t="shared" ca="1" si="11"/>
        <v>0</v>
      </c>
      <c r="AE40" s="507">
        <f t="shared" ca="1" si="12"/>
        <v>0</v>
      </c>
      <c r="AF40" s="11">
        <f t="shared" ca="1" si="13"/>
        <v>0</v>
      </c>
      <c r="AI40" s="4">
        <v>69</v>
      </c>
      <c r="AJ40" s="5" t="s">
        <v>106</v>
      </c>
      <c r="AK40" s="5" t="s">
        <v>100</v>
      </c>
      <c r="AL40" s="5" t="s">
        <v>107</v>
      </c>
      <c r="AM40" s="5" t="s">
        <v>0</v>
      </c>
      <c r="AN40" s="5" t="s">
        <v>18</v>
      </c>
      <c r="AO40" s="5" t="s">
        <v>16</v>
      </c>
      <c r="AP40" s="5" t="s">
        <v>17</v>
      </c>
      <c r="AQ40" s="5" t="s">
        <v>3</v>
      </c>
      <c r="AR40" s="5" t="s">
        <v>18</v>
      </c>
      <c r="AS40" s="6"/>
      <c r="AU40" s="5"/>
      <c r="AV40" s="5"/>
      <c r="AW40" s="5"/>
      <c r="AX40" s="5"/>
      <c r="AY40" s="5"/>
      <c r="BA40" s="34"/>
      <c r="BB40" s="35"/>
      <c r="BC40" s="36"/>
      <c r="BE40" s="34" t="s">
        <v>833</v>
      </c>
      <c r="BF40" s="35" t="s">
        <v>2307</v>
      </c>
      <c r="BG40" s="36">
        <v>703367.42</v>
      </c>
      <c r="BI40" s="34" t="s">
        <v>2294</v>
      </c>
      <c r="BJ40" s="35" t="s">
        <v>2227</v>
      </c>
      <c r="BK40" s="36">
        <v>22880</v>
      </c>
      <c r="BM40" s="34"/>
      <c r="BN40" s="35"/>
      <c r="BO40" s="36"/>
      <c r="BQ40" s="34"/>
      <c r="BR40" s="35"/>
      <c r="BS40" s="36"/>
      <c r="BU40" s="34"/>
      <c r="BV40" s="35"/>
      <c r="BW40" s="36"/>
      <c r="BY40" s="34"/>
      <c r="BZ40" s="35"/>
      <c r="CA40" s="36"/>
      <c r="CC40" s="34"/>
      <c r="CD40" s="35"/>
      <c r="CE40" s="36"/>
      <c r="CG40" s="34"/>
      <c r="CH40" s="35"/>
      <c r="CI40" s="36"/>
      <c r="CK40" s="34"/>
      <c r="CL40" s="35"/>
      <c r="CM40" s="36"/>
      <c r="CO40" s="34"/>
      <c r="CP40" s="35"/>
      <c r="CQ40" s="36"/>
      <c r="CS40" s="34"/>
      <c r="CT40" s="35"/>
      <c r="CU40" s="36"/>
    </row>
    <row r="41" spans="1:99">
      <c r="A41" s="727" t="s">
        <v>4030</v>
      </c>
      <c r="B41" s="728" t="s">
        <v>4031</v>
      </c>
      <c r="C41" s="729">
        <v>30000</v>
      </c>
      <c r="D41">
        <v>49063455.039485373</v>
      </c>
      <c r="I41" s="740"/>
      <c r="R41" s="506" t="s">
        <v>698</v>
      </c>
      <c r="S41" s="506" t="s">
        <v>2280</v>
      </c>
      <c r="T41" s="507">
        <f t="shared" ca="1" si="1"/>
        <v>0</v>
      </c>
      <c r="U41" s="507">
        <f t="shared" ca="1" si="2"/>
        <v>0</v>
      </c>
      <c r="V41" s="507">
        <f t="shared" ca="1" si="3"/>
        <v>0</v>
      </c>
      <c r="W41" s="507">
        <f t="shared" ca="1" si="4"/>
        <v>0</v>
      </c>
      <c r="X41" s="507">
        <f t="shared" ca="1" si="5"/>
        <v>0</v>
      </c>
      <c r="Y41" s="507">
        <f t="shared" ca="1" si="6"/>
        <v>0</v>
      </c>
      <c r="Z41" s="507">
        <f t="shared" ca="1" si="7"/>
        <v>0</v>
      </c>
      <c r="AA41" s="507">
        <f t="shared" ca="1" si="8"/>
        <v>0</v>
      </c>
      <c r="AB41" s="507">
        <f t="shared" ca="1" si="9"/>
        <v>0</v>
      </c>
      <c r="AC41" s="507">
        <f t="shared" ca="1" si="10"/>
        <v>0</v>
      </c>
      <c r="AD41" s="507">
        <f t="shared" ca="1" si="11"/>
        <v>0</v>
      </c>
      <c r="AE41" s="507">
        <f t="shared" ca="1" si="12"/>
        <v>0</v>
      </c>
      <c r="AF41" s="11">
        <f t="shared" ca="1" si="13"/>
        <v>0</v>
      </c>
      <c r="AI41" s="4">
        <v>71</v>
      </c>
      <c r="AJ41" s="5" t="s">
        <v>108</v>
      </c>
      <c r="AK41" s="5" t="s">
        <v>100</v>
      </c>
      <c r="AL41" s="5" t="s">
        <v>109</v>
      </c>
      <c r="AM41" s="5" t="s">
        <v>0</v>
      </c>
      <c r="AN41" s="5" t="s">
        <v>18</v>
      </c>
      <c r="AO41" s="5" t="s">
        <v>16</v>
      </c>
      <c r="AP41" s="5" t="s">
        <v>17</v>
      </c>
      <c r="AQ41" s="5" t="s">
        <v>3</v>
      </c>
      <c r="AR41" s="5" t="s">
        <v>18</v>
      </c>
      <c r="AS41" s="6"/>
      <c r="AU41" s="5"/>
      <c r="AV41" s="5"/>
      <c r="AW41" s="5"/>
      <c r="AX41" s="5"/>
      <c r="AY41" s="5"/>
      <c r="BA41" s="34"/>
      <c r="BB41" s="35"/>
      <c r="BC41" s="36"/>
      <c r="BE41" s="34" t="s">
        <v>833</v>
      </c>
      <c r="BF41" s="35" t="s">
        <v>2307</v>
      </c>
      <c r="BG41" s="36">
        <v>6625</v>
      </c>
      <c r="BI41" s="34" t="s">
        <v>3934</v>
      </c>
      <c r="BJ41" s="35" t="s">
        <v>3926</v>
      </c>
      <c r="BK41" s="36">
        <v>1191000</v>
      </c>
      <c r="BM41" s="34"/>
      <c r="BN41" s="35"/>
      <c r="BO41" s="36"/>
      <c r="BQ41" s="34"/>
      <c r="BR41" s="35"/>
      <c r="BS41" s="36"/>
      <c r="BU41" s="34"/>
      <c r="BV41" s="35"/>
      <c r="BW41" s="36"/>
      <c r="BY41" s="34"/>
      <c r="BZ41" s="35"/>
      <c r="CA41" s="36"/>
      <c r="CC41" s="34"/>
      <c r="CD41" s="35"/>
      <c r="CE41" s="36"/>
      <c r="CG41" s="34"/>
      <c r="CH41" s="35"/>
      <c r="CI41" s="36"/>
      <c r="CK41" s="34"/>
      <c r="CL41" s="35"/>
      <c r="CM41" s="36"/>
      <c r="CO41" s="34"/>
      <c r="CP41" s="35"/>
      <c r="CQ41" s="36"/>
      <c r="CS41" s="34"/>
      <c r="CT41" s="35"/>
      <c r="CU41" s="36"/>
    </row>
    <row r="42" spans="1:99">
      <c r="A42" s="727" t="s">
        <v>3783</v>
      </c>
      <c r="B42" s="728" t="s">
        <v>3775</v>
      </c>
      <c r="C42" s="729">
        <v>614250</v>
      </c>
      <c r="D42" s="11">
        <f>+D39-D41</f>
        <v>-52794574.84948539</v>
      </c>
      <c r="E42" s="1851" t="s">
        <v>2371</v>
      </c>
      <c r="F42" s="1851"/>
      <c r="G42" s="1851"/>
      <c r="H42" s="1851"/>
      <c r="I42" s="1851"/>
      <c r="R42" s="506" t="s">
        <v>701</v>
      </c>
      <c r="S42" s="506" t="s">
        <v>2281</v>
      </c>
      <c r="T42" s="507">
        <f t="shared" ca="1" si="1"/>
        <v>0</v>
      </c>
      <c r="U42" s="507">
        <f t="shared" ca="1" si="2"/>
        <v>0</v>
      </c>
      <c r="V42" s="507">
        <f t="shared" ca="1" si="3"/>
        <v>0</v>
      </c>
      <c r="W42" s="507">
        <f t="shared" ca="1" si="4"/>
        <v>0</v>
      </c>
      <c r="X42" s="507">
        <f t="shared" ca="1" si="5"/>
        <v>0</v>
      </c>
      <c r="Y42" s="507">
        <f t="shared" ca="1" si="6"/>
        <v>0</v>
      </c>
      <c r="Z42" s="507">
        <f t="shared" ca="1" si="7"/>
        <v>0</v>
      </c>
      <c r="AA42" s="507">
        <f t="shared" ca="1" si="8"/>
        <v>0</v>
      </c>
      <c r="AB42" s="507">
        <f t="shared" ca="1" si="9"/>
        <v>0</v>
      </c>
      <c r="AC42" s="507">
        <f t="shared" ca="1" si="10"/>
        <v>0</v>
      </c>
      <c r="AD42" s="507">
        <f t="shared" ca="1" si="11"/>
        <v>0</v>
      </c>
      <c r="AE42" s="507">
        <f t="shared" ca="1" si="12"/>
        <v>0</v>
      </c>
      <c r="AF42" s="11">
        <f t="shared" ca="1" si="13"/>
        <v>0</v>
      </c>
      <c r="AI42" s="4">
        <v>73</v>
      </c>
      <c r="AJ42" s="5" t="s">
        <v>110</v>
      </c>
      <c r="AK42" s="5" t="s">
        <v>69</v>
      </c>
      <c r="AL42" s="5" t="s">
        <v>111</v>
      </c>
      <c r="AM42" s="5" t="s">
        <v>0</v>
      </c>
      <c r="AN42" s="5" t="s">
        <v>18</v>
      </c>
      <c r="AO42" s="5" t="s">
        <v>16</v>
      </c>
      <c r="AP42" s="5" t="s">
        <v>17</v>
      </c>
      <c r="AQ42" s="5" t="s">
        <v>3</v>
      </c>
      <c r="AR42" s="5" t="s">
        <v>18</v>
      </c>
      <c r="AS42" s="6"/>
      <c r="AU42" s="5"/>
      <c r="AV42" s="5"/>
      <c r="AW42" s="5"/>
      <c r="AX42" s="5"/>
      <c r="AY42" s="5"/>
      <c r="BA42" s="34"/>
      <c r="BB42" s="35"/>
      <c r="BC42" s="36"/>
      <c r="BE42" s="34" t="s">
        <v>3917</v>
      </c>
      <c r="BF42" s="35" t="s">
        <v>4269</v>
      </c>
      <c r="BG42" s="36">
        <v>4625</v>
      </c>
      <c r="BI42" s="34" t="s">
        <v>3854</v>
      </c>
      <c r="BJ42" s="35" t="s">
        <v>3855</v>
      </c>
      <c r="BK42" s="36">
        <v>4998.54</v>
      </c>
      <c r="BM42" s="34"/>
      <c r="BN42" s="35"/>
      <c r="BO42" s="36"/>
      <c r="BQ42" s="34"/>
      <c r="BR42" s="35"/>
      <c r="BS42" s="36"/>
      <c r="BU42" s="34"/>
      <c r="BV42" s="35"/>
      <c r="BW42" s="36"/>
      <c r="BY42" s="34"/>
      <c r="BZ42" s="35"/>
      <c r="CA42" s="36"/>
      <c r="CC42" s="34"/>
      <c r="CD42" s="35"/>
      <c r="CE42" s="36"/>
      <c r="CG42" s="34"/>
      <c r="CH42" s="35"/>
      <c r="CI42" s="36"/>
      <c r="CK42" s="34"/>
      <c r="CL42" s="35"/>
      <c r="CM42" s="36"/>
      <c r="CO42" s="34"/>
      <c r="CP42" s="35"/>
      <c r="CQ42" s="36"/>
      <c r="CS42" s="34"/>
      <c r="CT42" s="35"/>
      <c r="CU42" s="36"/>
    </row>
    <row r="43" spans="1:99">
      <c r="A43" s="727" t="s">
        <v>4266</v>
      </c>
      <c r="B43" s="728" t="s">
        <v>4260</v>
      </c>
      <c r="C43" s="729">
        <v>257840</v>
      </c>
      <c r="D43" s="11">
        <f>+C43+C116</f>
        <v>257840</v>
      </c>
      <c r="E43" s="903"/>
      <c r="F43" s="903"/>
      <c r="G43" s="903">
        <v>2019</v>
      </c>
      <c r="H43" s="903">
        <v>2018</v>
      </c>
      <c r="I43" s="903"/>
      <c r="R43" s="506" t="s">
        <v>709</v>
      </c>
      <c r="S43" s="506" t="s">
        <v>2282</v>
      </c>
      <c r="T43" s="507">
        <f t="shared" ca="1" si="1"/>
        <v>0</v>
      </c>
      <c r="U43" s="507">
        <f t="shared" ca="1" si="2"/>
        <v>0</v>
      </c>
      <c r="V43" s="507">
        <f t="shared" ca="1" si="3"/>
        <v>0</v>
      </c>
      <c r="W43" s="507">
        <f t="shared" ca="1" si="4"/>
        <v>0</v>
      </c>
      <c r="X43" s="507">
        <f t="shared" ca="1" si="5"/>
        <v>0</v>
      </c>
      <c r="Y43" s="507">
        <f t="shared" ca="1" si="6"/>
        <v>0</v>
      </c>
      <c r="Z43" s="507">
        <f t="shared" ca="1" si="7"/>
        <v>0</v>
      </c>
      <c r="AA43" s="507">
        <f t="shared" ca="1" si="8"/>
        <v>0</v>
      </c>
      <c r="AB43" s="507">
        <f t="shared" ca="1" si="9"/>
        <v>0</v>
      </c>
      <c r="AC43" s="507">
        <f t="shared" ca="1" si="10"/>
        <v>0</v>
      </c>
      <c r="AD43" s="507">
        <f t="shared" ca="1" si="11"/>
        <v>0</v>
      </c>
      <c r="AE43" s="507">
        <f t="shared" ca="1" si="12"/>
        <v>0</v>
      </c>
      <c r="AF43" s="11">
        <f t="shared" ca="1" si="13"/>
        <v>0</v>
      </c>
      <c r="AI43" s="4">
        <v>75</v>
      </c>
      <c r="AJ43" s="5" t="s">
        <v>114</v>
      </c>
      <c r="AK43" s="5" t="s">
        <v>112</v>
      </c>
      <c r="AL43" s="5" t="s">
        <v>115</v>
      </c>
      <c r="AM43" s="5" t="s">
        <v>0</v>
      </c>
      <c r="AN43" s="5" t="s">
        <v>18</v>
      </c>
      <c r="AO43" s="5" t="s">
        <v>16</v>
      </c>
      <c r="AP43" s="5" t="s">
        <v>17</v>
      </c>
      <c r="AQ43" s="5" t="s">
        <v>3</v>
      </c>
      <c r="AR43" s="5" t="s">
        <v>18</v>
      </c>
      <c r="AS43" s="6"/>
      <c r="AU43" s="5"/>
      <c r="AV43" s="5"/>
      <c r="AW43" s="5"/>
      <c r="AX43" s="5"/>
      <c r="AY43" s="5"/>
      <c r="BA43" s="34"/>
      <c r="BB43" s="35"/>
      <c r="BC43" s="36"/>
      <c r="BE43" s="34" t="s">
        <v>209</v>
      </c>
      <c r="BF43" s="35" t="s">
        <v>4194</v>
      </c>
      <c r="BG43" s="36">
        <v>-17380</v>
      </c>
      <c r="BI43" s="34" t="s">
        <v>3936</v>
      </c>
      <c r="BJ43" s="35" t="s">
        <v>3929</v>
      </c>
      <c r="BK43" s="36">
        <v>620.62</v>
      </c>
      <c r="BM43" s="34"/>
      <c r="BN43" s="35"/>
      <c r="BO43" s="36"/>
      <c r="BQ43" s="34"/>
      <c r="BR43" s="35"/>
      <c r="BS43" s="36"/>
      <c r="BU43" s="34"/>
      <c r="BV43" s="35"/>
      <c r="BW43" s="36"/>
      <c r="BY43" s="34"/>
      <c r="BZ43" s="35"/>
      <c r="CA43" s="36"/>
      <c r="CC43" s="34"/>
      <c r="CD43" s="35"/>
      <c r="CE43" s="36"/>
      <c r="CG43" s="34"/>
      <c r="CH43" s="35"/>
      <c r="CI43" s="36"/>
      <c r="CK43" s="34"/>
      <c r="CL43" s="35"/>
      <c r="CM43" s="36"/>
      <c r="CO43" s="34"/>
      <c r="CP43" s="35"/>
      <c r="CQ43" s="36"/>
      <c r="CS43" s="34"/>
      <c r="CT43" s="35"/>
      <c r="CU43" s="36"/>
    </row>
    <row r="44" spans="1:99">
      <c r="A44" s="727" t="s">
        <v>617</v>
      </c>
      <c r="B44" s="728" t="s">
        <v>2394</v>
      </c>
      <c r="C44" s="729">
        <v>155800</v>
      </c>
      <c r="D44" s="11"/>
      <c r="E44" s="904">
        <f>+D39+'ES F '!F27</f>
        <v>-3359682.7399998317</v>
      </c>
      <c r="F44" s="904" t="s">
        <v>2351</v>
      </c>
      <c r="G44" s="904">
        <f>+'ES F '!B16</f>
        <v>325699.31</v>
      </c>
      <c r="H44" s="904">
        <f>+'ES F '!C16</f>
        <v>488548.94</v>
      </c>
      <c r="I44" s="903"/>
      <c r="R44" s="506" t="s">
        <v>715</v>
      </c>
      <c r="S44" s="506" t="s">
        <v>2283</v>
      </c>
      <c r="T44" s="507">
        <f t="shared" ref="T44:T76" ca="1" si="18">SUMIF($BB$7:$BC$297,S44,$BC$7:$BC$297)</f>
        <v>-5003.83</v>
      </c>
      <c r="U44" s="507">
        <f t="shared" ref="U44:U76" ca="1" si="19">SUMIF($BF$7:$BG$297,S44,$BG$7:$BG$297)</f>
        <v>-702462.42</v>
      </c>
      <c r="V44" s="507">
        <f t="shared" ref="V44:V76" ca="1" si="20">SUMIF($BJ$7:$BK$297,S44,$BK$7:$BK$297)</f>
        <v>2251432.9900000002</v>
      </c>
      <c r="W44" s="507">
        <f t="shared" ref="W44:W76" ca="1" si="21">SUMIF($BN$7:$BO$297,S44,$BO$7:$BO$297)</f>
        <v>0</v>
      </c>
      <c r="X44" s="507">
        <f t="shared" ref="X44:X76" ca="1" si="22">SUMIF($BR$7:$BS$297,S44,$BS$7:$BS$297)</f>
        <v>0</v>
      </c>
      <c r="Y44" s="507">
        <f t="shared" ref="Y44:Y76" ca="1" si="23">SUMIF($BV$7:$BW$297,S44,$BW$7:$BW$297)</f>
        <v>0</v>
      </c>
      <c r="Z44" s="507">
        <f t="shared" ref="Z44:Z76" ca="1" si="24">SUMIF($BZ$7:$CA$297,S44,$CA$7:$CA$297)</f>
        <v>0</v>
      </c>
      <c r="AA44" s="507">
        <f t="shared" ref="AA44:AA76" ca="1" si="25">SUMIF($CD$7:$CE$297,S44,$CE$7:$CE$297)</f>
        <v>0</v>
      </c>
      <c r="AB44" s="507">
        <f t="shared" ref="AB44:AB76" ca="1" si="26">SUMIF($CH$7:$CI$297,S44,$CI$7:$CI$297)</f>
        <v>0</v>
      </c>
      <c r="AC44" s="507">
        <f t="shared" ref="AC44:AC76" ca="1" si="27">SUMIF($CL$7:$CM$297,S44,$CM$7:$CM$297)</f>
        <v>0</v>
      </c>
      <c r="AD44" s="507">
        <f t="shared" ref="AD44:AD76" ca="1" si="28">SUMIF($CP$7:$CQ$297,S44,$CQ$7:$CQ$297)</f>
        <v>0</v>
      </c>
      <c r="AE44" s="507">
        <f t="shared" ref="AE44:AE76" ca="1" si="29">SUMIF($CT$7:$CU$297,S44,$CU$7:$CU$297)</f>
        <v>0</v>
      </c>
      <c r="AF44" s="11">
        <f t="shared" ca="1" si="13"/>
        <v>1543966.7400000002</v>
      </c>
      <c r="AI44" s="4">
        <v>77</v>
      </c>
      <c r="AJ44" s="5" t="s">
        <v>118</v>
      </c>
      <c r="AK44" s="5" t="s">
        <v>116</v>
      </c>
      <c r="AL44" s="5" t="s">
        <v>119</v>
      </c>
      <c r="AM44" s="5" t="s">
        <v>0</v>
      </c>
      <c r="AN44" s="5" t="s">
        <v>18</v>
      </c>
      <c r="AO44" s="5" t="s">
        <v>16</v>
      </c>
      <c r="AP44" s="5" t="s">
        <v>17</v>
      </c>
      <c r="AQ44" s="5" t="s">
        <v>3</v>
      </c>
      <c r="AR44" s="5" t="s">
        <v>18</v>
      </c>
      <c r="AS44" s="6"/>
      <c r="AU44" s="5"/>
      <c r="AV44" s="5"/>
      <c r="AW44" s="5"/>
      <c r="AX44" s="5"/>
      <c r="AY44" s="5"/>
      <c r="BA44" s="34"/>
      <c r="BB44" s="35"/>
      <c r="BC44" s="36"/>
      <c r="BE44" s="34"/>
      <c r="BF44" s="35"/>
      <c r="BG44" s="36"/>
      <c r="BI44" s="34" t="s">
        <v>796</v>
      </c>
      <c r="BJ44" s="35" t="s">
        <v>2298</v>
      </c>
      <c r="BK44" s="36">
        <v>999500</v>
      </c>
      <c r="BM44" s="34"/>
      <c r="BN44" s="35"/>
      <c r="BO44" s="36"/>
      <c r="BQ44" s="34"/>
      <c r="BR44" s="35"/>
      <c r="BS44" s="36"/>
      <c r="BU44" s="34"/>
      <c r="BV44" s="35"/>
      <c r="BW44" s="36"/>
      <c r="BY44" s="34"/>
      <c r="BZ44" s="35"/>
      <c r="CA44" s="36"/>
      <c r="CC44" s="34"/>
      <c r="CD44" s="35"/>
      <c r="CE44" s="36"/>
      <c r="CG44" s="34"/>
      <c r="CH44" s="35"/>
      <c r="CI44" s="36"/>
      <c r="CK44" s="34"/>
      <c r="CL44" s="35"/>
      <c r="CM44" s="36"/>
      <c r="CO44" s="34"/>
      <c r="CP44" s="35"/>
      <c r="CQ44" s="36"/>
      <c r="CS44" s="34"/>
      <c r="CT44" s="35"/>
      <c r="CU44" s="36"/>
    </row>
    <row r="45" spans="1:99">
      <c r="A45" s="727" t="s">
        <v>4033</v>
      </c>
      <c r="B45" s="728" t="s">
        <v>3904</v>
      </c>
      <c r="C45" s="729">
        <v>331620.49</v>
      </c>
      <c r="E45" s="903" t="s">
        <v>2346</v>
      </c>
      <c r="F45" s="904" t="s">
        <v>2351</v>
      </c>
      <c r="G45" s="905">
        <f>+'Notas NF'!C610</f>
        <v>207897.87</v>
      </c>
      <c r="H45" s="243"/>
      <c r="I45" s="733">
        <f>+H44-G44</f>
        <v>162849.63</v>
      </c>
      <c r="R45" s="506" t="s">
        <v>718</v>
      </c>
      <c r="S45" s="506" t="s">
        <v>2284</v>
      </c>
      <c r="T45" s="507">
        <f t="shared" ca="1" si="18"/>
        <v>0</v>
      </c>
      <c r="U45" s="507">
        <f t="shared" ca="1" si="19"/>
        <v>0</v>
      </c>
      <c r="V45" s="507">
        <f t="shared" ca="1" si="20"/>
        <v>0</v>
      </c>
      <c r="W45" s="507">
        <f t="shared" ca="1" si="21"/>
        <v>0</v>
      </c>
      <c r="X45" s="507">
        <f t="shared" ca="1" si="22"/>
        <v>0</v>
      </c>
      <c r="Y45" s="507">
        <f t="shared" ca="1" si="23"/>
        <v>0</v>
      </c>
      <c r="Z45" s="507">
        <f t="shared" ca="1" si="24"/>
        <v>0</v>
      </c>
      <c r="AA45" s="507">
        <f t="shared" ca="1" si="25"/>
        <v>0</v>
      </c>
      <c r="AB45" s="507">
        <f t="shared" ca="1" si="26"/>
        <v>0</v>
      </c>
      <c r="AC45" s="507">
        <f t="shared" ca="1" si="27"/>
        <v>0</v>
      </c>
      <c r="AD45" s="507">
        <f t="shared" ca="1" si="28"/>
        <v>0</v>
      </c>
      <c r="AE45" s="507">
        <f t="shared" ca="1" si="29"/>
        <v>0</v>
      </c>
      <c r="AF45" s="11">
        <f t="shared" ca="1" si="13"/>
        <v>0</v>
      </c>
      <c r="AI45" s="4">
        <v>79</v>
      </c>
      <c r="AJ45" s="5" t="s">
        <v>120</v>
      </c>
      <c r="AK45" s="5" t="s">
        <v>116</v>
      </c>
      <c r="AL45" s="5" t="s">
        <v>121</v>
      </c>
      <c r="AM45" s="5" t="s">
        <v>0</v>
      </c>
      <c r="AN45" s="5" t="s">
        <v>18</v>
      </c>
      <c r="AO45" s="5" t="s">
        <v>16</v>
      </c>
      <c r="AP45" s="5" t="s">
        <v>17</v>
      </c>
      <c r="AQ45" s="5" t="s">
        <v>3</v>
      </c>
      <c r="AR45" s="5" t="s">
        <v>18</v>
      </c>
      <c r="AS45" s="6"/>
      <c r="AU45" s="5"/>
      <c r="AV45" s="5"/>
      <c r="AW45" s="5"/>
      <c r="AX45" s="5"/>
      <c r="AY45" s="5"/>
      <c r="BA45" s="34"/>
      <c r="BB45" s="35"/>
      <c r="BC45" s="36"/>
      <c r="BE45" s="34"/>
      <c r="BF45" s="35"/>
      <c r="BG45" s="36"/>
      <c r="BI45" s="34" t="s">
        <v>799</v>
      </c>
      <c r="BJ45" s="35" t="s">
        <v>2299</v>
      </c>
      <c r="BK45" s="36">
        <v>1074000</v>
      </c>
      <c r="BM45" s="34"/>
      <c r="BN45" s="35"/>
      <c r="BO45" s="36"/>
      <c r="BQ45" s="34"/>
      <c r="BR45" s="35"/>
      <c r="BS45" s="36"/>
      <c r="BU45" s="34"/>
      <c r="BV45" s="35"/>
      <c r="BW45" s="36"/>
      <c r="BY45" s="34"/>
      <c r="BZ45" s="35"/>
      <c r="CA45" s="36"/>
      <c r="CC45" s="34"/>
      <c r="CD45" s="35"/>
      <c r="CE45" s="36"/>
      <c r="CG45" s="34"/>
      <c r="CH45" s="35"/>
      <c r="CI45" s="36"/>
      <c r="CK45" s="34"/>
      <c r="CL45" s="35"/>
      <c r="CM45" s="36"/>
      <c r="CO45" s="34"/>
      <c r="CP45" s="35"/>
      <c r="CQ45" s="36"/>
      <c r="CS45" s="34"/>
      <c r="CT45" s="35"/>
      <c r="CU45" s="36"/>
    </row>
    <row r="46" spans="1:99">
      <c r="A46" s="727" t="s">
        <v>584</v>
      </c>
      <c r="B46" s="728" t="s">
        <v>2254</v>
      </c>
      <c r="C46" s="729">
        <v>1642410</v>
      </c>
      <c r="E46" s="910" t="s">
        <v>2348</v>
      </c>
      <c r="F46" s="911" t="s">
        <v>2351</v>
      </c>
      <c r="G46" s="912"/>
      <c r="H46" s="911">
        <f>+G45+G44-H44</f>
        <v>45048.239999999932</v>
      </c>
      <c r="I46" s="903"/>
      <c r="R46" s="506" t="s">
        <v>727</v>
      </c>
      <c r="S46" s="506" t="s">
        <v>2285</v>
      </c>
      <c r="T46" s="507">
        <f t="shared" ca="1" si="18"/>
        <v>0</v>
      </c>
      <c r="U46" s="507">
        <f t="shared" ca="1" si="19"/>
        <v>0</v>
      </c>
      <c r="V46" s="507">
        <f t="shared" ca="1" si="20"/>
        <v>0</v>
      </c>
      <c r="W46" s="507">
        <f t="shared" ca="1" si="21"/>
        <v>0</v>
      </c>
      <c r="X46" s="507">
        <f t="shared" ca="1" si="22"/>
        <v>0</v>
      </c>
      <c r="Y46" s="507">
        <f t="shared" ca="1" si="23"/>
        <v>0</v>
      </c>
      <c r="Z46" s="507">
        <f t="shared" ca="1" si="24"/>
        <v>0</v>
      </c>
      <c r="AA46" s="507">
        <f t="shared" ca="1" si="25"/>
        <v>0</v>
      </c>
      <c r="AB46" s="507">
        <f t="shared" ca="1" si="26"/>
        <v>0</v>
      </c>
      <c r="AC46" s="507">
        <f t="shared" ca="1" si="27"/>
        <v>0</v>
      </c>
      <c r="AD46" s="507">
        <f t="shared" ca="1" si="28"/>
        <v>0</v>
      </c>
      <c r="AE46" s="507">
        <f t="shared" ca="1" si="29"/>
        <v>0</v>
      </c>
      <c r="AF46" s="11">
        <f t="shared" ca="1" si="13"/>
        <v>0</v>
      </c>
      <c r="AI46" s="4">
        <v>81</v>
      </c>
      <c r="AJ46" s="5" t="s">
        <v>122</v>
      </c>
      <c r="AK46" s="5" t="s">
        <v>116</v>
      </c>
      <c r="AL46" s="5" t="s">
        <v>123</v>
      </c>
      <c r="AM46" s="5" t="s">
        <v>0</v>
      </c>
      <c r="AN46" s="5" t="s">
        <v>18</v>
      </c>
      <c r="AO46" s="5" t="s">
        <v>16</v>
      </c>
      <c r="AP46" s="5" t="s">
        <v>17</v>
      </c>
      <c r="AQ46" s="5" t="s">
        <v>3</v>
      </c>
      <c r="AR46" s="5" t="s">
        <v>18</v>
      </c>
      <c r="AS46" s="6"/>
      <c r="AU46" s="5"/>
      <c r="AV46" s="5"/>
      <c r="AW46" s="5"/>
      <c r="AX46" s="5"/>
      <c r="AY46" s="5"/>
      <c r="BA46" s="34"/>
      <c r="BB46" s="35"/>
      <c r="BC46" s="36"/>
      <c r="BE46" s="34"/>
      <c r="BF46" s="35"/>
      <c r="BG46" s="36"/>
      <c r="BI46" s="34" t="s">
        <v>3891</v>
      </c>
      <c r="BJ46" s="35" t="s">
        <v>3861</v>
      </c>
      <c r="BK46" s="36">
        <v>1105000</v>
      </c>
      <c r="BM46" s="34"/>
      <c r="BN46" s="35"/>
      <c r="BO46" s="36"/>
      <c r="BQ46" s="34"/>
      <c r="BR46" s="35"/>
      <c r="BS46" s="36"/>
      <c r="BU46" s="34"/>
      <c r="BV46" s="35"/>
      <c r="BW46" s="36"/>
      <c r="BY46" s="34"/>
      <c r="BZ46" s="35"/>
      <c r="CA46" s="36"/>
      <c r="CC46" s="34"/>
      <c r="CD46" s="35"/>
      <c r="CE46" s="36"/>
      <c r="CG46" s="34"/>
      <c r="CH46" s="35"/>
      <c r="CI46" s="36"/>
      <c r="CK46" s="34"/>
      <c r="CL46" s="35"/>
      <c r="CM46" s="36"/>
      <c r="CO46" s="34"/>
      <c r="CP46" s="35"/>
      <c r="CQ46" s="36"/>
      <c r="CS46" s="34"/>
      <c r="CT46" s="35"/>
      <c r="CU46" s="36"/>
    </row>
    <row r="47" spans="1:99">
      <c r="A47" s="727" t="s">
        <v>3802</v>
      </c>
      <c r="B47" s="728" t="s">
        <v>3803</v>
      </c>
      <c r="C47" s="729">
        <v>357105</v>
      </c>
      <c r="E47" s="903"/>
      <c r="F47" s="904"/>
      <c r="G47" s="904"/>
      <c r="H47" s="904"/>
      <c r="I47" s="903"/>
      <c r="R47" s="506" t="s">
        <v>730</v>
      </c>
      <c r="S47" s="506" t="s">
        <v>2286</v>
      </c>
      <c r="T47" s="507">
        <f t="shared" ca="1" si="18"/>
        <v>0</v>
      </c>
      <c r="U47" s="507">
        <f t="shared" ca="1" si="19"/>
        <v>0</v>
      </c>
      <c r="V47" s="507">
        <f t="shared" ca="1" si="20"/>
        <v>0</v>
      </c>
      <c r="W47" s="507">
        <f t="shared" ca="1" si="21"/>
        <v>0</v>
      </c>
      <c r="X47" s="507">
        <f t="shared" ca="1" si="22"/>
        <v>0</v>
      </c>
      <c r="Y47" s="507">
        <f t="shared" ca="1" si="23"/>
        <v>0</v>
      </c>
      <c r="Z47" s="507">
        <f t="shared" ca="1" si="24"/>
        <v>0</v>
      </c>
      <c r="AA47" s="507">
        <f t="shared" ca="1" si="25"/>
        <v>0</v>
      </c>
      <c r="AB47" s="507">
        <f t="shared" ca="1" si="26"/>
        <v>0</v>
      </c>
      <c r="AC47" s="507">
        <f t="shared" ca="1" si="27"/>
        <v>0</v>
      </c>
      <c r="AD47" s="507">
        <f t="shared" ca="1" si="28"/>
        <v>0</v>
      </c>
      <c r="AE47" s="507">
        <f t="shared" ca="1" si="29"/>
        <v>0</v>
      </c>
      <c r="AF47" s="11">
        <f t="shared" ca="1" si="13"/>
        <v>0</v>
      </c>
      <c r="AI47" s="4">
        <v>83</v>
      </c>
      <c r="AJ47" s="5" t="s">
        <v>124</v>
      </c>
      <c r="AK47" s="5" t="s">
        <v>116</v>
      </c>
      <c r="AL47" s="5" t="s">
        <v>125</v>
      </c>
      <c r="AM47" s="5" t="s">
        <v>0</v>
      </c>
      <c r="AN47" s="5" t="s">
        <v>18</v>
      </c>
      <c r="AO47" s="5" t="s">
        <v>16</v>
      </c>
      <c r="AP47" s="5" t="s">
        <v>17</v>
      </c>
      <c r="AQ47" s="5" t="s">
        <v>3</v>
      </c>
      <c r="AR47" s="5" t="s">
        <v>18</v>
      </c>
      <c r="AS47" s="6"/>
      <c r="AU47" s="5"/>
      <c r="AV47" s="5"/>
      <c r="AW47" s="5"/>
      <c r="AX47" s="5"/>
      <c r="AY47" s="5"/>
      <c r="BA47" s="34"/>
      <c r="BB47" s="35"/>
      <c r="BC47" s="36"/>
      <c r="BE47" s="34"/>
      <c r="BF47" s="35"/>
      <c r="BG47" s="36"/>
      <c r="BI47" s="34" t="s">
        <v>821</v>
      </c>
      <c r="BJ47" s="35" t="s">
        <v>4278</v>
      </c>
      <c r="BK47" s="36">
        <v>3300</v>
      </c>
      <c r="BM47" s="34"/>
      <c r="BN47" s="35"/>
      <c r="BO47" s="36"/>
      <c r="BQ47" s="34"/>
      <c r="BR47" s="35"/>
      <c r="BS47" s="36"/>
      <c r="BU47" s="34"/>
      <c r="BV47" s="35"/>
      <c r="BW47" s="36"/>
      <c r="BY47" s="34"/>
      <c r="BZ47" s="35"/>
      <c r="CA47" s="36"/>
      <c r="CC47" s="34"/>
      <c r="CD47" s="35"/>
      <c r="CE47" s="36"/>
      <c r="CG47" s="34"/>
      <c r="CH47" s="35"/>
      <c r="CI47" s="36"/>
      <c r="CK47" s="34"/>
      <c r="CL47" s="35"/>
      <c r="CM47" s="36"/>
      <c r="CO47" s="34"/>
      <c r="CP47" s="35"/>
      <c r="CQ47" s="36"/>
      <c r="CS47" s="34"/>
      <c r="CT47" s="35"/>
      <c r="CU47" s="36"/>
    </row>
    <row r="48" spans="1:99">
      <c r="A48" s="727" t="s">
        <v>604</v>
      </c>
      <c r="B48" s="728" t="s">
        <v>2256</v>
      </c>
      <c r="C48" s="729">
        <v>430000</v>
      </c>
      <c r="E48" s="906"/>
      <c r="F48" s="907" t="s">
        <v>2350</v>
      </c>
      <c r="G48" s="908">
        <f>+'ES F '!B15</f>
        <v>14233314.59</v>
      </c>
      <c r="H48" s="908">
        <f>+'ES F '!C15</f>
        <v>15776376.33</v>
      </c>
      <c r="I48" s="903"/>
      <c r="R48" s="506" t="s">
        <v>742</v>
      </c>
      <c r="S48" s="506" t="s">
        <v>2287</v>
      </c>
      <c r="T48" s="507">
        <f t="shared" ca="1" si="18"/>
        <v>0</v>
      </c>
      <c r="U48" s="507">
        <f t="shared" ca="1" si="19"/>
        <v>4630</v>
      </c>
      <c r="V48" s="507">
        <f t="shared" ca="1" si="20"/>
        <v>202575</v>
      </c>
      <c r="W48" s="507">
        <f t="shared" ca="1" si="21"/>
        <v>0</v>
      </c>
      <c r="X48" s="507">
        <f t="shared" ca="1" si="22"/>
        <v>0</v>
      </c>
      <c r="Y48" s="507">
        <f t="shared" ca="1" si="23"/>
        <v>0</v>
      </c>
      <c r="Z48" s="507">
        <f t="shared" ca="1" si="24"/>
        <v>0</v>
      </c>
      <c r="AA48" s="507">
        <f t="shared" ca="1" si="25"/>
        <v>0</v>
      </c>
      <c r="AB48" s="507">
        <f t="shared" ca="1" si="26"/>
        <v>0</v>
      </c>
      <c r="AC48" s="507">
        <f t="shared" ca="1" si="27"/>
        <v>0</v>
      </c>
      <c r="AD48" s="507">
        <f t="shared" ca="1" si="28"/>
        <v>0</v>
      </c>
      <c r="AE48" s="507">
        <f t="shared" ca="1" si="29"/>
        <v>0</v>
      </c>
      <c r="AF48" s="11">
        <f t="shared" ca="1" si="13"/>
        <v>207205</v>
      </c>
      <c r="AI48" s="4">
        <v>85</v>
      </c>
      <c r="AJ48" s="5" t="s">
        <v>132</v>
      </c>
      <c r="AK48" s="5" t="s">
        <v>130</v>
      </c>
      <c r="AL48" s="5" t="s">
        <v>133</v>
      </c>
      <c r="AM48" s="5" t="s">
        <v>134</v>
      </c>
      <c r="AN48" s="5" t="s">
        <v>18</v>
      </c>
      <c r="AO48" s="5" t="s">
        <v>16</v>
      </c>
      <c r="AP48" s="5" t="s">
        <v>17</v>
      </c>
      <c r="AQ48" s="5" t="s">
        <v>3</v>
      </c>
      <c r="AR48" s="5" t="s">
        <v>18</v>
      </c>
      <c r="AS48" s="6"/>
      <c r="AU48" s="5"/>
      <c r="AV48" s="5"/>
      <c r="AW48" s="5"/>
      <c r="AX48" s="5"/>
      <c r="AY48" s="5"/>
      <c r="BA48" s="34"/>
      <c r="BB48" s="35"/>
      <c r="BC48" s="36"/>
      <c r="BE48" s="34"/>
      <c r="BF48" s="35"/>
      <c r="BG48" s="36"/>
      <c r="BI48" s="34" t="s">
        <v>827</v>
      </c>
      <c r="BJ48" s="35" t="s">
        <v>2306</v>
      </c>
      <c r="BK48" s="36">
        <v>73066.22</v>
      </c>
      <c r="BM48" s="34"/>
      <c r="BN48" s="35"/>
      <c r="BO48" s="36"/>
      <c r="BQ48" s="34"/>
      <c r="BR48" s="35"/>
      <c r="BS48" s="36"/>
      <c r="BU48" s="34"/>
      <c r="BV48" s="35"/>
      <c r="BW48" s="36"/>
      <c r="BY48" s="34"/>
      <c r="BZ48" s="35"/>
      <c r="CA48" s="36"/>
      <c r="CC48" s="34"/>
      <c r="CD48" s="35"/>
      <c r="CE48" s="36"/>
      <c r="CG48" s="34"/>
      <c r="CH48" s="35"/>
      <c r="CI48" s="36"/>
      <c r="CK48" s="34"/>
      <c r="CL48" s="35"/>
      <c r="CM48" s="36"/>
      <c r="CO48" s="34"/>
      <c r="CP48" s="35"/>
      <c r="CQ48" s="36"/>
      <c r="CS48" s="34"/>
      <c r="CT48" s="35"/>
      <c r="CU48" s="36"/>
    </row>
    <row r="49" spans="1:99">
      <c r="A49" s="727" t="s">
        <v>631</v>
      </c>
      <c r="B49" s="728" t="s">
        <v>2261</v>
      </c>
      <c r="C49" s="729">
        <v>2650100.36</v>
      </c>
      <c r="E49" s="907" t="s">
        <v>2347</v>
      </c>
      <c r="F49" s="907" t="s">
        <v>2350</v>
      </c>
      <c r="G49" s="905">
        <f>+G48-H48</f>
        <v>-1543061.7400000002</v>
      </c>
      <c r="H49" s="908"/>
      <c r="I49" s="243"/>
      <c r="R49" s="506" t="s">
        <v>759</v>
      </c>
      <c r="S49" s="506" t="s">
        <v>2288</v>
      </c>
      <c r="T49" s="507">
        <f t="shared" ca="1" si="18"/>
        <v>0</v>
      </c>
      <c r="U49" s="507">
        <f t="shared" ca="1" si="19"/>
        <v>0</v>
      </c>
      <c r="V49" s="507">
        <f t="shared" ca="1" si="20"/>
        <v>0</v>
      </c>
      <c r="W49" s="507">
        <f t="shared" ca="1" si="21"/>
        <v>0</v>
      </c>
      <c r="X49" s="507">
        <f t="shared" ca="1" si="22"/>
        <v>0</v>
      </c>
      <c r="Y49" s="507">
        <f t="shared" ca="1" si="23"/>
        <v>0</v>
      </c>
      <c r="Z49" s="507">
        <f t="shared" ca="1" si="24"/>
        <v>0</v>
      </c>
      <c r="AA49" s="507">
        <f t="shared" ca="1" si="25"/>
        <v>0</v>
      </c>
      <c r="AB49" s="507">
        <f t="shared" ca="1" si="26"/>
        <v>0</v>
      </c>
      <c r="AC49" s="507">
        <f t="shared" ca="1" si="27"/>
        <v>0</v>
      </c>
      <c r="AD49" s="507">
        <f t="shared" ca="1" si="28"/>
        <v>0</v>
      </c>
      <c r="AE49" s="507">
        <f t="shared" ca="1" si="29"/>
        <v>0</v>
      </c>
      <c r="AF49" s="11">
        <f t="shared" ca="1" si="13"/>
        <v>0</v>
      </c>
      <c r="AI49" s="4">
        <v>87</v>
      </c>
      <c r="AJ49" s="5" t="s">
        <v>135</v>
      </c>
      <c r="AK49" s="5" t="s">
        <v>130</v>
      </c>
      <c r="AL49" s="5" t="s">
        <v>136</v>
      </c>
      <c r="AM49" s="5" t="s">
        <v>137</v>
      </c>
      <c r="AN49" s="5" t="s">
        <v>18</v>
      </c>
      <c r="AO49" s="5" t="s">
        <v>16</v>
      </c>
      <c r="AP49" s="5" t="s">
        <v>17</v>
      </c>
      <c r="AQ49" s="5" t="s">
        <v>3</v>
      </c>
      <c r="AR49" s="5" t="s">
        <v>18</v>
      </c>
      <c r="AS49" s="6"/>
      <c r="AU49" s="5"/>
      <c r="AV49" s="5"/>
      <c r="AW49" s="5"/>
      <c r="AX49" s="5"/>
      <c r="AY49" s="5"/>
      <c r="BA49" s="34"/>
      <c r="BB49" s="35"/>
      <c r="BC49" s="36"/>
      <c r="BE49" s="34"/>
      <c r="BF49" s="35"/>
      <c r="BG49" s="36"/>
      <c r="BI49" s="34" t="s">
        <v>833</v>
      </c>
      <c r="BJ49" s="35" t="s">
        <v>2307</v>
      </c>
      <c r="BK49" s="36">
        <v>-2251432.9900000002</v>
      </c>
      <c r="BM49" s="34"/>
      <c r="BN49" s="35"/>
      <c r="BO49" s="36"/>
      <c r="BQ49" s="34"/>
      <c r="BR49" s="35"/>
      <c r="BS49" s="36"/>
      <c r="BU49" s="34"/>
      <c r="BV49" s="35"/>
      <c r="BW49" s="36"/>
      <c r="BY49" s="34"/>
      <c r="BZ49" s="35"/>
      <c r="CA49" s="36"/>
      <c r="CC49" s="34"/>
      <c r="CD49" s="35"/>
      <c r="CE49" s="36"/>
      <c r="CG49" s="34"/>
      <c r="CH49" s="35"/>
      <c r="CI49" s="36"/>
      <c r="CK49" s="34"/>
      <c r="CL49" s="35"/>
      <c r="CM49" s="36"/>
      <c r="CO49" s="34"/>
      <c r="CP49" s="35"/>
      <c r="CQ49" s="36"/>
      <c r="CS49" s="34"/>
      <c r="CT49" s="35"/>
      <c r="CU49" s="36"/>
    </row>
    <row r="50" spans="1:99">
      <c r="A50" s="727" t="s">
        <v>634</v>
      </c>
      <c r="B50" s="728" t="s">
        <v>2262</v>
      </c>
      <c r="C50" s="729">
        <v>2700676.93</v>
      </c>
      <c r="E50" s="910" t="str">
        <f>+E46</f>
        <v>P/ejecucion</v>
      </c>
      <c r="F50" s="910"/>
      <c r="G50" s="911"/>
      <c r="H50" s="911">
        <f>+H86</f>
        <v>-436630.20999999996</v>
      </c>
      <c r="I50" s="243"/>
      <c r="R50" s="506" t="s">
        <v>765</v>
      </c>
      <c r="S50" s="506" t="s">
        <v>2369</v>
      </c>
      <c r="T50" s="507">
        <f t="shared" ca="1" si="18"/>
        <v>0</v>
      </c>
      <c r="U50" s="507">
        <f t="shared" ca="1" si="19"/>
        <v>0</v>
      </c>
      <c r="V50" s="507">
        <f t="shared" ca="1" si="20"/>
        <v>0</v>
      </c>
      <c r="W50" s="507">
        <f t="shared" ca="1" si="21"/>
        <v>0</v>
      </c>
      <c r="X50" s="507">
        <f t="shared" ca="1" si="22"/>
        <v>0</v>
      </c>
      <c r="Y50" s="507">
        <f t="shared" ca="1" si="23"/>
        <v>0</v>
      </c>
      <c r="Z50" s="507">
        <f t="shared" ca="1" si="24"/>
        <v>0</v>
      </c>
      <c r="AA50" s="507">
        <f t="shared" ca="1" si="25"/>
        <v>0</v>
      </c>
      <c r="AB50" s="507">
        <f t="shared" ca="1" si="26"/>
        <v>0</v>
      </c>
      <c r="AC50" s="507">
        <f t="shared" ca="1" si="27"/>
        <v>0</v>
      </c>
      <c r="AD50" s="507">
        <f t="shared" ca="1" si="28"/>
        <v>0</v>
      </c>
      <c r="AE50" s="507">
        <f t="shared" ca="1" si="29"/>
        <v>0</v>
      </c>
      <c r="AF50" s="11">
        <f t="shared" ca="1" si="13"/>
        <v>0</v>
      </c>
      <c r="AI50" s="4">
        <v>89</v>
      </c>
      <c r="AJ50" s="5" t="s">
        <v>140</v>
      </c>
      <c r="AK50" s="5" t="s">
        <v>130</v>
      </c>
      <c r="AL50" s="5" t="s">
        <v>141</v>
      </c>
      <c r="AM50" s="5" t="s">
        <v>142</v>
      </c>
      <c r="AN50" s="5" t="s">
        <v>18</v>
      </c>
      <c r="AO50" s="5" t="s">
        <v>16</v>
      </c>
      <c r="AP50" s="5" t="s">
        <v>17</v>
      </c>
      <c r="AQ50" s="5" t="s">
        <v>3</v>
      </c>
      <c r="AR50" s="5" t="s">
        <v>18</v>
      </c>
      <c r="AS50" s="6"/>
      <c r="AU50" s="5"/>
      <c r="AV50" s="5"/>
      <c r="AW50" s="5"/>
      <c r="AX50" s="5" t="s">
        <v>0</v>
      </c>
      <c r="AY50" s="5"/>
      <c r="BA50" s="34"/>
      <c r="BB50" s="35"/>
      <c r="BC50" s="36"/>
      <c r="BE50" s="34"/>
      <c r="BF50" s="35"/>
      <c r="BG50" s="36"/>
      <c r="BI50" s="34" t="s">
        <v>833</v>
      </c>
      <c r="BJ50" s="35" t="s">
        <v>2307</v>
      </c>
      <c r="BK50" s="36">
        <v>750</v>
      </c>
      <c r="BM50" s="34"/>
      <c r="BN50" s="35"/>
      <c r="BO50" s="36"/>
      <c r="BQ50" s="34"/>
      <c r="BR50" s="35"/>
      <c r="BS50" s="36"/>
      <c r="BU50" s="34"/>
      <c r="BV50" s="35"/>
      <c r="BW50" s="36"/>
      <c r="BY50" s="34"/>
      <c r="BZ50" s="35"/>
      <c r="CA50" s="36"/>
      <c r="CC50" s="34"/>
      <c r="CD50" s="35"/>
      <c r="CE50" s="36"/>
      <c r="CG50" s="34"/>
      <c r="CH50" s="35"/>
      <c r="CI50" s="36"/>
      <c r="CK50" s="34"/>
      <c r="CL50" s="35"/>
      <c r="CM50" s="36"/>
      <c r="CO50" s="34"/>
      <c r="CP50" s="35"/>
      <c r="CQ50" s="36"/>
      <c r="CS50" s="34"/>
      <c r="CT50" s="35"/>
      <c r="CU50" s="36"/>
    </row>
    <row r="51" spans="1:99">
      <c r="A51" s="727" t="s">
        <v>637</v>
      </c>
      <c r="B51" s="728" t="s">
        <v>2263</v>
      </c>
      <c r="C51" s="729">
        <v>437355</v>
      </c>
      <c r="D51" s="19"/>
      <c r="E51" s="243"/>
      <c r="F51" s="903" t="s">
        <v>2349</v>
      </c>
      <c r="G51" s="909">
        <f>+'ES F '!B27</f>
        <v>783998270.25000024</v>
      </c>
      <c r="H51" s="909">
        <f>+'ES F '!C27</f>
        <v>778509099.07000005</v>
      </c>
      <c r="I51" s="243"/>
      <c r="R51" s="506" t="s">
        <v>748</v>
      </c>
      <c r="S51" s="506" t="s">
        <v>2289</v>
      </c>
      <c r="T51" s="507">
        <f t="shared" ca="1" si="18"/>
        <v>0</v>
      </c>
      <c r="U51" s="507">
        <f t="shared" ca="1" si="19"/>
        <v>2855.45</v>
      </c>
      <c r="V51" s="507">
        <f t="shared" ca="1" si="20"/>
        <v>1717.8</v>
      </c>
      <c r="W51" s="507">
        <f t="shared" ca="1" si="21"/>
        <v>0</v>
      </c>
      <c r="X51" s="507">
        <f t="shared" ca="1" si="22"/>
        <v>0</v>
      </c>
      <c r="Y51" s="507">
        <f t="shared" ca="1" si="23"/>
        <v>0</v>
      </c>
      <c r="Z51" s="507">
        <f t="shared" ca="1" si="24"/>
        <v>0</v>
      </c>
      <c r="AA51" s="507">
        <f t="shared" ca="1" si="25"/>
        <v>0</v>
      </c>
      <c r="AB51" s="507">
        <f t="shared" ca="1" si="26"/>
        <v>0</v>
      </c>
      <c r="AC51" s="507">
        <f t="shared" ca="1" si="27"/>
        <v>0</v>
      </c>
      <c r="AD51" s="507">
        <f t="shared" ca="1" si="28"/>
        <v>0</v>
      </c>
      <c r="AE51" s="507">
        <f t="shared" ca="1" si="29"/>
        <v>0</v>
      </c>
      <c r="AF51" s="11">
        <f t="shared" ca="1" si="13"/>
        <v>4573.25</v>
      </c>
      <c r="AI51" s="4">
        <v>91</v>
      </c>
      <c r="AJ51" s="5" t="s">
        <v>143</v>
      </c>
      <c r="AK51" s="5" t="s">
        <v>130</v>
      </c>
      <c r="AL51" s="5" t="s">
        <v>144</v>
      </c>
      <c r="AM51" s="5" t="s">
        <v>145</v>
      </c>
      <c r="AN51" s="5" t="s">
        <v>18</v>
      </c>
      <c r="AO51" s="5" t="s">
        <v>16</v>
      </c>
      <c r="AP51" s="5" t="s">
        <v>17</v>
      </c>
      <c r="AQ51" s="5" t="s">
        <v>3</v>
      </c>
      <c r="AR51" s="5" t="s">
        <v>18</v>
      </c>
      <c r="AS51" s="6"/>
      <c r="AU51" s="5"/>
      <c r="AV51" s="5"/>
      <c r="AW51" s="5"/>
      <c r="AX51" s="5"/>
      <c r="AY51" s="5"/>
      <c r="BA51" s="34"/>
      <c r="BB51" s="35"/>
      <c r="BC51" s="36"/>
      <c r="BE51" s="34"/>
      <c r="BF51" s="35"/>
      <c r="BG51" s="36"/>
      <c r="BI51" s="34" t="s">
        <v>209</v>
      </c>
      <c r="BJ51" s="35" t="s">
        <v>4194</v>
      </c>
      <c r="BK51" s="36">
        <v>-17380</v>
      </c>
      <c r="BM51" s="34"/>
      <c r="BN51" s="35"/>
      <c r="BO51" s="36"/>
      <c r="BQ51" s="34"/>
      <c r="BR51" s="35"/>
      <c r="BS51" s="36"/>
      <c r="BU51" s="34"/>
      <c r="BV51" s="35"/>
      <c r="BW51" s="36"/>
      <c r="BY51" s="34"/>
      <c r="BZ51" s="35"/>
      <c r="CA51" s="36"/>
      <c r="CC51" s="34"/>
      <c r="CD51" s="35"/>
      <c r="CE51" s="36"/>
      <c r="CG51" s="34"/>
      <c r="CH51" s="35"/>
      <c r="CI51" s="36"/>
      <c r="CK51" s="34"/>
      <c r="CL51" s="35"/>
      <c r="CM51" s="36"/>
      <c r="CO51" s="34"/>
      <c r="CP51" s="35"/>
      <c r="CQ51" s="36"/>
      <c r="CS51" s="34"/>
      <c r="CT51" s="35"/>
      <c r="CU51" s="36"/>
    </row>
    <row r="52" spans="1:99">
      <c r="A52" s="727" t="s">
        <v>2264</v>
      </c>
      <c r="B52" s="728" t="s">
        <v>2265</v>
      </c>
      <c r="C52" s="729">
        <v>460724.08</v>
      </c>
      <c r="D52" s="729">
        <f>48578.32-18822.07</f>
        <v>29756.25</v>
      </c>
      <c r="E52" s="243"/>
      <c r="F52" s="904"/>
      <c r="G52" s="905">
        <f>+H51-G51</f>
        <v>-5489171.180000186</v>
      </c>
      <c r="H52" s="904"/>
      <c r="I52" s="243"/>
      <c r="R52" s="506" t="s">
        <v>642</v>
      </c>
      <c r="S52" s="506" t="s">
        <v>2290</v>
      </c>
      <c r="T52" s="507">
        <f t="shared" ca="1" si="18"/>
        <v>0</v>
      </c>
      <c r="U52" s="507">
        <f t="shared" ca="1" si="19"/>
        <v>0</v>
      </c>
      <c r="V52" s="507">
        <f t="shared" ca="1" si="20"/>
        <v>0</v>
      </c>
      <c r="W52" s="507">
        <f t="shared" ca="1" si="21"/>
        <v>0</v>
      </c>
      <c r="X52" s="507">
        <f t="shared" ca="1" si="22"/>
        <v>0</v>
      </c>
      <c r="Y52" s="507">
        <f t="shared" ca="1" si="23"/>
        <v>0</v>
      </c>
      <c r="Z52" s="507">
        <f t="shared" ca="1" si="24"/>
        <v>0</v>
      </c>
      <c r="AA52" s="507">
        <f t="shared" ca="1" si="25"/>
        <v>0</v>
      </c>
      <c r="AB52" s="507">
        <f t="shared" ca="1" si="26"/>
        <v>0</v>
      </c>
      <c r="AC52" s="507">
        <f t="shared" ca="1" si="27"/>
        <v>0</v>
      </c>
      <c r="AD52" s="507">
        <f t="shared" ca="1" si="28"/>
        <v>0</v>
      </c>
      <c r="AE52" s="507">
        <f t="shared" ca="1" si="29"/>
        <v>0</v>
      </c>
      <c r="AF52" s="11">
        <f t="shared" ca="1" si="13"/>
        <v>0</v>
      </c>
      <c r="AI52" s="4">
        <v>93</v>
      </c>
      <c r="AJ52" s="5" t="s">
        <v>146</v>
      </c>
      <c r="AK52" s="5" t="s">
        <v>130</v>
      </c>
      <c r="AL52" s="5" t="s">
        <v>147</v>
      </c>
      <c r="AM52" s="5" t="s">
        <v>148</v>
      </c>
      <c r="AN52" s="5" t="s">
        <v>18</v>
      </c>
      <c r="AO52" s="5" t="s">
        <v>16</v>
      </c>
      <c r="AP52" s="5" t="s">
        <v>17</v>
      </c>
      <c r="AQ52" s="5" t="s">
        <v>3</v>
      </c>
      <c r="AR52" s="5" t="s">
        <v>18</v>
      </c>
      <c r="AS52" s="6"/>
      <c r="AU52" s="5"/>
      <c r="AV52" s="5"/>
      <c r="AW52" s="5"/>
      <c r="AX52" s="5"/>
      <c r="AY52" s="5"/>
      <c r="BA52" s="34"/>
      <c r="BB52" s="35"/>
      <c r="BC52" s="36"/>
      <c r="BE52" s="34"/>
      <c r="BF52" s="35"/>
      <c r="BG52" s="36"/>
      <c r="BI52" s="34" t="s">
        <v>176</v>
      </c>
      <c r="BJ52" s="35" t="s">
        <v>2861</v>
      </c>
      <c r="BK52" s="36">
        <v>5541311.1799999997</v>
      </c>
      <c r="BM52" s="34"/>
      <c r="BN52" s="35"/>
      <c r="BO52" s="36"/>
      <c r="BQ52" s="34"/>
      <c r="BR52" s="35"/>
      <c r="BS52" s="36"/>
      <c r="BU52" s="34"/>
      <c r="BV52" s="35"/>
      <c r="BW52" s="36"/>
      <c r="BY52" s="34"/>
      <c r="BZ52" s="35"/>
      <c r="CA52" s="36"/>
      <c r="CC52" s="34"/>
      <c r="CD52" s="35"/>
      <c r="CE52" s="36"/>
      <c r="CG52" s="34"/>
      <c r="CH52" s="35"/>
      <c r="CI52" s="36"/>
      <c r="CK52" s="34"/>
      <c r="CL52" s="35"/>
      <c r="CM52" s="36"/>
      <c r="CO52" s="34"/>
      <c r="CP52" s="35"/>
      <c r="CQ52" s="36"/>
      <c r="CS52" s="34"/>
      <c r="CT52" s="35"/>
      <c r="CU52" s="36"/>
    </row>
    <row r="53" spans="1:99" ht="15.75" thickBot="1">
      <c r="A53" s="727" t="s">
        <v>658</v>
      </c>
      <c r="B53" s="728" t="s">
        <v>2266</v>
      </c>
      <c r="C53" s="729">
        <v>230191</v>
      </c>
      <c r="R53" s="506" t="s">
        <v>645</v>
      </c>
      <c r="S53" s="506" t="s">
        <v>2291</v>
      </c>
      <c r="T53" s="507">
        <f t="shared" ca="1" si="18"/>
        <v>0</v>
      </c>
      <c r="U53" s="507">
        <f t="shared" ca="1" si="19"/>
        <v>0</v>
      </c>
      <c r="V53" s="507">
        <f t="shared" ca="1" si="20"/>
        <v>0</v>
      </c>
      <c r="W53" s="507">
        <f t="shared" ca="1" si="21"/>
        <v>0</v>
      </c>
      <c r="X53" s="507">
        <f t="shared" ca="1" si="22"/>
        <v>0</v>
      </c>
      <c r="Y53" s="507">
        <f t="shared" ca="1" si="23"/>
        <v>0</v>
      </c>
      <c r="Z53" s="507">
        <f t="shared" ca="1" si="24"/>
        <v>0</v>
      </c>
      <c r="AA53" s="507">
        <f t="shared" ca="1" si="25"/>
        <v>0</v>
      </c>
      <c r="AB53" s="507">
        <f t="shared" ca="1" si="26"/>
        <v>0</v>
      </c>
      <c r="AC53" s="507">
        <f t="shared" ca="1" si="27"/>
        <v>0</v>
      </c>
      <c r="AD53" s="507">
        <f t="shared" ca="1" si="28"/>
        <v>0</v>
      </c>
      <c r="AE53" s="507">
        <f t="shared" ca="1" si="29"/>
        <v>0</v>
      </c>
      <c r="AF53" s="11">
        <f t="shared" ca="1" si="13"/>
        <v>0</v>
      </c>
      <c r="AI53" s="4">
        <v>95</v>
      </c>
      <c r="AJ53" s="5" t="s">
        <v>149</v>
      </c>
      <c r="AK53" s="5" t="s">
        <v>130</v>
      </c>
      <c r="AL53" s="5" t="s">
        <v>150</v>
      </c>
      <c r="AM53" s="5" t="s">
        <v>151</v>
      </c>
      <c r="AN53" s="5" t="s">
        <v>18</v>
      </c>
      <c r="AO53" s="5" t="s">
        <v>16</v>
      </c>
      <c r="AP53" s="5" t="s">
        <v>17</v>
      </c>
      <c r="AQ53" s="5" t="s">
        <v>3</v>
      </c>
      <c r="AR53" s="5" t="s">
        <v>18</v>
      </c>
      <c r="AS53" s="6"/>
      <c r="AU53" s="5"/>
      <c r="AV53" s="5"/>
      <c r="AW53" s="5"/>
      <c r="AX53" s="5"/>
      <c r="AY53" s="5"/>
      <c r="BA53" s="34"/>
      <c r="BB53" s="35"/>
      <c r="BC53" s="36"/>
      <c r="BE53" s="34"/>
      <c r="BF53" s="35"/>
      <c r="BG53" s="36"/>
      <c r="BI53" s="34"/>
      <c r="BJ53" s="35"/>
      <c r="BK53" s="36"/>
      <c r="BM53" s="34"/>
      <c r="BN53" s="35"/>
      <c r="BO53" s="36"/>
      <c r="BQ53" s="34"/>
      <c r="BR53" s="35"/>
      <c r="BS53" s="36"/>
      <c r="BU53" s="34"/>
      <c r="BV53" s="35"/>
      <c r="BW53" s="36"/>
      <c r="BY53" s="34"/>
      <c r="BZ53" s="35"/>
      <c r="CA53" s="36"/>
      <c r="CC53" s="34"/>
      <c r="CD53" s="35"/>
      <c r="CE53" s="36"/>
      <c r="CG53" s="34"/>
      <c r="CH53" s="35"/>
      <c r="CI53" s="36"/>
      <c r="CK53" s="34"/>
      <c r="CL53" s="35"/>
      <c r="CM53" s="36"/>
      <c r="CO53" s="34"/>
      <c r="CP53" s="35"/>
      <c r="CQ53" s="36"/>
      <c r="CS53" s="34"/>
      <c r="CT53" s="35"/>
      <c r="CU53" s="36"/>
    </row>
    <row r="54" spans="1:99">
      <c r="A54" s="727" t="s">
        <v>2269</v>
      </c>
      <c r="B54" s="728" t="s">
        <v>2270</v>
      </c>
      <c r="C54" s="729">
        <v>77085.11</v>
      </c>
      <c r="F54" s="926"/>
      <c r="G54" s="927" t="s">
        <v>2372</v>
      </c>
      <c r="H54" s="928" t="s">
        <v>2373</v>
      </c>
      <c r="I54" s="926" t="s">
        <v>2377</v>
      </c>
      <c r="J54" s="927" t="s">
        <v>2376</v>
      </c>
      <c r="K54" s="928" t="s">
        <v>2376</v>
      </c>
      <c r="R54" s="506" t="s">
        <v>756</v>
      </c>
      <c r="S54" s="506" t="s">
        <v>2345</v>
      </c>
      <c r="T54" s="507">
        <f t="shared" ca="1" si="18"/>
        <v>0</v>
      </c>
      <c r="U54" s="507">
        <f t="shared" ca="1" si="19"/>
        <v>0</v>
      </c>
      <c r="V54" s="507">
        <f t="shared" ca="1" si="20"/>
        <v>0</v>
      </c>
      <c r="W54" s="507">
        <f t="shared" ca="1" si="21"/>
        <v>0</v>
      </c>
      <c r="X54" s="507">
        <f t="shared" ca="1" si="22"/>
        <v>0</v>
      </c>
      <c r="Y54" s="507">
        <f t="shared" ca="1" si="23"/>
        <v>0</v>
      </c>
      <c r="Z54" s="507">
        <f t="shared" ca="1" si="24"/>
        <v>0</v>
      </c>
      <c r="AA54" s="507">
        <f t="shared" ca="1" si="25"/>
        <v>0</v>
      </c>
      <c r="AB54" s="507">
        <f t="shared" ca="1" si="26"/>
        <v>0</v>
      </c>
      <c r="AC54" s="507">
        <f t="shared" ca="1" si="27"/>
        <v>0</v>
      </c>
      <c r="AD54" s="507">
        <f t="shared" ca="1" si="28"/>
        <v>0</v>
      </c>
      <c r="AE54" s="507">
        <f t="shared" ca="1" si="29"/>
        <v>0</v>
      </c>
      <c r="AF54" s="11">
        <f t="shared" ca="1" si="13"/>
        <v>0</v>
      </c>
      <c r="AI54" s="4">
        <v>97</v>
      </c>
      <c r="AJ54" s="5" t="s">
        <v>152</v>
      </c>
      <c r="AK54" s="5" t="s">
        <v>130</v>
      </c>
      <c r="AL54" s="5" t="s">
        <v>153</v>
      </c>
      <c r="AM54" s="5" t="s">
        <v>154</v>
      </c>
      <c r="AN54" s="5" t="s">
        <v>18</v>
      </c>
      <c r="AO54" s="5" t="s">
        <v>16</v>
      </c>
      <c r="AP54" s="5" t="s">
        <v>17</v>
      </c>
      <c r="AQ54" s="5" t="s">
        <v>3</v>
      </c>
      <c r="AR54" s="5" t="s">
        <v>18</v>
      </c>
      <c r="AS54" s="6"/>
      <c r="AU54" s="5"/>
      <c r="AV54" s="5"/>
      <c r="AW54" s="5"/>
      <c r="AX54" s="5"/>
      <c r="AY54" s="5"/>
      <c r="BA54" s="34"/>
      <c r="BB54" s="35"/>
      <c r="BC54" s="36"/>
      <c r="BE54" s="34"/>
      <c r="BF54" s="35"/>
      <c r="BG54" s="36"/>
      <c r="BI54" s="34"/>
      <c r="BJ54" s="35"/>
      <c r="BK54" s="36"/>
      <c r="BM54" s="34"/>
      <c r="BN54" s="35"/>
      <c r="BO54" s="36"/>
      <c r="BQ54" s="34"/>
      <c r="BR54" s="35"/>
      <c r="BS54" s="36"/>
      <c r="BU54" s="34"/>
      <c r="BV54" s="35"/>
      <c r="BW54" s="36"/>
      <c r="BY54" s="34"/>
      <c r="BZ54" s="35"/>
      <c r="CA54" s="36"/>
      <c r="CC54" s="34"/>
      <c r="CD54" s="35"/>
      <c r="CE54" s="36"/>
      <c r="CG54" s="34"/>
      <c r="CH54" s="35"/>
      <c r="CI54" s="36"/>
      <c r="CK54" s="34"/>
      <c r="CL54" s="35"/>
      <c r="CM54" s="36"/>
      <c r="CO54" s="34"/>
      <c r="CP54" s="35"/>
      <c r="CQ54" s="36"/>
      <c r="CS54" s="34"/>
      <c r="CT54" s="35"/>
      <c r="CU54" s="36"/>
    </row>
    <row r="55" spans="1:99">
      <c r="A55" s="727" t="s">
        <v>661</v>
      </c>
      <c r="B55" s="728" t="s">
        <v>2887</v>
      </c>
      <c r="C55" s="729">
        <v>14880572.050000001</v>
      </c>
      <c r="F55" s="929" t="s">
        <v>1418</v>
      </c>
      <c r="G55" s="733"/>
      <c r="H55" s="930">
        <v>-7011.89</v>
      </c>
      <c r="I55" s="929">
        <v>45000</v>
      </c>
      <c r="J55" s="733">
        <v>0</v>
      </c>
      <c r="K55" s="930"/>
      <c r="R55" s="506" t="s">
        <v>768</v>
      </c>
      <c r="S55" s="506" t="s">
        <v>2292</v>
      </c>
      <c r="T55" s="507">
        <f t="shared" ca="1" si="18"/>
        <v>0</v>
      </c>
      <c r="U55" s="507">
        <f t="shared" ca="1" si="19"/>
        <v>0</v>
      </c>
      <c r="V55" s="507">
        <f t="shared" ca="1" si="20"/>
        <v>0</v>
      </c>
      <c r="W55" s="507">
        <f t="shared" ca="1" si="21"/>
        <v>0</v>
      </c>
      <c r="X55" s="507">
        <f t="shared" ca="1" si="22"/>
        <v>0</v>
      </c>
      <c r="Y55" s="507">
        <f t="shared" ca="1" si="23"/>
        <v>0</v>
      </c>
      <c r="Z55" s="507">
        <f t="shared" ca="1" si="24"/>
        <v>0</v>
      </c>
      <c r="AA55" s="507">
        <f t="shared" ca="1" si="25"/>
        <v>0</v>
      </c>
      <c r="AB55" s="507">
        <f t="shared" ca="1" si="26"/>
        <v>0</v>
      </c>
      <c r="AC55" s="507">
        <f t="shared" ca="1" si="27"/>
        <v>0</v>
      </c>
      <c r="AD55" s="507">
        <f t="shared" ca="1" si="28"/>
        <v>0</v>
      </c>
      <c r="AE55" s="507">
        <f t="shared" ca="1" si="29"/>
        <v>0</v>
      </c>
      <c r="AF55" s="11">
        <f t="shared" ca="1" si="13"/>
        <v>0</v>
      </c>
      <c r="AI55" s="4">
        <v>99</v>
      </c>
      <c r="AJ55" s="5" t="s">
        <v>155</v>
      </c>
      <c r="AK55" s="5" t="s">
        <v>130</v>
      </c>
      <c r="AL55" s="5" t="s">
        <v>156</v>
      </c>
      <c r="AM55" s="5" t="s">
        <v>157</v>
      </c>
      <c r="AN55" s="5" t="s">
        <v>18</v>
      </c>
      <c r="AO55" s="5" t="s">
        <v>16</v>
      </c>
      <c r="AP55" s="5" t="s">
        <v>17</v>
      </c>
      <c r="AQ55" s="5" t="s">
        <v>3</v>
      </c>
      <c r="AR55" s="5" t="s">
        <v>18</v>
      </c>
      <c r="AS55" s="6"/>
      <c r="AU55" s="5"/>
      <c r="AV55" s="5"/>
      <c r="AW55" s="5"/>
      <c r="AX55" s="5"/>
      <c r="AY55" s="5"/>
      <c r="BA55" s="34"/>
      <c r="BB55" s="35"/>
      <c r="BC55" s="36"/>
      <c r="BE55" s="34"/>
      <c r="BF55" s="35"/>
      <c r="BG55" s="36"/>
      <c r="BI55" s="34"/>
      <c r="BJ55" s="35"/>
      <c r="BK55" s="36"/>
      <c r="BM55" s="34"/>
      <c r="BN55" s="35"/>
      <c r="BO55" s="36"/>
      <c r="BQ55" s="34"/>
      <c r="BR55" s="35"/>
      <c r="BS55" s="36"/>
      <c r="BU55" s="34"/>
      <c r="BV55" s="35"/>
      <c r="BW55" s="36"/>
      <c r="BY55" s="34"/>
      <c r="BZ55" s="35"/>
      <c r="CA55" s="36"/>
      <c r="CC55" s="34"/>
      <c r="CD55" s="35"/>
      <c r="CE55" s="36"/>
      <c r="CG55" s="34"/>
      <c r="CH55" s="35"/>
      <c r="CI55" s="36"/>
      <c r="CK55" s="34"/>
      <c r="CL55" s="35"/>
      <c r="CM55" s="36"/>
      <c r="CO55" s="34"/>
      <c r="CP55" s="35"/>
      <c r="CQ55" s="36"/>
      <c r="CS55" s="34"/>
      <c r="CT55" s="35"/>
      <c r="CU55" s="36"/>
    </row>
    <row r="56" spans="1:99">
      <c r="A56" s="727" t="s">
        <v>2272</v>
      </c>
      <c r="B56" s="728" t="s">
        <v>4277</v>
      </c>
      <c r="C56" s="729">
        <v>354</v>
      </c>
      <c r="F56" s="929" t="s">
        <v>1434</v>
      </c>
      <c r="G56" s="733"/>
      <c r="H56" s="930">
        <v>-7011.89</v>
      </c>
      <c r="I56" s="929"/>
      <c r="J56" s="733">
        <v>0</v>
      </c>
      <c r="K56" s="930"/>
      <c r="R56" s="506" t="s">
        <v>771</v>
      </c>
      <c r="S56" s="506" t="s">
        <v>2293</v>
      </c>
      <c r="T56" s="507">
        <f t="shared" ca="1" si="18"/>
        <v>0</v>
      </c>
      <c r="U56" s="507">
        <f t="shared" ca="1" si="19"/>
        <v>0</v>
      </c>
      <c r="V56" s="507">
        <f t="shared" ca="1" si="20"/>
        <v>0</v>
      </c>
      <c r="W56" s="507">
        <f t="shared" ca="1" si="21"/>
        <v>0</v>
      </c>
      <c r="X56" s="507">
        <f t="shared" ca="1" si="22"/>
        <v>0</v>
      </c>
      <c r="Y56" s="507">
        <f t="shared" ca="1" si="23"/>
        <v>0</v>
      </c>
      <c r="Z56" s="507">
        <f t="shared" ca="1" si="24"/>
        <v>0</v>
      </c>
      <c r="AA56" s="507">
        <f t="shared" ca="1" si="25"/>
        <v>0</v>
      </c>
      <c r="AB56" s="507">
        <f t="shared" ca="1" si="26"/>
        <v>0</v>
      </c>
      <c r="AC56" s="507">
        <f t="shared" ca="1" si="27"/>
        <v>0</v>
      </c>
      <c r="AD56" s="507">
        <f t="shared" ca="1" si="28"/>
        <v>0</v>
      </c>
      <c r="AE56" s="507">
        <f t="shared" ca="1" si="29"/>
        <v>0</v>
      </c>
      <c r="AF56" s="11">
        <f t="shared" ca="1" si="13"/>
        <v>0</v>
      </c>
      <c r="AI56" s="4">
        <v>101</v>
      </c>
      <c r="AJ56" s="5" t="s">
        <v>158</v>
      </c>
      <c r="AK56" s="5" t="s">
        <v>130</v>
      </c>
      <c r="AL56" s="5" t="s">
        <v>159</v>
      </c>
      <c r="AM56" s="5" t="s">
        <v>160</v>
      </c>
      <c r="AN56" s="5" t="s">
        <v>18</v>
      </c>
      <c r="AO56" s="5" t="s">
        <v>16</v>
      </c>
      <c r="AP56" s="5" t="s">
        <v>17</v>
      </c>
      <c r="AQ56" s="5" t="s">
        <v>3</v>
      </c>
      <c r="AR56" s="5" t="s">
        <v>18</v>
      </c>
      <c r="AS56" s="6"/>
      <c r="AU56" s="5"/>
      <c r="AV56" s="5"/>
      <c r="AW56" s="5"/>
      <c r="AX56" s="5"/>
      <c r="AY56" s="5"/>
      <c r="BA56" s="34"/>
      <c r="BB56" s="35"/>
      <c r="BC56" s="36"/>
      <c r="BE56" s="34"/>
      <c r="BF56" s="35"/>
      <c r="BG56" s="36"/>
      <c r="BI56" s="34"/>
      <c r="BJ56" s="35"/>
      <c r="BK56" s="36"/>
      <c r="BM56" s="34"/>
      <c r="BN56" s="35"/>
      <c r="BO56" s="36"/>
      <c r="BQ56" s="34"/>
      <c r="BR56" s="35"/>
      <c r="BS56" s="36"/>
      <c r="BU56" s="34"/>
      <c r="BV56" s="35"/>
      <c r="BW56" s="36"/>
      <c r="BY56" s="34"/>
      <c r="BZ56" s="35"/>
      <c r="CA56" s="36"/>
      <c r="CC56" s="34"/>
      <c r="CD56" s="35"/>
      <c r="CE56" s="36"/>
      <c r="CG56" s="34"/>
      <c r="CH56" s="35"/>
      <c r="CI56" s="36"/>
      <c r="CK56" s="34"/>
      <c r="CL56" s="35"/>
      <c r="CM56" s="36"/>
      <c r="CO56" s="34"/>
      <c r="CP56" s="35"/>
      <c r="CQ56" s="36"/>
      <c r="CS56" s="34"/>
      <c r="CT56" s="35"/>
      <c r="CU56" s="36"/>
    </row>
    <row r="57" spans="1:99">
      <c r="A57" s="727" t="s">
        <v>667</v>
      </c>
      <c r="B57" s="728" t="s">
        <v>2274</v>
      </c>
      <c r="C57" s="729">
        <v>594499.5</v>
      </c>
      <c r="D57" s="11"/>
      <c r="F57" s="929" t="s">
        <v>1435</v>
      </c>
      <c r="G57" s="733">
        <v>900</v>
      </c>
      <c r="H57" s="930">
        <v>-7011.89</v>
      </c>
      <c r="I57" s="929"/>
      <c r="J57" s="733">
        <v>0</v>
      </c>
      <c r="K57" s="930"/>
      <c r="R57" s="506" t="s">
        <v>774</v>
      </c>
      <c r="S57" s="506" t="s">
        <v>2064</v>
      </c>
      <c r="T57" s="507">
        <f t="shared" ca="1" si="18"/>
        <v>36961.910000000003</v>
      </c>
      <c r="U57" s="507">
        <f t="shared" ca="1" si="19"/>
        <v>51963.75</v>
      </c>
      <c r="V57" s="507">
        <f t="shared" ca="1" si="20"/>
        <v>548338.06000000006</v>
      </c>
      <c r="W57" s="507">
        <f t="shared" ca="1" si="21"/>
        <v>0</v>
      </c>
      <c r="X57" s="507">
        <f t="shared" ca="1" si="22"/>
        <v>0</v>
      </c>
      <c r="Y57" s="507">
        <f t="shared" ca="1" si="23"/>
        <v>0</v>
      </c>
      <c r="Z57" s="507">
        <f t="shared" ca="1" si="24"/>
        <v>0</v>
      </c>
      <c r="AA57" s="507">
        <f t="shared" ca="1" si="25"/>
        <v>0</v>
      </c>
      <c r="AB57" s="507">
        <f t="shared" ca="1" si="26"/>
        <v>0</v>
      </c>
      <c r="AC57" s="507">
        <f t="shared" ca="1" si="27"/>
        <v>0</v>
      </c>
      <c r="AD57" s="507">
        <f t="shared" ca="1" si="28"/>
        <v>0</v>
      </c>
      <c r="AE57" s="507">
        <f t="shared" ca="1" si="29"/>
        <v>0</v>
      </c>
      <c r="AF57" s="11">
        <f t="shared" ca="1" si="13"/>
        <v>637263.72000000009</v>
      </c>
      <c r="AI57" s="4">
        <v>103</v>
      </c>
      <c r="AJ57" s="5" t="s">
        <v>163</v>
      </c>
      <c r="AK57" s="5" t="s">
        <v>161</v>
      </c>
      <c r="AL57" s="5" t="s">
        <v>164</v>
      </c>
      <c r="AM57" s="5" t="s">
        <v>165</v>
      </c>
      <c r="AN57" s="5" t="s">
        <v>18</v>
      </c>
      <c r="AO57" s="5" t="s">
        <v>16</v>
      </c>
      <c r="AP57" s="5" t="s">
        <v>17</v>
      </c>
      <c r="AQ57" s="5" t="s">
        <v>3</v>
      </c>
      <c r="AR57" s="5" t="s">
        <v>18</v>
      </c>
      <c r="AS57" s="6"/>
      <c r="AU57" s="5"/>
      <c r="AV57" s="5"/>
      <c r="AW57" s="5"/>
      <c r="AX57" s="5"/>
      <c r="AY57" s="5"/>
      <c r="BA57" s="34"/>
      <c r="BB57" s="35"/>
      <c r="BC57" s="36"/>
      <c r="BE57" s="34"/>
      <c r="BF57" s="35"/>
      <c r="BG57" s="36"/>
      <c r="BI57" s="34"/>
      <c r="BJ57" s="35"/>
      <c r="BK57" s="36"/>
      <c r="BM57" s="34"/>
      <c r="BN57" s="35"/>
      <c r="BO57" s="36"/>
      <c r="BQ57" s="34"/>
      <c r="BR57" s="35"/>
      <c r="BS57" s="36"/>
      <c r="BU57" s="34"/>
      <c r="BV57" s="35"/>
      <c r="BW57" s="36"/>
      <c r="BY57" s="34"/>
      <c r="BZ57" s="35"/>
      <c r="CA57" s="36"/>
      <c r="CC57" s="34"/>
      <c r="CD57" s="35"/>
      <c r="CE57" s="36"/>
      <c r="CG57" s="34"/>
      <c r="CH57" s="35"/>
      <c r="CI57" s="36"/>
      <c r="CK57" s="34"/>
      <c r="CL57" s="35"/>
      <c r="CM57" s="36"/>
      <c r="CO57" s="34"/>
      <c r="CP57" s="35"/>
      <c r="CQ57" s="36"/>
      <c r="CS57" s="34"/>
      <c r="CT57" s="35"/>
      <c r="CU57" s="36"/>
    </row>
    <row r="58" spans="1:99">
      <c r="A58" s="727" t="s">
        <v>2275</v>
      </c>
      <c r="B58" s="728" t="s">
        <v>2276</v>
      </c>
      <c r="C58" s="729">
        <v>2200</v>
      </c>
      <c r="D58" s="11"/>
      <c r="F58" s="929" t="s">
        <v>1436</v>
      </c>
      <c r="G58" s="733"/>
      <c r="H58" s="930">
        <f>-7011.89+75</f>
        <v>-6936.89</v>
      </c>
      <c r="I58" s="929"/>
      <c r="J58" s="733">
        <v>0</v>
      </c>
      <c r="K58" s="930"/>
      <c r="R58" s="506" t="s">
        <v>2294</v>
      </c>
      <c r="S58" s="506" t="s">
        <v>2227</v>
      </c>
      <c r="T58" s="507">
        <f t="shared" ca="1" si="18"/>
        <v>12130</v>
      </c>
      <c r="U58" s="507">
        <f t="shared" ca="1" si="19"/>
        <v>0</v>
      </c>
      <c r="V58" s="507">
        <f t="shared" ca="1" si="20"/>
        <v>22880</v>
      </c>
      <c r="W58" s="507">
        <f t="shared" ca="1" si="21"/>
        <v>0</v>
      </c>
      <c r="X58" s="507">
        <f t="shared" ca="1" si="22"/>
        <v>0</v>
      </c>
      <c r="Y58" s="507">
        <f t="shared" ca="1" si="23"/>
        <v>0</v>
      </c>
      <c r="Z58" s="507">
        <f t="shared" ca="1" si="24"/>
        <v>0</v>
      </c>
      <c r="AA58" s="507">
        <f t="shared" ca="1" si="25"/>
        <v>0</v>
      </c>
      <c r="AB58" s="507">
        <f t="shared" ca="1" si="26"/>
        <v>0</v>
      </c>
      <c r="AC58" s="507">
        <f t="shared" ca="1" si="27"/>
        <v>0</v>
      </c>
      <c r="AD58" s="507">
        <f t="shared" ca="1" si="28"/>
        <v>0</v>
      </c>
      <c r="AE58" s="507">
        <f t="shared" ca="1" si="29"/>
        <v>0</v>
      </c>
      <c r="AF58" s="11">
        <f t="shared" ca="1" si="13"/>
        <v>35010</v>
      </c>
      <c r="AI58" s="4">
        <v>105</v>
      </c>
      <c r="AJ58" s="5" t="s">
        <v>166</v>
      </c>
      <c r="AK58" s="5" t="s">
        <v>161</v>
      </c>
      <c r="AL58" s="5" t="s">
        <v>167</v>
      </c>
      <c r="AM58" s="5" t="s">
        <v>168</v>
      </c>
      <c r="AN58" s="5" t="s">
        <v>18</v>
      </c>
      <c r="AO58" s="5" t="s">
        <v>16</v>
      </c>
      <c r="AP58" s="5" t="s">
        <v>17</v>
      </c>
      <c r="AQ58" s="5" t="s">
        <v>3</v>
      </c>
      <c r="AR58" s="5" t="s">
        <v>18</v>
      </c>
      <c r="AS58" s="6"/>
      <c r="AU58" s="5"/>
      <c r="AV58" s="5"/>
      <c r="AW58" s="5"/>
      <c r="AX58" s="5"/>
      <c r="AY58" s="5"/>
      <c r="BA58" s="34"/>
      <c r="BB58" s="35"/>
      <c r="BC58" s="36"/>
      <c r="BE58" s="34"/>
      <c r="BF58" s="35"/>
      <c r="BG58" s="36"/>
      <c r="BI58" s="34"/>
      <c r="BJ58" s="35"/>
      <c r="BK58" s="36"/>
      <c r="BM58" s="34"/>
      <c r="BN58" s="35"/>
      <c r="BO58" s="36"/>
      <c r="BQ58" s="34"/>
      <c r="BR58" s="35"/>
      <c r="BS58" s="36"/>
      <c r="BU58" s="34"/>
      <c r="BV58" s="35"/>
      <c r="BW58" s="36"/>
      <c r="BY58" s="34"/>
      <c r="BZ58" s="35"/>
      <c r="CA58" s="36"/>
      <c r="CC58" s="34"/>
      <c r="CD58" s="35"/>
      <c r="CE58" s="36"/>
      <c r="CG58" s="34"/>
      <c r="CH58" s="35"/>
      <c r="CI58" s="36"/>
      <c r="CK58" s="34"/>
      <c r="CL58" s="35"/>
      <c r="CM58" s="36"/>
      <c r="CO58" s="34"/>
      <c r="CP58" s="35"/>
      <c r="CQ58" s="36"/>
      <c r="CS58" s="34"/>
      <c r="CT58" s="35"/>
      <c r="CU58" s="36"/>
    </row>
    <row r="59" spans="1:99">
      <c r="A59" s="727" t="s">
        <v>701</v>
      </c>
      <c r="B59" s="728" t="s">
        <v>2281</v>
      </c>
      <c r="C59" s="729">
        <v>162849.63</v>
      </c>
      <c r="D59">
        <v>-193172</v>
      </c>
      <c r="F59" s="929" t="s">
        <v>1437</v>
      </c>
      <c r="G59" s="733"/>
      <c r="H59" s="930">
        <v>-6936.89</v>
      </c>
      <c r="I59" s="929"/>
      <c r="J59" s="733">
        <v>0</v>
      </c>
      <c r="K59" s="930"/>
      <c r="R59" s="506" t="s">
        <v>785</v>
      </c>
      <c r="S59" s="506" t="s">
        <v>2295</v>
      </c>
      <c r="T59" s="507">
        <f t="shared" ca="1" si="18"/>
        <v>450</v>
      </c>
      <c r="U59" s="507">
        <f t="shared" ca="1" si="19"/>
        <v>1601.4</v>
      </c>
      <c r="V59" s="507">
        <f t="shared" ca="1" si="20"/>
        <v>0</v>
      </c>
      <c r="W59" s="507">
        <f t="shared" ca="1" si="21"/>
        <v>0</v>
      </c>
      <c r="X59" s="507">
        <f t="shared" ca="1" si="22"/>
        <v>0</v>
      </c>
      <c r="Y59" s="507">
        <f t="shared" ca="1" si="23"/>
        <v>0</v>
      </c>
      <c r="Z59" s="507">
        <f t="shared" ca="1" si="24"/>
        <v>0</v>
      </c>
      <c r="AA59" s="507">
        <f t="shared" ca="1" si="25"/>
        <v>0</v>
      </c>
      <c r="AB59" s="507">
        <f t="shared" ca="1" si="26"/>
        <v>0</v>
      </c>
      <c r="AC59" s="507">
        <f t="shared" ca="1" si="27"/>
        <v>0</v>
      </c>
      <c r="AD59" s="507">
        <f t="shared" ca="1" si="28"/>
        <v>0</v>
      </c>
      <c r="AE59" s="507">
        <f t="shared" ca="1" si="29"/>
        <v>0</v>
      </c>
      <c r="AF59" s="11">
        <f t="shared" ca="1" si="13"/>
        <v>2051.4</v>
      </c>
      <c r="AI59" s="4">
        <v>107</v>
      </c>
      <c r="AJ59" s="5" t="s">
        <v>169</v>
      </c>
      <c r="AK59" s="5" t="s">
        <v>161</v>
      </c>
      <c r="AL59" s="5" t="s">
        <v>170</v>
      </c>
      <c r="AM59" s="5" t="s">
        <v>171</v>
      </c>
      <c r="AN59" s="5" t="s">
        <v>18</v>
      </c>
      <c r="AO59" s="5" t="s">
        <v>16</v>
      </c>
      <c r="AP59" s="5" t="s">
        <v>17</v>
      </c>
      <c r="AQ59" s="5" t="s">
        <v>3</v>
      </c>
      <c r="AR59" s="5" t="s">
        <v>18</v>
      </c>
      <c r="AS59" s="6"/>
      <c r="AU59" s="5"/>
      <c r="AV59" s="5"/>
      <c r="AW59" s="5"/>
      <c r="AX59" s="5"/>
      <c r="AY59" s="5"/>
      <c r="BA59" s="34"/>
      <c r="BB59" s="35"/>
      <c r="BC59" s="36"/>
      <c r="BE59" s="34"/>
      <c r="BF59" s="35"/>
      <c r="BG59" s="36"/>
      <c r="BI59" s="34"/>
      <c r="BJ59" s="35"/>
      <c r="BK59" s="36"/>
      <c r="BM59" s="34"/>
      <c r="BN59" s="35"/>
      <c r="BO59" s="36"/>
      <c r="BQ59" s="34"/>
      <c r="BR59" s="35"/>
      <c r="BS59" s="36"/>
      <c r="BU59" s="34"/>
      <c r="BV59" s="35"/>
      <c r="BW59" s="36"/>
      <c r="BY59" s="34"/>
      <c r="BZ59" s="35"/>
      <c r="CA59" s="36"/>
      <c r="CC59" s="34"/>
      <c r="CD59" s="35"/>
      <c r="CE59" s="36"/>
      <c r="CG59" s="34"/>
      <c r="CH59" s="35"/>
      <c r="CI59" s="36"/>
      <c r="CK59" s="34"/>
      <c r="CL59" s="35"/>
      <c r="CM59" s="36"/>
      <c r="CO59" s="34"/>
      <c r="CP59" s="35"/>
      <c r="CQ59" s="36"/>
      <c r="CS59" s="34"/>
      <c r="CT59" s="35"/>
      <c r="CU59" s="36"/>
    </row>
    <row r="60" spans="1:99">
      <c r="A60" s="727" t="s">
        <v>701</v>
      </c>
      <c r="B60" s="728" t="s">
        <v>2281</v>
      </c>
      <c r="C60" s="729">
        <v>-162849.63</v>
      </c>
      <c r="F60" s="929" t="s">
        <v>1438</v>
      </c>
      <c r="G60" s="733"/>
      <c r="H60" s="930"/>
      <c r="I60" s="929"/>
      <c r="J60" s="733"/>
      <c r="K60" s="930"/>
      <c r="R60" s="506" t="s">
        <v>791</v>
      </c>
      <c r="S60" s="506" t="s">
        <v>2296</v>
      </c>
      <c r="T60" s="507">
        <f t="shared" ca="1" si="18"/>
        <v>0</v>
      </c>
      <c r="U60" s="507">
        <f t="shared" ca="1" si="19"/>
        <v>0</v>
      </c>
      <c r="V60" s="507">
        <f t="shared" ca="1" si="20"/>
        <v>0</v>
      </c>
      <c r="W60" s="507">
        <f t="shared" ca="1" si="21"/>
        <v>0</v>
      </c>
      <c r="X60" s="507">
        <f t="shared" ca="1" si="22"/>
        <v>0</v>
      </c>
      <c r="Y60" s="507">
        <f t="shared" ca="1" si="23"/>
        <v>0</v>
      </c>
      <c r="Z60" s="507">
        <f t="shared" ca="1" si="24"/>
        <v>0</v>
      </c>
      <c r="AA60" s="507">
        <f t="shared" ca="1" si="25"/>
        <v>0</v>
      </c>
      <c r="AB60" s="507">
        <f t="shared" ca="1" si="26"/>
        <v>0</v>
      </c>
      <c r="AC60" s="507">
        <f t="shared" ca="1" si="27"/>
        <v>0</v>
      </c>
      <c r="AD60" s="507">
        <f t="shared" ca="1" si="28"/>
        <v>0</v>
      </c>
      <c r="AE60" s="507">
        <f t="shared" ca="1" si="29"/>
        <v>0</v>
      </c>
      <c r="AF60" s="11">
        <f t="shared" ca="1" si="13"/>
        <v>0</v>
      </c>
      <c r="AI60" s="4">
        <v>109</v>
      </c>
      <c r="AJ60" s="5" t="s">
        <v>174</v>
      </c>
      <c r="AK60" s="5" t="s">
        <v>172</v>
      </c>
      <c r="AL60" s="5" t="s">
        <v>175</v>
      </c>
      <c r="AM60" s="5" t="s">
        <v>176</v>
      </c>
      <c r="AN60" s="5" t="s">
        <v>18</v>
      </c>
      <c r="AO60" s="5" t="s">
        <v>16</v>
      </c>
      <c r="AP60" s="5" t="s">
        <v>17</v>
      </c>
      <c r="AQ60" s="5" t="s">
        <v>3</v>
      </c>
      <c r="AR60" s="5" t="s">
        <v>18</v>
      </c>
      <c r="AS60" s="6"/>
      <c r="AU60" s="5"/>
      <c r="AV60" s="5"/>
      <c r="AW60" s="5"/>
      <c r="AX60" s="5"/>
      <c r="AY60" s="5"/>
      <c r="BA60" s="34"/>
      <c r="BB60" s="35"/>
      <c r="BC60" s="36"/>
      <c r="BE60" s="34"/>
      <c r="BF60" s="35"/>
      <c r="BG60" s="36"/>
      <c r="BI60" s="34"/>
      <c r="BJ60" s="35"/>
      <c r="BK60" s="36"/>
      <c r="BM60" s="34"/>
      <c r="BN60" s="35"/>
      <c r="BO60" s="36"/>
      <c r="BQ60" s="34"/>
      <c r="BR60" s="35"/>
      <c r="BS60" s="36"/>
      <c r="BU60" s="34"/>
      <c r="BV60" s="35"/>
      <c r="BW60" s="36"/>
      <c r="BY60" s="34"/>
      <c r="BZ60" s="35"/>
      <c r="CA60" s="36"/>
      <c r="CC60" s="34"/>
      <c r="CD60" s="35"/>
      <c r="CE60" s="36"/>
      <c r="CG60" s="34"/>
      <c r="CH60" s="35"/>
      <c r="CI60" s="36"/>
      <c r="CK60" s="34"/>
      <c r="CL60" s="35"/>
      <c r="CM60" s="36"/>
      <c r="CO60" s="34"/>
      <c r="CP60" s="35"/>
      <c r="CQ60" s="36"/>
      <c r="CS60" s="34"/>
      <c r="CT60" s="35"/>
      <c r="CU60" s="36"/>
    </row>
    <row r="61" spans="1:99">
      <c r="A61" s="727" t="s">
        <v>3848</v>
      </c>
      <c r="B61" s="728" t="s">
        <v>3849</v>
      </c>
      <c r="C61" s="729">
        <v>45048.24</v>
      </c>
      <c r="F61" s="929" t="s">
        <v>1439</v>
      </c>
      <c r="G61" s="733"/>
      <c r="H61" s="930"/>
      <c r="I61" s="929"/>
      <c r="J61" s="733">
        <v>0</v>
      </c>
      <c r="K61" s="930"/>
      <c r="R61" s="506" t="s">
        <v>2398</v>
      </c>
      <c r="S61" s="506" t="s">
        <v>2297</v>
      </c>
      <c r="T61" s="507">
        <f t="shared" ca="1" si="18"/>
        <v>0</v>
      </c>
      <c r="U61" s="507">
        <f t="shared" ca="1" si="19"/>
        <v>0</v>
      </c>
      <c r="V61" s="507">
        <f t="shared" ca="1" si="20"/>
        <v>0</v>
      </c>
      <c r="W61" s="507">
        <f t="shared" ca="1" si="21"/>
        <v>0</v>
      </c>
      <c r="X61" s="507">
        <f t="shared" ca="1" si="22"/>
        <v>0</v>
      </c>
      <c r="Y61" s="507">
        <f t="shared" ca="1" si="23"/>
        <v>0</v>
      </c>
      <c r="Z61" s="507">
        <f t="shared" ca="1" si="24"/>
        <v>0</v>
      </c>
      <c r="AA61" s="507">
        <f t="shared" ca="1" si="25"/>
        <v>0</v>
      </c>
      <c r="AB61" s="507">
        <f t="shared" ca="1" si="26"/>
        <v>0</v>
      </c>
      <c r="AC61" s="507">
        <f t="shared" ca="1" si="27"/>
        <v>0</v>
      </c>
      <c r="AD61" s="507">
        <f t="shared" ca="1" si="28"/>
        <v>0</v>
      </c>
      <c r="AE61" s="507">
        <f t="shared" ca="1" si="29"/>
        <v>0</v>
      </c>
      <c r="AF61" s="11">
        <f t="shared" ca="1" si="13"/>
        <v>0</v>
      </c>
      <c r="AI61" s="4">
        <v>111</v>
      </c>
      <c r="AJ61" s="5" t="s">
        <v>177</v>
      </c>
      <c r="AK61" s="5" t="s">
        <v>172</v>
      </c>
      <c r="AL61" s="5" t="s">
        <v>178</v>
      </c>
      <c r="AM61" s="5" t="s">
        <v>179</v>
      </c>
      <c r="AN61" s="5" t="s">
        <v>18</v>
      </c>
      <c r="AO61" s="5" t="s">
        <v>16</v>
      </c>
      <c r="AP61" s="5" t="s">
        <v>17</v>
      </c>
      <c r="AQ61" s="5" t="s">
        <v>3</v>
      </c>
      <c r="AR61" s="5" t="s">
        <v>18</v>
      </c>
      <c r="AS61" s="6"/>
      <c r="AU61" s="5"/>
      <c r="AV61" s="5"/>
      <c r="AW61" s="5"/>
      <c r="AX61" s="5"/>
      <c r="AY61" s="5"/>
      <c r="BA61" s="34"/>
      <c r="BB61" s="35"/>
      <c r="BC61" s="36"/>
      <c r="BE61" s="34"/>
      <c r="BF61" s="35"/>
      <c r="BG61" s="36"/>
      <c r="BI61" s="34"/>
      <c r="BJ61" s="35"/>
      <c r="BK61" s="36"/>
      <c r="BM61" s="34"/>
      <c r="BN61" s="35"/>
      <c r="BO61" s="36"/>
      <c r="BQ61" s="34"/>
      <c r="BR61" s="35"/>
      <c r="BS61" s="36"/>
      <c r="BU61" s="34"/>
      <c r="BV61" s="35"/>
      <c r="BW61" s="36"/>
      <c r="BY61" s="34"/>
      <c r="BZ61" s="35"/>
      <c r="CA61" s="36"/>
      <c r="CC61" s="34"/>
      <c r="CD61" s="35"/>
      <c r="CE61" s="36"/>
      <c r="CG61" s="34"/>
      <c r="CH61" s="35"/>
      <c r="CI61" s="36"/>
      <c r="CK61" s="34"/>
      <c r="CL61" s="35"/>
      <c r="CM61" s="36"/>
      <c r="CO61" s="34"/>
      <c r="CP61" s="35"/>
      <c r="CQ61" s="36"/>
      <c r="CS61" s="34"/>
      <c r="CT61" s="35"/>
      <c r="CU61" s="36"/>
    </row>
    <row r="62" spans="1:99">
      <c r="A62" s="727" t="s">
        <v>715</v>
      </c>
      <c r="B62" s="728" t="s">
        <v>2283</v>
      </c>
      <c r="C62" s="729">
        <v>1543966.7400000002</v>
      </c>
      <c r="F62" s="929" t="s">
        <v>1440</v>
      </c>
      <c r="G62" s="733"/>
      <c r="H62" s="930"/>
      <c r="I62" s="929"/>
      <c r="J62" s="733"/>
      <c r="K62" s="930"/>
      <c r="R62" s="506" t="s">
        <v>796</v>
      </c>
      <c r="S62" s="506" t="s">
        <v>2298</v>
      </c>
      <c r="T62" s="507">
        <f t="shared" ca="1" si="18"/>
        <v>0</v>
      </c>
      <c r="U62" s="507">
        <f t="shared" ca="1" si="19"/>
        <v>0</v>
      </c>
      <c r="V62" s="507">
        <f t="shared" ca="1" si="20"/>
        <v>999500</v>
      </c>
      <c r="W62" s="507">
        <f t="shared" ca="1" si="21"/>
        <v>0</v>
      </c>
      <c r="X62" s="507">
        <f t="shared" ca="1" si="22"/>
        <v>0</v>
      </c>
      <c r="Y62" s="507">
        <f t="shared" ca="1" si="23"/>
        <v>0</v>
      </c>
      <c r="Z62" s="507">
        <f t="shared" ca="1" si="24"/>
        <v>0</v>
      </c>
      <c r="AA62" s="507">
        <f t="shared" ca="1" si="25"/>
        <v>0</v>
      </c>
      <c r="AB62" s="507">
        <f t="shared" ca="1" si="26"/>
        <v>0</v>
      </c>
      <c r="AC62" s="507">
        <f t="shared" ca="1" si="27"/>
        <v>0</v>
      </c>
      <c r="AD62" s="507">
        <f t="shared" ca="1" si="28"/>
        <v>0</v>
      </c>
      <c r="AE62" s="507">
        <f t="shared" ca="1" si="29"/>
        <v>0</v>
      </c>
      <c r="AF62" s="11">
        <f t="shared" ca="1" si="13"/>
        <v>999500</v>
      </c>
      <c r="AI62" s="4">
        <v>113</v>
      </c>
      <c r="AJ62" s="5" t="s">
        <v>180</v>
      </c>
      <c r="AK62" s="5" t="s">
        <v>172</v>
      </c>
      <c r="AL62" s="5" t="s">
        <v>181</v>
      </c>
      <c r="AM62" s="5" t="s">
        <v>182</v>
      </c>
      <c r="AN62" s="5" t="s">
        <v>18</v>
      </c>
      <c r="AO62" s="5" t="s">
        <v>16</v>
      </c>
      <c r="AP62" s="5" t="s">
        <v>17</v>
      </c>
      <c r="AQ62" s="5" t="s">
        <v>3</v>
      </c>
      <c r="AR62" s="5" t="s">
        <v>18</v>
      </c>
      <c r="AS62" s="6"/>
      <c r="AU62" s="5"/>
      <c r="AV62" s="5"/>
      <c r="AW62" s="5"/>
      <c r="AX62" s="5"/>
      <c r="AY62" s="5"/>
      <c r="BA62" s="34"/>
      <c r="BB62" s="35"/>
      <c r="BC62" s="36"/>
      <c r="BE62" s="34"/>
      <c r="BF62" s="35"/>
      <c r="BG62" s="36"/>
      <c r="BI62" s="34"/>
      <c r="BJ62" s="35"/>
      <c r="BK62" s="36"/>
      <c r="BM62" s="34"/>
      <c r="BN62" s="35"/>
      <c r="BO62" s="36"/>
      <c r="BQ62" s="34"/>
      <c r="BR62" s="35"/>
      <c r="BS62" s="36"/>
      <c r="BU62" s="34"/>
      <c r="BV62" s="35"/>
      <c r="BW62" s="36"/>
      <c r="BY62" s="34"/>
      <c r="BZ62" s="35"/>
      <c r="CA62" s="36"/>
      <c r="CC62" s="34"/>
      <c r="CD62" s="35"/>
      <c r="CE62" s="36"/>
      <c r="CG62" s="34"/>
      <c r="CH62" s="35"/>
      <c r="CI62" s="36"/>
      <c r="CK62" s="34"/>
      <c r="CL62" s="35"/>
      <c r="CM62" s="36"/>
      <c r="CO62" s="34"/>
      <c r="CP62" s="35"/>
      <c r="CQ62" s="36"/>
      <c r="CS62" s="34"/>
      <c r="CT62" s="35"/>
      <c r="CU62" s="36"/>
    </row>
    <row r="63" spans="1:99">
      <c r="A63" s="727" t="s">
        <v>742</v>
      </c>
      <c r="B63" s="728" t="s">
        <v>2287</v>
      </c>
      <c r="C63" s="729">
        <v>207205</v>
      </c>
      <c r="F63" s="929" t="s">
        <v>1441</v>
      </c>
      <c r="G63" s="733"/>
      <c r="H63" s="930"/>
      <c r="I63" s="929"/>
      <c r="J63" s="733">
        <v>0</v>
      </c>
      <c r="K63" s="930"/>
      <c r="R63" s="506" t="s">
        <v>799</v>
      </c>
      <c r="S63" s="506" t="s">
        <v>2299</v>
      </c>
      <c r="T63" s="507">
        <f t="shared" ca="1" si="18"/>
        <v>0</v>
      </c>
      <c r="U63" s="507">
        <f t="shared" ca="1" si="19"/>
        <v>0</v>
      </c>
      <c r="V63" s="507">
        <f t="shared" ca="1" si="20"/>
        <v>1074000</v>
      </c>
      <c r="W63" s="507">
        <f t="shared" ca="1" si="21"/>
        <v>0</v>
      </c>
      <c r="X63" s="507">
        <f t="shared" ca="1" si="22"/>
        <v>0</v>
      </c>
      <c r="Y63" s="507">
        <f t="shared" ca="1" si="23"/>
        <v>0</v>
      </c>
      <c r="Z63" s="507">
        <f t="shared" ca="1" si="24"/>
        <v>0</v>
      </c>
      <c r="AA63" s="507">
        <f t="shared" ca="1" si="25"/>
        <v>0</v>
      </c>
      <c r="AB63" s="507">
        <f t="shared" ca="1" si="26"/>
        <v>0</v>
      </c>
      <c r="AC63" s="507">
        <f t="shared" ca="1" si="27"/>
        <v>0</v>
      </c>
      <c r="AD63" s="507">
        <f t="shared" ca="1" si="28"/>
        <v>0</v>
      </c>
      <c r="AE63" s="507">
        <f t="shared" ca="1" si="29"/>
        <v>0</v>
      </c>
      <c r="AF63" s="11">
        <f t="shared" ca="1" si="13"/>
        <v>1074000</v>
      </c>
      <c r="AI63" s="4">
        <v>115</v>
      </c>
      <c r="AJ63" s="5" t="s">
        <v>183</v>
      </c>
      <c r="AK63" s="5" t="s">
        <v>172</v>
      </c>
      <c r="AL63" s="5" t="s">
        <v>184</v>
      </c>
      <c r="AM63" s="5" t="s">
        <v>185</v>
      </c>
      <c r="AN63" s="5" t="s">
        <v>18</v>
      </c>
      <c r="AO63" s="5" t="s">
        <v>16</v>
      </c>
      <c r="AP63" s="5" t="s">
        <v>17</v>
      </c>
      <c r="AQ63" s="5" t="s">
        <v>3</v>
      </c>
      <c r="AR63" s="5" t="s">
        <v>18</v>
      </c>
      <c r="AS63" s="6"/>
      <c r="AU63" s="5"/>
      <c r="AV63" s="5"/>
      <c r="AW63" s="5"/>
      <c r="AX63" s="5"/>
      <c r="AY63" s="5"/>
      <c r="BA63" s="34"/>
      <c r="BB63" s="35"/>
      <c r="BC63" s="36"/>
      <c r="BE63" s="34"/>
      <c r="BF63" s="35"/>
      <c r="BG63" s="36"/>
      <c r="BI63" s="34"/>
      <c r="BJ63" s="35"/>
      <c r="BK63" s="36"/>
      <c r="BM63" s="34"/>
      <c r="BN63" s="35"/>
      <c r="BO63" s="36"/>
      <c r="BQ63" s="34"/>
      <c r="BR63" s="35"/>
      <c r="BS63" s="36"/>
      <c r="BU63" s="34"/>
      <c r="BV63" s="35"/>
      <c r="BW63" s="36"/>
      <c r="BY63" s="34"/>
      <c r="BZ63" s="35"/>
      <c r="CA63" s="36"/>
      <c r="CC63" s="34"/>
      <c r="CD63" s="35"/>
      <c r="CE63" s="36"/>
      <c r="CG63" s="34"/>
      <c r="CH63" s="35"/>
      <c r="CI63" s="36"/>
      <c r="CK63" s="34"/>
      <c r="CL63" s="35"/>
      <c r="CM63" s="36"/>
      <c r="CO63" s="34"/>
      <c r="CP63" s="35"/>
      <c r="CQ63" s="36"/>
      <c r="CS63" s="34"/>
      <c r="CT63" s="35"/>
      <c r="CU63" s="36"/>
    </row>
    <row r="64" spans="1:99">
      <c r="A64" s="727" t="s">
        <v>759</v>
      </c>
      <c r="B64" s="728" t="s">
        <v>4246</v>
      </c>
      <c r="C64" s="729">
        <v>177987.98</v>
      </c>
      <c r="D64" t="s">
        <v>1576</v>
      </c>
      <c r="F64" s="929" t="s">
        <v>1410</v>
      </c>
      <c r="G64" s="733"/>
      <c r="H64" s="930"/>
      <c r="I64" s="929"/>
      <c r="J64" s="733">
        <v>0</v>
      </c>
      <c r="K64" s="930"/>
      <c r="R64" s="506" t="s">
        <v>2300</v>
      </c>
      <c r="S64" s="506" t="s">
        <v>2301</v>
      </c>
      <c r="T64" s="507">
        <f t="shared" ca="1" si="18"/>
        <v>2850</v>
      </c>
      <c r="U64" s="507">
        <f t="shared" ca="1" si="19"/>
        <v>0</v>
      </c>
      <c r="V64" s="507">
        <f t="shared" ca="1" si="20"/>
        <v>0</v>
      </c>
      <c r="W64" s="507">
        <f t="shared" ca="1" si="21"/>
        <v>0</v>
      </c>
      <c r="X64" s="507">
        <f t="shared" ca="1" si="22"/>
        <v>0</v>
      </c>
      <c r="Y64" s="507">
        <f t="shared" ca="1" si="23"/>
        <v>0</v>
      </c>
      <c r="Z64" s="507">
        <f t="shared" ca="1" si="24"/>
        <v>0</v>
      </c>
      <c r="AA64" s="507">
        <f t="shared" ca="1" si="25"/>
        <v>0</v>
      </c>
      <c r="AB64" s="507">
        <f t="shared" ca="1" si="26"/>
        <v>0</v>
      </c>
      <c r="AC64" s="507">
        <f t="shared" ca="1" si="27"/>
        <v>0</v>
      </c>
      <c r="AD64" s="507">
        <f t="shared" ca="1" si="28"/>
        <v>0</v>
      </c>
      <c r="AE64" s="507">
        <f t="shared" ca="1" si="29"/>
        <v>0</v>
      </c>
      <c r="AF64" s="11">
        <f t="shared" ca="1" si="13"/>
        <v>2850</v>
      </c>
      <c r="AI64" s="4">
        <v>117</v>
      </c>
      <c r="AJ64" s="5" t="s">
        <v>188</v>
      </c>
      <c r="AK64" s="5" t="s">
        <v>186</v>
      </c>
      <c r="AL64" s="5" t="s">
        <v>189</v>
      </c>
      <c r="AM64" s="5" t="s">
        <v>190</v>
      </c>
      <c r="AN64" s="5" t="s">
        <v>18</v>
      </c>
      <c r="AO64" s="5" t="s">
        <v>16</v>
      </c>
      <c r="AP64" s="5" t="s">
        <v>17</v>
      </c>
      <c r="AQ64" s="5" t="s">
        <v>3</v>
      </c>
      <c r="AR64" s="5" t="s">
        <v>18</v>
      </c>
      <c r="AS64" s="6" t="s">
        <v>0</v>
      </c>
      <c r="AU64" s="5"/>
      <c r="AV64" s="5"/>
      <c r="AW64" s="5"/>
      <c r="AX64" s="5"/>
      <c r="AY64" s="5"/>
      <c r="BA64" s="34"/>
      <c r="BB64" s="35"/>
      <c r="BC64" s="36"/>
      <c r="BE64" s="34"/>
      <c r="BF64" s="35"/>
      <c r="BG64" s="36"/>
      <c r="BI64" s="34"/>
      <c r="BJ64" s="35"/>
      <c r="BK64" s="36"/>
      <c r="BM64" s="34"/>
      <c r="BN64" s="35"/>
      <c r="BO64" s="36"/>
      <c r="BQ64" s="34"/>
      <c r="BR64" s="35"/>
      <c r="BS64" s="36"/>
      <c r="BU64" s="34"/>
      <c r="BV64" s="35"/>
      <c r="BW64" s="36"/>
      <c r="BY64" s="34"/>
      <c r="BZ64" s="35"/>
      <c r="CA64" s="36"/>
      <c r="CC64" s="34"/>
      <c r="CD64" s="35"/>
      <c r="CE64" s="36"/>
      <c r="CG64" s="34"/>
      <c r="CH64" s="35"/>
      <c r="CI64" s="36"/>
      <c r="CK64" s="34"/>
      <c r="CL64" s="35"/>
      <c r="CM64" s="36"/>
      <c r="CO64" s="34"/>
      <c r="CP64" s="35"/>
      <c r="CQ64" s="36"/>
      <c r="CS64" s="34"/>
      <c r="CT64" s="35"/>
      <c r="CU64" s="36"/>
    </row>
    <row r="65" spans="1:99">
      <c r="A65" s="727" t="s">
        <v>745</v>
      </c>
      <c r="B65" s="728" t="s">
        <v>2344</v>
      </c>
      <c r="C65" s="729">
        <v>1000</v>
      </c>
      <c r="D65" s="11"/>
      <c r="F65" s="929" t="s">
        <v>1411</v>
      </c>
      <c r="G65" s="733"/>
      <c r="H65" s="930"/>
      <c r="I65" s="929"/>
      <c r="J65" s="733"/>
      <c r="K65" s="930"/>
      <c r="R65" s="506" t="s">
        <v>802</v>
      </c>
      <c r="S65" s="506" t="s">
        <v>2302</v>
      </c>
      <c r="T65" s="507">
        <f t="shared" ca="1" si="18"/>
        <v>0</v>
      </c>
      <c r="U65" s="507">
        <f t="shared" ca="1" si="19"/>
        <v>0</v>
      </c>
      <c r="V65" s="507">
        <f t="shared" ca="1" si="20"/>
        <v>0</v>
      </c>
      <c r="W65" s="507">
        <f t="shared" ca="1" si="21"/>
        <v>0</v>
      </c>
      <c r="X65" s="507">
        <f t="shared" ca="1" si="22"/>
        <v>0</v>
      </c>
      <c r="Y65" s="507">
        <f t="shared" ca="1" si="23"/>
        <v>0</v>
      </c>
      <c r="Z65" s="507">
        <f t="shared" ca="1" si="24"/>
        <v>0</v>
      </c>
      <c r="AA65" s="507">
        <f t="shared" ca="1" si="25"/>
        <v>0</v>
      </c>
      <c r="AB65" s="507">
        <f t="shared" ca="1" si="26"/>
        <v>0</v>
      </c>
      <c r="AC65" s="507">
        <f t="shared" ca="1" si="27"/>
        <v>0</v>
      </c>
      <c r="AD65" s="507">
        <f t="shared" ca="1" si="28"/>
        <v>0</v>
      </c>
      <c r="AE65" s="507">
        <f t="shared" ca="1" si="29"/>
        <v>0</v>
      </c>
      <c r="AF65" s="11">
        <f t="shared" ca="1" si="13"/>
        <v>0</v>
      </c>
      <c r="AI65" s="4">
        <v>119</v>
      </c>
      <c r="AJ65" s="5" t="s">
        <v>193</v>
      </c>
      <c r="AK65" s="5" t="s">
        <v>191</v>
      </c>
      <c r="AL65" s="5" t="s">
        <v>194</v>
      </c>
      <c r="AM65" s="5" t="s">
        <v>195</v>
      </c>
      <c r="AN65" s="5" t="s">
        <v>18</v>
      </c>
      <c r="AO65" s="5" t="s">
        <v>16</v>
      </c>
      <c r="AP65" s="5" t="s">
        <v>17</v>
      </c>
      <c r="AQ65" s="5" t="s">
        <v>3</v>
      </c>
      <c r="AR65" s="5" t="s">
        <v>18</v>
      </c>
      <c r="AS65" s="6"/>
      <c r="AU65" s="5"/>
      <c r="AV65" s="5"/>
      <c r="AW65" s="5"/>
      <c r="AX65" s="5"/>
      <c r="AY65" s="5"/>
      <c r="BA65" s="34"/>
      <c r="BB65" s="35"/>
      <c r="BC65" s="36"/>
      <c r="BE65" s="34"/>
      <c r="BF65" s="35"/>
      <c r="BG65" s="36"/>
      <c r="BI65" s="34"/>
      <c r="BJ65" s="35"/>
      <c r="BK65" s="36"/>
      <c r="BM65" s="34"/>
      <c r="BN65" s="35"/>
      <c r="BO65" s="36"/>
      <c r="BQ65" s="34"/>
      <c r="BR65" s="35"/>
      <c r="BS65" s="36"/>
      <c r="BU65" s="34"/>
      <c r="BV65" s="35"/>
      <c r="BW65" s="36"/>
      <c r="BY65" s="34"/>
      <c r="BZ65" s="35"/>
      <c r="CA65" s="36"/>
      <c r="CC65" s="34"/>
      <c r="CD65" s="35"/>
      <c r="CE65" s="36"/>
      <c r="CG65" s="34"/>
      <c r="CH65" s="35"/>
      <c r="CI65" s="36"/>
      <c r="CK65" s="34"/>
      <c r="CL65" s="35"/>
      <c r="CM65" s="36"/>
      <c r="CO65" s="34"/>
      <c r="CP65" s="35"/>
      <c r="CQ65" s="36"/>
      <c r="CS65" s="34"/>
      <c r="CT65" s="35"/>
      <c r="CU65" s="36"/>
    </row>
    <row r="66" spans="1:99">
      <c r="A66" s="727" t="s">
        <v>748</v>
      </c>
      <c r="B66" s="728" t="s">
        <v>2289</v>
      </c>
      <c r="C66" s="729">
        <v>4573.25</v>
      </c>
      <c r="F66" s="929" t="s">
        <v>1412</v>
      </c>
      <c r="G66" s="733"/>
      <c r="H66" s="930"/>
      <c r="I66" s="929"/>
      <c r="J66" s="733"/>
      <c r="K66" s="930"/>
      <c r="R66" s="506" t="s">
        <v>805</v>
      </c>
      <c r="S66" s="506" t="s">
        <v>2303</v>
      </c>
      <c r="T66" s="507">
        <f t="shared" ca="1" si="18"/>
        <v>0</v>
      </c>
      <c r="U66" s="507">
        <f t="shared" ca="1" si="19"/>
        <v>0</v>
      </c>
      <c r="V66" s="507">
        <f t="shared" ca="1" si="20"/>
        <v>0</v>
      </c>
      <c r="W66" s="507">
        <f t="shared" ca="1" si="21"/>
        <v>0</v>
      </c>
      <c r="X66" s="507">
        <f t="shared" ca="1" si="22"/>
        <v>0</v>
      </c>
      <c r="Y66" s="507">
        <f t="shared" ca="1" si="23"/>
        <v>0</v>
      </c>
      <c r="Z66" s="507">
        <f t="shared" ca="1" si="24"/>
        <v>0</v>
      </c>
      <c r="AA66" s="507">
        <f t="shared" ca="1" si="25"/>
        <v>0</v>
      </c>
      <c r="AB66" s="507">
        <f t="shared" ca="1" si="26"/>
        <v>0</v>
      </c>
      <c r="AC66" s="507">
        <f t="shared" ca="1" si="27"/>
        <v>0</v>
      </c>
      <c r="AD66" s="507">
        <f t="shared" ca="1" si="28"/>
        <v>0</v>
      </c>
      <c r="AE66" s="507">
        <f t="shared" ca="1" si="29"/>
        <v>0</v>
      </c>
      <c r="AF66" s="11">
        <f t="shared" ca="1" si="13"/>
        <v>0</v>
      </c>
      <c r="AI66" s="4">
        <v>121</v>
      </c>
      <c r="AJ66" s="5" t="s">
        <v>196</v>
      </c>
      <c r="AK66" s="5" t="s">
        <v>191</v>
      </c>
      <c r="AL66" s="5" t="s">
        <v>197</v>
      </c>
      <c r="AM66" s="5" t="s">
        <v>198</v>
      </c>
      <c r="AN66" s="5" t="s">
        <v>18</v>
      </c>
      <c r="AO66" s="5" t="s">
        <v>16</v>
      </c>
      <c r="AP66" s="5" t="s">
        <v>17</v>
      </c>
      <c r="AQ66" s="5" t="s">
        <v>3</v>
      </c>
      <c r="AR66" s="5" t="s">
        <v>18</v>
      </c>
      <c r="AS66" s="6"/>
      <c r="AU66" s="5"/>
      <c r="AV66" s="5"/>
      <c r="AW66" s="5"/>
      <c r="AX66" s="5"/>
      <c r="AY66" s="5"/>
      <c r="BA66" s="34"/>
      <c r="BB66" s="35"/>
      <c r="BC66" s="36"/>
      <c r="BE66" s="34"/>
      <c r="BF66" s="35"/>
      <c r="BG66" s="36"/>
      <c r="BI66" s="34"/>
      <c r="BJ66" s="35"/>
      <c r="BK66" s="36"/>
      <c r="BM66" s="34"/>
      <c r="BN66" s="35"/>
      <c r="BO66" s="36"/>
      <c r="BQ66" s="34"/>
      <c r="BR66" s="35"/>
      <c r="BS66" s="36"/>
      <c r="BU66" s="34"/>
      <c r="BV66" s="35"/>
      <c r="BW66" s="36"/>
      <c r="BY66" s="34"/>
      <c r="BZ66" s="35"/>
      <c r="CA66" s="36"/>
      <c r="CC66" s="34"/>
      <c r="CD66" s="35"/>
      <c r="CE66" s="36"/>
      <c r="CG66" s="34"/>
      <c r="CH66" s="35"/>
      <c r="CI66" s="36"/>
      <c r="CK66" s="34"/>
      <c r="CL66" s="35"/>
      <c r="CM66" s="36"/>
      <c r="CO66" s="34"/>
      <c r="CP66" s="35"/>
      <c r="CQ66" s="36"/>
      <c r="CS66" s="34"/>
      <c r="CT66" s="35"/>
      <c r="CU66" s="36"/>
    </row>
    <row r="67" spans="1:99">
      <c r="A67" s="727" t="s">
        <v>3932</v>
      </c>
      <c r="B67" s="728" t="s">
        <v>3933</v>
      </c>
      <c r="C67" s="729">
        <v>203388</v>
      </c>
      <c r="F67" s="929" t="s">
        <v>1418</v>
      </c>
      <c r="G67" s="733"/>
      <c r="H67" s="930"/>
      <c r="I67" s="929"/>
      <c r="J67" s="733"/>
      <c r="K67" s="930"/>
      <c r="R67" s="506" t="s">
        <v>818</v>
      </c>
      <c r="S67" s="506" t="s">
        <v>2304</v>
      </c>
      <c r="T67" s="507">
        <f t="shared" ca="1" si="18"/>
        <v>0</v>
      </c>
      <c r="U67" s="507">
        <f t="shared" ca="1" si="19"/>
        <v>0</v>
      </c>
      <c r="V67" s="507">
        <f t="shared" ca="1" si="20"/>
        <v>0</v>
      </c>
      <c r="W67" s="507">
        <f t="shared" ca="1" si="21"/>
        <v>0</v>
      </c>
      <c r="X67" s="507">
        <f t="shared" ca="1" si="22"/>
        <v>0</v>
      </c>
      <c r="Y67" s="507">
        <f t="shared" ca="1" si="23"/>
        <v>0</v>
      </c>
      <c r="Z67" s="507">
        <f t="shared" ca="1" si="24"/>
        <v>0</v>
      </c>
      <c r="AA67" s="507">
        <f t="shared" ca="1" si="25"/>
        <v>0</v>
      </c>
      <c r="AB67" s="507">
        <f t="shared" ca="1" si="26"/>
        <v>0</v>
      </c>
      <c r="AC67" s="507">
        <f t="shared" ca="1" si="27"/>
        <v>0</v>
      </c>
      <c r="AD67" s="507">
        <f t="shared" ca="1" si="28"/>
        <v>0</v>
      </c>
      <c r="AE67" s="507">
        <f t="shared" ca="1" si="29"/>
        <v>0</v>
      </c>
      <c r="AF67" s="11">
        <f t="shared" ca="1" si="13"/>
        <v>0</v>
      </c>
      <c r="AI67" s="4">
        <v>123</v>
      </c>
      <c r="AJ67" s="5" t="s">
        <v>201</v>
      </c>
      <c r="AK67" s="5" t="s">
        <v>199</v>
      </c>
      <c r="AL67" s="5" t="s">
        <v>202</v>
      </c>
      <c r="AM67" s="5" t="s">
        <v>0</v>
      </c>
      <c r="AN67" s="5" t="s">
        <v>18</v>
      </c>
      <c r="AO67" s="5" t="s">
        <v>16</v>
      </c>
      <c r="AP67" s="5" t="s">
        <v>17</v>
      </c>
      <c r="AQ67" s="5" t="s">
        <v>3</v>
      </c>
      <c r="AR67" s="5" t="s">
        <v>18</v>
      </c>
      <c r="AS67" s="6"/>
      <c r="AU67" s="5"/>
      <c r="AV67" s="5"/>
      <c r="AW67" s="5"/>
      <c r="AX67" s="5"/>
      <c r="AY67" s="5"/>
      <c r="BA67" s="34"/>
      <c r="BB67" s="35"/>
      <c r="BC67" s="36"/>
      <c r="BE67" s="34"/>
      <c r="BF67" s="35"/>
      <c r="BG67" s="36"/>
      <c r="BI67" s="34"/>
      <c r="BJ67" s="35"/>
      <c r="BK67" s="36"/>
      <c r="BM67" s="34"/>
      <c r="BN67" s="35"/>
      <c r="BO67" s="36"/>
      <c r="BQ67" s="34"/>
      <c r="BR67" s="35"/>
      <c r="BS67" s="36"/>
      <c r="BU67" s="34"/>
      <c r="BV67" s="35"/>
      <c r="BW67" s="36"/>
      <c r="BY67" s="34"/>
      <c r="BZ67" s="35"/>
      <c r="CA67" s="36"/>
      <c r="CC67" s="34"/>
      <c r="CD67" s="35"/>
      <c r="CE67" s="36"/>
      <c r="CG67" s="34"/>
      <c r="CH67" s="35"/>
      <c r="CI67" s="36"/>
      <c r="CK67" s="34"/>
      <c r="CL67" s="35"/>
      <c r="CM67" s="36"/>
      <c r="CO67" s="34"/>
      <c r="CP67" s="35"/>
      <c r="CQ67" s="36"/>
      <c r="CS67" s="34"/>
      <c r="CT67" s="35"/>
      <c r="CU67" s="36"/>
    </row>
    <row r="68" spans="1:99">
      <c r="A68" s="727" t="s">
        <v>774</v>
      </c>
      <c r="B68" s="728" t="s">
        <v>2064</v>
      </c>
      <c r="C68" s="729">
        <v>637263.72</v>
      </c>
      <c r="F68" s="934"/>
      <c r="G68" s="935">
        <f>SUM(G55:G67)</f>
        <v>900</v>
      </c>
      <c r="H68" s="936">
        <f>SUM(H55:H67)</f>
        <v>-34909.450000000004</v>
      </c>
      <c r="I68" s="934">
        <f>SUM(I55:I67)</f>
        <v>45000</v>
      </c>
      <c r="J68" s="935">
        <f>SUM(J55:J67)</f>
        <v>0</v>
      </c>
      <c r="K68" s="936">
        <f>SUM(K55:K67)</f>
        <v>0</v>
      </c>
      <c r="R68" s="506" t="s">
        <v>821</v>
      </c>
      <c r="S68" s="506" t="s">
        <v>2305</v>
      </c>
      <c r="T68" s="507">
        <f t="shared" ca="1" si="18"/>
        <v>0</v>
      </c>
      <c r="U68" s="507">
        <f t="shared" ca="1" si="19"/>
        <v>0</v>
      </c>
      <c r="V68" s="507">
        <f t="shared" ca="1" si="20"/>
        <v>0</v>
      </c>
      <c r="W68" s="507">
        <f t="shared" ca="1" si="21"/>
        <v>0</v>
      </c>
      <c r="X68" s="507">
        <f t="shared" ca="1" si="22"/>
        <v>0</v>
      </c>
      <c r="Y68" s="507">
        <f t="shared" ca="1" si="23"/>
        <v>0</v>
      </c>
      <c r="Z68" s="507">
        <f t="shared" ca="1" si="24"/>
        <v>0</v>
      </c>
      <c r="AA68" s="507">
        <f t="shared" ca="1" si="25"/>
        <v>0</v>
      </c>
      <c r="AB68" s="507">
        <f t="shared" ca="1" si="26"/>
        <v>0</v>
      </c>
      <c r="AC68" s="507">
        <f t="shared" ca="1" si="27"/>
        <v>0</v>
      </c>
      <c r="AD68" s="507">
        <f t="shared" ca="1" si="28"/>
        <v>0</v>
      </c>
      <c r="AE68" s="507">
        <f t="shared" ca="1" si="29"/>
        <v>0</v>
      </c>
      <c r="AF68" s="11">
        <f t="shared" ca="1" si="13"/>
        <v>0</v>
      </c>
      <c r="AI68" s="4">
        <v>125</v>
      </c>
      <c r="AJ68" s="5" t="s">
        <v>207</v>
      </c>
      <c r="AK68" s="5" t="s">
        <v>205</v>
      </c>
      <c r="AL68" s="5" t="s">
        <v>208</v>
      </c>
      <c r="AM68" s="5" t="s">
        <v>209</v>
      </c>
      <c r="AN68" s="5" t="s">
        <v>18</v>
      </c>
      <c r="AO68" s="5" t="s">
        <v>16</v>
      </c>
      <c r="AP68" s="5" t="s">
        <v>17</v>
      </c>
      <c r="AQ68" s="5" t="s">
        <v>3</v>
      </c>
      <c r="AR68" s="5" t="s">
        <v>18</v>
      </c>
      <c r="AS68" s="6"/>
      <c r="AU68" s="5"/>
      <c r="AV68" s="5"/>
      <c r="AW68" s="5"/>
      <c r="AX68" s="5"/>
      <c r="AY68" s="5"/>
      <c r="BA68" s="34"/>
      <c r="BB68" s="35"/>
      <c r="BC68" s="36"/>
      <c r="BE68" s="34"/>
      <c r="BF68" s="35"/>
      <c r="BG68" s="36"/>
      <c r="BI68" s="34"/>
      <c r="BJ68" s="35"/>
      <c r="BK68" s="36"/>
      <c r="BM68" s="34"/>
      <c r="BN68" s="35"/>
      <c r="BO68" s="36"/>
      <c r="BQ68" s="34"/>
      <c r="BR68" s="35"/>
      <c r="BS68" s="36"/>
      <c r="BU68" s="34"/>
      <c r="BV68" s="35"/>
      <c r="BW68" s="36"/>
      <c r="BY68" s="34"/>
      <c r="BZ68" s="35"/>
      <c r="CA68" s="36"/>
      <c r="CC68" s="34"/>
      <c r="CD68" s="35"/>
      <c r="CE68" s="36"/>
      <c r="CG68" s="34"/>
      <c r="CH68" s="35"/>
      <c r="CI68" s="36"/>
      <c r="CK68" s="34"/>
      <c r="CL68" s="35"/>
      <c r="CM68" s="36"/>
      <c r="CO68" s="34"/>
      <c r="CP68" s="35"/>
      <c r="CQ68" s="36"/>
      <c r="CS68" s="34"/>
      <c r="CT68" s="35"/>
      <c r="CU68" s="36"/>
    </row>
    <row r="69" spans="1:99" ht="15.75" thickBot="1">
      <c r="A69" s="727" t="s">
        <v>2294</v>
      </c>
      <c r="B69" s="728" t="s">
        <v>2227</v>
      </c>
      <c r="C69" s="729">
        <v>35010</v>
      </c>
      <c r="F69" s="931"/>
      <c r="G69" s="932">
        <f>+G68+H68</f>
        <v>-34009.450000000004</v>
      </c>
      <c r="H69" s="933"/>
      <c r="I69" s="931">
        <f>+I68+J68</f>
        <v>45000</v>
      </c>
      <c r="J69" s="932">
        <f>+'Notas NF'!D226</f>
        <v>0</v>
      </c>
      <c r="K69" s="933">
        <f>+K68+J69+J68</f>
        <v>0</v>
      </c>
      <c r="R69" s="506" t="s">
        <v>824</v>
      </c>
      <c r="S69" s="506" t="s">
        <v>2366</v>
      </c>
      <c r="T69" s="507">
        <f t="shared" ca="1" si="18"/>
        <v>0</v>
      </c>
      <c r="U69" s="507">
        <f t="shared" ca="1" si="19"/>
        <v>0</v>
      </c>
      <c r="V69" s="507">
        <f t="shared" ca="1" si="20"/>
        <v>0</v>
      </c>
      <c r="W69" s="507">
        <f t="shared" ca="1" si="21"/>
        <v>0</v>
      </c>
      <c r="X69" s="507">
        <f t="shared" ca="1" si="22"/>
        <v>0</v>
      </c>
      <c r="Y69" s="507">
        <f t="shared" ca="1" si="23"/>
        <v>0</v>
      </c>
      <c r="Z69" s="507">
        <f t="shared" ca="1" si="24"/>
        <v>0</v>
      </c>
      <c r="AA69" s="507">
        <f t="shared" ca="1" si="25"/>
        <v>0</v>
      </c>
      <c r="AB69" s="507">
        <f t="shared" ca="1" si="26"/>
        <v>0</v>
      </c>
      <c r="AC69" s="507">
        <f t="shared" ca="1" si="27"/>
        <v>0</v>
      </c>
      <c r="AD69" s="507">
        <f t="shared" ca="1" si="28"/>
        <v>0</v>
      </c>
      <c r="AE69" s="507">
        <f t="shared" ca="1" si="29"/>
        <v>0</v>
      </c>
      <c r="AF69" s="11">
        <f t="shared" ca="1" si="13"/>
        <v>0</v>
      </c>
      <c r="AI69" s="4">
        <v>127</v>
      </c>
      <c r="AJ69" s="5" t="s">
        <v>212</v>
      </c>
      <c r="AK69" s="5" t="s">
        <v>210</v>
      </c>
      <c r="AL69" s="5" t="s">
        <v>213</v>
      </c>
      <c r="AM69" s="5" t="s">
        <v>0</v>
      </c>
      <c r="AN69" s="5" t="s">
        <v>18</v>
      </c>
      <c r="AO69" s="5" t="s">
        <v>12</v>
      </c>
      <c r="AP69" s="5" t="s">
        <v>17</v>
      </c>
      <c r="AQ69" s="5" t="s">
        <v>3</v>
      </c>
      <c r="AR69" s="5" t="s">
        <v>18</v>
      </c>
      <c r="AS69" s="6"/>
      <c r="AU69" s="5"/>
      <c r="AV69" s="5"/>
      <c r="AW69" s="5"/>
      <c r="AX69" s="5"/>
      <c r="AY69" s="5"/>
      <c r="BA69" s="34"/>
      <c r="BB69" s="35"/>
      <c r="BC69" s="36"/>
      <c r="BE69" s="34"/>
      <c r="BF69" s="35"/>
      <c r="BG69" s="36"/>
      <c r="BI69" s="34"/>
      <c r="BJ69" s="35"/>
      <c r="BK69" s="36"/>
      <c r="BM69" s="34"/>
      <c r="BN69" s="35"/>
      <c r="BO69" s="36"/>
      <c r="BQ69" s="34"/>
      <c r="BR69" s="35"/>
      <c r="BS69" s="36"/>
      <c r="BU69" s="34"/>
      <c r="BV69" s="35"/>
      <c r="BW69" s="36"/>
      <c r="BY69" s="34"/>
      <c r="BZ69" s="35"/>
      <c r="CA69" s="36"/>
      <c r="CC69" s="34"/>
      <c r="CD69" s="35"/>
      <c r="CE69" s="36"/>
      <c r="CG69" s="34"/>
      <c r="CH69" s="35"/>
      <c r="CI69" s="36"/>
      <c r="CK69" s="34"/>
      <c r="CL69" s="35"/>
      <c r="CM69" s="36"/>
      <c r="CO69" s="34"/>
      <c r="CP69" s="35"/>
      <c r="CQ69" s="36"/>
      <c r="CS69" s="34"/>
      <c r="CT69" s="35"/>
      <c r="CU69" s="36"/>
    </row>
    <row r="70" spans="1:99">
      <c r="A70" s="727" t="s">
        <v>3934</v>
      </c>
      <c r="B70" s="728" t="s">
        <v>3926</v>
      </c>
      <c r="C70" s="729">
        <v>1191000</v>
      </c>
      <c r="R70" s="506" t="s">
        <v>827</v>
      </c>
      <c r="S70" s="506" t="s">
        <v>2306</v>
      </c>
      <c r="T70" s="507">
        <f t="shared" ca="1" si="18"/>
        <v>0</v>
      </c>
      <c r="U70" s="507">
        <f t="shared" ca="1" si="19"/>
        <v>0</v>
      </c>
      <c r="V70" s="507">
        <f t="shared" ca="1" si="20"/>
        <v>73066.22</v>
      </c>
      <c r="W70" s="507">
        <f t="shared" ca="1" si="21"/>
        <v>0</v>
      </c>
      <c r="X70" s="507">
        <f t="shared" ca="1" si="22"/>
        <v>0</v>
      </c>
      <c r="Y70" s="507">
        <f t="shared" ca="1" si="23"/>
        <v>0</v>
      </c>
      <c r="Z70" s="507">
        <f t="shared" ca="1" si="24"/>
        <v>0</v>
      </c>
      <c r="AA70" s="507">
        <f t="shared" ca="1" si="25"/>
        <v>0</v>
      </c>
      <c r="AB70" s="507">
        <f t="shared" ca="1" si="26"/>
        <v>0</v>
      </c>
      <c r="AC70" s="507">
        <f t="shared" ca="1" si="27"/>
        <v>0</v>
      </c>
      <c r="AD70" s="507">
        <f t="shared" ca="1" si="28"/>
        <v>0</v>
      </c>
      <c r="AE70" s="507">
        <f t="shared" ca="1" si="29"/>
        <v>0</v>
      </c>
      <c r="AF70" s="11">
        <f t="shared" ca="1" si="13"/>
        <v>73066.22</v>
      </c>
      <c r="AI70" s="4">
        <v>129</v>
      </c>
      <c r="AJ70" s="5" t="s">
        <v>217</v>
      </c>
      <c r="AK70" s="5" t="s">
        <v>216</v>
      </c>
      <c r="AL70" s="5" t="s">
        <v>218</v>
      </c>
      <c r="AM70" s="5" t="s">
        <v>219</v>
      </c>
      <c r="AN70" s="5" t="s">
        <v>18</v>
      </c>
      <c r="AO70" s="5" t="s">
        <v>16</v>
      </c>
      <c r="AP70" s="5" t="s">
        <v>17</v>
      </c>
      <c r="AQ70" s="5" t="s">
        <v>3</v>
      </c>
      <c r="AR70" s="5" t="s">
        <v>18</v>
      </c>
      <c r="AS70" s="6"/>
      <c r="AU70" s="5"/>
      <c r="AV70" s="5"/>
      <c r="AW70" s="5"/>
      <c r="AX70" s="5"/>
      <c r="AY70" s="5"/>
      <c r="BA70" s="34"/>
      <c r="BB70" s="35"/>
      <c r="BC70" s="36"/>
      <c r="BE70" s="34"/>
      <c r="BF70" s="35"/>
      <c r="BG70" s="36"/>
      <c r="BI70" s="34"/>
      <c r="BJ70" s="35"/>
      <c r="BK70" s="36"/>
      <c r="BM70" s="34"/>
      <c r="BN70" s="35"/>
      <c r="BO70" s="36"/>
      <c r="BQ70" s="34"/>
      <c r="BR70" s="35"/>
      <c r="BS70" s="36"/>
      <c r="BU70" s="34"/>
      <c r="BV70" s="35"/>
      <c r="BW70" s="36"/>
      <c r="BY70" s="34"/>
      <c r="BZ70" s="35"/>
      <c r="CA70" s="36"/>
      <c r="CC70" s="34"/>
      <c r="CD70" s="35"/>
      <c r="CE70" s="36"/>
      <c r="CG70" s="34"/>
      <c r="CH70" s="35"/>
      <c r="CI70" s="36"/>
      <c r="CK70" s="34"/>
      <c r="CL70" s="35"/>
      <c r="CM70" s="36"/>
      <c r="CO70" s="34"/>
      <c r="CP70" s="35"/>
      <c r="CQ70" s="36"/>
      <c r="CS70" s="34"/>
      <c r="CT70" s="35"/>
      <c r="CU70" s="36"/>
    </row>
    <row r="71" spans="1:99">
      <c r="A71" s="727" t="s">
        <v>785</v>
      </c>
      <c r="B71" s="728" t="s">
        <v>2295</v>
      </c>
      <c r="C71" s="729">
        <v>2051.4</v>
      </c>
      <c r="E71" s="11"/>
      <c r="R71" s="506" t="s">
        <v>830</v>
      </c>
      <c r="S71" s="506" t="s">
        <v>2370</v>
      </c>
      <c r="T71" s="507">
        <f t="shared" ca="1" si="18"/>
        <v>0</v>
      </c>
      <c r="U71" s="507">
        <f t="shared" ca="1" si="19"/>
        <v>0</v>
      </c>
      <c r="V71" s="507">
        <f t="shared" ca="1" si="20"/>
        <v>0</v>
      </c>
      <c r="W71" s="507">
        <f t="shared" ca="1" si="21"/>
        <v>0</v>
      </c>
      <c r="X71" s="507">
        <f t="shared" ca="1" si="22"/>
        <v>0</v>
      </c>
      <c r="Y71" s="507">
        <f t="shared" ca="1" si="23"/>
        <v>0</v>
      </c>
      <c r="Z71" s="507">
        <f t="shared" ca="1" si="24"/>
        <v>0</v>
      </c>
      <c r="AA71" s="507">
        <f t="shared" ca="1" si="25"/>
        <v>0</v>
      </c>
      <c r="AB71" s="507">
        <f t="shared" ca="1" si="26"/>
        <v>0</v>
      </c>
      <c r="AC71" s="507">
        <f t="shared" ca="1" si="27"/>
        <v>0</v>
      </c>
      <c r="AD71" s="507">
        <f t="shared" ca="1" si="28"/>
        <v>0</v>
      </c>
      <c r="AE71" s="507">
        <f t="shared" ca="1" si="29"/>
        <v>0</v>
      </c>
      <c r="AF71" s="11">
        <f t="shared" ca="1" si="13"/>
        <v>0</v>
      </c>
      <c r="AI71" s="4">
        <v>130</v>
      </c>
      <c r="AJ71" s="5" t="s">
        <v>222</v>
      </c>
      <c r="AK71" s="5" t="s">
        <v>220</v>
      </c>
      <c r="AL71" s="5" t="s">
        <v>223</v>
      </c>
      <c r="AM71" s="5" t="s">
        <v>0</v>
      </c>
      <c r="AN71" s="5" t="s">
        <v>18</v>
      </c>
      <c r="AO71" s="5" t="s">
        <v>16</v>
      </c>
      <c r="AP71" s="5" t="s">
        <v>17</v>
      </c>
      <c r="AQ71" s="5" t="s">
        <v>3</v>
      </c>
      <c r="AR71" s="5" t="s">
        <v>18</v>
      </c>
      <c r="AS71" s="6"/>
      <c r="AU71" s="5"/>
      <c r="AV71" s="5"/>
      <c r="AW71" s="5"/>
      <c r="AX71" s="5"/>
      <c r="AY71" s="5"/>
      <c r="BA71" s="34"/>
      <c r="BB71" s="35"/>
      <c r="BC71" s="36"/>
      <c r="BE71" s="34"/>
      <c r="BF71" s="35"/>
      <c r="BG71" s="36"/>
      <c r="BI71" s="34"/>
      <c r="BJ71" s="35"/>
      <c r="BK71" s="36"/>
      <c r="BM71" s="34"/>
      <c r="BN71" s="35"/>
      <c r="BO71" s="36"/>
      <c r="BQ71" s="34"/>
      <c r="BR71" s="35"/>
      <c r="BS71" s="36"/>
      <c r="BU71" s="34"/>
      <c r="BV71" s="35"/>
      <c r="BW71" s="36"/>
      <c r="BY71" s="34"/>
      <c r="BZ71" s="35"/>
      <c r="CA71" s="36"/>
      <c r="CC71" s="34"/>
      <c r="CD71" s="35"/>
      <c r="CE71" s="36"/>
      <c r="CG71" s="34"/>
      <c r="CH71" s="35"/>
      <c r="CI71" s="36"/>
      <c r="CK71" s="34"/>
      <c r="CL71" s="35"/>
      <c r="CM71" s="36"/>
      <c r="CO71" s="34"/>
      <c r="CP71" s="35"/>
      <c r="CQ71" s="36"/>
      <c r="CS71" s="34"/>
      <c r="CT71" s="35"/>
      <c r="CU71" s="36"/>
    </row>
    <row r="72" spans="1:99">
      <c r="A72" s="727" t="s">
        <v>791</v>
      </c>
      <c r="B72" s="728" t="s">
        <v>4267</v>
      </c>
      <c r="C72" s="729">
        <v>39850</v>
      </c>
      <c r="E72" s="919"/>
      <c r="F72" s="925"/>
      <c r="G72" s="925" t="s">
        <v>2374</v>
      </c>
      <c r="H72" s="925" t="s">
        <v>2375</v>
      </c>
      <c r="I72" s="1852" t="s">
        <v>2399</v>
      </c>
      <c r="J72" s="1852"/>
      <c r="K72" s="1852"/>
      <c r="R72" s="506" t="s">
        <v>833</v>
      </c>
      <c r="S72" s="506" t="s">
        <v>2307</v>
      </c>
      <c r="T72" s="507">
        <f t="shared" ca="1" si="18"/>
        <v>6193.83</v>
      </c>
      <c r="U72" s="507">
        <f t="shared" ca="1" si="19"/>
        <v>709992.42</v>
      </c>
      <c r="V72" s="507">
        <f t="shared" ca="1" si="20"/>
        <v>-2250682.9900000002</v>
      </c>
      <c r="W72" s="507">
        <f t="shared" ca="1" si="21"/>
        <v>0</v>
      </c>
      <c r="X72" s="507">
        <f t="shared" ca="1" si="22"/>
        <v>0</v>
      </c>
      <c r="Y72" s="507">
        <f t="shared" ca="1" si="23"/>
        <v>0</v>
      </c>
      <c r="Z72" s="507">
        <f t="shared" ca="1" si="24"/>
        <v>0</v>
      </c>
      <c r="AA72" s="507">
        <f t="shared" ca="1" si="25"/>
        <v>0</v>
      </c>
      <c r="AB72" s="507">
        <f t="shared" ca="1" si="26"/>
        <v>0</v>
      </c>
      <c r="AC72" s="507">
        <f t="shared" ca="1" si="27"/>
        <v>0</v>
      </c>
      <c r="AD72" s="507">
        <f t="shared" ca="1" si="28"/>
        <v>0</v>
      </c>
      <c r="AE72" s="507">
        <f t="shared" ca="1" si="29"/>
        <v>0</v>
      </c>
      <c r="AF72" s="11">
        <f t="shared" ref="AF72:AF136" ca="1" si="30">SUM(T72:AE72)</f>
        <v>-1534496.7400000002</v>
      </c>
      <c r="AI72" s="4">
        <v>134</v>
      </c>
      <c r="AJ72" s="5" t="s">
        <v>227</v>
      </c>
      <c r="AK72" s="5" t="s">
        <v>225</v>
      </c>
      <c r="AL72" s="5" t="s">
        <v>228</v>
      </c>
      <c r="AM72" s="5" t="s">
        <v>0</v>
      </c>
      <c r="AN72" s="5" t="s">
        <v>18</v>
      </c>
      <c r="AO72" s="5" t="s">
        <v>12</v>
      </c>
      <c r="AP72" s="5" t="s">
        <v>17</v>
      </c>
      <c r="AQ72" s="5" t="s">
        <v>139</v>
      </c>
      <c r="AR72" s="5" t="s">
        <v>18</v>
      </c>
      <c r="AS72" s="6"/>
      <c r="AU72" s="5"/>
      <c r="AV72" s="5"/>
      <c r="AW72" s="5"/>
      <c r="AX72" s="5"/>
      <c r="AY72" s="5"/>
      <c r="BA72" s="34"/>
      <c r="BB72" s="35"/>
      <c r="BC72" s="36"/>
      <c r="BE72" s="34"/>
      <c r="BF72" s="35"/>
      <c r="BG72" s="36"/>
      <c r="BI72" s="34"/>
      <c r="BJ72" s="35"/>
      <c r="BK72" s="36"/>
      <c r="BM72" s="34"/>
      <c r="BN72" s="35"/>
      <c r="BO72" s="36"/>
      <c r="BQ72" s="34"/>
      <c r="BR72" s="35"/>
      <c r="BS72" s="36"/>
      <c r="BU72" s="34"/>
      <c r="BV72" s="35"/>
      <c r="BW72" s="36"/>
      <c r="BY72" s="34"/>
      <c r="BZ72" s="35"/>
      <c r="CA72" s="36"/>
      <c r="CC72" s="34"/>
      <c r="CD72" s="35"/>
      <c r="CE72" s="36"/>
      <c r="CG72" s="34"/>
      <c r="CH72" s="35"/>
      <c r="CI72" s="36"/>
      <c r="CK72" s="34"/>
      <c r="CL72" s="35"/>
      <c r="CM72" s="36"/>
      <c r="CO72" s="34"/>
      <c r="CP72" s="35"/>
      <c r="CQ72" s="36"/>
      <c r="CS72" s="34"/>
      <c r="CT72" s="35"/>
      <c r="CU72" s="36"/>
    </row>
    <row r="73" spans="1:99">
      <c r="A73" s="727" t="s">
        <v>3854</v>
      </c>
      <c r="B73" s="728" t="s">
        <v>3855</v>
      </c>
      <c r="C73" s="729">
        <v>4998.54</v>
      </c>
      <c r="E73" s="919"/>
      <c r="F73" s="733" t="s">
        <v>1418</v>
      </c>
      <c r="G73" s="733"/>
      <c r="H73" s="733"/>
      <c r="I73" s="865" t="s">
        <v>2351</v>
      </c>
      <c r="J73" s="11">
        <f>+G68+H68</f>
        <v>-34009.450000000004</v>
      </c>
      <c r="R73" s="506" t="s">
        <v>862</v>
      </c>
      <c r="S73" s="506" t="s">
        <v>2308</v>
      </c>
      <c r="T73" s="507">
        <f t="shared" ca="1" si="18"/>
        <v>0</v>
      </c>
      <c r="U73" s="507">
        <f t="shared" ca="1" si="19"/>
        <v>0</v>
      </c>
      <c r="V73" s="507">
        <f t="shared" ca="1" si="20"/>
        <v>0</v>
      </c>
      <c r="W73" s="507">
        <f t="shared" ca="1" si="21"/>
        <v>0</v>
      </c>
      <c r="X73" s="507">
        <f t="shared" ca="1" si="22"/>
        <v>0</v>
      </c>
      <c r="Y73" s="507">
        <f t="shared" ca="1" si="23"/>
        <v>0</v>
      </c>
      <c r="Z73" s="507">
        <f t="shared" ca="1" si="24"/>
        <v>0</v>
      </c>
      <c r="AA73" s="507">
        <f t="shared" ca="1" si="25"/>
        <v>0</v>
      </c>
      <c r="AB73" s="507">
        <f t="shared" ca="1" si="26"/>
        <v>0</v>
      </c>
      <c r="AC73" s="507">
        <f t="shared" ca="1" si="27"/>
        <v>0</v>
      </c>
      <c r="AD73" s="507">
        <f t="shared" ca="1" si="28"/>
        <v>0</v>
      </c>
      <c r="AE73" s="507">
        <f t="shared" ca="1" si="29"/>
        <v>0</v>
      </c>
      <c r="AF73" s="11">
        <f t="shared" ca="1" si="30"/>
        <v>0</v>
      </c>
      <c r="AI73" s="4">
        <v>136</v>
      </c>
      <c r="AJ73" s="5" t="s">
        <v>233</v>
      </c>
      <c r="AK73" s="5" t="s">
        <v>231</v>
      </c>
      <c r="AL73" s="5" t="s">
        <v>234</v>
      </c>
      <c r="AM73" s="5" t="s">
        <v>0</v>
      </c>
      <c r="AN73" s="5" t="s">
        <v>18</v>
      </c>
      <c r="AO73" s="5" t="s">
        <v>12</v>
      </c>
      <c r="AP73" s="5" t="s">
        <v>17</v>
      </c>
      <c r="AQ73" s="5" t="s">
        <v>139</v>
      </c>
      <c r="AR73" s="5" t="s">
        <v>18</v>
      </c>
      <c r="AS73" s="6"/>
      <c r="AU73" s="5"/>
      <c r="AV73" s="5"/>
      <c r="AW73" s="5"/>
      <c r="AX73" s="5"/>
      <c r="AY73" s="5"/>
      <c r="BA73" s="34"/>
      <c r="BB73" s="35"/>
      <c r="BC73" s="36"/>
      <c r="BE73" s="34"/>
      <c r="BF73" s="35"/>
      <c r="BG73" s="36"/>
      <c r="BI73" s="34"/>
      <c r="BJ73" s="35"/>
      <c r="BK73" s="36"/>
      <c r="BM73" s="34"/>
      <c r="BN73" s="35"/>
      <c r="BO73" s="36"/>
      <c r="BQ73" s="34"/>
      <c r="BR73" s="35"/>
      <c r="BS73" s="36"/>
      <c r="BU73" s="34"/>
      <c r="BV73" s="35"/>
      <c r="BW73" s="36"/>
      <c r="BY73" s="34"/>
      <c r="BZ73" s="35"/>
      <c r="CA73" s="36"/>
      <c r="CC73" s="34"/>
      <c r="CD73" s="35"/>
      <c r="CE73" s="36"/>
      <c r="CG73" s="34"/>
      <c r="CH73" s="35"/>
      <c r="CI73" s="36"/>
      <c r="CK73" s="34"/>
      <c r="CL73" s="35"/>
      <c r="CM73" s="36"/>
      <c r="CO73" s="34"/>
      <c r="CP73" s="35"/>
      <c r="CQ73" s="36"/>
      <c r="CS73" s="34"/>
      <c r="CT73" s="35"/>
      <c r="CU73" s="36"/>
    </row>
    <row r="74" spans="1:99">
      <c r="A74" s="727" t="s">
        <v>3936</v>
      </c>
      <c r="B74" s="728" t="s">
        <v>3929</v>
      </c>
      <c r="C74" s="729">
        <v>620.62</v>
      </c>
      <c r="D74">
        <v>-34760</v>
      </c>
      <c r="F74" s="733" t="s">
        <v>1434</v>
      </c>
      <c r="G74" s="733"/>
      <c r="H74" s="733"/>
      <c r="I74" s="865" t="s">
        <v>2377</v>
      </c>
      <c r="J74" s="11">
        <f>-K68</f>
        <v>0</v>
      </c>
      <c r="R74" s="506" t="s">
        <v>868</v>
      </c>
      <c r="S74" s="506" t="s">
        <v>2309</v>
      </c>
      <c r="T74" s="507">
        <f t="shared" ca="1" si="18"/>
        <v>0</v>
      </c>
      <c r="U74" s="507">
        <f t="shared" ca="1" si="19"/>
        <v>0</v>
      </c>
      <c r="V74" s="507">
        <f t="shared" ca="1" si="20"/>
        <v>0</v>
      </c>
      <c r="W74" s="507">
        <f t="shared" ca="1" si="21"/>
        <v>0</v>
      </c>
      <c r="X74" s="507">
        <f t="shared" ca="1" si="22"/>
        <v>0</v>
      </c>
      <c r="Y74" s="507">
        <f t="shared" ca="1" si="23"/>
        <v>0</v>
      </c>
      <c r="Z74" s="507">
        <f t="shared" ca="1" si="24"/>
        <v>0</v>
      </c>
      <c r="AA74" s="507">
        <f t="shared" ca="1" si="25"/>
        <v>0</v>
      </c>
      <c r="AB74" s="507">
        <f t="shared" ca="1" si="26"/>
        <v>0</v>
      </c>
      <c r="AC74" s="507">
        <f t="shared" ca="1" si="27"/>
        <v>0</v>
      </c>
      <c r="AD74" s="507">
        <f t="shared" ca="1" si="28"/>
        <v>0</v>
      </c>
      <c r="AE74" s="507">
        <f t="shared" ca="1" si="29"/>
        <v>0</v>
      </c>
      <c r="AF74" s="11">
        <f t="shared" ca="1" si="30"/>
        <v>0</v>
      </c>
      <c r="AI74" s="4">
        <v>138</v>
      </c>
      <c r="AJ74" s="5" t="s">
        <v>237</v>
      </c>
      <c r="AK74" s="5" t="s">
        <v>235</v>
      </c>
      <c r="AL74" s="5" t="s">
        <v>236</v>
      </c>
      <c r="AM74" s="5" t="s">
        <v>0</v>
      </c>
      <c r="AN74" s="5" t="s">
        <v>18</v>
      </c>
      <c r="AO74" s="5" t="s">
        <v>12</v>
      </c>
      <c r="AP74" s="5" t="s">
        <v>17</v>
      </c>
      <c r="AQ74" s="5" t="s">
        <v>139</v>
      </c>
      <c r="AR74" s="5" t="s">
        <v>18</v>
      </c>
      <c r="AS74" s="6"/>
      <c r="AU74" s="5"/>
      <c r="AV74" s="5"/>
      <c r="AW74" s="5"/>
      <c r="AX74" s="5"/>
      <c r="AY74" s="5"/>
      <c r="BA74" s="34"/>
      <c r="BB74" s="35"/>
      <c r="BC74" s="36"/>
      <c r="BE74" s="34"/>
      <c r="BF74" s="35"/>
      <c r="BG74" s="36"/>
      <c r="BI74" s="34"/>
      <c r="BJ74" s="35"/>
      <c r="BK74" s="36"/>
      <c r="BM74" s="34"/>
      <c r="BN74" s="35"/>
      <c r="BO74" s="36"/>
      <c r="BQ74" s="34"/>
      <c r="BR74" s="35"/>
      <c r="BS74" s="36"/>
      <c r="BU74" s="34"/>
      <c r="BV74" s="35"/>
      <c r="BW74" s="36"/>
      <c r="BY74" s="34"/>
      <c r="BZ74" s="35"/>
      <c r="CA74" s="36"/>
      <c r="CC74" s="34"/>
      <c r="CD74" s="35"/>
      <c r="CE74" s="36"/>
      <c r="CG74" s="34"/>
      <c r="CH74" s="35"/>
      <c r="CI74" s="36"/>
      <c r="CK74" s="34"/>
      <c r="CL74" s="35"/>
      <c r="CM74" s="36"/>
      <c r="CO74" s="34"/>
      <c r="CP74" s="35"/>
      <c r="CQ74" s="36"/>
      <c r="CS74" s="34"/>
      <c r="CT74" s="35"/>
      <c r="CU74" s="36"/>
    </row>
    <row r="75" spans="1:99">
      <c r="A75" s="727" t="s">
        <v>796</v>
      </c>
      <c r="B75" s="728" t="s">
        <v>2298</v>
      </c>
      <c r="C75" s="729">
        <v>999500</v>
      </c>
      <c r="F75" s="733" t="s">
        <v>1435</v>
      </c>
      <c r="G75" s="733">
        <v>-436630.20999999996</v>
      </c>
      <c r="H75" s="733">
        <v>-436630.20999999996</v>
      </c>
      <c r="I75" s="865" t="s">
        <v>2378</v>
      </c>
      <c r="J75" s="11">
        <f>+G86</f>
        <v>-909971.41999999993</v>
      </c>
      <c r="K75" s="11">
        <f>SUM(J73:J75)</f>
        <v>-943980.86999999988</v>
      </c>
      <c r="L75" t="s">
        <v>2395</v>
      </c>
      <c r="R75" s="506" t="s">
        <v>871</v>
      </c>
      <c r="S75" s="506" t="s">
        <v>2310</v>
      </c>
      <c r="T75" s="507">
        <f t="shared" ca="1" si="18"/>
        <v>0</v>
      </c>
      <c r="U75" s="507">
        <f t="shared" ca="1" si="19"/>
        <v>0</v>
      </c>
      <c r="V75" s="507">
        <f t="shared" ca="1" si="20"/>
        <v>0</v>
      </c>
      <c r="W75" s="507">
        <f t="shared" ca="1" si="21"/>
        <v>0</v>
      </c>
      <c r="X75" s="507">
        <f t="shared" ca="1" si="22"/>
        <v>0</v>
      </c>
      <c r="Y75" s="507">
        <f t="shared" ca="1" si="23"/>
        <v>0</v>
      </c>
      <c r="Z75" s="507">
        <f t="shared" ca="1" si="24"/>
        <v>0</v>
      </c>
      <c r="AA75" s="507">
        <f t="shared" ca="1" si="25"/>
        <v>0</v>
      </c>
      <c r="AB75" s="507">
        <f t="shared" ca="1" si="26"/>
        <v>0</v>
      </c>
      <c r="AC75" s="507">
        <f t="shared" ca="1" si="27"/>
        <v>0</v>
      </c>
      <c r="AD75" s="507">
        <f t="shared" ca="1" si="28"/>
        <v>0</v>
      </c>
      <c r="AE75" s="507">
        <f t="shared" ca="1" si="29"/>
        <v>0</v>
      </c>
      <c r="AF75" s="11">
        <f t="shared" ca="1" si="30"/>
        <v>0</v>
      </c>
      <c r="AI75" s="4">
        <v>140</v>
      </c>
      <c r="AJ75" s="5" t="s">
        <v>238</v>
      </c>
      <c r="AK75" s="5" t="s">
        <v>235</v>
      </c>
      <c r="AL75" s="5" t="s">
        <v>239</v>
      </c>
      <c r="AM75" s="5" t="s">
        <v>0</v>
      </c>
      <c r="AN75" s="5" t="s">
        <v>18</v>
      </c>
      <c r="AO75" s="5" t="s">
        <v>12</v>
      </c>
      <c r="AP75" s="5" t="s">
        <v>17</v>
      </c>
      <c r="AQ75" s="5" t="s">
        <v>139</v>
      </c>
      <c r="AR75" s="5" t="s">
        <v>18</v>
      </c>
      <c r="AS75" s="6"/>
      <c r="AU75" s="5"/>
      <c r="AV75" s="5"/>
      <c r="AW75" s="5"/>
      <c r="AX75" s="5"/>
      <c r="AY75" s="5"/>
      <c r="BA75" s="34"/>
      <c r="BB75" s="35"/>
      <c r="BC75" s="36"/>
      <c r="BE75" s="34"/>
      <c r="BF75" s="35"/>
      <c r="BG75" s="36"/>
      <c r="BI75" s="34"/>
      <c r="BJ75" s="35"/>
      <c r="BK75" s="36"/>
      <c r="BM75" s="34"/>
      <c r="BN75" s="35"/>
      <c r="BO75" s="36"/>
      <c r="BQ75" s="34"/>
      <c r="BR75" s="35"/>
      <c r="BS75" s="36"/>
      <c r="BU75" s="34"/>
      <c r="BV75" s="35"/>
      <c r="BW75" s="36"/>
      <c r="BY75" s="34"/>
      <c r="BZ75" s="35"/>
      <c r="CA75" s="36"/>
      <c r="CC75" s="34"/>
      <c r="CD75" s="35"/>
      <c r="CE75" s="36"/>
      <c r="CG75" s="34"/>
      <c r="CH75" s="35"/>
      <c r="CI75" s="36"/>
      <c r="CK75" s="34"/>
      <c r="CL75" s="35"/>
      <c r="CM75" s="36"/>
      <c r="CO75" s="34"/>
      <c r="CP75" s="35"/>
      <c r="CQ75" s="36"/>
      <c r="CS75" s="34"/>
      <c r="CT75" s="35"/>
      <c r="CU75" s="36"/>
    </row>
    <row r="76" spans="1:99">
      <c r="A76" s="727" t="s">
        <v>799</v>
      </c>
      <c r="B76" s="728" t="s">
        <v>2299</v>
      </c>
      <c r="C76" s="729">
        <v>1074000</v>
      </c>
      <c r="F76" s="733" t="s">
        <v>1436</v>
      </c>
      <c r="G76" s="733">
        <v>149562.06</v>
      </c>
      <c r="H76" s="733"/>
      <c r="I76" s="938" t="s">
        <v>2379</v>
      </c>
      <c r="J76" s="11">
        <f ca="1">+'Pres A'!G314</f>
        <v>5541311.1799999997</v>
      </c>
      <c r="R76" s="506"/>
      <c r="S76" s="506" t="s">
        <v>2799</v>
      </c>
      <c r="T76" s="507">
        <f t="shared" ca="1" si="18"/>
        <v>0</v>
      </c>
      <c r="U76" s="507">
        <f t="shared" ca="1" si="19"/>
        <v>0</v>
      </c>
      <c r="V76" s="507">
        <f t="shared" ca="1" si="20"/>
        <v>0</v>
      </c>
      <c r="W76" s="507">
        <f t="shared" ca="1" si="21"/>
        <v>0</v>
      </c>
      <c r="X76" s="507">
        <f t="shared" ca="1" si="22"/>
        <v>0</v>
      </c>
      <c r="Y76" s="507">
        <f t="shared" ca="1" si="23"/>
        <v>0</v>
      </c>
      <c r="Z76" s="507">
        <f t="shared" ca="1" si="24"/>
        <v>0</v>
      </c>
      <c r="AA76" s="507">
        <f t="shared" ca="1" si="25"/>
        <v>0</v>
      </c>
      <c r="AB76" s="507">
        <f t="shared" ca="1" si="26"/>
        <v>0</v>
      </c>
      <c r="AC76" s="507">
        <f t="shared" ca="1" si="27"/>
        <v>0</v>
      </c>
      <c r="AD76" s="507">
        <f t="shared" ca="1" si="28"/>
        <v>0</v>
      </c>
      <c r="AE76" s="507">
        <f t="shared" ca="1" si="29"/>
        <v>0</v>
      </c>
      <c r="AF76" s="11">
        <f t="shared" ca="1" si="30"/>
        <v>0</v>
      </c>
      <c r="AI76" s="4">
        <v>142</v>
      </c>
      <c r="AJ76" s="5" t="s">
        <v>240</v>
      </c>
      <c r="AK76" s="5" t="s">
        <v>231</v>
      </c>
      <c r="AL76" s="5" t="s">
        <v>241</v>
      </c>
      <c r="AM76" s="5" t="s">
        <v>0</v>
      </c>
      <c r="AN76" s="5" t="s">
        <v>18</v>
      </c>
      <c r="AO76" s="5" t="s">
        <v>12</v>
      </c>
      <c r="AP76" s="5" t="s">
        <v>17</v>
      </c>
      <c r="AQ76" s="5" t="s">
        <v>139</v>
      </c>
      <c r="AR76" s="5" t="s">
        <v>18</v>
      </c>
      <c r="AS76" s="6"/>
      <c r="AU76" s="5"/>
      <c r="AV76" s="5"/>
      <c r="AW76" s="5"/>
      <c r="AX76" s="5"/>
      <c r="AY76" s="5"/>
      <c r="BA76" s="34"/>
      <c r="BB76" s="35"/>
      <c r="BC76" s="36"/>
      <c r="BE76" s="34"/>
      <c r="BF76" s="35"/>
      <c r="BG76" s="36"/>
      <c r="BI76" s="34"/>
      <c r="BJ76" s="35"/>
      <c r="BK76" s="36"/>
      <c r="BM76" s="34"/>
      <c r="BN76" s="35"/>
      <c r="BO76" s="36"/>
      <c r="BQ76" s="34"/>
      <c r="BR76" s="35"/>
      <c r="BS76" s="36"/>
      <c r="BU76" s="34"/>
      <c r="BV76" s="35"/>
      <c r="BW76" s="36"/>
      <c r="BY76" s="34"/>
      <c r="BZ76" s="35"/>
      <c r="CA76" s="36"/>
      <c r="CC76" s="34"/>
      <c r="CD76" s="35"/>
      <c r="CE76" s="36"/>
      <c r="CG76" s="34"/>
      <c r="CH76" s="35"/>
      <c r="CI76" s="36"/>
      <c r="CK76" s="34"/>
      <c r="CL76" s="35"/>
      <c r="CM76" s="36"/>
      <c r="CO76" s="34"/>
      <c r="CP76" s="35"/>
      <c r="CQ76" s="36"/>
      <c r="CS76" s="34"/>
      <c r="CT76" s="35"/>
      <c r="CU76" s="36"/>
    </row>
    <row r="77" spans="1:99">
      <c r="A77" s="727" t="s">
        <v>2300</v>
      </c>
      <c r="B77" s="728" t="s">
        <v>2301</v>
      </c>
      <c r="C77" s="729">
        <v>2850</v>
      </c>
      <c r="F77" s="733" t="s">
        <v>1437</v>
      </c>
      <c r="G77" s="733">
        <v>-96203.419999999925</v>
      </c>
      <c r="H77" s="733"/>
      <c r="I77" s="937" t="s">
        <v>1220</v>
      </c>
      <c r="J77" s="24">
        <f ca="1">SUM(J73:J76)</f>
        <v>4597330.3099999996</v>
      </c>
      <c r="R77" s="506"/>
      <c r="S77" s="506" t="s">
        <v>2367</v>
      </c>
      <c r="T77" s="507">
        <f t="shared" ref="T77:T137" ca="1" si="31">SUMIF($BB$7:$BC$297,S77,$BC$7:$BC$297)</f>
        <v>0</v>
      </c>
      <c r="U77" s="507">
        <f t="shared" ref="U77:U140" ca="1" si="32">SUMIF($BF$7:$BG$297,S77,$BG$7:$BG$297)</f>
        <v>0</v>
      </c>
      <c r="V77" s="507">
        <f t="shared" ref="V77:V140" ca="1" si="33">SUMIF($BJ$7:$BK$297,S77,$BK$7:$BK$297)</f>
        <v>0</v>
      </c>
      <c r="W77" s="507">
        <f t="shared" ref="W77:W140" ca="1" si="34">SUMIF($BN$7:$BO$297,S77,$BO$7:$BO$297)</f>
        <v>0</v>
      </c>
      <c r="X77" s="507">
        <f t="shared" ref="X77:X140" ca="1" si="35">SUMIF($BR$7:$BS$297,S77,$BS$7:$BS$297)</f>
        <v>0</v>
      </c>
      <c r="Y77" s="507">
        <f t="shared" ref="Y77:Y140" ca="1" si="36">SUMIF($BV$7:$BW$297,S77,$BW$7:$BW$297)</f>
        <v>0</v>
      </c>
      <c r="Z77" s="507">
        <f t="shared" ref="Z77:Z140" ca="1" si="37">SUMIF($BZ$7:$CA$297,S77,$CA$7:$CA$297)</f>
        <v>0</v>
      </c>
      <c r="AA77" s="507">
        <f t="shared" ref="AA77:AA140" ca="1" si="38">SUMIF($CD$7:$CE$297,S77,$CE$7:$CE$297)</f>
        <v>0</v>
      </c>
      <c r="AB77" s="507">
        <f t="shared" ref="AB77:AB140" ca="1" si="39">SUMIF($CH$7:$CI$297,S77,$CI$7:$CI$297)</f>
        <v>0</v>
      </c>
      <c r="AC77" s="507">
        <f t="shared" ref="AC77:AC140" ca="1" si="40">SUMIF($CL$7:$CM$297,S77,$CM$7:$CM$297)</f>
        <v>0</v>
      </c>
      <c r="AD77" s="507">
        <f t="shared" ref="AD77:AD140" ca="1" si="41">SUMIF($CP$7:$CQ$297,S77,$CQ$7:$CQ$297)</f>
        <v>0</v>
      </c>
      <c r="AE77" s="507">
        <f t="shared" ref="AE77:AE140" ca="1" si="42">SUMIF($CT$7:$CU$297,S77,$CU$7:$CU$297)</f>
        <v>0</v>
      </c>
      <c r="AF77" s="11">
        <f t="shared" ca="1" si="30"/>
        <v>0</v>
      </c>
      <c r="AI77" s="4">
        <v>144</v>
      </c>
      <c r="AJ77" s="5" t="s">
        <v>242</v>
      </c>
      <c r="AK77" s="5" t="s">
        <v>231</v>
      </c>
      <c r="AL77" s="5" t="s">
        <v>243</v>
      </c>
      <c r="AM77" s="5" t="s">
        <v>0</v>
      </c>
      <c r="AN77" s="5" t="s">
        <v>18</v>
      </c>
      <c r="AO77" s="5" t="s">
        <v>12</v>
      </c>
      <c r="AP77" s="5" t="s">
        <v>17</v>
      </c>
      <c r="AQ77" s="5" t="s">
        <v>139</v>
      </c>
      <c r="AR77" s="5" t="s">
        <v>18</v>
      </c>
      <c r="AS77" s="6"/>
      <c r="AU77" s="5"/>
      <c r="AV77" s="5"/>
      <c r="AW77" s="5"/>
      <c r="AX77" s="5"/>
      <c r="AY77" s="5"/>
      <c r="BA77" s="34"/>
      <c r="BB77" s="35"/>
      <c r="BC77" s="36"/>
      <c r="BE77" s="34"/>
      <c r="BF77" s="35"/>
      <c r="BG77" s="36"/>
      <c r="BI77" s="34"/>
      <c r="BJ77" s="35"/>
      <c r="BK77" s="36"/>
      <c r="BM77" s="34"/>
      <c r="BN77" s="35"/>
      <c r="BO77" s="36"/>
      <c r="BQ77" s="34"/>
      <c r="BR77" s="35"/>
      <c r="BS77" s="36"/>
      <c r="BU77" s="34"/>
      <c r="BV77" s="35"/>
      <c r="BW77" s="36"/>
      <c r="BY77" s="34"/>
      <c r="BZ77" s="35"/>
      <c r="CA77" s="36"/>
      <c r="CC77" s="34"/>
      <c r="CD77" s="35"/>
      <c r="CE77" s="36"/>
      <c r="CG77" s="34"/>
      <c r="CH77" s="35"/>
      <c r="CI77" s="36"/>
      <c r="CK77" s="34"/>
      <c r="CL77" s="35"/>
      <c r="CM77" s="36"/>
      <c r="CO77" s="34"/>
      <c r="CP77" s="35"/>
      <c r="CQ77" s="36"/>
      <c r="CS77" s="34"/>
      <c r="CT77" s="35"/>
      <c r="CU77" s="36"/>
    </row>
    <row r="78" spans="1:99">
      <c r="A78" s="727" t="s">
        <v>3891</v>
      </c>
      <c r="B78" s="728" t="s">
        <v>3861</v>
      </c>
      <c r="C78" s="729">
        <v>1109500</v>
      </c>
      <c r="F78" s="733" t="s">
        <v>1438</v>
      </c>
      <c r="G78" s="733">
        <v>-526699.85</v>
      </c>
      <c r="H78" s="733"/>
      <c r="R78" s="506"/>
      <c r="S78" s="506" t="s">
        <v>2311</v>
      </c>
      <c r="T78" s="507">
        <f t="shared" ca="1" si="31"/>
        <v>0</v>
      </c>
      <c r="U78" s="507">
        <f t="shared" ca="1" si="32"/>
        <v>0</v>
      </c>
      <c r="V78" s="507">
        <f t="shared" ca="1" si="33"/>
        <v>0</v>
      </c>
      <c r="W78" s="507">
        <f t="shared" ca="1" si="34"/>
        <v>0</v>
      </c>
      <c r="X78" s="507">
        <f t="shared" ca="1" si="35"/>
        <v>0</v>
      </c>
      <c r="Y78" s="507">
        <f t="shared" ca="1" si="36"/>
        <v>0</v>
      </c>
      <c r="Z78" s="507">
        <f t="shared" ca="1" si="37"/>
        <v>0</v>
      </c>
      <c r="AA78" s="507">
        <f t="shared" ca="1" si="38"/>
        <v>0</v>
      </c>
      <c r="AB78" s="507">
        <f t="shared" ca="1" si="39"/>
        <v>0</v>
      </c>
      <c r="AC78" s="507">
        <f t="shared" ca="1" si="40"/>
        <v>0</v>
      </c>
      <c r="AD78" s="507">
        <f t="shared" ca="1" si="41"/>
        <v>0</v>
      </c>
      <c r="AE78" s="507">
        <f t="shared" ca="1" si="42"/>
        <v>0</v>
      </c>
      <c r="AF78" s="11">
        <f t="shared" ca="1" si="30"/>
        <v>0</v>
      </c>
      <c r="AI78" s="4">
        <v>146</v>
      </c>
      <c r="AJ78" s="5" t="s">
        <v>244</v>
      </c>
      <c r="AK78" s="5" t="s">
        <v>231</v>
      </c>
      <c r="AL78" s="5" t="s">
        <v>245</v>
      </c>
      <c r="AM78" s="5" t="s">
        <v>0</v>
      </c>
      <c r="AN78" s="5" t="s">
        <v>18</v>
      </c>
      <c r="AO78" s="5" t="s">
        <v>12</v>
      </c>
      <c r="AP78" s="5" t="s">
        <v>17</v>
      </c>
      <c r="AQ78" s="5" t="s">
        <v>139</v>
      </c>
      <c r="AR78" s="5" t="s">
        <v>18</v>
      </c>
      <c r="AS78" s="6"/>
      <c r="AU78" s="5"/>
      <c r="AV78" s="5"/>
      <c r="AW78" s="5"/>
      <c r="AX78" s="5"/>
      <c r="AY78" s="5"/>
      <c r="BA78" s="34"/>
      <c r="BB78" s="35"/>
      <c r="BC78" s="36"/>
      <c r="BE78" s="34"/>
      <c r="BF78" s="35"/>
      <c r="BG78" s="36"/>
      <c r="BI78" s="34"/>
      <c r="BJ78" s="35"/>
      <c r="BK78" s="36"/>
      <c r="BM78" s="34"/>
      <c r="BN78" s="35"/>
      <c r="BO78" s="36"/>
      <c r="BQ78" s="34"/>
      <c r="BR78" s="35"/>
      <c r="BS78" s="36"/>
      <c r="BU78" s="34"/>
      <c r="BV78" s="35"/>
      <c r="BW78" s="36"/>
      <c r="BY78" s="34"/>
      <c r="BZ78" s="35"/>
      <c r="CA78" s="36"/>
      <c r="CC78" s="34"/>
      <c r="CD78" s="35"/>
      <c r="CE78" s="36"/>
      <c r="CG78" s="34"/>
      <c r="CH78" s="35"/>
      <c r="CI78" s="36"/>
      <c r="CK78" s="34"/>
      <c r="CL78" s="35"/>
      <c r="CM78" s="36"/>
      <c r="CO78" s="34"/>
      <c r="CP78" s="35"/>
      <c r="CQ78" s="36"/>
      <c r="CS78" s="34"/>
      <c r="CT78" s="35"/>
      <c r="CU78" s="36"/>
    </row>
    <row r="79" spans="1:99">
      <c r="A79" s="727" t="s">
        <v>818</v>
      </c>
      <c r="B79" s="728" t="s">
        <v>4268</v>
      </c>
      <c r="C79" s="729">
        <v>44847.95</v>
      </c>
      <c r="F79" s="733" t="s">
        <v>1439</v>
      </c>
      <c r="G79" s="733"/>
      <c r="H79" s="733"/>
      <c r="I79" s="938" t="s">
        <v>2380</v>
      </c>
      <c r="J79" s="11">
        <f>+ERF!B35</f>
        <v>202390.76999999583</v>
      </c>
      <c r="R79" s="506"/>
      <c r="S79" s="506" t="s">
        <v>2759</v>
      </c>
      <c r="T79" s="507">
        <f t="shared" ca="1" si="31"/>
        <v>0</v>
      </c>
      <c r="U79" s="507">
        <f t="shared" ca="1" si="32"/>
        <v>0</v>
      </c>
      <c r="V79" s="507">
        <f t="shared" ca="1" si="33"/>
        <v>0</v>
      </c>
      <c r="W79" s="507">
        <f t="shared" ca="1" si="34"/>
        <v>0</v>
      </c>
      <c r="X79" s="507">
        <f t="shared" ca="1" si="35"/>
        <v>0</v>
      </c>
      <c r="Y79" s="507">
        <f t="shared" ca="1" si="36"/>
        <v>0</v>
      </c>
      <c r="Z79" s="507">
        <f t="shared" ca="1" si="37"/>
        <v>0</v>
      </c>
      <c r="AA79" s="507">
        <f t="shared" ca="1" si="38"/>
        <v>0</v>
      </c>
      <c r="AB79" s="507">
        <f t="shared" ca="1" si="39"/>
        <v>0</v>
      </c>
      <c r="AC79" s="507">
        <f t="shared" ca="1" si="40"/>
        <v>0</v>
      </c>
      <c r="AD79" s="507">
        <f t="shared" ca="1" si="41"/>
        <v>0</v>
      </c>
      <c r="AE79" s="507">
        <f t="shared" ca="1" si="42"/>
        <v>0</v>
      </c>
      <c r="AF79" s="11">
        <f t="shared" ca="1" si="30"/>
        <v>0</v>
      </c>
      <c r="AI79" s="4">
        <v>148</v>
      </c>
      <c r="AJ79" s="5" t="s">
        <v>246</v>
      </c>
      <c r="AK79" s="5" t="s">
        <v>231</v>
      </c>
      <c r="AL79" s="5" t="s">
        <v>247</v>
      </c>
      <c r="AM79" s="5" t="s">
        <v>0</v>
      </c>
      <c r="AN79" s="5" t="s">
        <v>18</v>
      </c>
      <c r="AO79" s="5" t="s">
        <v>12</v>
      </c>
      <c r="AP79" s="5" t="s">
        <v>17</v>
      </c>
      <c r="AQ79" s="5" t="s">
        <v>139</v>
      </c>
      <c r="AR79" s="5" t="s">
        <v>18</v>
      </c>
      <c r="AS79" s="6"/>
      <c r="AU79" s="5"/>
      <c r="AV79" s="5"/>
      <c r="AW79" s="5"/>
      <c r="AX79" s="5"/>
      <c r="AY79" s="5"/>
      <c r="BA79" s="34"/>
      <c r="BB79" s="35"/>
      <c r="BC79" s="36"/>
      <c r="BE79" s="34"/>
      <c r="BF79" s="35"/>
      <c r="BG79" s="36"/>
      <c r="BI79" s="34"/>
      <c r="BJ79" s="35"/>
      <c r="BK79" s="36"/>
      <c r="BM79" s="34"/>
      <c r="BN79" s="35"/>
      <c r="BO79" s="36"/>
      <c r="BQ79" s="34"/>
      <c r="BR79" s="35"/>
      <c r="BS79" s="36"/>
      <c r="BU79" s="34"/>
      <c r="BV79" s="35"/>
      <c r="BW79" s="36"/>
      <c r="BY79" s="34"/>
      <c r="BZ79" s="35"/>
      <c r="CA79" s="36"/>
      <c r="CC79" s="34"/>
      <c r="CD79" s="35"/>
      <c r="CE79" s="36"/>
      <c r="CG79" s="34"/>
      <c r="CH79" s="35"/>
      <c r="CI79" s="36"/>
      <c r="CK79" s="34"/>
      <c r="CL79" s="35"/>
      <c r="CM79" s="36"/>
      <c r="CO79" s="34"/>
      <c r="CP79" s="35"/>
      <c r="CQ79" s="36"/>
      <c r="CS79" s="34"/>
      <c r="CT79" s="35"/>
      <c r="CU79" s="36"/>
    </row>
    <row r="80" spans="1:99">
      <c r="A80" s="727" t="s">
        <v>821</v>
      </c>
      <c r="B80" s="728" t="s">
        <v>4278</v>
      </c>
      <c r="C80" s="729">
        <v>3300</v>
      </c>
      <c r="D80" s="11"/>
      <c r="E80" s="11"/>
      <c r="F80" s="733" t="s">
        <v>1440</v>
      </c>
      <c r="G80" s="733"/>
      <c r="H80" s="733"/>
      <c r="I80" s="938" t="s">
        <v>2381</v>
      </c>
      <c r="J80" s="11">
        <f ca="1">+'Pres A'!G317</f>
        <v>-3528729.0399999917</v>
      </c>
      <c r="R80" s="506"/>
      <c r="S80" s="506" t="s">
        <v>2314</v>
      </c>
      <c r="T80" s="507">
        <f t="shared" ca="1" si="31"/>
        <v>0</v>
      </c>
      <c r="U80" s="507">
        <f t="shared" ca="1" si="32"/>
        <v>0</v>
      </c>
      <c r="V80" s="507">
        <f t="shared" ca="1" si="33"/>
        <v>0</v>
      </c>
      <c r="W80" s="507">
        <f t="shared" ca="1" si="34"/>
        <v>0</v>
      </c>
      <c r="X80" s="507">
        <f t="shared" ca="1" si="35"/>
        <v>0</v>
      </c>
      <c r="Y80" s="507">
        <f t="shared" ca="1" si="36"/>
        <v>0</v>
      </c>
      <c r="Z80" s="507">
        <f t="shared" ca="1" si="37"/>
        <v>0</v>
      </c>
      <c r="AA80" s="507">
        <f t="shared" ca="1" si="38"/>
        <v>0</v>
      </c>
      <c r="AB80" s="507">
        <f t="shared" ca="1" si="39"/>
        <v>0</v>
      </c>
      <c r="AC80" s="507">
        <f t="shared" ca="1" si="40"/>
        <v>0</v>
      </c>
      <c r="AD80" s="507">
        <f t="shared" ca="1" si="41"/>
        <v>0</v>
      </c>
      <c r="AE80" s="507">
        <f t="shared" ca="1" si="42"/>
        <v>0</v>
      </c>
      <c r="AF80" s="11">
        <f t="shared" ca="1" si="30"/>
        <v>0</v>
      </c>
      <c r="AI80" s="4">
        <v>150</v>
      </c>
      <c r="AJ80" s="5" t="s">
        <v>248</v>
      </c>
      <c r="AK80" s="5" t="s">
        <v>231</v>
      </c>
      <c r="AL80" s="5" t="s">
        <v>249</v>
      </c>
      <c r="AM80" s="5" t="s">
        <v>0</v>
      </c>
      <c r="AN80" s="5" t="s">
        <v>18</v>
      </c>
      <c r="AO80" s="5" t="s">
        <v>12</v>
      </c>
      <c r="AP80" s="5" t="s">
        <v>17</v>
      </c>
      <c r="AQ80" s="5" t="s">
        <v>139</v>
      </c>
      <c r="AR80" s="5" t="s">
        <v>18</v>
      </c>
      <c r="AS80" s="6"/>
      <c r="AU80" s="5"/>
      <c r="AV80" s="5"/>
      <c r="AW80" s="5"/>
      <c r="AX80" s="5"/>
      <c r="AY80" s="5"/>
      <c r="BA80" s="34"/>
      <c r="BB80" s="35"/>
      <c r="BC80" s="36"/>
      <c r="BE80" s="34"/>
      <c r="BF80" s="35"/>
      <c r="BG80" s="36"/>
      <c r="BI80" s="34"/>
      <c r="BJ80" s="35"/>
      <c r="BK80" s="36"/>
      <c r="BM80" s="34"/>
      <c r="BN80" s="35"/>
      <c r="BO80" s="36"/>
      <c r="BQ80" s="34"/>
      <c r="BR80" s="35"/>
      <c r="BS80" s="36"/>
      <c r="BU80" s="34"/>
      <c r="BV80" s="35"/>
      <c r="BW80" s="36"/>
      <c r="BY80" s="34"/>
      <c r="BZ80" s="35"/>
      <c r="CA80" s="36"/>
      <c r="CC80" s="34"/>
      <c r="CD80" s="35"/>
      <c r="CE80" s="36"/>
      <c r="CG80" s="34"/>
      <c r="CH80" s="35"/>
      <c r="CI80" s="36"/>
      <c r="CK80" s="34"/>
      <c r="CL80" s="34"/>
      <c r="CM80" s="36"/>
      <c r="CO80" s="34"/>
      <c r="CP80" s="35"/>
      <c r="CQ80" s="36"/>
      <c r="CS80" s="34"/>
      <c r="CT80" s="35"/>
      <c r="CU80" s="36"/>
    </row>
    <row r="81" spans="1:99">
      <c r="A81" s="727" t="s">
        <v>827</v>
      </c>
      <c r="B81" s="728" t="s">
        <v>2306</v>
      </c>
      <c r="C81" s="729">
        <v>73066.22</v>
      </c>
      <c r="D81" s="11"/>
      <c r="F81" s="733" t="s">
        <v>1441</v>
      </c>
      <c r="G81" s="733"/>
      <c r="H81" s="733"/>
      <c r="I81" s="937" t="str">
        <f>+I77</f>
        <v>Diferencia</v>
      </c>
      <c r="J81" s="24">
        <f ca="1">+J79-J80</f>
        <v>3731119.8099999875</v>
      </c>
      <c r="K81" s="11"/>
      <c r="R81" s="506"/>
      <c r="S81" s="506" t="s">
        <v>2768</v>
      </c>
      <c r="T81" s="507">
        <f t="shared" ca="1" si="31"/>
        <v>0</v>
      </c>
      <c r="U81" s="507">
        <f t="shared" ca="1" si="32"/>
        <v>0</v>
      </c>
      <c r="V81" s="507">
        <f t="shared" ca="1" si="33"/>
        <v>0</v>
      </c>
      <c r="W81" s="507">
        <f t="shared" ca="1" si="34"/>
        <v>0</v>
      </c>
      <c r="X81" s="507">
        <f t="shared" ca="1" si="35"/>
        <v>0</v>
      </c>
      <c r="Y81" s="507">
        <f t="shared" ca="1" si="36"/>
        <v>0</v>
      </c>
      <c r="Z81" s="507">
        <f t="shared" ca="1" si="37"/>
        <v>0</v>
      </c>
      <c r="AA81" s="507">
        <f t="shared" ca="1" si="38"/>
        <v>0</v>
      </c>
      <c r="AB81" s="507">
        <f t="shared" ca="1" si="39"/>
        <v>0</v>
      </c>
      <c r="AC81" s="507">
        <f t="shared" ca="1" si="40"/>
        <v>0</v>
      </c>
      <c r="AD81" s="507">
        <f t="shared" ca="1" si="41"/>
        <v>0</v>
      </c>
      <c r="AE81" s="507">
        <f t="shared" ca="1" si="42"/>
        <v>0</v>
      </c>
      <c r="AF81" s="11">
        <f t="shared" ca="1" si="30"/>
        <v>0</v>
      </c>
      <c r="AI81" s="4">
        <v>152</v>
      </c>
      <c r="AJ81" s="5" t="s">
        <v>252</v>
      </c>
      <c r="AK81" s="5" t="s">
        <v>250</v>
      </c>
      <c r="AL81" s="5" t="s">
        <v>253</v>
      </c>
      <c r="AM81" s="5" t="s">
        <v>0</v>
      </c>
      <c r="AN81" s="5" t="s">
        <v>18</v>
      </c>
      <c r="AO81" s="5" t="s">
        <v>12</v>
      </c>
      <c r="AP81" s="5" t="s">
        <v>17</v>
      </c>
      <c r="AQ81" s="5" t="s">
        <v>139</v>
      </c>
      <c r="AR81" s="5" t="s">
        <v>18</v>
      </c>
      <c r="AS81" s="6"/>
      <c r="AU81" s="5"/>
      <c r="AV81" s="5"/>
      <c r="AW81" s="5"/>
      <c r="AX81" s="5"/>
      <c r="AY81" s="5"/>
      <c r="BA81" s="34"/>
      <c r="BB81" s="35"/>
      <c r="BC81" s="36"/>
      <c r="BE81" s="34"/>
      <c r="BF81" s="35"/>
      <c r="BG81" s="36"/>
      <c r="BI81" s="34"/>
      <c r="BJ81" s="35"/>
      <c r="BK81" s="36"/>
      <c r="BM81" s="34"/>
      <c r="BN81" s="35"/>
      <c r="BO81" s="36"/>
      <c r="BQ81" s="34"/>
      <c r="BR81" s="35"/>
      <c r="BS81" s="36"/>
      <c r="BU81" s="34"/>
      <c r="BV81" s="35"/>
      <c r="BW81" s="36"/>
      <c r="BY81" s="34"/>
      <c r="BZ81" s="35"/>
      <c r="CA81" s="36"/>
      <c r="CC81" s="34"/>
      <c r="CD81" s="35"/>
      <c r="CE81" s="36"/>
      <c r="CG81" s="34"/>
      <c r="CH81" s="35"/>
      <c r="CI81" s="36"/>
      <c r="CK81" s="34"/>
      <c r="CL81" s="34"/>
      <c r="CM81" s="36"/>
      <c r="CO81" s="34"/>
      <c r="CP81" s="35"/>
      <c r="CQ81" s="36"/>
      <c r="CS81" s="34"/>
      <c r="CT81" s="35"/>
      <c r="CU81" s="36"/>
    </row>
    <row r="82" spans="1:99">
      <c r="A82" s="1787" t="s">
        <v>833</v>
      </c>
      <c r="B82" s="728" t="s">
        <v>2307</v>
      </c>
      <c r="C82" s="729">
        <v>-1543061.7400000002</v>
      </c>
      <c r="F82" s="733" t="s">
        <v>1410</v>
      </c>
      <c r="G82" s="733"/>
      <c r="H82" s="733"/>
      <c r="I82" s="23"/>
      <c r="J82" s="24">
        <f ca="1">+J77-J81</f>
        <v>866210.50000001211</v>
      </c>
      <c r="R82" s="506"/>
      <c r="S82" s="506" t="s">
        <v>2344</v>
      </c>
      <c r="T82" s="507">
        <f t="shared" ca="1" si="31"/>
        <v>0</v>
      </c>
      <c r="U82" s="507">
        <f t="shared" ca="1" si="32"/>
        <v>1000</v>
      </c>
      <c r="V82" s="507">
        <f t="shared" ca="1" si="33"/>
        <v>0</v>
      </c>
      <c r="W82" s="507">
        <f t="shared" ca="1" si="34"/>
        <v>0</v>
      </c>
      <c r="X82" s="507">
        <f t="shared" ca="1" si="35"/>
        <v>0</v>
      </c>
      <c r="Y82" s="507">
        <f t="shared" ca="1" si="36"/>
        <v>0</v>
      </c>
      <c r="Z82" s="507">
        <f t="shared" ca="1" si="37"/>
        <v>0</v>
      </c>
      <c r="AA82" s="507">
        <f t="shared" ca="1" si="38"/>
        <v>0</v>
      </c>
      <c r="AB82" s="507">
        <f t="shared" ca="1" si="39"/>
        <v>0</v>
      </c>
      <c r="AC82" s="507">
        <f t="shared" ca="1" si="40"/>
        <v>0</v>
      </c>
      <c r="AD82" s="507">
        <f t="shared" ca="1" si="41"/>
        <v>0</v>
      </c>
      <c r="AE82" s="507">
        <f t="shared" ca="1" si="42"/>
        <v>0</v>
      </c>
      <c r="AF82" s="11">
        <f t="shared" ca="1" si="30"/>
        <v>1000</v>
      </c>
      <c r="AI82" s="4">
        <v>154</v>
      </c>
      <c r="AJ82" s="5" t="s">
        <v>254</v>
      </c>
      <c r="AK82" s="5" t="s">
        <v>250</v>
      </c>
      <c r="AL82" s="5" t="s">
        <v>255</v>
      </c>
      <c r="AM82" s="5" t="s">
        <v>0</v>
      </c>
      <c r="AN82" s="5" t="s">
        <v>18</v>
      </c>
      <c r="AO82" s="5" t="s">
        <v>12</v>
      </c>
      <c r="AP82" s="5" t="s">
        <v>17</v>
      </c>
      <c r="AQ82" s="5" t="s">
        <v>139</v>
      </c>
      <c r="AR82" s="5" t="s">
        <v>18</v>
      </c>
      <c r="AS82" s="6"/>
      <c r="AU82" s="5"/>
      <c r="AV82" s="5"/>
      <c r="AW82" s="5"/>
      <c r="AX82" s="5"/>
      <c r="AY82" s="5"/>
      <c r="BA82" s="34"/>
      <c r="BB82" s="35"/>
      <c r="BC82" s="36"/>
      <c r="BE82" s="34"/>
      <c r="BF82" s="35"/>
      <c r="BG82" s="36"/>
      <c r="BI82" s="34"/>
      <c r="BJ82" s="35"/>
      <c r="BK82" s="36"/>
      <c r="BM82" s="34"/>
      <c r="BN82" s="35"/>
      <c r="BO82" s="36"/>
      <c r="BQ82" s="34"/>
      <c r="BR82" s="35"/>
      <c r="BS82" s="36"/>
      <c r="BU82" s="34"/>
      <c r="BV82" s="35"/>
      <c r="BW82" s="36"/>
      <c r="BY82" s="34"/>
      <c r="BZ82" s="35"/>
      <c r="CA82" s="36"/>
      <c r="CC82" s="34"/>
      <c r="CD82" s="35"/>
      <c r="CE82" s="36"/>
      <c r="CG82" s="34"/>
      <c r="CH82" s="35"/>
      <c r="CI82" s="36"/>
      <c r="CK82" s="34"/>
      <c r="CL82" s="34"/>
      <c r="CM82" s="36"/>
      <c r="CO82" s="34"/>
      <c r="CP82" s="35"/>
      <c r="CQ82" s="36"/>
      <c r="CS82" s="34"/>
      <c r="CT82" s="35"/>
      <c r="CU82" s="36"/>
    </row>
    <row r="83" spans="1:99">
      <c r="A83" s="727" t="s">
        <v>833</v>
      </c>
      <c r="B83" s="728" t="s">
        <v>2307</v>
      </c>
      <c r="C83" s="729">
        <v>8565</v>
      </c>
      <c r="F83" s="733" t="s">
        <v>1411</v>
      </c>
      <c r="G83" s="733">
        <f>+'4'!N23</f>
        <v>0</v>
      </c>
      <c r="H83" s="733">
        <f>+BALANZA!CK73</f>
        <v>0</v>
      </c>
      <c r="K83" s="11">
        <f>+G75-C96</f>
        <v>-436630.20999999996</v>
      </c>
      <c r="R83" s="506" t="s">
        <v>739</v>
      </c>
      <c r="S83" s="506" t="s">
        <v>2781</v>
      </c>
      <c r="T83" s="507">
        <f t="shared" ca="1" si="31"/>
        <v>0</v>
      </c>
      <c r="U83" s="507">
        <f t="shared" ca="1" si="32"/>
        <v>0</v>
      </c>
      <c r="V83" s="507">
        <f t="shared" ca="1" si="33"/>
        <v>0</v>
      </c>
      <c r="W83" s="507">
        <f t="shared" ca="1" si="34"/>
        <v>0</v>
      </c>
      <c r="X83" s="507">
        <f t="shared" ca="1" si="35"/>
        <v>0</v>
      </c>
      <c r="Y83" s="507">
        <f t="shared" ca="1" si="36"/>
        <v>0</v>
      </c>
      <c r="Z83" s="507">
        <f t="shared" ca="1" si="37"/>
        <v>0</v>
      </c>
      <c r="AA83" s="507">
        <f t="shared" ca="1" si="38"/>
        <v>0</v>
      </c>
      <c r="AB83" s="507">
        <f t="shared" ca="1" si="39"/>
        <v>0</v>
      </c>
      <c r="AC83" s="507">
        <f t="shared" ca="1" si="40"/>
        <v>0</v>
      </c>
      <c r="AD83" s="507">
        <f t="shared" ca="1" si="41"/>
        <v>0</v>
      </c>
      <c r="AE83" s="507">
        <f t="shared" ca="1" si="42"/>
        <v>0</v>
      </c>
      <c r="AF83" s="11">
        <f t="shared" ca="1" si="30"/>
        <v>0</v>
      </c>
      <c r="AI83" s="4">
        <v>156</v>
      </c>
      <c r="AJ83" s="5" t="s">
        <v>256</v>
      </c>
      <c r="AK83" s="5" t="s">
        <v>250</v>
      </c>
      <c r="AL83" s="5" t="s">
        <v>257</v>
      </c>
      <c r="AM83" s="5" t="s">
        <v>0</v>
      </c>
      <c r="AN83" s="5" t="s">
        <v>18</v>
      </c>
      <c r="AO83" s="5" t="s">
        <v>12</v>
      </c>
      <c r="AP83" s="5" t="s">
        <v>17</v>
      </c>
      <c r="AQ83" s="5" t="s">
        <v>139</v>
      </c>
      <c r="AR83" s="5" t="s">
        <v>18</v>
      </c>
      <c r="AS83" s="6"/>
      <c r="AU83" s="5"/>
      <c r="AV83" s="5"/>
      <c r="AW83" s="5"/>
      <c r="AX83" s="5"/>
      <c r="AY83" s="5"/>
      <c r="BA83" s="34"/>
      <c r="BB83" s="35"/>
      <c r="BC83" s="36"/>
      <c r="BE83" s="34"/>
      <c r="BF83" s="35"/>
      <c r="BG83" s="36"/>
      <c r="BI83" s="34"/>
      <c r="BJ83" s="35"/>
      <c r="BK83" s="36"/>
      <c r="BM83" s="34"/>
      <c r="BN83" s="35"/>
      <c r="BO83" s="36"/>
      <c r="BQ83" s="34"/>
      <c r="BR83" s="35"/>
      <c r="BS83" s="36"/>
      <c r="BU83" s="34"/>
      <c r="BV83" s="35"/>
      <c r="BW83" s="36"/>
      <c r="BY83" s="34"/>
      <c r="BZ83" s="35"/>
      <c r="CA83" s="36"/>
      <c r="CC83" s="34"/>
      <c r="CD83" s="35"/>
      <c r="CE83" s="36"/>
      <c r="CG83" s="34"/>
      <c r="CH83" s="35"/>
      <c r="CI83" s="36"/>
      <c r="CK83" s="34"/>
      <c r="CL83" s="34"/>
      <c r="CM83" s="36"/>
      <c r="CO83" s="34"/>
      <c r="CP83" s="35"/>
      <c r="CQ83" s="36"/>
      <c r="CS83" s="34"/>
      <c r="CT83" s="35"/>
      <c r="CU83" s="36"/>
    </row>
    <row r="84" spans="1:99">
      <c r="A84" s="727" t="s">
        <v>3917</v>
      </c>
      <c r="B84" s="728" t="s">
        <v>4269</v>
      </c>
      <c r="C84" s="729">
        <v>4625</v>
      </c>
      <c r="F84" s="733" t="s">
        <v>1412</v>
      </c>
      <c r="G84" s="733">
        <f>+'4'!O23</f>
        <v>0</v>
      </c>
      <c r="H84" s="733"/>
      <c r="J84" s="11"/>
      <c r="R84" s="506"/>
      <c r="S84" s="506" t="s">
        <v>2313</v>
      </c>
      <c r="T84" s="507">
        <f t="shared" ca="1" si="31"/>
        <v>0</v>
      </c>
      <c r="U84" s="507">
        <f t="shared" ca="1" si="32"/>
        <v>0</v>
      </c>
      <c r="V84" s="507">
        <f t="shared" ca="1" si="33"/>
        <v>0</v>
      </c>
      <c r="W84" s="507">
        <f t="shared" ca="1" si="34"/>
        <v>0</v>
      </c>
      <c r="X84" s="507">
        <f t="shared" ca="1" si="35"/>
        <v>0</v>
      </c>
      <c r="Y84" s="507">
        <f t="shared" ca="1" si="36"/>
        <v>0</v>
      </c>
      <c r="Z84" s="507">
        <f t="shared" ca="1" si="37"/>
        <v>0</v>
      </c>
      <c r="AA84" s="507">
        <f t="shared" ca="1" si="38"/>
        <v>0</v>
      </c>
      <c r="AB84" s="507">
        <f t="shared" ca="1" si="39"/>
        <v>0</v>
      </c>
      <c r="AC84" s="507">
        <f t="shared" ca="1" si="40"/>
        <v>0</v>
      </c>
      <c r="AD84" s="507">
        <f t="shared" ca="1" si="41"/>
        <v>0</v>
      </c>
      <c r="AE84" s="507">
        <f t="shared" ca="1" si="42"/>
        <v>0</v>
      </c>
      <c r="AF84" s="11">
        <f t="shared" ca="1" si="30"/>
        <v>0</v>
      </c>
      <c r="AI84" s="4">
        <v>158</v>
      </c>
      <c r="AJ84" s="5" t="s">
        <v>258</v>
      </c>
      <c r="AK84" s="5" t="s">
        <v>250</v>
      </c>
      <c r="AL84" s="5" t="s">
        <v>259</v>
      </c>
      <c r="AM84" s="5" t="s">
        <v>0</v>
      </c>
      <c r="AN84" s="5" t="s">
        <v>18</v>
      </c>
      <c r="AO84" s="5" t="s">
        <v>12</v>
      </c>
      <c r="AP84" s="5" t="s">
        <v>17</v>
      </c>
      <c r="AQ84" s="5" t="s">
        <v>139</v>
      </c>
      <c r="AR84" s="5" t="s">
        <v>18</v>
      </c>
      <c r="AS84" s="6"/>
      <c r="AU84" s="5"/>
      <c r="AV84" s="5"/>
      <c r="AW84" s="5"/>
      <c r="AX84" s="5"/>
      <c r="AY84" s="5"/>
      <c r="BA84" s="34"/>
      <c r="BB84" s="35"/>
      <c r="BC84" s="36"/>
      <c r="BE84" s="34"/>
      <c r="BF84" s="35"/>
      <c r="BG84" s="36"/>
      <c r="BI84" s="34"/>
      <c r="BJ84" s="35"/>
      <c r="BK84" s="36"/>
      <c r="BM84" s="34"/>
      <c r="BN84" s="35"/>
      <c r="BO84" s="36"/>
      <c r="BQ84" s="34"/>
      <c r="BR84" s="35"/>
      <c r="BS84" s="36"/>
      <c r="BU84" s="34"/>
      <c r="BV84" s="35"/>
      <c r="BW84" s="36"/>
      <c r="BY84" s="34"/>
      <c r="BZ84" s="35"/>
      <c r="CA84" s="36"/>
      <c r="CC84" s="34"/>
      <c r="CD84" s="35"/>
      <c r="CE84" s="36"/>
      <c r="CG84" s="34"/>
      <c r="CH84" s="35"/>
      <c r="CI84" s="36"/>
      <c r="CK84" s="34"/>
      <c r="CL84" s="35"/>
      <c r="CM84" s="36"/>
      <c r="CO84" s="34"/>
      <c r="CP84" s="35"/>
      <c r="CQ84" s="36"/>
      <c r="CS84" s="34"/>
      <c r="CT84" s="35"/>
      <c r="CU84" s="36"/>
    </row>
    <row r="85" spans="1:99">
      <c r="A85" s="727" t="s">
        <v>209</v>
      </c>
      <c r="B85" s="728" t="s">
        <v>4194</v>
      </c>
      <c r="C85" s="729">
        <v>-52140</v>
      </c>
      <c r="F85" s="733" t="s">
        <v>1418</v>
      </c>
      <c r="G85" s="733"/>
      <c r="H85" s="733"/>
      <c r="J85" s="11"/>
      <c r="K85">
        <v>900</v>
      </c>
      <c r="R85" s="506"/>
      <c r="S85" s="506" t="s">
        <v>2252</v>
      </c>
      <c r="T85" s="507">
        <f t="shared" ca="1" si="31"/>
        <v>0</v>
      </c>
      <c r="U85" s="507">
        <f t="shared" ca="1" si="32"/>
        <v>0</v>
      </c>
      <c r="V85" s="507">
        <f t="shared" ca="1" si="33"/>
        <v>0</v>
      </c>
      <c r="W85" s="507">
        <f t="shared" ca="1" si="34"/>
        <v>0</v>
      </c>
      <c r="X85" s="507">
        <f t="shared" ca="1" si="35"/>
        <v>0</v>
      </c>
      <c r="Y85" s="507">
        <f t="shared" ca="1" si="36"/>
        <v>0</v>
      </c>
      <c r="Z85" s="507">
        <f t="shared" ca="1" si="37"/>
        <v>0</v>
      </c>
      <c r="AA85" s="507">
        <f t="shared" ca="1" si="38"/>
        <v>0</v>
      </c>
      <c r="AB85" s="507">
        <f t="shared" ca="1" si="39"/>
        <v>0</v>
      </c>
      <c r="AC85" s="507">
        <f t="shared" ca="1" si="40"/>
        <v>0</v>
      </c>
      <c r="AD85" s="507">
        <f t="shared" ca="1" si="41"/>
        <v>0</v>
      </c>
      <c r="AE85" s="507">
        <f t="shared" ca="1" si="42"/>
        <v>0</v>
      </c>
      <c r="AF85" s="11">
        <f t="shared" ca="1" si="30"/>
        <v>0</v>
      </c>
      <c r="AI85" s="4">
        <v>160</v>
      </c>
      <c r="AJ85" s="5" t="s">
        <v>260</v>
      </c>
      <c r="AK85" s="5" t="s">
        <v>250</v>
      </c>
      <c r="AL85" s="5" t="s">
        <v>261</v>
      </c>
      <c r="AM85" s="5" t="s">
        <v>0</v>
      </c>
      <c r="AN85" s="5" t="s">
        <v>18</v>
      </c>
      <c r="AO85" s="5" t="s">
        <v>12</v>
      </c>
      <c r="AP85" s="5" t="s">
        <v>17</v>
      </c>
      <c r="AQ85" s="5" t="s">
        <v>139</v>
      </c>
      <c r="AR85" s="5" t="s">
        <v>18</v>
      </c>
      <c r="AS85" s="6"/>
      <c r="AU85" s="5"/>
      <c r="AV85" s="5"/>
      <c r="AW85" s="5"/>
      <c r="AX85" s="5"/>
      <c r="AY85" s="5"/>
      <c r="BA85" s="34"/>
      <c r="BB85" s="35"/>
      <c r="BC85" s="36"/>
      <c r="BE85" s="34"/>
      <c r="BF85" s="35"/>
      <c r="BG85" s="36"/>
      <c r="BI85" s="34"/>
      <c r="BJ85" s="35"/>
      <c r="BK85" s="36"/>
      <c r="BM85" s="34"/>
      <c r="BN85" s="35"/>
      <c r="BO85" s="36"/>
      <c r="BQ85" s="34"/>
      <c r="BR85" s="35"/>
      <c r="BS85" s="36"/>
      <c r="BU85" s="34"/>
      <c r="BV85" s="35"/>
      <c r="BW85" s="36"/>
      <c r="BY85" s="34"/>
      <c r="BZ85" s="35"/>
      <c r="CA85" s="36"/>
      <c r="CC85" s="34"/>
      <c r="CD85" s="35"/>
      <c r="CE85" s="36"/>
      <c r="CG85" s="34"/>
      <c r="CH85" s="35"/>
      <c r="CI85" s="36"/>
      <c r="CK85" s="34"/>
      <c r="CL85" s="35"/>
      <c r="CM85" s="36"/>
      <c r="CO85" s="34"/>
      <c r="CP85" s="35"/>
      <c r="CQ85" s="36"/>
      <c r="CS85" s="34"/>
      <c r="CT85" s="35"/>
      <c r="CU85" s="36"/>
    </row>
    <row r="86" spans="1:99">
      <c r="A86" s="727" t="s">
        <v>176</v>
      </c>
      <c r="B86" s="728" t="s">
        <v>2861</v>
      </c>
      <c r="C86" s="729">
        <v>5541311.1799999997</v>
      </c>
      <c r="F86" s="924">
        <f>+H48</f>
        <v>15776376.33</v>
      </c>
      <c r="G86" s="924">
        <f>SUM(G73:G85)</f>
        <v>-909971.41999999993</v>
      </c>
      <c r="H86" s="924">
        <f>SUM(H73:H85)</f>
        <v>-436630.20999999996</v>
      </c>
      <c r="I86" s="11"/>
      <c r="J86" s="11">
        <v>909971.41999999993</v>
      </c>
      <c r="K86">
        <v>12</v>
      </c>
      <c r="R86" s="506"/>
      <c r="S86" s="506" t="s">
        <v>2798</v>
      </c>
      <c r="T86" s="507">
        <f t="shared" ca="1" si="31"/>
        <v>0</v>
      </c>
      <c r="U86" s="507">
        <f t="shared" ca="1" si="32"/>
        <v>0</v>
      </c>
      <c r="V86" s="507">
        <f t="shared" ca="1" si="33"/>
        <v>0</v>
      </c>
      <c r="W86" s="507">
        <f t="shared" ca="1" si="34"/>
        <v>0</v>
      </c>
      <c r="X86" s="507">
        <f t="shared" ca="1" si="35"/>
        <v>0</v>
      </c>
      <c r="Y86" s="507">
        <f t="shared" ca="1" si="36"/>
        <v>0</v>
      </c>
      <c r="Z86" s="507">
        <f t="shared" ca="1" si="37"/>
        <v>0</v>
      </c>
      <c r="AA86" s="507">
        <f t="shared" ca="1" si="38"/>
        <v>0</v>
      </c>
      <c r="AB86" s="507">
        <f t="shared" ca="1" si="39"/>
        <v>0</v>
      </c>
      <c r="AC86" s="507">
        <f t="shared" ca="1" si="40"/>
        <v>0</v>
      </c>
      <c r="AD86" s="507">
        <f t="shared" ca="1" si="41"/>
        <v>0</v>
      </c>
      <c r="AE86" s="507">
        <f t="shared" ca="1" si="42"/>
        <v>0</v>
      </c>
      <c r="AF86" s="11">
        <f t="shared" ca="1" si="30"/>
        <v>0</v>
      </c>
      <c r="AI86" s="4">
        <v>162</v>
      </c>
      <c r="AJ86" s="5" t="s">
        <v>262</v>
      </c>
      <c r="AK86" s="5" t="s">
        <v>250</v>
      </c>
      <c r="AL86" s="5" t="s">
        <v>263</v>
      </c>
      <c r="AM86" s="5" t="s">
        <v>0</v>
      </c>
      <c r="AN86" s="5" t="s">
        <v>18</v>
      </c>
      <c r="AO86" s="5" t="s">
        <v>12</v>
      </c>
      <c r="AP86" s="5" t="s">
        <v>17</v>
      </c>
      <c r="AQ86" s="5" t="s">
        <v>139</v>
      </c>
      <c r="AR86" s="5" t="s">
        <v>18</v>
      </c>
      <c r="AS86" s="6"/>
      <c r="AU86" s="5"/>
      <c r="AV86" s="5"/>
      <c r="AW86" s="5"/>
      <c r="AX86" s="5"/>
      <c r="AY86" s="5"/>
      <c r="BA86" s="34"/>
      <c r="BB86" s="35"/>
      <c r="BC86" s="36"/>
      <c r="BE86" s="34"/>
      <c r="BF86" s="35"/>
      <c r="BG86" s="36"/>
      <c r="BI86" s="34"/>
      <c r="BJ86" s="35"/>
      <c r="BK86" s="36"/>
      <c r="BM86" s="34"/>
      <c r="BN86" s="35"/>
      <c r="BO86" s="36"/>
      <c r="BQ86" s="34"/>
      <c r="BR86" s="35"/>
      <c r="BS86" s="36"/>
      <c r="BU86" s="34"/>
      <c r="BV86" s="35"/>
      <c r="BW86" s="36"/>
      <c r="BY86" s="34"/>
      <c r="BZ86" s="35"/>
      <c r="CA86" s="36"/>
      <c r="CC86" s="34"/>
      <c r="CD86" s="35"/>
      <c r="CE86" s="36"/>
      <c r="CG86" s="34"/>
      <c r="CH86" s="35"/>
      <c r="CI86" s="36"/>
      <c r="CK86" s="34"/>
      <c r="CL86" s="35"/>
      <c r="CM86" s="36"/>
      <c r="CO86" s="34"/>
      <c r="CP86" s="35"/>
      <c r="CQ86" s="36"/>
      <c r="CS86" s="34"/>
      <c r="CT86" s="35"/>
      <c r="CU86" s="36"/>
    </row>
    <row r="87" spans="1:99">
      <c r="A87" s="727"/>
      <c r="B87" s="728"/>
      <c r="C87" s="729"/>
      <c r="F87" s="733"/>
      <c r="G87" s="733">
        <f>+F86+G86</f>
        <v>14866404.91</v>
      </c>
      <c r="H87" s="733"/>
      <c r="J87" s="11">
        <f>+J86+G86</f>
        <v>0</v>
      </c>
      <c r="K87">
        <f>+K85/K86</f>
        <v>75</v>
      </c>
      <c r="R87" s="506"/>
      <c r="S87" s="506" t="s">
        <v>2797</v>
      </c>
      <c r="T87" s="507">
        <f t="shared" ca="1" si="31"/>
        <v>0</v>
      </c>
      <c r="U87" s="507">
        <f t="shared" ca="1" si="32"/>
        <v>0</v>
      </c>
      <c r="V87" s="507">
        <f t="shared" ca="1" si="33"/>
        <v>0</v>
      </c>
      <c r="W87" s="507">
        <f t="shared" ca="1" si="34"/>
        <v>0</v>
      </c>
      <c r="X87" s="507">
        <f t="shared" ca="1" si="35"/>
        <v>0</v>
      </c>
      <c r="Y87" s="507">
        <f t="shared" ca="1" si="36"/>
        <v>0</v>
      </c>
      <c r="Z87" s="507">
        <f t="shared" ca="1" si="37"/>
        <v>0</v>
      </c>
      <c r="AA87" s="507">
        <f t="shared" ca="1" si="38"/>
        <v>0</v>
      </c>
      <c r="AB87" s="507">
        <f t="shared" ca="1" si="39"/>
        <v>0</v>
      </c>
      <c r="AC87" s="507">
        <f t="shared" ca="1" si="40"/>
        <v>0</v>
      </c>
      <c r="AD87" s="507">
        <f t="shared" ca="1" si="41"/>
        <v>0</v>
      </c>
      <c r="AE87" s="507">
        <f t="shared" ca="1" si="42"/>
        <v>0</v>
      </c>
      <c r="AF87" s="11">
        <f t="shared" ca="1" si="30"/>
        <v>0</v>
      </c>
      <c r="AI87" s="4">
        <v>164</v>
      </c>
      <c r="AJ87" s="5" t="s">
        <v>264</v>
      </c>
      <c r="AK87" s="5" t="s">
        <v>250</v>
      </c>
      <c r="AL87" s="5" t="s">
        <v>265</v>
      </c>
      <c r="AM87" s="5" t="s">
        <v>0</v>
      </c>
      <c r="AN87" s="5" t="s">
        <v>18</v>
      </c>
      <c r="AO87" s="5" t="s">
        <v>12</v>
      </c>
      <c r="AP87" s="5" t="s">
        <v>17</v>
      </c>
      <c r="AQ87" s="5" t="s">
        <v>139</v>
      </c>
      <c r="AR87" s="5" t="s">
        <v>18</v>
      </c>
      <c r="AS87" s="6"/>
      <c r="AU87" s="5"/>
      <c r="AV87" s="5"/>
      <c r="AW87" s="5"/>
      <c r="AX87" s="5"/>
      <c r="AY87" s="5"/>
      <c r="BA87" s="34"/>
      <c r="BB87" s="35"/>
      <c r="BC87" s="36"/>
      <c r="BE87" s="34"/>
      <c r="BF87" s="35"/>
      <c r="BG87" s="36"/>
      <c r="BI87" s="34"/>
      <c r="BJ87" s="35"/>
      <c r="BK87" s="36"/>
      <c r="BM87" s="34"/>
      <c r="BN87" s="35"/>
      <c r="BO87" s="36"/>
      <c r="BQ87" s="34"/>
      <c r="BR87" s="35"/>
      <c r="BS87" s="36"/>
      <c r="BU87" s="34"/>
      <c r="BV87" s="35"/>
      <c r="BW87" s="36"/>
      <c r="BY87" s="34"/>
      <c r="BZ87" s="35"/>
      <c r="CA87" s="36"/>
      <c r="CC87" s="34"/>
      <c r="CD87" s="35"/>
      <c r="CE87" s="36"/>
      <c r="CG87" s="34"/>
      <c r="CH87" s="35"/>
      <c r="CI87" s="36"/>
      <c r="CK87" s="34"/>
      <c r="CL87" s="35"/>
      <c r="CM87" s="36"/>
      <c r="CO87" s="34"/>
      <c r="CP87" s="35"/>
      <c r="CQ87" s="36"/>
      <c r="CS87" s="34"/>
      <c r="CT87" s="35"/>
      <c r="CU87" s="36"/>
    </row>
    <row r="88" spans="1:99">
      <c r="A88" s="727"/>
      <c r="B88" s="728"/>
      <c r="C88" s="729"/>
      <c r="D88" s="11"/>
      <c r="E88" s="11"/>
      <c r="J88" s="11"/>
      <c r="K88" s="11"/>
      <c r="R88" s="506"/>
      <c r="S88" s="506" t="s">
        <v>2796</v>
      </c>
      <c r="T88" s="507">
        <f t="shared" ca="1" si="31"/>
        <v>0</v>
      </c>
      <c r="U88" s="507">
        <f t="shared" ca="1" si="32"/>
        <v>0</v>
      </c>
      <c r="V88" s="507">
        <f t="shared" ca="1" si="33"/>
        <v>0</v>
      </c>
      <c r="W88" s="507">
        <f t="shared" ca="1" si="34"/>
        <v>0</v>
      </c>
      <c r="X88" s="507">
        <f t="shared" ca="1" si="35"/>
        <v>0</v>
      </c>
      <c r="Y88" s="507">
        <f t="shared" ca="1" si="36"/>
        <v>0</v>
      </c>
      <c r="Z88" s="507">
        <f t="shared" ca="1" si="37"/>
        <v>0</v>
      </c>
      <c r="AA88" s="507">
        <f t="shared" ca="1" si="38"/>
        <v>0</v>
      </c>
      <c r="AB88" s="507">
        <f t="shared" ca="1" si="39"/>
        <v>0</v>
      </c>
      <c r="AC88" s="507">
        <f t="shared" ca="1" si="40"/>
        <v>0</v>
      </c>
      <c r="AD88" s="507">
        <f t="shared" ca="1" si="41"/>
        <v>0</v>
      </c>
      <c r="AE88" s="507">
        <f t="shared" ca="1" si="42"/>
        <v>0</v>
      </c>
      <c r="AF88" s="11">
        <f t="shared" ca="1" si="30"/>
        <v>0</v>
      </c>
      <c r="AI88" s="4">
        <v>166</v>
      </c>
      <c r="AJ88" s="5" t="s">
        <v>268</v>
      </c>
      <c r="AK88" s="5" t="s">
        <v>266</v>
      </c>
      <c r="AL88" s="5" t="s">
        <v>269</v>
      </c>
      <c r="AM88" s="5" t="s">
        <v>0</v>
      </c>
      <c r="AN88" s="5" t="s">
        <v>18</v>
      </c>
      <c r="AO88" s="5" t="s">
        <v>12</v>
      </c>
      <c r="AP88" s="5" t="s">
        <v>17</v>
      </c>
      <c r="AQ88" s="5" t="s">
        <v>139</v>
      </c>
      <c r="AR88" s="5" t="s">
        <v>18</v>
      </c>
      <c r="AS88" s="6"/>
      <c r="AU88" s="5"/>
      <c r="AV88" s="5"/>
      <c r="AW88" s="5"/>
      <c r="AX88" s="5"/>
      <c r="AY88" s="5"/>
      <c r="BA88" s="34"/>
      <c r="BB88" s="35"/>
      <c r="BC88" s="36"/>
      <c r="BE88" s="34"/>
      <c r="BF88" s="35"/>
      <c r="BG88" s="36"/>
      <c r="BI88" s="34"/>
      <c r="BJ88" s="35"/>
      <c r="BK88" s="36"/>
      <c r="BM88" s="34"/>
      <c r="BN88" s="35"/>
      <c r="BO88" s="36"/>
      <c r="BQ88" s="34"/>
      <c r="BR88" s="35"/>
      <c r="BS88" s="36"/>
      <c r="BU88" s="34"/>
      <c r="BV88" s="35"/>
      <c r="BW88" s="36"/>
      <c r="BY88" s="34"/>
      <c r="BZ88" s="35"/>
      <c r="CA88" s="36"/>
      <c r="CC88" s="34"/>
      <c r="CD88" s="35"/>
      <c r="CE88" s="36"/>
      <c r="CG88" s="34"/>
      <c r="CH88" s="35"/>
      <c r="CI88" s="36"/>
      <c r="CK88" s="34"/>
      <c r="CL88" s="35"/>
      <c r="CM88" s="36"/>
      <c r="CO88" s="34"/>
      <c r="CP88" s="35"/>
      <c r="CQ88" s="36"/>
      <c r="CS88" s="34"/>
      <c r="CT88" s="35"/>
      <c r="CU88" s="36"/>
    </row>
    <row r="89" spans="1:99">
      <c r="A89" s="727"/>
      <c r="B89" s="728"/>
      <c r="C89" s="729"/>
      <c r="R89" s="506"/>
      <c r="S89" s="506" t="s">
        <v>2394</v>
      </c>
      <c r="T89" s="507">
        <f t="shared" ca="1" si="31"/>
        <v>0</v>
      </c>
      <c r="U89" s="507">
        <f t="shared" ca="1" si="32"/>
        <v>0</v>
      </c>
      <c r="V89" s="507">
        <f t="shared" ca="1" si="33"/>
        <v>155800</v>
      </c>
      <c r="W89" s="507">
        <f t="shared" ca="1" si="34"/>
        <v>0</v>
      </c>
      <c r="X89" s="507">
        <f t="shared" ca="1" si="35"/>
        <v>0</v>
      </c>
      <c r="Y89" s="507">
        <f t="shared" ca="1" si="36"/>
        <v>0</v>
      </c>
      <c r="Z89" s="507">
        <f t="shared" ca="1" si="37"/>
        <v>0</v>
      </c>
      <c r="AA89" s="507">
        <f t="shared" ca="1" si="38"/>
        <v>0</v>
      </c>
      <c r="AB89" s="507">
        <f t="shared" ca="1" si="39"/>
        <v>0</v>
      </c>
      <c r="AC89" s="507">
        <f t="shared" ca="1" si="40"/>
        <v>0</v>
      </c>
      <c r="AD89" s="507">
        <f t="shared" ca="1" si="41"/>
        <v>0</v>
      </c>
      <c r="AE89" s="507">
        <f t="shared" ca="1" si="42"/>
        <v>0</v>
      </c>
      <c r="AF89" s="11">
        <f t="shared" ca="1" si="30"/>
        <v>155800</v>
      </c>
      <c r="AI89" s="4">
        <v>168</v>
      </c>
      <c r="AJ89" s="5" t="s">
        <v>270</v>
      </c>
      <c r="AK89" s="5" t="s">
        <v>266</v>
      </c>
      <c r="AL89" s="5" t="s">
        <v>271</v>
      </c>
      <c r="AM89" s="5" t="s">
        <v>0</v>
      </c>
      <c r="AN89" s="5" t="s">
        <v>18</v>
      </c>
      <c r="AO89" s="5" t="s">
        <v>12</v>
      </c>
      <c r="AP89" s="5" t="s">
        <v>17</v>
      </c>
      <c r="AQ89" s="5" t="s">
        <v>139</v>
      </c>
      <c r="AR89" s="5" t="s">
        <v>18</v>
      </c>
      <c r="AS89" s="6"/>
      <c r="AU89" s="5"/>
      <c r="AV89" s="5"/>
      <c r="AW89" s="5"/>
      <c r="AX89" s="5"/>
      <c r="AY89" s="5"/>
      <c r="BA89" s="34"/>
      <c r="BB89" s="35"/>
      <c r="BC89" s="36"/>
      <c r="BE89" s="34"/>
      <c r="BF89" s="35"/>
      <c r="BG89" s="36"/>
      <c r="BI89" s="34"/>
      <c r="BJ89" s="35"/>
      <c r="BK89" s="36"/>
      <c r="BM89" s="34"/>
      <c r="BN89" s="35"/>
      <c r="BO89" s="36"/>
      <c r="BQ89" s="34"/>
      <c r="BR89" s="35"/>
      <c r="BS89" s="36"/>
      <c r="BU89" s="34"/>
      <c r="BV89" s="35"/>
      <c r="BW89" s="36"/>
      <c r="BY89" s="34"/>
      <c r="BZ89" s="35"/>
      <c r="CA89" s="36"/>
      <c r="CC89" s="34"/>
      <c r="CD89" s="35"/>
      <c r="CE89" s="36"/>
      <c r="CG89" s="34"/>
      <c r="CH89" s="35"/>
      <c r="CI89" s="36"/>
      <c r="CK89" s="34"/>
      <c r="CL89" s="35"/>
      <c r="CM89" s="36"/>
      <c r="CO89" s="34"/>
      <c r="CP89" s="35"/>
      <c r="CQ89" s="36"/>
      <c r="CS89" s="34"/>
      <c r="CT89" s="35"/>
      <c r="CU89" s="36"/>
    </row>
    <row r="90" spans="1:99">
      <c r="A90" s="727"/>
      <c r="B90" s="728"/>
      <c r="C90" s="729"/>
      <c r="D90">
        <v>45600</v>
      </c>
      <c r="F90" s="923"/>
      <c r="G90" s="923"/>
      <c r="H90" s="923"/>
      <c r="R90" s="506"/>
      <c r="S90" s="506" t="s">
        <v>2253</v>
      </c>
      <c r="T90" s="507">
        <f t="shared" ca="1" si="31"/>
        <v>0</v>
      </c>
      <c r="U90" s="507">
        <f t="shared" ca="1" si="32"/>
        <v>0</v>
      </c>
      <c r="V90" s="507">
        <f t="shared" ca="1" si="33"/>
        <v>0</v>
      </c>
      <c r="W90" s="507">
        <f t="shared" ca="1" si="34"/>
        <v>0</v>
      </c>
      <c r="X90" s="507">
        <f t="shared" ca="1" si="35"/>
        <v>0</v>
      </c>
      <c r="Y90" s="507">
        <f t="shared" ca="1" si="36"/>
        <v>0</v>
      </c>
      <c r="Z90" s="507">
        <f t="shared" ca="1" si="37"/>
        <v>0</v>
      </c>
      <c r="AA90" s="507">
        <f t="shared" ca="1" si="38"/>
        <v>0</v>
      </c>
      <c r="AB90" s="507">
        <f t="shared" ca="1" si="39"/>
        <v>0</v>
      </c>
      <c r="AC90" s="507">
        <f t="shared" ca="1" si="40"/>
        <v>0</v>
      </c>
      <c r="AD90" s="507">
        <f t="shared" ca="1" si="41"/>
        <v>0</v>
      </c>
      <c r="AE90" s="507">
        <f t="shared" ca="1" si="42"/>
        <v>0</v>
      </c>
      <c r="AF90" s="11">
        <f t="shared" ca="1" si="30"/>
        <v>0</v>
      </c>
      <c r="AI90" s="4">
        <v>170</v>
      </c>
      <c r="AJ90" s="5" t="s">
        <v>272</v>
      </c>
      <c r="AK90" s="5" t="s">
        <v>266</v>
      </c>
      <c r="AL90" s="5" t="s">
        <v>273</v>
      </c>
      <c r="AM90" s="5" t="s">
        <v>0</v>
      </c>
      <c r="AN90" s="5" t="s">
        <v>18</v>
      </c>
      <c r="AO90" s="5" t="s">
        <v>12</v>
      </c>
      <c r="AP90" s="5" t="s">
        <v>17</v>
      </c>
      <c r="AQ90" s="5" t="s">
        <v>139</v>
      </c>
      <c r="AR90" s="5" t="s">
        <v>18</v>
      </c>
      <c r="AS90" s="6"/>
      <c r="AU90" s="5"/>
      <c r="AV90" s="5"/>
      <c r="AW90" s="5"/>
      <c r="AX90" s="5"/>
      <c r="AY90" s="5"/>
      <c r="BA90" s="34"/>
      <c r="BB90" s="35"/>
      <c r="BC90" s="36"/>
      <c r="BE90" s="34"/>
      <c r="BF90" s="35"/>
      <c r="BG90" s="36"/>
      <c r="BI90" s="34"/>
      <c r="BJ90" s="35"/>
      <c r="BK90" s="36"/>
      <c r="BM90" s="34"/>
      <c r="BN90" s="35"/>
      <c r="BO90" s="36"/>
      <c r="BQ90" s="34"/>
      <c r="BR90" s="35"/>
      <c r="BS90" s="36"/>
      <c r="BU90" s="34"/>
      <c r="BV90" s="35"/>
      <c r="BW90" s="36"/>
      <c r="BY90" s="34"/>
      <c r="BZ90" s="35"/>
      <c r="CA90" s="36"/>
      <c r="CC90" s="34"/>
      <c r="CD90" s="35"/>
      <c r="CE90" s="36"/>
      <c r="CG90" s="34"/>
      <c r="CH90" s="35"/>
      <c r="CI90" s="36"/>
      <c r="CK90" s="34"/>
      <c r="CL90" s="35"/>
      <c r="CM90" s="36"/>
      <c r="CO90" s="34"/>
      <c r="CP90" s="35"/>
      <c r="CQ90" s="36"/>
      <c r="CS90" s="34"/>
      <c r="CT90" s="35"/>
      <c r="CU90" s="36"/>
    </row>
    <row r="91" spans="1:99">
      <c r="A91" s="727"/>
      <c r="B91" s="728"/>
      <c r="C91" s="729"/>
      <c r="F91" s="733"/>
      <c r="G91" s="733"/>
      <c r="H91" s="733"/>
      <c r="R91" s="506" t="s">
        <v>142</v>
      </c>
      <c r="S91" s="506" t="s">
        <v>2853</v>
      </c>
      <c r="T91" s="507">
        <f t="shared" ca="1" si="31"/>
        <v>0</v>
      </c>
      <c r="U91" s="507">
        <f t="shared" ca="1" si="32"/>
        <v>0</v>
      </c>
      <c r="V91" s="507">
        <f t="shared" ca="1" si="33"/>
        <v>0</v>
      </c>
      <c r="W91" s="507">
        <f t="shared" ca="1" si="34"/>
        <v>0</v>
      </c>
      <c r="X91" s="507">
        <f t="shared" ca="1" si="35"/>
        <v>0</v>
      </c>
      <c r="Y91" s="507">
        <f t="shared" ca="1" si="36"/>
        <v>0</v>
      </c>
      <c r="Z91" s="507">
        <f t="shared" ca="1" si="37"/>
        <v>0</v>
      </c>
      <c r="AA91" s="507">
        <f t="shared" ca="1" si="38"/>
        <v>0</v>
      </c>
      <c r="AB91" s="507">
        <f t="shared" ca="1" si="39"/>
        <v>0</v>
      </c>
      <c r="AC91" s="507">
        <f t="shared" ca="1" si="40"/>
        <v>0</v>
      </c>
      <c r="AD91" s="507">
        <f t="shared" ca="1" si="41"/>
        <v>0</v>
      </c>
      <c r="AE91" s="507">
        <f t="shared" ca="1" si="42"/>
        <v>0</v>
      </c>
      <c r="AF91" s="11">
        <f t="shared" ca="1" si="30"/>
        <v>0</v>
      </c>
      <c r="AI91" s="4">
        <v>172</v>
      </c>
      <c r="AJ91" s="5" t="s">
        <v>274</v>
      </c>
      <c r="AK91" s="5" t="s">
        <v>266</v>
      </c>
      <c r="AL91" s="5" t="s">
        <v>275</v>
      </c>
      <c r="AM91" s="5" t="s">
        <v>0</v>
      </c>
      <c r="AN91" s="5" t="s">
        <v>18</v>
      </c>
      <c r="AO91" s="5" t="s">
        <v>12</v>
      </c>
      <c r="AP91" s="5" t="s">
        <v>17</v>
      </c>
      <c r="AQ91" s="5" t="s">
        <v>139</v>
      </c>
      <c r="AR91" s="5" t="s">
        <v>18</v>
      </c>
      <c r="AS91" s="6"/>
      <c r="AU91" s="5"/>
      <c r="AV91" s="5"/>
      <c r="AW91" s="5"/>
      <c r="AX91" s="5"/>
      <c r="AY91" s="5"/>
      <c r="BA91" s="34"/>
      <c r="BB91" s="35"/>
      <c r="BC91" s="36"/>
      <c r="BE91" s="34"/>
      <c r="BF91" s="35"/>
      <c r="BG91" s="36"/>
      <c r="BI91" s="34"/>
      <c r="BJ91" s="35"/>
      <c r="BK91" s="36"/>
      <c r="BM91" s="34"/>
      <c r="BN91" s="35"/>
      <c r="BO91" s="36"/>
      <c r="BQ91" s="34"/>
      <c r="BR91" s="35"/>
      <c r="BS91" s="36"/>
      <c r="BU91" s="34"/>
      <c r="BV91" s="35"/>
      <c r="BW91" s="36"/>
      <c r="BY91" s="34"/>
      <c r="BZ91" s="35"/>
      <c r="CA91" s="36"/>
      <c r="CC91" s="34"/>
      <c r="CD91" s="35"/>
      <c r="CE91" s="36"/>
      <c r="CG91" s="34"/>
      <c r="CH91" s="35"/>
      <c r="CI91" s="36"/>
      <c r="CK91" s="34"/>
      <c r="CL91" s="35"/>
      <c r="CM91" s="36"/>
      <c r="CO91" s="34"/>
      <c r="CP91" s="35"/>
      <c r="CQ91" s="36"/>
      <c r="CS91" s="34"/>
      <c r="CT91" s="35"/>
      <c r="CU91" s="36"/>
    </row>
    <row r="92" spans="1:99">
      <c r="A92" s="727"/>
      <c r="B92" s="728"/>
      <c r="C92" s="729"/>
      <c r="F92" s="733"/>
      <c r="G92" s="733"/>
      <c r="H92" s="733"/>
      <c r="R92" s="506" t="s">
        <v>2854</v>
      </c>
      <c r="S92" s="506" t="s">
        <v>2855</v>
      </c>
      <c r="T92" s="507">
        <f t="shared" ca="1" si="31"/>
        <v>0</v>
      </c>
      <c r="U92" s="507">
        <f t="shared" ca="1" si="32"/>
        <v>0</v>
      </c>
      <c r="V92" s="507">
        <f t="shared" ca="1" si="33"/>
        <v>0</v>
      </c>
      <c r="W92" s="507">
        <f t="shared" ca="1" si="34"/>
        <v>0</v>
      </c>
      <c r="X92" s="507">
        <f t="shared" ca="1" si="35"/>
        <v>0</v>
      </c>
      <c r="Y92" s="507">
        <f t="shared" ca="1" si="36"/>
        <v>0</v>
      </c>
      <c r="Z92" s="507">
        <f t="shared" ca="1" si="37"/>
        <v>0</v>
      </c>
      <c r="AA92" s="507">
        <f t="shared" ca="1" si="38"/>
        <v>0</v>
      </c>
      <c r="AB92" s="507">
        <f t="shared" ca="1" si="39"/>
        <v>0</v>
      </c>
      <c r="AC92" s="507">
        <f t="shared" ca="1" si="40"/>
        <v>0</v>
      </c>
      <c r="AD92" s="507">
        <f t="shared" ca="1" si="41"/>
        <v>0</v>
      </c>
      <c r="AE92" s="507">
        <f t="shared" ca="1" si="42"/>
        <v>0</v>
      </c>
      <c r="AF92" s="11">
        <f t="shared" ca="1" si="30"/>
        <v>0</v>
      </c>
      <c r="AI92" s="4">
        <v>174</v>
      </c>
      <c r="AJ92" s="5" t="s">
        <v>276</v>
      </c>
      <c r="AK92" s="5" t="s">
        <v>266</v>
      </c>
      <c r="AL92" s="5" t="s">
        <v>277</v>
      </c>
      <c r="AM92" s="5" t="s">
        <v>0</v>
      </c>
      <c r="AN92" s="5" t="s">
        <v>18</v>
      </c>
      <c r="AO92" s="5" t="s">
        <v>12</v>
      </c>
      <c r="AP92" s="5" t="s">
        <v>17</v>
      </c>
      <c r="AQ92" s="5" t="s">
        <v>139</v>
      </c>
      <c r="AR92" s="5" t="s">
        <v>18</v>
      </c>
      <c r="AS92" s="6"/>
      <c r="AU92" s="5"/>
      <c r="AV92" s="5"/>
      <c r="AW92" s="5"/>
      <c r="AX92" s="5"/>
      <c r="AY92" s="5"/>
      <c r="BA92" s="34"/>
      <c r="BB92" s="35"/>
      <c r="BC92" s="36"/>
      <c r="BE92" s="34"/>
      <c r="BF92" s="35"/>
      <c r="BG92" s="36"/>
      <c r="BI92" s="34"/>
      <c r="BJ92" s="35"/>
      <c r="BK92" s="36"/>
      <c r="BM92" s="34"/>
      <c r="BN92" s="35"/>
      <c r="BO92" s="36"/>
      <c r="BQ92" s="34"/>
      <c r="BR92" s="35"/>
      <c r="BS92" s="36"/>
      <c r="BU92" s="34"/>
      <c r="BV92" s="35"/>
      <c r="BW92" s="36"/>
      <c r="BY92" s="34"/>
      <c r="BZ92" s="35"/>
      <c r="CA92" s="36"/>
      <c r="CC92" s="34"/>
      <c r="CD92" s="35"/>
      <c r="CE92" s="36"/>
      <c r="CG92" s="34"/>
      <c r="CH92" s="35"/>
      <c r="CI92" s="36"/>
      <c r="CK92" s="34"/>
      <c r="CL92" s="35"/>
      <c r="CM92" s="36"/>
      <c r="CO92" s="34"/>
      <c r="CP92" s="35"/>
      <c r="CQ92" s="36"/>
      <c r="CS92" s="34"/>
      <c r="CT92" s="35"/>
      <c r="CU92" s="36"/>
    </row>
    <row r="93" spans="1:99">
      <c r="A93" s="727"/>
      <c r="B93" s="728"/>
      <c r="C93" s="729"/>
      <c r="F93" s="733"/>
      <c r="G93" s="733"/>
      <c r="H93" s="733"/>
      <c r="R93" s="506"/>
      <c r="S93" s="506" t="s">
        <v>2858</v>
      </c>
      <c r="T93" s="507">
        <f t="shared" ca="1" si="31"/>
        <v>0</v>
      </c>
      <c r="U93" s="507">
        <f t="shared" ca="1" si="32"/>
        <v>0</v>
      </c>
      <c r="V93" s="507">
        <f t="shared" ca="1" si="33"/>
        <v>0</v>
      </c>
      <c r="W93" s="507">
        <f t="shared" ca="1" si="34"/>
        <v>0</v>
      </c>
      <c r="X93" s="507">
        <f t="shared" ca="1" si="35"/>
        <v>0</v>
      </c>
      <c r="Y93" s="507">
        <f t="shared" ca="1" si="36"/>
        <v>0</v>
      </c>
      <c r="Z93" s="507">
        <f t="shared" ca="1" si="37"/>
        <v>0</v>
      </c>
      <c r="AA93" s="507">
        <f t="shared" ca="1" si="38"/>
        <v>0</v>
      </c>
      <c r="AB93" s="507">
        <f t="shared" ca="1" si="39"/>
        <v>0</v>
      </c>
      <c r="AC93" s="507">
        <f t="shared" ca="1" si="40"/>
        <v>0</v>
      </c>
      <c r="AD93" s="507">
        <f t="shared" ca="1" si="41"/>
        <v>0</v>
      </c>
      <c r="AE93" s="507">
        <f t="shared" ca="1" si="42"/>
        <v>0</v>
      </c>
      <c r="AF93" s="11">
        <f t="shared" ca="1" si="30"/>
        <v>0</v>
      </c>
      <c r="AI93" s="4">
        <v>176</v>
      </c>
      <c r="AJ93" s="5" t="s">
        <v>278</v>
      </c>
      <c r="AK93" s="5" t="s">
        <v>266</v>
      </c>
      <c r="AL93" s="5" t="s">
        <v>279</v>
      </c>
      <c r="AM93" s="5" t="s">
        <v>0</v>
      </c>
      <c r="AN93" s="5" t="s">
        <v>18</v>
      </c>
      <c r="AO93" s="5" t="s">
        <v>12</v>
      </c>
      <c r="AP93" s="5" t="s">
        <v>17</v>
      </c>
      <c r="AQ93" s="5" t="s">
        <v>139</v>
      </c>
      <c r="AR93" s="5" t="s">
        <v>18</v>
      </c>
      <c r="AS93" s="6"/>
      <c r="AU93" s="5"/>
      <c r="AV93" s="5"/>
      <c r="AW93" s="5"/>
      <c r="AX93" s="5"/>
      <c r="AY93" s="5"/>
      <c r="BA93" s="34"/>
      <c r="BB93" s="35"/>
      <c r="BC93" s="36"/>
      <c r="BE93" s="34"/>
      <c r="BF93" s="35"/>
      <c r="BG93" s="36"/>
      <c r="BI93" s="34"/>
      <c r="BJ93" s="35"/>
      <c r="BK93" s="36"/>
      <c r="BM93" s="34"/>
      <c r="BN93" s="35"/>
      <c r="BO93" s="36"/>
      <c r="BQ93" s="34"/>
      <c r="BR93" s="35"/>
      <c r="BS93" s="36"/>
      <c r="BU93" s="34"/>
      <c r="BV93" s="35"/>
      <c r="BW93" s="36"/>
      <c r="BY93" s="34"/>
      <c r="BZ93" s="35"/>
      <c r="CA93" s="36"/>
      <c r="CC93" s="34"/>
      <c r="CD93" s="35"/>
      <c r="CE93" s="36"/>
      <c r="CG93" s="34"/>
      <c r="CH93" s="35"/>
      <c r="CI93" s="36"/>
      <c r="CK93" s="34"/>
      <c r="CL93" s="35"/>
      <c r="CM93" s="36"/>
      <c r="CO93" s="34"/>
      <c r="CP93" s="35"/>
      <c r="CQ93" s="36"/>
      <c r="CS93" s="34"/>
      <c r="CT93" s="35"/>
      <c r="CU93" s="36"/>
    </row>
    <row r="94" spans="1:99">
      <c r="A94" s="727"/>
      <c r="B94" s="728"/>
      <c r="C94" s="729"/>
      <c r="F94" s="733"/>
      <c r="G94" s="733"/>
      <c r="H94" s="733"/>
      <c r="R94" s="506"/>
      <c r="S94" s="506" t="s">
        <v>2852</v>
      </c>
      <c r="T94" s="507">
        <f t="shared" ca="1" si="31"/>
        <v>0</v>
      </c>
      <c r="U94" s="507">
        <f t="shared" ca="1" si="32"/>
        <v>0</v>
      </c>
      <c r="V94" s="507">
        <f t="shared" ca="1" si="33"/>
        <v>0</v>
      </c>
      <c r="W94" s="507">
        <f t="shared" ca="1" si="34"/>
        <v>0</v>
      </c>
      <c r="X94" s="507">
        <f t="shared" ca="1" si="35"/>
        <v>0</v>
      </c>
      <c r="Y94" s="507">
        <f t="shared" ca="1" si="36"/>
        <v>0</v>
      </c>
      <c r="Z94" s="507">
        <f t="shared" ca="1" si="37"/>
        <v>0</v>
      </c>
      <c r="AA94" s="507">
        <f t="shared" ca="1" si="38"/>
        <v>0</v>
      </c>
      <c r="AB94" s="507">
        <f t="shared" ca="1" si="39"/>
        <v>0</v>
      </c>
      <c r="AC94" s="507">
        <f t="shared" ca="1" si="40"/>
        <v>0</v>
      </c>
      <c r="AD94" s="507">
        <f t="shared" ca="1" si="41"/>
        <v>0</v>
      </c>
      <c r="AE94" s="507">
        <f t="shared" ca="1" si="42"/>
        <v>0</v>
      </c>
      <c r="AF94" s="11">
        <f t="shared" ca="1" si="30"/>
        <v>0</v>
      </c>
      <c r="AI94" s="4">
        <v>178</v>
      </c>
      <c r="AJ94" s="5" t="s">
        <v>285</v>
      </c>
      <c r="AK94" s="5" t="s">
        <v>282</v>
      </c>
      <c r="AL94" s="5" t="s">
        <v>283</v>
      </c>
      <c r="AM94" s="5" t="s">
        <v>0</v>
      </c>
      <c r="AN94" s="5" t="s">
        <v>18</v>
      </c>
      <c r="AO94" s="5" t="s">
        <v>12</v>
      </c>
      <c r="AP94" s="5" t="s">
        <v>17</v>
      </c>
      <c r="AQ94" s="5" t="s">
        <v>139</v>
      </c>
      <c r="AR94" s="5" t="s">
        <v>18</v>
      </c>
      <c r="AS94" s="6"/>
      <c r="AU94" s="5"/>
      <c r="AV94" s="5"/>
      <c r="AW94" s="5"/>
      <c r="AX94" s="5" t="s">
        <v>0</v>
      </c>
      <c r="AY94" s="5"/>
      <c r="BA94" s="34"/>
      <c r="BB94" s="35"/>
      <c r="BC94" s="36"/>
      <c r="BE94" s="34"/>
      <c r="BF94" s="35"/>
      <c r="BG94" s="36"/>
      <c r="BI94" s="34"/>
      <c r="BJ94" s="35"/>
      <c r="BK94" s="36"/>
      <c r="BM94" s="34"/>
      <c r="BN94" s="35"/>
      <c r="BO94" s="36"/>
      <c r="BQ94" s="34"/>
      <c r="BR94" s="35"/>
      <c r="BS94" s="36"/>
      <c r="BU94" s="34"/>
      <c r="BV94" s="35"/>
      <c r="BW94" s="36"/>
      <c r="BY94" s="34"/>
      <c r="BZ94" s="35"/>
      <c r="CA94" s="36"/>
      <c r="CC94" s="34"/>
      <c r="CD94" s="35"/>
      <c r="CE94" s="36"/>
      <c r="CG94" s="34"/>
      <c r="CH94" s="35"/>
      <c r="CI94" s="36"/>
      <c r="CK94" s="34"/>
      <c r="CL94" s="35"/>
      <c r="CM94" s="36"/>
      <c r="CO94" s="34"/>
      <c r="CP94" s="35"/>
      <c r="CQ94" s="36"/>
      <c r="CS94" s="34"/>
      <c r="CT94" s="35"/>
      <c r="CU94" s="36"/>
    </row>
    <row r="95" spans="1:99">
      <c r="A95" s="727"/>
      <c r="B95" s="728"/>
      <c r="C95" s="729"/>
      <c r="F95" s="733"/>
      <c r="G95" s="733"/>
      <c r="H95" s="733"/>
      <c r="R95" s="506" t="s">
        <v>176</v>
      </c>
      <c r="S95" s="506" t="s">
        <v>2861</v>
      </c>
      <c r="T95" s="507">
        <f t="shared" ca="1" si="31"/>
        <v>0</v>
      </c>
      <c r="U95" s="507">
        <f t="shared" ca="1" si="32"/>
        <v>0</v>
      </c>
      <c r="V95" s="507">
        <f t="shared" ca="1" si="33"/>
        <v>5541311.1799999997</v>
      </c>
      <c r="W95" s="507">
        <f t="shared" ca="1" si="34"/>
        <v>0</v>
      </c>
      <c r="X95" s="507">
        <f t="shared" ca="1" si="35"/>
        <v>0</v>
      </c>
      <c r="Y95" s="507">
        <f t="shared" ca="1" si="36"/>
        <v>0</v>
      </c>
      <c r="Z95" s="507">
        <f t="shared" ca="1" si="37"/>
        <v>0</v>
      </c>
      <c r="AA95" s="507">
        <f t="shared" ca="1" si="38"/>
        <v>0</v>
      </c>
      <c r="AB95" s="507">
        <f t="shared" ca="1" si="39"/>
        <v>0</v>
      </c>
      <c r="AC95" s="507">
        <f t="shared" ca="1" si="40"/>
        <v>0</v>
      </c>
      <c r="AD95" s="507">
        <f t="shared" ca="1" si="41"/>
        <v>0</v>
      </c>
      <c r="AE95" s="507">
        <f t="shared" ca="1" si="42"/>
        <v>0</v>
      </c>
      <c r="AF95" s="11">
        <f t="shared" ca="1" si="30"/>
        <v>5541311.1799999997</v>
      </c>
      <c r="AI95" s="4">
        <v>180</v>
      </c>
      <c r="AJ95" s="5" t="s">
        <v>286</v>
      </c>
      <c r="AK95" s="5" t="s">
        <v>282</v>
      </c>
      <c r="AL95" s="5" t="s">
        <v>287</v>
      </c>
      <c r="AM95" s="5" t="s">
        <v>0</v>
      </c>
      <c r="AN95" s="5" t="s">
        <v>18</v>
      </c>
      <c r="AO95" s="5" t="s">
        <v>12</v>
      </c>
      <c r="AP95" s="5" t="s">
        <v>17</v>
      </c>
      <c r="AQ95" s="5" t="s">
        <v>139</v>
      </c>
      <c r="AR95" s="5" t="s">
        <v>18</v>
      </c>
      <c r="AS95" s="6"/>
      <c r="AU95" s="5"/>
      <c r="AV95" s="5"/>
      <c r="AW95" s="5"/>
      <c r="AX95" s="5"/>
      <c r="AY95" s="5"/>
      <c r="BA95" s="34"/>
      <c r="BB95" s="35"/>
      <c r="BC95" s="36"/>
      <c r="BE95" s="34"/>
      <c r="BF95" s="35"/>
      <c r="BG95" s="36"/>
      <c r="BI95" s="34"/>
      <c r="BJ95" s="35"/>
      <c r="BK95" s="36"/>
      <c r="BM95" s="34"/>
      <c r="BN95" s="35"/>
      <c r="BO95" s="36"/>
      <c r="BQ95" s="34"/>
      <c r="BR95" s="35"/>
      <c r="BS95" s="36"/>
      <c r="BU95" s="34"/>
      <c r="BV95" s="35"/>
      <c r="BW95" s="36"/>
      <c r="BY95" s="34"/>
      <c r="BZ95" s="35"/>
      <c r="CA95" s="36"/>
      <c r="CC95" s="34"/>
      <c r="CD95" s="35"/>
      <c r="CE95" s="36"/>
      <c r="CG95" s="34"/>
      <c r="CH95" s="35"/>
      <c r="CI95" s="36"/>
      <c r="CK95" s="34"/>
      <c r="CL95" s="35"/>
      <c r="CM95" s="36"/>
      <c r="CO95" s="34"/>
      <c r="CP95" s="35"/>
      <c r="CQ95" s="36"/>
      <c r="CS95" s="34"/>
      <c r="CT95" s="35"/>
      <c r="CU95" s="36"/>
    </row>
    <row r="96" spans="1:99">
      <c r="A96" s="727"/>
      <c r="B96" s="728"/>
      <c r="C96" s="729"/>
      <c r="F96" s="733"/>
      <c r="G96" s="733"/>
      <c r="H96" s="733"/>
      <c r="R96" s="506"/>
      <c r="S96" s="506" t="s">
        <v>2860</v>
      </c>
      <c r="T96" s="507">
        <f t="shared" ca="1" si="31"/>
        <v>0</v>
      </c>
      <c r="U96" s="507">
        <f t="shared" ca="1" si="32"/>
        <v>0</v>
      </c>
      <c r="V96" s="507">
        <f t="shared" ca="1" si="33"/>
        <v>0</v>
      </c>
      <c r="W96" s="507">
        <f t="shared" ca="1" si="34"/>
        <v>0</v>
      </c>
      <c r="X96" s="507">
        <f t="shared" ca="1" si="35"/>
        <v>0</v>
      </c>
      <c r="Y96" s="507">
        <f t="shared" ca="1" si="36"/>
        <v>0</v>
      </c>
      <c r="Z96" s="507">
        <f t="shared" ca="1" si="37"/>
        <v>0</v>
      </c>
      <c r="AA96" s="507">
        <f t="shared" ca="1" si="38"/>
        <v>0</v>
      </c>
      <c r="AB96" s="507">
        <f t="shared" ca="1" si="39"/>
        <v>0</v>
      </c>
      <c r="AC96" s="507">
        <f t="shared" ca="1" si="40"/>
        <v>0</v>
      </c>
      <c r="AD96" s="507">
        <f t="shared" ca="1" si="41"/>
        <v>0</v>
      </c>
      <c r="AE96" s="507">
        <f t="shared" ca="1" si="42"/>
        <v>0</v>
      </c>
      <c r="AF96" s="11">
        <f t="shared" ca="1" si="30"/>
        <v>0</v>
      </c>
      <c r="AI96" s="4">
        <v>182</v>
      </c>
      <c r="AJ96" s="5" t="s">
        <v>288</v>
      </c>
      <c r="AK96" s="5" t="s">
        <v>282</v>
      </c>
      <c r="AL96" s="5" t="s">
        <v>289</v>
      </c>
      <c r="AM96" s="5" t="s">
        <v>0</v>
      </c>
      <c r="AN96" s="5" t="s">
        <v>18</v>
      </c>
      <c r="AO96" s="5" t="s">
        <v>12</v>
      </c>
      <c r="AP96" s="5" t="s">
        <v>17</v>
      </c>
      <c r="AQ96" s="5" t="s">
        <v>139</v>
      </c>
      <c r="AR96" s="5" t="s">
        <v>18</v>
      </c>
      <c r="AS96" s="6"/>
      <c r="AU96" s="5"/>
      <c r="AV96" s="5"/>
      <c r="AW96" s="5"/>
      <c r="AX96" s="5"/>
      <c r="AY96" s="5"/>
      <c r="BA96" s="34"/>
      <c r="BB96" s="35"/>
      <c r="BC96" s="36"/>
      <c r="BE96" s="34"/>
      <c r="BF96" s="35"/>
      <c r="BG96" s="36"/>
      <c r="BI96" s="34"/>
      <c r="BJ96" s="35"/>
      <c r="BK96" s="36"/>
      <c r="BM96" s="34"/>
      <c r="BN96" s="35"/>
      <c r="BO96" s="36"/>
      <c r="BQ96" s="34"/>
      <c r="BR96" s="35"/>
      <c r="BS96" s="36"/>
      <c r="BU96" s="34"/>
      <c r="BV96" s="35"/>
      <c r="BW96" s="36"/>
      <c r="BY96" s="34"/>
      <c r="BZ96" s="35"/>
      <c r="CA96" s="36"/>
      <c r="CC96" s="34"/>
      <c r="CD96" s="35"/>
      <c r="CE96" s="36"/>
      <c r="CG96" s="34"/>
      <c r="CH96" s="35"/>
      <c r="CI96" s="36"/>
      <c r="CK96" s="34"/>
      <c r="CL96" s="35"/>
      <c r="CM96" s="36"/>
      <c r="CO96" s="34"/>
      <c r="CP96" s="35"/>
      <c r="CQ96" s="36"/>
      <c r="CS96" s="34"/>
      <c r="CT96" s="35"/>
      <c r="CU96" s="36"/>
    </row>
    <row r="97" spans="1:99">
      <c r="A97" s="727"/>
      <c r="B97" s="728"/>
      <c r="C97" s="729"/>
      <c r="F97" s="733"/>
      <c r="G97" s="733"/>
      <c r="H97" s="733"/>
      <c r="R97" s="506"/>
      <c r="S97" s="506" t="s">
        <v>2888</v>
      </c>
      <c r="T97" s="507">
        <f t="shared" ca="1" si="31"/>
        <v>0</v>
      </c>
      <c r="U97" s="507">
        <f t="shared" ca="1" si="32"/>
        <v>0</v>
      </c>
      <c r="V97" s="507">
        <f t="shared" ca="1" si="33"/>
        <v>0</v>
      </c>
      <c r="W97" s="507">
        <f t="shared" ca="1" si="34"/>
        <v>0</v>
      </c>
      <c r="X97" s="507">
        <f t="shared" ca="1" si="35"/>
        <v>0</v>
      </c>
      <c r="Y97" s="507">
        <f t="shared" ca="1" si="36"/>
        <v>0</v>
      </c>
      <c r="Z97" s="507">
        <f t="shared" ca="1" si="37"/>
        <v>0</v>
      </c>
      <c r="AA97" s="507">
        <f t="shared" ca="1" si="38"/>
        <v>0</v>
      </c>
      <c r="AB97" s="507">
        <f t="shared" ca="1" si="39"/>
        <v>0</v>
      </c>
      <c r="AC97" s="507">
        <f t="shared" ca="1" si="40"/>
        <v>0</v>
      </c>
      <c r="AD97" s="507">
        <f t="shared" ca="1" si="41"/>
        <v>0</v>
      </c>
      <c r="AE97" s="507">
        <f t="shared" ca="1" si="42"/>
        <v>0</v>
      </c>
      <c r="AF97" s="11">
        <f t="shared" ca="1" si="30"/>
        <v>0</v>
      </c>
      <c r="AI97" s="4">
        <v>184</v>
      </c>
      <c r="AJ97" s="5" t="s">
        <v>290</v>
      </c>
      <c r="AK97" s="5" t="s">
        <v>282</v>
      </c>
      <c r="AL97" s="5" t="s">
        <v>291</v>
      </c>
      <c r="AM97" s="5" t="s">
        <v>0</v>
      </c>
      <c r="AN97" s="5" t="s">
        <v>18</v>
      </c>
      <c r="AO97" s="5" t="s">
        <v>12</v>
      </c>
      <c r="AP97" s="5" t="s">
        <v>17</v>
      </c>
      <c r="AQ97" s="5" t="s">
        <v>139</v>
      </c>
      <c r="AR97" s="5" t="s">
        <v>18</v>
      </c>
      <c r="AS97" s="6"/>
      <c r="AU97" s="5"/>
      <c r="AV97" s="5"/>
      <c r="AW97" s="5"/>
      <c r="AX97" s="5"/>
      <c r="AY97" s="5"/>
      <c r="BA97" s="34"/>
      <c r="BB97" s="35"/>
      <c r="BC97" s="36"/>
      <c r="BE97" s="34"/>
      <c r="BF97" s="35"/>
      <c r="BG97" s="36"/>
      <c r="BI97" s="34"/>
      <c r="BJ97" s="35"/>
      <c r="BK97" s="36"/>
      <c r="BM97" s="34"/>
      <c r="BN97" s="35"/>
      <c r="BO97" s="36"/>
      <c r="BQ97" s="34"/>
      <c r="BR97" s="35"/>
      <c r="BS97" s="36"/>
      <c r="BU97" s="34"/>
      <c r="BV97" s="35"/>
      <c r="BW97" s="36"/>
      <c r="BY97" s="34"/>
      <c r="BZ97" s="35"/>
      <c r="CA97" s="36"/>
      <c r="CC97" s="34"/>
      <c r="CD97" s="35"/>
      <c r="CE97" s="36"/>
      <c r="CG97" s="34"/>
      <c r="CH97" s="35"/>
      <c r="CI97" s="36"/>
      <c r="CK97" s="34"/>
      <c r="CL97" s="35"/>
      <c r="CM97" s="36"/>
      <c r="CO97" s="34"/>
      <c r="CP97" s="35"/>
      <c r="CQ97" s="36"/>
      <c r="CS97" s="34"/>
      <c r="CT97" s="35"/>
      <c r="CU97" s="36"/>
    </row>
    <row r="98" spans="1:99">
      <c r="A98" s="727"/>
      <c r="B98" s="728"/>
      <c r="C98" s="729"/>
      <c r="F98" s="733"/>
      <c r="G98" s="733"/>
      <c r="H98" s="733"/>
      <c r="R98" s="506"/>
      <c r="S98" s="506" t="s">
        <v>3849</v>
      </c>
      <c r="T98" s="507">
        <f t="shared" ca="1" si="31"/>
        <v>45048.24</v>
      </c>
      <c r="U98" s="507">
        <f t="shared" ca="1" si="32"/>
        <v>0</v>
      </c>
      <c r="V98" s="507">
        <f t="shared" ca="1" si="33"/>
        <v>0</v>
      </c>
      <c r="W98" s="507">
        <f t="shared" ca="1" si="34"/>
        <v>0</v>
      </c>
      <c r="X98" s="507">
        <f t="shared" ca="1" si="35"/>
        <v>0</v>
      </c>
      <c r="Y98" s="507">
        <f t="shared" ca="1" si="36"/>
        <v>0</v>
      </c>
      <c r="Z98" s="507">
        <f t="shared" ca="1" si="37"/>
        <v>0</v>
      </c>
      <c r="AA98" s="507">
        <f t="shared" ca="1" si="38"/>
        <v>0</v>
      </c>
      <c r="AB98" s="507">
        <f t="shared" ca="1" si="39"/>
        <v>0</v>
      </c>
      <c r="AC98" s="507">
        <f t="shared" ca="1" si="40"/>
        <v>0</v>
      </c>
      <c r="AD98" s="507">
        <f t="shared" ca="1" si="41"/>
        <v>0</v>
      </c>
      <c r="AE98" s="507">
        <f t="shared" ca="1" si="42"/>
        <v>0</v>
      </c>
      <c r="AF98" s="11">
        <f t="shared" ca="1" si="30"/>
        <v>45048.24</v>
      </c>
      <c r="AI98" s="4">
        <v>186</v>
      </c>
      <c r="AJ98" s="5" t="s">
        <v>292</v>
      </c>
      <c r="AK98" s="5" t="s">
        <v>282</v>
      </c>
      <c r="AL98" s="5" t="s">
        <v>293</v>
      </c>
      <c r="AM98" s="5" t="s">
        <v>0</v>
      </c>
      <c r="AN98" s="5" t="s">
        <v>18</v>
      </c>
      <c r="AO98" s="5" t="s">
        <v>12</v>
      </c>
      <c r="AP98" s="5" t="s">
        <v>17</v>
      </c>
      <c r="AQ98" s="5" t="s">
        <v>139</v>
      </c>
      <c r="AR98" s="5" t="s">
        <v>18</v>
      </c>
      <c r="AS98" s="6"/>
      <c r="AU98" s="5"/>
      <c r="AV98" s="5"/>
      <c r="AW98" s="5"/>
      <c r="AX98" s="5"/>
      <c r="AY98" s="5"/>
      <c r="BA98" s="34"/>
      <c r="BB98" s="35"/>
      <c r="BC98" s="36"/>
      <c r="BE98" s="34"/>
      <c r="BF98" s="35"/>
      <c r="BG98" s="36"/>
      <c r="BI98" s="34"/>
      <c r="BJ98" s="35"/>
      <c r="BK98" s="36"/>
      <c r="BM98" s="34"/>
      <c r="BN98" s="35"/>
      <c r="BO98" s="36"/>
      <c r="BQ98" s="34"/>
      <c r="BR98" s="35"/>
      <c r="BS98" s="36"/>
      <c r="BU98" s="34"/>
      <c r="BV98" s="35"/>
      <c r="BW98" s="36"/>
      <c r="BY98" s="34"/>
      <c r="BZ98" s="35"/>
      <c r="CA98" s="36"/>
      <c r="CC98" s="34"/>
      <c r="CD98" s="35"/>
      <c r="CE98" s="36"/>
      <c r="CG98" s="34"/>
      <c r="CH98" s="35"/>
      <c r="CI98" s="36"/>
      <c r="CK98" s="34"/>
      <c r="CL98" s="35"/>
      <c r="CM98" s="36"/>
      <c r="CO98" s="34"/>
      <c r="CP98" s="35"/>
      <c r="CQ98" s="36"/>
      <c r="CS98" s="34"/>
      <c r="CT98" s="35"/>
      <c r="CU98" s="36"/>
    </row>
    <row r="99" spans="1:99">
      <c r="A99" s="727"/>
      <c r="B99" s="728"/>
      <c r="C99" s="729"/>
      <c r="F99" s="733"/>
      <c r="G99" s="733"/>
      <c r="H99" s="733"/>
      <c r="R99" s="506"/>
      <c r="S99" s="506" t="s">
        <v>3855</v>
      </c>
      <c r="T99" s="507">
        <f t="shared" ca="1" si="31"/>
        <v>0</v>
      </c>
      <c r="U99" s="507">
        <f t="shared" ca="1" si="32"/>
        <v>0</v>
      </c>
      <c r="V99" s="507">
        <f t="shared" ca="1" si="33"/>
        <v>4998.54</v>
      </c>
      <c r="W99" s="507">
        <f t="shared" ca="1" si="34"/>
        <v>0</v>
      </c>
      <c r="X99" s="507">
        <f t="shared" ca="1" si="35"/>
        <v>0</v>
      </c>
      <c r="Y99" s="507">
        <f t="shared" ca="1" si="36"/>
        <v>0</v>
      </c>
      <c r="Z99" s="507">
        <f t="shared" ca="1" si="37"/>
        <v>0</v>
      </c>
      <c r="AA99" s="507">
        <f t="shared" ca="1" si="38"/>
        <v>0</v>
      </c>
      <c r="AB99" s="507">
        <f t="shared" ca="1" si="39"/>
        <v>0</v>
      </c>
      <c r="AC99" s="507">
        <f t="shared" ca="1" si="40"/>
        <v>0</v>
      </c>
      <c r="AD99" s="507">
        <f t="shared" ca="1" si="41"/>
        <v>0</v>
      </c>
      <c r="AE99" s="507">
        <f t="shared" ca="1" si="42"/>
        <v>0</v>
      </c>
      <c r="AF99" s="11">
        <f t="shared" ca="1" si="30"/>
        <v>4998.54</v>
      </c>
      <c r="AI99" s="4">
        <v>188</v>
      </c>
      <c r="AJ99" s="5" t="s">
        <v>912</v>
      </c>
      <c r="AK99" s="5" t="s">
        <v>282</v>
      </c>
      <c r="AL99" s="5" t="s">
        <v>913</v>
      </c>
      <c r="AM99" s="5" t="s">
        <v>0</v>
      </c>
      <c r="AN99" s="5" t="s">
        <v>18</v>
      </c>
      <c r="AO99" s="5" t="s">
        <v>12</v>
      </c>
      <c r="AP99" s="5" t="s">
        <v>17</v>
      </c>
      <c r="AQ99" s="5" t="s">
        <v>139</v>
      </c>
      <c r="AR99" s="5" t="s">
        <v>18</v>
      </c>
      <c r="AS99" s="6"/>
      <c r="AU99" s="5"/>
      <c r="AV99" s="5"/>
      <c r="AW99" s="5"/>
      <c r="AX99" s="5"/>
      <c r="AY99" s="5"/>
      <c r="BA99" s="34"/>
      <c r="BB99" s="35"/>
      <c r="BC99" s="36"/>
      <c r="BE99" s="34"/>
      <c r="BF99" s="35"/>
      <c r="BG99" s="36"/>
      <c r="BI99" s="34"/>
      <c r="BJ99" s="35"/>
      <c r="BK99" s="36"/>
      <c r="BM99" s="34"/>
      <c r="BN99" s="35"/>
      <c r="BO99" s="36"/>
      <c r="BQ99" s="34"/>
      <c r="BR99" s="35"/>
      <c r="BS99" s="36"/>
      <c r="BU99" s="34"/>
      <c r="BV99" s="35"/>
      <c r="BW99" s="36"/>
      <c r="BY99" s="34"/>
      <c r="BZ99" s="35"/>
      <c r="CA99" s="36"/>
      <c r="CC99" s="34"/>
      <c r="CD99" s="35"/>
      <c r="CE99" s="36"/>
      <c r="CG99" s="34"/>
      <c r="CH99" s="35"/>
      <c r="CI99" s="36"/>
      <c r="CK99" s="34"/>
      <c r="CL99" s="35"/>
      <c r="CM99" s="36"/>
      <c r="CO99" s="34"/>
      <c r="CP99" s="35"/>
      <c r="CQ99" s="36"/>
      <c r="CS99" s="34"/>
      <c r="CT99" s="35"/>
      <c r="CU99" s="36"/>
    </row>
    <row r="100" spans="1:99">
      <c r="A100" s="727"/>
      <c r="B100" s="728"/>
      <c r="C100" s="729"/>
      <c r="E100" s="11">
        <f>691445.05-636104.43</f>
        <v>55340.619999999995</v>
      </c>
      <c r="F100" s="733"/>
      <c r="G100" s="733"/>
      <c r="H100" s="733"/>
      <c r="R100" t="s">
        <v>285</v>
      </c>
      <c r="S100" s="508" t="s">
        <v>3887</v>
      </c>
      <c r="T100" s="507">
        <f t="shared" ca="1" si="31"/>
        <v>0</v>
      </c>
      <c r="U100" s="507">
        <f t="shared" ca="1" si="32"/>
        <v>0</v>
      </c>
      <c r="V100" s="507">
        <f t="shared" ca="1" si="33"/>
        <v>0</v>
      </c>
      <c r="W100" s="507">
        <f t="shared" ca="1" si="34"/>
        <v>0</v>
      </c>
      <c r="X100" s="507">
        <f t="shared" ca="1" si="35"/>
        <v>0</v>
      </c>
      <c r="Y100" s="507">
        <f t="shared" ca="1" si="36"/>
        <v>0</v>
      </c>
      <c r="Z100" s="507">
        <f t="shared" ca="1" si="37"/>
        <v>0</v>
      </c>
      <c r="AA100" s="507">
        <f t="shared" ca="1" si="38"/>
        <v>0</v>
      </c>
      <c r="AB100" s="507">
        <f t="shared" ca="1" si="39"/>
        <v>0</v>
      </c>
      <c r="AC100" s="507">
        <f t="shared" ca="1" si="40"/>
        <v>0</v>
      </c>
      <c r="AD100" s="507">
        <f t="shared" ca="1" si="41"/>
        <v>0</v>
      </c>
      <c r="AE100" s="507">
        <f t="shared" ca="1" si="42"/>
        <v>0</v>
      </c>
      <c r="AI100" s="4">
        <v>190</v>
      </c>
      <c r="AJ100" s="5" t="s">
        <v>294</v>
      </c>
      <c r="AK100" s="5" t="s">
        <v>282</v>
      </c>
      <c r="AL100" s="5" t="s">
        <v>295</v>
      </c>
      <c r="AM100" s="5" t="s">
        <v>0</v>
      </c>
      <c r="AN100" s="5" t="s">
        <v>18</v>
      </c>
      <c r="AO100" s="5" t="s">
        <v>12</v>
      </c>
      <c r="AP100" s="5" t="s">
        <v>17</v>
      </c>
      <c r="AQ100" s="5" t="s">
        <v>139</v>
      </c>
      <c r="AR100" s="5" t="s">
        <v>18</v>
      </c>
      <c r="AS100" s="6"/>
      <c r="AU100" s="5"/>
      <c r="AV100" s="5"/>
      <c r="AW100" s="5"/>
      <c r="AX100" s="5"/>
      <c r="AY100" s="5"/>
      <c r="BA100" s="34"/>
      <c r="BB100" s="35"/>
      <c r="BC100" s="36"/>
      <c r="BE100" s="34"/>
      <c r="BF100" s="35"/>
      <c r="BG100" s="36"/>
      <c r="BI100" s="34"/>
      <c r="BJ100" s="35"/>
      <c r="BK100" s="36"/>
      <c r="BM100" s="34"/>
      <c r="BN100" s="35"/>
      <c r="BO100" s="36"/>
      <c r="BQ100" s="34"/>
      <c r="BR100" s="35"/>
      <c r="BS100" s="36"/>
      <c r="BU100" s="34"/>
      <c r="BV100" s="35"/>
      <c r="BW100" s="36"/>
      <c r="BY100" s="34"/>
      <c r="BZ100" s="35"/>
      <c r="CA100" s="36"/>
      <c r="CC100" s="34"/>
      <c r="CD100" s="35"/>
      <c r="CE100" s="36"/>
      <c r="CG100" s="34"/>
      <c r="CH100" s="35"/>
      <c r="CI100" s="36"/>
      <c r="CK100" s="34"/>
      <c r="CL100" s="35"/>
      <c r="CM100" s="36"/>
      <c r="CO100" s="34"/>
      <c r="CP100" s="35"/>
      <c r="CQ100" s="36"/>
      <c r="CS100" s="34"/>
      <c r="CT100" s="35"/>
      <c r="CU100" s="36"/>
    </row>
    <row r="101" spans="1:99">
      <c r="A101" s="727"/>
      <c r="B101" s="728"/>
      <c r="C101" s="729"/>
      <c r="F101" s="733"/>
      <c r="G101" s="733"/>
      <c r="H101" s="733"/>
      <c r="R101" s="506"/>
      <c r="S101" s="506" t="s">
        <v>3853</v>
      </c>
      <c r="T101" s="507">
        <f t="shared" ca="1" si="31"/>
        <v>0</v>
      </c>
      <c r="U101" s="507">
        <f t="shared" ca="1" si="32"/>
        <v>0</v>
      </c>
      <c r="V101" s="507">
        <f t="shared" ca="1" si="33"/>
        <v>0</v>
      </c>
      <c r="W101" s="507">
        <f t="shared" ca="1" si="34"/>
        <v>0</v>
      </c>
      <c r="X101" s="507">
        <f t="shared" ca="1" si="35"/>
        <v>0</v>
      </c>
      <c r="Y101" s="507">
        <f t="shared" ca="1" si="36"/>
        <v>0</v>
      </c>
      <c r="Z101" s="507">
        <f t="shared" ca="1" si="37"/>
        <v>0</v>
      </c>
      <c r="AA101" s="507">
        <f t="shared" ca="1" si="38"/>
        <v>0</v>
      </c>
      <c r="AB101" s="507">
        <f t="shared" ca="1" si="39"/>
        <v>0</v>
      </c>
      <c r="AC101" s="507">
        <f t="shared" ca="1" si="40"/>
        <v>0</v>
      </c>
      <c r="AD101" s="507">
        <f t="shared" ca="1" si="41"/>
        <v>0</v>
      </c>
      <c r="AE101" s="507">
        <f t="shared" ca="1" si="42"/>
        <v>0</v>
      </c>
      <c r="AF101" s="11">
        <f t="shared" ca="1" si="30"/>
        <v>0</v>
      </c>
      <c r="AI101" s="4">
        <v>192</v>
      </c>
      <c r="AJ101" s="5" t="s">
        <v>909</v>
      </c>
      <c r="AK101" s="5" t="s">
        <v>282</v>
      </c>
      <c r="AL101" s="5" t="s">
        <v>910</v>
      </c>
      <c r="AM101" s="5" t="s">
        <v>0</v>
      </c>
      <c r="AN101" s="5" t="s">
        <v>18</v>
      </c>
      <c r="AO101" s="5" t="s">
        <v>12</v>
      </c>
      <c r="AP101" s="5" t="s">
        <v>17</v>
      </c>
      <c r="AQ101" s="5" t="s">
        <v>139</v>
      </c>
      <c r="AR101" s="5" t="s">
        <v>18</v>
      </c>
      <c r="AS101" s="6"/>
      <c r="AU101" s="5"/>
      <c r="AV101" s="5"/>
      <c r="AW101" s="5"/>
      <c r="AX101" s="5"/>
      <c r="AY101" s="5"/>
      <c r="BA101" s="34"/>
      <c r="BB101" s="35"/>
      <c r="BC101" s="36"/>
      <c r="BE101" s="34"/>
      <c r="BF101" s="35"/>
      <c r="BG101" s="36"/>
      <c r="BI101" s="34"/>
      <c r="BJ101" s="35"/>
      <c r="BK101" s="36"/>
      <c r="BM101" s="34"/>
      <c r="BN101" s="35"/>
      <c r="BO101" s="36"/>
      <c r="BQ101" s="34"/>
      <c r="BR101" s="35"/>
      <c r="BS101" s="36"/>
      <c r="BU101" s="34"/>
      <c r="BV101" s="35"/>
      <c r="BW101" s="36"/>
      <c r="BY101" s="34"/>
      <c r="BZ101" s="35"/>
      <c r="CA101" s="36"/>
      <c r="CC101" s="34"/>
      <c r="CD101" s="35"/>
      <c r="CE101" s="36"/>
      <c r="CG101" s="34"/>
      <c r="CH101" s="35"/>
      <c r="CI101" s="36"/>
      <c r="CK101" s="34"/>
      <c r="CL101" s="35"/>
      <c r="CM101" s="36"/>
      <c r="CO101" s="34"/>
      <c r="CP101" s="35"/>
      <c r="CQ101" s="36"/>
      <c r="CS101" s="34"/>
      <c r="CT101" s="35"/>
      <c r="CU101" s="36"/>
    </row>
    <row r="102" spans="1:99">
      <c r="A102" s="727"/>
      <c r="B102" s="728"/>
      <c r="C102" s="729"/>
      <c r="F102" s="733"/>
      <c r="G102" s="733"/>
      <c r="H102" s="733"/>
      <c r="R102" s="506"/>
      <c r="S102" s="506" t="s">
        <v>3892</v>
      </c>
      <c r="T102" s="507">
        <f t="shared" ca="1" si="31"/>
        <v>0</v>
      </c>
      <c r="U102" s="507">
        <f t="shared" ca="1" si="32"/>
        <v>0</v>
      </c>
      <c r="V102" s="507">
        <f t="shared" ca="1" si="33"/>
        <v>0</v>
      </c>
      <c r="W102" s="507">
        <f t="shared" ca="1" si="34"/>
        <v>0</v>
      </c>
      <c r="X102" s="507">
        <f t="shared" ca="1" si="35"/>
        <v>0</v>
      </c>
      <c r="Y102" s="507">
        <f t="shared" ca="1" si="36"/>
        <v>0</v>
      </c>
      <c r="Z102" s="507">
        <f t="shared" ca="1" si="37"/>
        <v>0</v>
      </c>
      <c r="AA102" s="507">
        <f t="shared" ca="1" si="38"/>
        <v>0</v>
      </c>
      <c r="AB102" s="507">
        <f t="shared" ca="1" si="39"/>
        <v>0</v>
      </c>
      <c r="AC102" s="507">
        <f t="shared" ca="1" si="40"/>
        <v>0</v>
      </c>
      <c r="AD102" s="507">
        <f t="shared" ca="1" si="41"/>
        <v>0</v>
      </c>
      <c r="AE102" s="507">
        <f t="shared" ca="1" si="42"/>
        <v>0</v>
      </c>
      <c r="AF102" s="11">
        <f t="shared" ca="1" si="30"/>
        <v>0</v>
      </c>
      <c r="AI102" s="4">
        <v>194</v>
      </c>
      <c r="AJ102" s="5" t="s">
        <v>298</v>
      </c>
      <c r="AK102" s="5" t="s">
        <v>296</v>
      </c>
      <c r="AL102" s="5" t="s">
        <v>299</v>
      </c>
      <c r="AM102" s="5" t="s">
        <v>0</v>
      </c>
      <c r="AN102" s="5" t="s">
        <v>18</v>
      </c>
      <c r="AO102" s="5" t="s">
        <v>12</v>
      </c>
      <c r="AP102" s="5" t="s">
        <v>17</v>
      </c>
      <c r="AQ102" s="5" t="s">
        <v>139</v>
      </c>
      <c r="AR102" s="5" t="s">
        <v>18</v>
      </c>
      <c r="AS102" s="6"/>
      <c r="AU102" s="5"/>
      <c r="AV102" s="5"/>
      <c r="AW102" s="5"/>
      <c r="AX102" s="5"/>
      <c r="AY102" s="5"/>
      <c r="BA102" s="34"/>
      <c r="BB102" s="35"/>
      <c r="BC102" s="36"/>
      <c r="BE102" s="34"/>
      <c r="BF102" s="35"/>
      <c r="BG102" s="36"/>
      <c r="BI102" s="34"/>
      <c r="BJ102" s="35"/>
      <c r="BK102" s="36"/>
      <c r="BM102" s="34"/>
      <c r="BN102" s="35"/>
      <c r="BO102" s="36"/>
      <c r="BQ102" s="34"/>
      <c r="BR102" s="35"/>
      <c r="BS102" s="36"/>
      <c r="BU102" s="34"/>
      <c r="BV102" s="35"/>
      <c r="BW102" s="36"/>
      <c r="BY102" s="34"/>
      <c r="BZ102" s="35"/>
      <c r="CA102" s="36"/>
      <c r="CC102" s="34"/>
      <c r="CD102" s="35"/>
      <c r="CE102" s="36"/>
      <c r="CG102" s="34"/>
      <c r="CH102" s="35"/>
      <c r="CI102" s="36"/>
      <c r="CK102" s="34"/>
      <c r="CL102" s="35"/>
      <c r="CM102" s="36"/>
      <c r="CO102" s="34"/>
      <c r="CP102" s="35"/>
      <c r="CQ102" s="36"/>
      <c r="CS102" s="34"/>
      <c r="CT102" s="35"/>
      <c r="CU102" s="36"/>
    </row>
    <row r="103" spans="1:99">
      <c r="A103" s="727"/>
      <c r="B103" s="728"/>
      <c r="C103" s="729"/>
      <c r="D103">
        <v>-366407.31000000006</v>
      </c>
      <c r="F103" s="733"/>
      <c r="G103" s="733"/>
      <c r="H103" s="733"/>
      <c r="R103" s="506"/>
      <c r="S103" s="506" t="s">
        <v>3861</v>
      </c>
      <c r="T103" s="507">
        <f t="shared" ca="1" si="31"/>
        <v>0</v>
      </c>
      <c r="U103" s="507">
        <f t="shared" ca="1" si="32"/>
        <v>4500</v>
      </c>
      <c r="V103" s="507">
        <f t="shared" ca="1" si="33"/>
        <v>1105000</v>
      </c>
      <c r="W103" s="507">
        <f t="shared" ca="1" si="34"/>
        <v>0</v>
      </c>
      <c r="X103" s="507">
        <f t="shared" ca="1" si="35"/>
        <v>0</v>
      </c>
      <c r="Y103" s="507">
        <f t="shared" ca="1" si="36"/>
        <v>0</v>
      </c>
      <c r="Z103" s="507">
        <f t="shared" ca="1" si="37"/>
        <v>0</v>
      </c>
      <c r="AA103" s="507">
        <f t="shared" ca="1" si="38"/>
        <v>0</v>
      </c>
      <c r="AB103" s="507">
        <f t="shared" ca="1" si="39"/>
        <v>0</v>
      </c>
      <c r="AC103" s="507">
        <f t="shared" ca="1" si="40"/>
        <v>0</v>
      </c>
      <c r="AD103" s="507">
        <f t="shared" ca="1" si="41"/>
        <v>0</v>
      </c>
      <c r="AE103" s="507">
        <f t="shared" ca="1" si="42"/>
        <v>0</v>
      </c>
      <c r="AF103" s="11">
        <f t="shared" ca="1" si="30"/>
        <v>1109500</v>
      </c>
      <c r="AI103" s="4">
        <v>196</v>
      </c>
      <c r="AJ103" s="5" t="s">
        <v>300</v>
      </c>
      <c r="AK103" s="5" t="s">
        <v>296</v>
      </c>
      <c r="AL103" s="5" t="s">
        <v>297</v>
      </c>
      <c r="AM103" s="5" t="s">
        <v>0</v>
      </c>
      <c r="AN103" s="5" t="s">
        <v>18</v>
      </c>
      <c r="AO103" s="5" t="s">
        <v>12</v>
      </c>
      <c r="AP103" s="5" t="s">
        <v>17</v>
      </c>
      <c r="AQ103" s="5" t="s">
        <v>139</v>
      </c>
      <c r="AR103" s="5" t="s">
        <v>18</v>
      </c>
      <c r="AS103" s="6"/>
      <c r="AU103" s="5"/>
      <c r="AV103" s="5"/>
      <c r="AW103" s="5"/>
      <c r="AX103" s="5"/>
      <c r="AY103" s="5"/>
      <c r="BA103" s="34"/>
      <c r="BB103" s="35"/>
      <c r="BC103" s="36"/>
      <c r="BE103" s="34"/>
      <c r="BF103" s="35"/>
      <c r="BG103" s="36"/>
      <c r="BI103" s="34"/>
      <c r="BJ103" s="35"/>
      <c r="BK103" s="36"/>
      <c r="BM103" s="34"/>
      <c r="BN103" s="35"/>
      <c r="BO103" s="36"/>
      <c r="BQ103" s="34"/>
      <c r="BR103" s="35"/>
      <c r="BS103" s="36"/>
      <c r="BU103" s="34"/>
      <c r="BV103" s="35"/>
      <c r="BW103" s="36"/>
      <c r="BY103" s="34"/>
      <c r="BZ103" s="35"/>
      <c r="CA103" s="36"/>
      <c r="CC103" s="34"/>
      <c r="CD103" s="35"/>
      <c r="CE103" s="36"/>
      <c r="CG103" s="34"/>
      <c r="CH103" s="35"/>
      <c r="CI103" s="36"/>
      <c r="CK103" s="34"/>
      <c r="CL103" s="35"/>
      <c r="CM103" s="36"/>
      <c r="CO103" s="34"/>
      <c r="CP103" s="35"/>
      <c r="CQ103" s="36"/>
      <c r="CS103" s="34"/>
      <c r="CT103" s="35"/>
      <c r="CU103" s="36"/>
    </row>
    <row r="104" spans="1:99">
      <c r="A104" s="727"/>
      <c r="B104" s="728"/>
      <c r="C104" s="729"/>
      <c r="F104" s="924"/>
      <c r="G104" s="924"/>
      <c r="H104" s="924"/>
      <c r="R104" s="506"/>
      <c r="S104" s="506" t="s">
        <v>3890</v>
      </c>
      <c r="T104" s="507">
        <f t="shared" ca="1" si="31"/>
        <v>0</v>
      </c>
      <c r="U104" s="507">
        <f t="shared" ca="1" si="32"/>
        <v>0</v>
      </c>
      <c r="V104" s="507">
        <f t="shared" ca="1" si="33"/>
        <v>0</v>
      </c>
      <c r="W104" s="507">
        <f t="shared" ca="1" si="34"/>
        <v>0</v>
      </c>
      <c r="X104" s="507">
        <f t="shared" ca="1" si="35"/>
        <v>0</v>
      </c>
      <c r="Y104" s="507">
        <f t="shared" ca="1" si="36"/>
        <v>0</v>
      </c>
      <c r="Z104" s="507">
        <f t="shared" ca="1" si="37"/>
        <v>0</v>
      </c>
      <c r="AA104" s="507">
        <f t="shared" ca="1" si="38"/>
        <v>0</v>
      </c>
      <c r="AB104" s="507">
        <f t="shared" ca="1" si="39"/>
        <v>0</v>
      </c>
      <c r="AC104" s="507">
        <f t="shared" ca="1" si="40"/>
        <v>0</v>
      </c>
      <c r="AD104" s="507">
        <f t="shared" ca="1" si="41"/>
        <v>0</v>
      </c>
      <c r="AE104" s="507">
        <f t="shared" ca="1" si="42"/>
        <v>0</v>
      </c>
      <c r="AF104" s="11">
        <f t="shared" ca="1" si="30"/>
        <v>0</v>
      </c>
      <c r="AI104" s="4">
        <v>198</v>
      </c>
      <c r="AJ104" s="5" t="s">
        <v>301</v>
      </c>
      <c r="AK104" s="5" t="s">
        <v>280</v>
      </c>
      <c r="AL104" s="5" t="s">
        <v>302</v>
      </c>
      <c r="AM104" s="5" t="s">
        <v>0</v>
      </c>
      <c r="AN104" s="5" t="s">
        <v>18</v>
      </c>
      <c r="AO104" s="5" t="s">
        <v>12</v>
      </c>
      <c r="AP104" s="5" t="s">
        <v>17</v>
      </c>
      <c r="AQ104" s="5" t="s">
        <v>139</v>
      </c>
      <c r="AR104" s="5" t="s">
        <v>18</v>
      </c>
      <c r="AS104" s="6"/>
      <c r="AU104" s="5"/>
      <c r="AV104" s="5"/>
      <c r="AW104" s="5"/>
      <c r="AX104" s="5"/>
      <c r="AY104" s="5"/>
      <c r="BA104" s="34"/>
      <c r="BB104" s="35"/>
      <c r="BC104" s="36"/>
      <c r="BE104" s="34"/>
      <c r="BF104" s="35"/>
      <c r="BG104" s="36"/>
      <c r="BI104" s="34"/>
      <c r="BJ104" s="35"/>
      <c r="BK104" s="36"/>
      <c r="BM104" s="34"/>
      <c r="BN104" s="35"/>
      <c r="BO104" s="36"/>
      <c r="BQ104" s="34"/>
      <c r="BR104" s="35"/>
      <c r="BS104" s="36"/>
      <c r="BU104" s="34"/>
      <c r="BV104" s="35"/>
      <c r="BW104" s="36"/>
      <c r="BY104" s="34"/>
      <c r="BZ104" s="35"/>
      <c r="CA104" s="36"/>
      <c r="CC104" s="34"/>
      <c r="CD104" s="35"/>
      <c r="CE104" s="36"/>
      <c r="CG104" s="34"/>
      <c r="CH104" s="35"/>
      <c r="CI104" s="36"/>
      <c r="CK104" s="34"/>
      <c r="CL104" s="35"/>
      <c r="CM104" s="36"/>
      <c r="CO104" s="34"/>
      <c r="CP104" s="35"/>
      <c r="CQ104" s="36"/>
      <c r="CS104" s="34"/>
      <c r="CT104" s="35"/>
      <c r="CU104" s="36"/>
    </row>
    <row r="105" spans="1:99">
      <c r="A105" s="727"/>
      <c r="B105" s="728"/>
      <c r="C105" s="729"/>
      <c r="F105" s="733"/>
      <c r="G105" s="733"/>
      <c r="H105" s="733"/>
      <c r="R105" s="506"/>
      <c r="S105" s="506" t="s">
        <v>3885</v>
      </c>
      <c r="T105" s="507">
        <f t="shared" ca="1" si="31"/>
        <v>0</v>
      </c>
      <c r="U105" s="507">
        <f t="shared" ca="1" si="32"/>
        <v>0</v>
      </c>
      <c r="V105" s="507">
        <f t="shared" ca="1" si="33"/>
        <v>0</v>
      </c>
      <c r="W105" s="507">
        <f t="shared" ca="1" si="34"/>
        <v>0</v>
      </c>
      <c r="X105" s="507">
        <f t="shared" ca="1" si="35"/>
        <v>0</v>
      </c>
      <c r="Y105" s="507">
        <f t="shared" ca="1" si="36"/>
        <v>0</v>
      </c>
      <c r="Z105" s="507">
        <f t="shared" ca="1" si="37"/>
        <v>0</v>
      </c>
      <c r="AA105" s="507">
        <f t="shared" ca="1" si="38"/>
        <v>0</v>
      </c>
      <c r="AB105" s="507">
        <f t="shared" ca="1" si="39"/>
        <v>0</v>
      </c>
      <c r="AC105" s="507">
        <f t="shared" ca="1" si="40"/>
        <v>0</v>
      </c>
      <c r="AD105" s="507">
        <f t="shared" ca="1" si="41"/>
        <v>0</v>
      </c>
      <c r="AE105" s="507">
        <f t="shared" ca="1" si="42"/>
        <v>0</v>
      </c>
      <c r="AF105" s="11">
        <f t="shared" ca="1" si="30"/>
        <v>0</v>
      </c>
      <c r="AI105" s="4">
        <v>200</v>
      </c>
      <c r="AJ105" s="5" t="s">
        <v>305</v>
      </c>
      <c r="AK105" s="5" t="s">
        <v>303</v>
      </c>
      <c r="AL105" s="5" t="s">
        <v>306</v>
      </c>
      <c r="AM105" s="5" t="s">
        <v>0</v>
      </c>
      <c r="AN105" s="5" t="s">
        <v>18</v>
      </c>
      <c r="AO105" s="5" t="s">
        <v>12</v>
      </c>
      <c r="AP105" s="5" t="s">
        <v>17</v>
      </c>
      <c r="AQ105" s="5" t="s">
        <v>139</v>
      </c>
      <c r="AR105" s="5" t="s">
        <v>18</v>
      </c>
      <c r="AS105" s="6"/>
      <c r="AU105" s="5"/>
      <c r="AV105" s="5"/>
      <c r="AW105" s="5"/>
      <c r="AX105" s="5"/>
      <c r="AY105" s="5"/>
      <c r="BA105" s="34"/>
      <c r="BB105" s="35"/>
      <c r="BC105" s="36"/>
      <c r="BE105" s="34"/>
      <c r="BF105" s="35"/>
      <c r="BG105" s="36"/>
      <c r="BI105" s="34"/>
      <c r="BJ105" s="35"/>
      <c r="BK105" s="36"/>
      <c r="BM105" s="34"/>
      <c r="BN105" s="35"/>
      <c r="BO105" s="36"/>
      <c r="BQ105" s="34"/>
      <c r="BR105" s="35"/>
      <c r="BS105" s="36"/>
      <c r="BU105" s="34"/>
      <c r="BV105" s="35"/>
      <c r="BW105" s="36"/>
      <c r="BY105" s="34"/>
      <c r="BZ105" s="35"/>
      <c r="CA105" s="36"/>
      <c r="CC105" s="34"/>
      <c r="CD105" s="35"/>
      <c r="CE105" s="36"/>
      <c r="CG105" s="34"/>
      <c r="CH105" s="35"/>
      <c r="CI105" s="36"/>
      <c r="CK105" s="34"/>
      <c r="CL105" s="35"/>
      <c r="CM105" s="36"/>
      <c r="CO105" s="34"/>
      <c r="CP105" s="35"/>
      <c r="CQ105" s="36"/>
      <c r="CS105" s="34"/>
      <c r="CT105" s="35"/>
      <c r="CU105" s="36"/>
    </row>
    <row r="106" spans="1:99">
      <c r="A106" s="727"/>
      <c r="B106" s="728"/>
      <c r="C106" s="729"/>
      <c r="R106" s="506"/>
      <c r="S106" s="506" t="s">
        <v>3888</v>
      </c>
      <c r="T106" s="507">
        <f t="shared" ca="1" si="31"/>
        <v>0</v>
      </c>
      <c r="U106" s="507">
        <f t="shared" ca="1" si="32"/>
        <v>0</v>
      </c>
      <c r="V106" s="507">
        <f t="shared" ca="1" si="33"/>
        <v>0</v>
      </c>
      <c r="W106" s="507">
        <f t="shared" ca="1" si="34"/>
        <v>0</v>
      </c>
      <c r="X106" s="507">
        <f t="shared" ca="1" si="35"/>
        <v>0</v>
      </c>
      <c r="Y106" s="507">
        <f t="shared" ca="1" si="36"/>
        <v>0</v>
      </c>
      <c r="Z106" s="507">
        <f t="shared" ca="1" si="37"/>
        <v>0</v>
      </c>
      <c r="AA106" s="507">
        <f t="shared" ca="1" si="38"/>
        <v>0</v>
      </c>
      <c r="AB106" s="507">
        <f t="shared" ca="1" si="39"/>
        <v>0</v>
      </c>
      <c r="AC106" s="507">
        <f t="shared" ca="1" si="40"/>
        <v>0</v>
      </c>
      <c r="AD106" s="507">
        <f t="shared" ca="1" si="41"/>
        <v>0</v>
      </c>
      <c r="AE106" s="507">
        <f t="shared" ca="1" si="42"/>
        <v>0</v>
      </c>
      <c r="AF106" s="11">
        <f t="shared" ca="1" si="30"/>
        <v>0</v>
      </c>
      <c r="AI106" s="4">
        <v>202</v>
      </c>
      <c r="AJ106" s="5" t="s">
        <v>307</v>
      </c>
      <c r="AK106" s="5" t="s">
        <v>303</v>
      </c>
      <c r="AL106" s="5" t="s">
        <v>308</v>
      </c>
      <c r="AM106" s="5" t="s">
        <v>0</v>
      </c>
      <c r="AN106" s="5" t="s">
        <v>18</v>
      </c>
      <c r="AO106" s="5" t="s">
        <v>12</v>
      </c>
      <c r="AP106" s="5" t="s">
        <v>17</v>
      </c>
      <c r="AQ106" s="5" t="s">
        <v>139</v>
      </c>
      <c r="AR106" s="5" t="s">
        <v>18</v>
      </c>
      <c r="AS106" s="6"/>
      <c r="AU106" s="5"/>
      <c r="AV106" s="5"/>
      <c r="AW106" s="5"/>
      <c r="AX106" s="5"/>
      <c r="AY106" s="5"/>
      <c r="BA106" s="34"/>
      <c r="BB106" s="35"/>
      <c r="BC106" s="36"/>
      <c r="BE106" s="34"/>
      <c r="BF106" s="35"/>
      <c r="BG106" s="36"/>
      <c r="BI106" s="34"/>
      <c r="BJ106" s="35"/>
      <c r="BK106" s="36"/>
      <c r="BM106" s="34"/>
      <c r="BN106" s="35"/>
      <c r="BO106" s="36"/>
      <c r="BQ106" s="34"/>
      <c r="BR106" s="35"/>
      <c r="BS106" s="36"/>
      <c r="BU106" s="34"/>
      <c r="BV106" s="35"/>
      <c r="BW106" s="36"/>
      <c r="BY106" s="34"/>
      <c r="BZ106" s="35"/>
      <c r="CA106" s="36"/>
      <c r="CC106" s="34"/>
      <c r="CD106" s="35"/>
      <c r="CE106" s="36"/>
      <c r="CG106" s="34"/>
      <c r="CH106" s="35"/>
      <c r="CI106" s="36"/>
      <c r="CK106" s="34"/>
      <c r="CL106" s="35"/>
      <c r="CM106" s="36"/>
      <c r="CO106" s="34"/>
      <c r="CP106" s="35"/>
      <c r="CQ106" s="36"/>
      <c r="CS106" s="34"/>
      <c r="CT106" s="35"/>
      <c r="CU106" s="36"/>
    </row>
    <row r="107" spans="1:99">
      <c r="A107" s="727"/>
      <c r="B107" s="728"/>
      <c r="C107" s="729"/>
      <c r="R107" s="506"/>
      <c r="S107" s="506" t="s">
        <v>3941</v>
      </c>
      <c r="T107" s="507">
        <f t="shared" ca="1" si="31"/>
        <v>0</v>
      </c>
      <c r="U107" s="507">
        <f t="shared" ca="1" si="32"/>
        <v>0</v>
      </c>
      <c r="V107" s="507">
        <f t="shared" ca="1" si="33"/>
        <v>0</v>
      </c>
      <c r="W107" s="507">
        <f t="shared" ca="1" si="34"/>
        <v>0</v>
      </c>
      <c r="X107" s="507">
        <f t="shared" ca="1" si="35"/>
        <v>0</v>
      </c>
      <c r="Y107" s="507">
        <f t="shared" ca="1" si="36"/>
        <v>0</v>
      </c>
      <c r="Z107" s="507">
        <f t="shared" ca="1" si="37"/>
        <v>0</v>
      </c>
      <c r="AA107" s="507">
        <f t="shared" ca="1" si="38"/>
        <v>0</v>
      </c>
      <c r="AB107" s="507">
        <f t="shared" ca="1" si="39"/>
        <v>0</v>
      </c>
      <c r="AC107" s="507">
        <f t="shared" ca="1" si="40"/>
        <v>0</v>
      </c>
      <c r="AD107" s="507">
        <f t="shared" ca="1" si="41"/>
        <v>0</v>
      </c>
      <c r="AE107" s="507">
        <f t="shared" ca="1" si="42"/>
        <v>0</v>
      </c>
      <c r="AF107" s="11">
        <f t="shared" ca="1" si="30"/>
        <v>0</v>
      </c>
      <c r="AI107" s="4">
        <v>204</v>
      </c>
      <c r="AJ107" s="5" t="s">
        <v>309</v>
      </c>
      <c r="AK107" s="5" t="s">
        <v>303</v>
      </c>
      <c r="AL107" s="5" t="s">
        <v>310</v>
      </c>
      <c r="AM107" s="5" t="s">
        <v>0</v>
      </c>
      <c r="AN107" s="5" t="s">
        <v>18</v>
      </c>
      <c r="AO107" s="5" t="s">
        <v>12</v>
      </c>
      <c r="AP107" s="5" t="s">
        <v>17</v>
      </c>
      <c r="AQ107" s="5" t="s">
        <v>139</v>
      </c>
      <c r="AR107" s="5" t="s">
        <v>18</v>
      </c>
      <c r="AS107" s="6"/>
      <c r="AU107" s="5"/>
      <c r="AV107" s="5"/>
      <c r="AW107" s="5"/>
      <c r="AX107" s="5"/>
      <c r="AY107" s="5"/>
      <c r="BA107" s="34"/>
      <c r="BB107" s="35"/>
      <c r="BC107" s="36"/>
      <c r="BE107" s="34"/>
      <c r="BF107" s="35"/>
      <c r="BG107" s="36"/>
      <c r="BI107" s="34"/>
      <c r="BJ107" s="35"/>
      <c r="BK107" s="36"/>
      <c r="BM107" s="34"/>
      <c r="BN107" s="35"/>
      <c r="BO107" s="36"/>
      <c r="BQ107" s="34"/>
      <c r="BR107" s="35"/>
      <c r="BS107" s="36"/>
      <c r="BU107" s="34"/>
      <c r="BV107" s="35"/>
      <c r="BW107" s="36"/>
      <c r="BY107" s="34"/>
      <c r="BZ107" s="35"/>
      <c r="CA107" s="36"/>
      <c r="CC107" s="34"/>
      <c r="CD107" s="35"/>
      <c r="CE107" s="36"/>
      <c r="CG107" s="34"/>
      <c r="CH107" s="35"/>
      <c r="CI107" s="36"/>
      <c r="CK107" s="34"/>
      <c r="CL107" s="35"/>
      <c r="CM107" s="36"/>
      <c r="CO107" s="34"/>
      <c r="CP107" s="35"/>
      <c r="CQ107" s="36"/>
      <c r="CS107" s="34"/>
      <c r="CT107" s="35"/>
      <c r="CU107" s="36"/>
    </row>
    <row r="108" spans="1:99">
      <c r="A108" s="727"/>
      <c r="B108" s="728"/>
      <c r="C108" s="729"/>
      <c r="R108" s="506"/>
      <c r="S108" s="506" t="s">
        <v>3931</v>
      </c>
      <c r="T108" s="507">
        <f t="shared" ca="1" si="31"/>
        <v>0</v>
      </c>
      <c r="U108" s="507">
        <f t="shared" ca="1" si="32"/>
        <v>0</v>
      </c>
      <c r="V108" s="507">
        <f t="shared" ca="1" si="33"/>
        <v>0</v>
      </c>
      <c r="W108" s="507">
        <f t="shared" ca="1" si="34"/>
        <v>0</v>
      </c>
      <c r="X108" s="507">
        <f t="shared" ca="1" si="35"/>
        <v>0</v>
      </c>
      <c r="Y108" s="507">
        <f t="shared" ca="1" si="36"/>
        <v>0</v>
      </c>
      <c r="Z108" s="507">
        <f t="shared" ca="1" si="37"/>
        <v>0</v>
      </c>
      <c r="AA108" s="507">
        <f t="shared" ca="1" si="38"/>
        <v>0</v>
      </c>
      <c r="AB108" s="507">
        <f t="shared" ca="1" si="39"/>
        <v>0</v>
      </c>
      <c r="AC108" s="507">
        <f t="shared" ca="1" si="40"/>
        <v>0</v>
      </c>
      <c r="AD108" s="507">
        <f t="shared" ca="1" si="41"/>
        <v>0</v>
      </c>
      <c r="AE108" s="507">
        <f t="shared" ca="1" si="42"/>
        <v>0</v>
      </c>
      <c r="AF108" s="11">
        <f t="shared" ca="1" si="30"/>
        <v>0</v>
      </c>
      <c r="AI108" s="4">
        <v>206</v>
      </c>
      <c r="AJ108" s="5" t="s">
        <v>313</v>
      </c>
      <c r="AK108" s="5" t="s">
        <v>311</v>
      </c>
      <c r="AL108" s="5" t="s">
        <v>314</v>
      </c>
      <c r="AM108" s="5" t="s">
        <v>0</v>
      </c>
      <c r="AN108" s="5" t="s">
        <v>18</v>
      </c>
      <c r="AO108" s="5" t="s">
        <v>12</v>
      </c>
      <c r="AP108" s="5" t="s">
        <v>17</v>
      </c>
      <c r="AQ108" s="5" t="s">
        <v>139</v>
      </c>
      <c r="AR108" s="5" t="s">
        <v>18</v>
      </c>
      <c r="AS108" s="6"/>
      <c r="AU108" s="5"/>
      <c r="AV108" s="5"/>
      <c r="AW108" s="5"/>
      <c r="AX108" s="5"/>
      <c r="AY108" s="5"/>
      <c r="BA108" s="34"/>
      <c r="BB108" s="35"/>
      <c r="BC108" s="36"/>
      <c r="BE108" s="34"/>
      <c r="BF108" s="35"/>
      <c r="BG108" s="36"/>
      <c r="BI108" s="34"/>
      <c r="BJ108" s="35"/>
      <c r="BK108" s="36"/>
      <c r="BM108" s="34"/>
      <c r="BN108" s="35"/>
      <c r="BO108" s="36"/>
      <c r="BQ108" s="34"/>
      <c r="BR108" s="35"/>
      <c r="BS108" s="36"/>
      <c r="BU108" s="34"/>
      <c r="BV108" s="35"/>
      <c r="BW108" s="36"/>
      <c r="BY108" s="34"/>
      <c r="BZ108" s="35"/>
      <c r="CA108" s="36"/>
      <c r="CC108" s="34"/>
      <c r="CD108" s="35"/>
      <c r="CE108" s="36"/>
      <c r="CG108" s="34"/>
      <c r="CH108" s="35"/>
      <c r="CI108" s="36"/>
      <c r="CK108" s="34"/>
      <c r="CL108" s="35"/>
      <c r="CM108" s="36"/>
      <c r="CO108" s="34"/>
      <c r="CP108" s="35"/>
      <c r="CQ108" s="36"/>
      <c r="CS108" s="34"/>
      <c r="CT108" s="35"/>
      <c r="CU108" s="36"/>
    </row>
    <row r="109" spans="1:99">
      <c r="A109" s="727"/>
      <c r="B109" s="728"/>
      <c r="C109" s="729"/>
      <c r="R109" s="506"/>
      <c r="S109" s="506" t="s">
        <v>3926</v>
      </c>
      <c r="T109" s="507">
        <f t="shared" ca="1" si="31"/>
        <v>0</v>
      </c>
      <c r="U109" s="507">
        <f t="shared" ca="1" si="32"/>
        <v>0</v>
      </c>
      <c r="V109" s="507">
        <f t="shared" ca="1" si="33"/>
        <v>1191000</v>
      </c>
      <c r="W109" s="507">
        <f t="shared" ca="1" si="34"/>
        <v>0</v>
      </c>
      <c r="X109" s="507">
        <f t="shared" ca="1" si="35"/>
        <v>0</v>
      </c>
      <c r="Y109" s="507">
        <f t="shared" ca="1" si="36"/>
        <v>0</v>
      </c>
      <c r="Z109" s="507">
        <f t="shared" ca="1" si="37"/>
        <v>0</v>
      </c>
      <c r="AA109" s="507">
        <f t="shared" ca="1" si="38"/>
        <v>0</v>
      </c>
      <c r="AB109" s="507">
        <f t="shared" ca="1" si="39"/>
        <v>0</v>
      </c>
      <c r="AC109" s="507">
        <f t="shared" ca="1" si="40"/>
        <v>0</v>
      </c>
      <c r="AD109" s="507">
        <f t="shared" ca="1" si="41"/>
        <v>0</v>
      </c>
      <c r="AE109" s="507">
        <f t="shared" ca="1" si="42"/>
        <v>0</v>
      </c>
      <c r="AF109" s="11">
        <f t="shared" ca="1" si="30"/>
        <v>1191000</v>
      </c>
      <c r="AI109" s="4">
        <v>208</v>
      </c>
      <c r="AJ109" s="5" t="s">
        <v>315</v>
      </c>
      <c r="AK109" s="5" t="s">
        <v>311</v>
      </c>
      <c r="AL109" s="5" t="s">
        <v>316</v>
      </c>
      <c r="AM109" s="5" t="s">
        <v>0</v>
      </c>
      <c r="AN109" s="5" t="s">
        <v>18</v>
      </c>
      <c r="AO109" s="5" t="s">
        <v>12</v>
      </c>
      <c r="AP109" s="5" t="s">
        <v>17</v>
      </c>
      <c r="AQ109" s="5" t="s">
        <v>139</v>
      </c>
      <c r="AR109" s="5" t="s">
        <v>18</v>
      </c>
      <c r="AS109" s="6"/>
      <c r="AU109" s="5"/>
      <c r="AV109" s="5"/>
      <c r="AW109" s="5"/>
      <c r="AX109" s="5"/>
      <c r="AY109" s="5"/>
      <c r="BA109" s="34"/>
      <c r="BB109" s="35"/>
      <c r="BC109" s="36"/>
      <c r="BE109" s="34"/>
      <c r="BF109" s="35"/>
      <c r="BG109" s="36"/>
      <c r="BI109" s="34"/>
      <c r="BJ109" s="35"/>
      <c r="BK109" s="36"/>
      <c r="BM109" s="34"/>
      <c r="BN109" s="35"/>
      <c r="BO109" s="36"/>
      <c r="BQ109" s="34"/>
      <c r="BR109" s="35"/>
      <c r="BS109" s="36"/>
      <c r="BU109" s="34"/>
      <c r="BV109" s="35"/>
      <c r="BW109" s="36"/>
      <c r="BY109" s="34"/>
      <c r="BZ109" s="35"/>
      <c r="CA109" s="36"/>
      <c r="CC109" s="34"/>
      <c r="CD109" s="35"/>
      <c r="CE109" s="36"/>
      <c r="CG109" s="34"/>
      <c r="CH109" s="35"/>
      <c r="CI109" s="36"/>
      <c r="CK109" s="34"/>
      <c r="CL109" s="35"/>
      <c r="CM109" s="36"/>
      <c r="CO109" s="34"/>
      <c r="CP109" s="35"/>
      <c r="CQ109" s="36"/>
      <c r="CS109" s="34"/>
      <c r="CT109" s="35"/>
      <c r="CU109" s="36"/>
    </row>
    <row r="110" spans="1:99">
      <c r="A110" s="727"/>
      <c r="B110" s="728"/>
      <c r="C110" s="729"/>
      <c r="R110" s="506"/>
      <c r="S110" s="506" t="s">
        <v>3933</v>
      </c>
      <c r="T110" s="507">
        <f t="shared" ca="1" si="31"/>
        <v>0</v>
      </c>
      <c r="U110" s="507">
        <f t="shared" ca="1" si="32"/>
        <v>0</v>
      </c>
      <c r="V110" s="507">
        <f t="shared" ca="1" si="33"/>
        <v>203388</v>
      </c>
      <c r="W110" s="507">
        <f t="shared" ca="1" si="34"/>
        <v>0</v>
      </c>
      <c r="X110" s="507">
        <f t="shared" ca="1" si="35"/>
        <v>0</v>
      </c>
      <c r="Y110" s="507">
        <f t="shared" ca="1" si="36"/>
        <v>0</v>
      </c>
      <c r="Z110" s="507">
        <f t="shared" ca="1" si="37"/>
        <v>0</v>
      </c>
      <c r="AA110" s="507">
        <f t="shared" ca="1" si="38"/>
        <v>0</v>
      </c>
      <c r="AB110" s="507">
        <f t="shared" ca="1" si="39"/>
        <v>0</v>
      </c>
      <c r="AC110" s="507">
        <f t="shared" ca="1" si="40"/>
        <v>0</v>
      </c>
      <c r="AD110" s="507">
        <f t="shared" ca="1" si="41"/>
        <v>0</v>
      </c>
      <c r="AE110" s="507">
        <f t="shared" ca="1" si="42"/>
        <v>0</v>
      </c>
      <c r="AF110" s="11">
        <f t="shared" ca="1" si="30"/>
        <v>203388</v>
      </c>
      <c r="AI110" s="4">
        <v>210</v>
      </c>
      <c r="AJ110" s="5" t="s">
        <v>317</v>
      </c>
      <c r="AK110" s="5" t="s">
        <v>311</v>
      </c>
      <c r="AL110" s="5" t="s">
        <v>318</v>
      </c>
      <c r="AM110" s="5" t="s">
        <v>0</v>
      </c>
      <c r="AN110" s="5" t="s">
        <v>18</v>
      </c>
      <c r="AO110" s="5" t="s">
        <v>12</v>
      </c>
      <c r="AP110" s="5" t="s">
        <v>17</v>
      </c>
      <c r="AQ110" s="5" t="s">
        <v>139</v>
      </c>
      <c r="AR110" s="5" t="s">
        <v>18</v>
      </c>
      <c r="AS110" s="6"/>
      <c r="AU110" s="5"/>
      <c r="AV110" s="5"/>
      <c r="AW110" s="5"/>
      <c r="AX110" s="5"/>
      <c r="AY110" s="5"/>
      <c r="BA110" s="34"/>
      <c r="BB110" s="35"/>
      <c r="BC110" s="36"/>
      <c r="BE110" s="34"/>
      <c r="BF110" s="35"/>
      <c r="BG110" s="36"/>
      <c r="BI110" s="34"/>
      <c r="BJ110" s="35"/>
      <c r="BK110" s="36"/>
      <c r="BM110" s="34"/>
      <c r="BN110" s="35"/>
      <c r="BO110" s="36"/>
      <c r="BQ110" s="34"/>
      <c r="BR110" s="35"/>
      <c r="BS110" s="36"/>
      <c r="BU110" s="34"/>
      <c r="BV110" s="35"/>
      <c r="BW110" s="36"/>
      <c r="BY110" s="34"/>
      <c r="BZ110" s="35"/>
      <c r="CA110" s="36"/>
      <c r="CC110" s="34"/>
      <c r="CD110" s="35"/>
      <c r="CE110" s="36"/>
      <c r="CG110" s="34"/>
      <c r="CH110" s="35"/>
      <c r="CI110" s="36"/>
      <c r="CK110" s="34"/>
      <c r="CL110" s="35"/>
      <c r="CM110" s="36"/>
      <c r="CO110" s="34"/>
      <c r="CP110" s="35"/>
      <c r="CQ110" s="36"/>
      <c r="CS110" s="34"/>
      <c r="CT110" s="35"/>
      <c r="CU110" s="36"/>
    </row>
    <row r="111" spans="1:99">
      <c r="A111" s="727"/>
      <c r="B111" s="728"/>
      <c r="C111" s="729"/>
      <c r="R111" s="506"/>
      <c r="S111" s="506" t="s">
        <v>3930</v>
      </c>
      <c r="T111" s="507">
        <f t="shared" ca="1" si="31"/>
        <v>0</v>
      </c>
      <c r="U111" s="507">
        <f t="shared" ca="1" si="32"/>
        <v>0</v>
      </c>
      <c r="V111" s="507">
        <f t="shared" ca="1" si="33"/>
        <v>0</v>
      </c>
      <c r="W111" s="507">
        <f t="shared" ca="1" si="34"/>
        <v>0</v>
      </c>
      <c r="X111" s="507">
        <f t="shared" ca="1" si="35"/>
        <v>0</v>
      </c>
      <c r="Y111" s="507">
        <f t="shared" ca="1" si="36"/>
        <v>0</v>
      </c>
      <c r="Z111" s="507">
        <f t="shared" ca="1" si="37"/>
        <v>0</v>
      </c>
      <c r="AA111" s="507">
        <f t="shared" ca="1" si="38"/>
        <v>0</v>
      </c>
      <c r="AB111" s="507">
        <f t="shared" ca="1" si="39"/>
        <v>0</v>
      </c>
      <c r="AC111" s="507">
        <f t="shared" ca="1" si="40"/>
        <v>0</v>
      </c>
      <c r="AD111" s="507">
        <f t="shared" ca="1" si="41"/>
        <v>0</v>
      </c>
      <c r="AE111" s="507">
        <f t="shared" ca="1" si="42"/>
        <v>0</v>
      </c>
      <c r="AF111" s="11">
        <f t="shared" ca="1" si="30"/>
        <v>0</v>
      </c>
      <c r="AI111" s="4">
        <v>212</v>
      </c>
      <c r="AJ111" s="5" t="s">
        <v>319</v>
      </c>
      <c r="AK111" s="5" t="s">
        <v>311</v>
      </c>
      <c r="AL111" s="5" t="s">
        <v>320</v>
      </c>
      <c r="AM111" s="5" t="s">
        <v>0</v>
      </c>
      <c r="AN111" s="5" t="s">
        <v>18</v>
      </c>
      <c r="AO111" s="5" t="s">
        <v>12</v>
      </c>
      <c r="AP111" s="5" t="s">
        <v>17</v>
      </c>
      <c r="AQ111" s="5" t="s">
        <v>139</v>
      </c>
      <c r="AR111" s="5" t="s">
        <v>18</v>
      </c>
      <c r="AS111" s="6"/>
      <c r="AU111" s="5"/>
      <c r="AV111" s="5"/>
      <c r="AW111" s="5"/>
      <c r="AX111" s="5"/>
      <c r="AY111" s="5"/>
      <c r="BA111" s="34"/>
      <c r="BB111" s="35"/>
      <c r="BC111" s="36"/>
      <c r="BE111" s="34"/>
      <c r="BF111" s="35"/>
      <c r="BG111" s="36"/>
      <c r="BI111" s="34"/>
      <c r="BJ111" s="35"/>
      <c r="BK111" s="36"/>
      <c r="BM111" s="34"/>
      <c r="BN111" s="35"/>
      <c r="BO111" s="36"/>
      <c r="BQ111" s="34"/>
      <c r="BR111" s="35"/>
      <c r="BS111" s="36"/>
      <c r="BU111" s="34"/>
      <c r="BV111" s="35"/>
      <c r="BW111" s="36"/>
      <c r="BY111" s="34"/>
      <c r="BZ111" s="35"/>
      <c r="CA111" s="36"/>
      <c r="CC111" s="34"/>
      <c r="CD111" s="35"/>
      <c r="CE111" s="36"/>
      <c r="CG111" s="34"/>
      <c r="CH111" s="35"/>
      <c r="CI111" s="36"/>
      <c r="CK111" s="34"/>
      <c r="CL111" s="35"/>
      <c r="CM111" s="36"/>
      <c r="CO111" s="34"/>
      <c r="CP111" s="35"/>
      <c r="CQ111" s="36"/>
      <c r="CS111" s="34"/>
      <c r="CT111" s="35"/>
      <c r="CU111" s="36"/>
    </row>
    <row r="112" spans="1:99">
      <c r="A112" s="727"/>
      <c r="B112" s="728"/>
      <c r="C112" s="729"/>
      <c r="R112" s="506"/>
      <c r="S112" s="506" t="s">
        <v>3906</v>
      </c>
      <c r="T112" s="507">
        <f t="shared" ca="1" si="31"/>
        <v>0</v>
      </c>
      <c r="U112" s="507">
        <f t="shared" ca="1" si="32"/>
        <v>0</v>
      </c>
      <c r="V112" s="507">
        <f t="shared" ca="1" si="33"/>
        <v>0</v>
      </c>
      <c r="W112" s="507">
        <f t="shared" ca="1" si="34"/>
        <v>0</v>
      </c>
      <c r="X112" s="507">
        <f t="shared" ca="1" si="35"/>
        <v>0</v>
      </c>
      <c r="Y112" s="507">
        <f t="shared" ca="1" si="36"/>
        <v>0</v>
      </c>
      <c r="Z112" s="507">
        <f t="shared" ca="1" si="37"/>
        <v>0</v>
      </c>
      <c r="AA112" s="507">
        <f t="shared" ca="1" si="38"/>
        <v>0</v>
      </c>
      <c r="AB112" s="507">
        <f t="shared" ca="1" si="39"/>
        <v>0</v>
      </c>
      <c r="AC112" s="507">
        <f t="shared" ca="1" si="40"/>
        <v>0</v>
      </c>
      <c r="AD112" s="507">
        <f t="shared" ca="1" si="41"/>
        <v>0</v>
      </c>
      <c r="AE112" s="507">
        <f t="shared" ca="1" si="42"/>
        <v>0</v>
      </c>
      <c r="AF112" s="11">
        <f t="shared" ca="1" si="30"/>
        <v>0</v>
      </c>
      <c r="AI112" s="4">
        <v>214</v>
      </c>
      <c r="AJ112" s="5" t="s">
        <v>323</v>
      </c>
      <c r="AK112" s="5" t="s">
        <v>321</v>
      </c>
      <c r="AL112" s="5" t="s">
        <v>324</v>
      </c>
      <c r="AM112" s="5" t="s">
        <v>0</v>
      </c>
      <c r="AN112" s="5" t="s">
        <v>18</v>
      </c>
      <c r="AO112" s="5" t="s">
        <v>12</v>
      </c>
      <c r="AP112" s="5" t="s">
        <v>17</v>
      </c>
      <c r="AQ112" s="5" t="s">
        <v>139</v>
      </c>
      <c r="AR112" s="5" t="s">
        <v>18</v>
      </c>
      <c r="AS112" s="6"/>
      <c r="AU112" s="5"/>
      <c r="AV112" s="5"/>
      <c r="AW112" s="5"/>
      <c r="AX112" s="5"/>
      <c r="AY112" s="5"/>
      <c r="BA112" s="34"/>
      <c r="BB112" s="35"/>
      <c r="BC112" s="36"/>
      <c r="BE112" s="34"/>
      <c r="BF112" s="35"/>
      <c r="BG112" s="36"/>
      <c r="BI112" s="34"/>
      <c r="BJ112" s="35"/>
      <c r="BK112" s="36"/>
      <c r="BM112" s="34"/>
      <c r="BN112" s="35"/>
      <c r="BO112" s="36"/>
      <c r="BQ112" s="34"/>
      <c r="BR112" s="35"/>
      <c r="BS112" s="36"/>
      <c r="BU112" s="34"/>
      <c r="BV112" s="35"/>
      <c r="BW112" s="36"/>
      <c r="BY112" s="34"/>
      <c r="BZ112" s="35"/>
      <c r="CA112" s="36"/>
      <c r="CC112" s="34"/>
      <c r="CD112" s="35"/>
      <c r="CE112" s="36"/>
      <c r="CG112" s="34"/>
      <c r="CH112" s="35"/>
      <c r="CI112" s="36"/>
      <c r="CK112" s="34"/>
      <c r="CL112" s="35"/>
      <c r="CM112" s="36"/>
      <c r="CO112" s="34"/>
      <c r="CP112" s="35"/>
      <c r="CQ112" s="36"/>
      <c r="CS112" s="34"/>
      <c r="CT112" s="35"/>
      <c r="CU112" s="36"/>
    </row>
    <row r="113" spans="1:99">
      <c r="A113" s="727"/>
      <c r="B113" s="728"/>
      <c r="C113" s="729"/>
      <c r="R113" s="506"/>
      <c r="S113" s="506" t="s">
        <v>3935</v>
      </c>
      <c r="T113" s="507">
        <f t="shared" ca="1" si="31"/>
        <v>0</v>
      </c>
      <c r="U113" s="507">
        <f t="shared" ca="1" si="32"/>
        <v>0</v>
      </c>
      <c r="V113" s="507">
        <f t="shared" ca="1" si="33"/>
        <v>0</v>
      </c>
      <c r="W113" s="507">
        <f t="shared" ca="1" si="34"/>
        <v>0</v>
      </c>
      <c r="X113" s="507">
        <f t="shared" ca="1" si="35"/>
        <v>0</v>
      </c>
      <c r="Y113" s="507">
        <f t="shared" ca="1" si="36"/>
        <v>0</v>
      </c>
      <c r="Z113" s="507">
        <f t="shared" ca="1" si="37"/>
        <v>0</v>
      </c>
      <c r="AA113" s="507">
        <f t="shared" ca="1" si="38"/>
        <v>0</v>
      </c>
      <c r="AB113" s="507">
        <f t="shared" ca="1" si="39"/>
        <v>0</v>
      </c>
      <c r="AC113" s="507">
        <f t="shared" ca="1" si="40"/>
        <v>0</v>
      </c>
      <c r="AD113" s="507">
        <f t="shared" ca="1" si="41"/>
        <v>0</v>
      </c>
      <c r="AE113" s="507">
        <f t="shared" ca="1" si="42"/>
        <v>0</v>
      </c>
      <c r="AF113" s="11">
        <f t="shared" ca="1" si="30"/>
        <v>0</v>
      </c>
      <c r="AI113" s="4">
        <v>216</v>
      </c>
      <c r="AJ113" s="5" t="s">
        <v>325</v>
      </c>
      <c r="AK113" s="5" t="s">
        <v>321</v>
      </c>
      <c r="AL113" s="5" t="s">
        <v>326</v>
      </c>
      <c r="AM113" s="5" t="s">
        <v>0</v>
      </c>
      <c r="AN113" s="5" t="s">
        <v>18</v>
      </c>
      <c r="AO113" s="5" t="s">
        <v>12</v>
      </c>
      <c r="AP113" s="5" t="s">
        <v>17</v>
      </c>
      <c r="AQ113" s="5" t="s">
        <v>139</v>
      </c>
      <c r="AR113" s="5" t="s">
        <v>18</v>
      </c>
      <c r="AS113" s="6"/>
      <c r="AU113" s="5"/>
      <c r="AV113" s="5"/>
      <c r="AW113" s="5"/>
      <c r="AX113" s="5"/>
      <c r="AY113" s="5"/>
      <c r="BA113" s="34"/>
      <c r="BB113" s="35"/>
      <c r="BC113" s="36"/>
      <c r="BE113" s="34"/>
      <c r="BF113" s="35"/>
      <c r="BG113" s="36"/>
      <c r="BI113" s="34"/>
      <c r="BJ113" s="35"/>
      <c r="BK113" s="36"/>
      <c r="BM113" s="34"/>
      <c r="BN113" s="35"/>
      <c r="BO113" s="36"/>
      <c r="BQ113" s="34"/>
      <c r="BR113" s="35"/>
      <c r="BS113" s="36"/>
      <c r="BU113" s="34"/>
      <c r="BV113" s="35"/>
      <c r="BW113" s="36"/>
      <c r="BY113" s="34"/>
      <c r="BZ113" s="35"/>
      <c r="CA113" s="36"/>
      <c r="CC113" s="34"/>
      <c r="CD113" s="35"/>
      <c r="CE113" s="36"/>
      <c r="CG113" s="34"/>
      <c r="CH113" s="35"/>
      <c r="CI113" s="36"/>
      <c r="CK113" s="34"/>
      <c r="CL113" s="35"/>
      <c r="CM113" s="36"/>
      <c r="CO113" s="34"/>
      <c r="CP113" s="35"/>
      <c r="CQ113" s="36"/>
      <c r="CS113" s="34"/>
      <c r="CT113" s="35"/>
      <c r="CU113" s="36"/>
    </row>
    <row r="114" spans="1:99">
      <c r="A114" s="727"/>
      <c r="B114" s="728"/>
      <c r="C114" s="729"/>
      <c r="R114" s="506"/>
      <c r="S114" s="506" t="s">
        <v>3905</v>
      </c>
      <c r="T114" s="507">
        <f t="shared" ca="1" si="31"/>
        <v>0</v>
      </c>
      <c r="U114" s="507">
        <f t="shared" ca="1" si="32"/>
        <v>0</v>
      </c>
      <c r="V114" s="507">
        <f t="shared" ca="1" si="33"/>
        <v>0</v>
      </c>
      <c r="W114" s="507">
        <f t="shared" ca="1" si="34"/>
        <v>0</v>
      </c>
      <c r="X114" s="507">
        <f t="shared" ca="1" si="35"/>
        <v>0</v>
      </c>
      <c r="Y114" s="507">
        <f t="shared" ca="1" si="36"/>
        <v>0</v>
      </c>
      <c r="Z114" s="507">
        <f t="shared" ca="1" si="37"/>
        <v>0</v>
      </c>
      <c r="AA114" s="507">
        <f t="shared" ca="1" si="38"/>
        <v>0</v>
      </c>
      <c r="AB114" s="507">
        <f t="shared" ca="1" si="39"/>
        <v>0</v>
      </c>
      <c r="AC114" s="507">
        <f t="shared" ca="1" si="40"/>
        <v>0</v>
      </c>
      <c r="AD114" s="507">
        <f t="shared" ca="1" si="41"/>
        <v>0</v>
      </c>
      <c r="AE114" s="507">
        <f t="shared" ca="1" si="42"/>
        <v>0</v>
      </c>
      <c r="AF114" s="11">
        <f t="shared" ca="1" si="30"/>
        <v>0</v>
      </c>
      <c r="AI114" s="4">
        <v>218</v>
      </c>
      <c r="AJ114" s="5" t="s">
        <v>327</v>
      </c>
      <c r="AK114" s="5" t="s">
        <v>321</v>
      </c>
      <c r="AL114" s="5" t="s">
        <v>328</v>
      </c>
      <c r="AM114" s="5" t="s">
        <v>0</v>
      </c>
      <c r="AN114" s="5" t="s">
        <v>18</v>
      </c>
      <c r="AO114" s="5" t="s">
        <v>12</v>
      </c>
      <c r="AP114" s="5" t="s">
        <v>17</v>
      </c>
      <c r="AQ114" s="5" t="s">
        <v>139</v>
      </c>
      <c r="AR114" s="5" t="s">
        <v>18</v>
      </c>
      <c r="AS114" s="6"/>
      <c r="AU114" s="5"/>
      <c r="AV114" s="5"/>
      <c r="AW114" s="5"/>
      <c r="AX114" s="5"/>
      <c r="AY114" s="5"/>
      <c r="BA114" s="34"/>
      <c r="BB114" s="35"/>
      <c r="BC114" s="36"/>
      <c r="BE114" s="34"/>
      <c r="BF114" s="35"/>
      <c r="BG114" s="36"/>
      <c r="BI114" s="34"/>
      <c r="BJ114" s="35"/>
      <c r="BK114" s="36"/>
      <c r="BM114" s="34"/>
      <c r="BN114" s="35"/>
      <c r="BO114" s="36"/>
      <c r="BQ114" s="34"/>
      <c r="BR114" s="35"/>
      <c r="BS114" s="36"/>
      <c r="BU114" s="34"/>
      <c r="BV114" s="35"/>
      <c r="BW114" s="36"/>
      <c r="BY114" s="34"/>
      <c r="BZ114" s="35"/>
      <c r="CA114" s="36"/>
      <c r="CC114" s="34"/>
      <c r="CD114" s="35"/>
      <c r="CE114" s="36"/>
      <c r="CG114" s="34"/>
      <c r="CH114" s="35"/>
      <c r="CI114" s="36"/>
      <c r="CK114" s="34"/>
      <c r="CL114" s="35"/>
      <c r="CM114" s="36"/>
      <c r="CO114" s="34"/>
      <c r="CP114" s="35"/>
      <c r="CQ114" s="36"/>
      <c r="CS114" s="34"/>
      <c r="CT114" s="35"/>
      <c r="CU114" s="36"/>
    </row>
    <row r="115" spans="1:99">
      <c r="A115" s="727"/>
      <c r="B115" s="728"/>
      <c r="C115" s="729"/>
      <c r="R115" s="506"/>
      <c r="S115" s="506" t="s">
        <v>3929</v>
      </c>
      <c r="T115" s="507">
        <f t="shared" ca="1" si="31"/>
        <v>0</v>
      </c>
      <c r="U115" s="507">
        <f t="shared" ca="1" si="32"/>
        <v>0</v>
      </c>
      <c r="V115" s="507">
        <f t="shared" ca="1" si="33"/>
        <v>620.62</v>
      </c>
      <c r="W115" s="507">
        <f t="shared" ca="1" si="34"/>
        <v>0</v>
      </c>
      <c r="X115" s="507">
        <f t="shared" ca="1" si="35"/>
        <v>0</v>
      </c>
      <c r="Y115" s="507">
        <f t="shared" ca="1" si="36"/>
        <v>0</v>
      </c>
      <c r="Z115" s="507">
        <f t="shared" ca="1" si="37"/>
        <v>0</v>
      </c>
      <c r="AA115" s="507">
        <f t="shared" ca="1" si="38"/>
        <v>0</v>
      </c>
      <c r="AB115" s="507">
        <f t="shared" ca="1" si="39"/>
        <v>0</v>
      </c>
      <c r="AC115" s="507">
        <f t="shared" ca="1" si="40"/>
        <v>0</v>
      </c>
      <c r="AD115" s="507">
        <f t="shared" ca="1" si="41"/>
        <v>0</v>
      </c>
      <c r="AE115" s="507">
        <f t="shared" ca="1" si="42"/>
        <v>0</v>
      </c>
      <c r="AF115" s="11">
        <f t="shared" ca="1" si="30"/>
        <v>620.62</v>
      </c>
      <c r="AI115" s="4">
        <v>220</v>
      </c>
      <c r="AJ115" s="5" t="s">
        <v>329</v>
      </c>
      <c r="AK115" s="5" t="s">
        <v>321</v>
      </c>
      <c r="AL115" s="5" t="s">
        <v>330</v>
      </c>
      <c r="AM115" s="5" t="s">
        <v>0</v>
      </c>
      <c r="AN115" s="5" t="s">
        <v>18</v>
      </c>
      <c r="AO115" s="5" t="s">
        <v>12</v>
      </c>
      <c r="AP115" s="5" t="s">
        <v>17</v>
      </c>
      <c r="AQ115" s="5" t="s">
        <v>139</v>
      </c>
      <c r="AR115" s="5" t="s">
        <v>18</v>
      </c>
      <c r="AS115" s="6"/>
      <c r="AU115" s="5"/>
      <c r="AV115" s="5"/>
      <c r="AW115" s="5"/>
      <c r="AX115" s="5"/>
      <c r="AY115" s="5"/>
      <c r="BA115" s="34"/>
      <c r="BB115" s="35"/>
      <c r="BC115" s="36"/>
      <c r="BE115" s="34"/>
      <c r="BF115" s="35"/>
      <c r="BG115" s="36"/>
      <c r="BI115" s="34"/>
      <c r="BJ115" s="35"/>
      <c r="BK115" s="36"/>
      <c r="BM115" s="34"/>
      <c r="BN115" s="35"/>
      <c r="BO115" s="36"/>
      <c r="BQ115" s="34"/>
      <c r="BR115" s="35"/>
      <c r="BS115" s="36"/>
      <c r="BU115" s="34"/>
      <c r="BV115" s="35"/>
      <c r="BW115" s="36"/>
      <c r="BY115" s="34"/>
      <c r="BZ115" s="35"/>
      <c r="CA115" s="36"/>
      <c r="CC115" s="34"/>
      <c r="CD115" s="35"/>
      <c r="CE115" s="36"/>
      <c r="CG115" s="34"/>
      <c r="CH115" s="35"/>
      <c r="CI115" s="36"/>
      <c r="CK115" s="34"/>
      <c r="CL115" s="35"/>
      <c r="CM115" s="36"/>
      <c r="CO115" s="34"/>
      <c r="CP115" s="35"/>
      <c r="CQ115" s="36"/>
      <c r="CS115" s="34"/>
      <c r="CT115" s="35"/>
      <c r="CU115" s="36"/>
    </row>
    <row r="116" spans="1:99">
      <c r="A116" s="727"/>
      <c r="B116" s="728"/>
      <c r="C116" s="729"/>
      <c r="R116" s="506"/>
      <c r="S116" s="506" t="s">
        <v>3938</v>
      </c>
      <c r="T116" s="507">
        <f t="shared" ca="1" si="31"/>
        <v>0</v>
      </c>
      <c r="U116" s="507">
        <f t="shared" ca="1" si="32"/>
        <v>0</v>
      </c>
      <c r="V116" s="507">
        <f t="shared" ca="1" si="33"/>
        <v>0</v>
      </c>
      <c r="W116" s="507">
        <f t="shared" ca="1" si="34"/>
        <v>0</v>
      </c>
      <c r="X116" s="507">
        <f t="shared" ca="1" si="35"/>
        <v>0</v>
      </c>
      <c r="Y116" s="507">
        <f t="shared" ca="1" si="36"/>
        <v>0</v>
      </c>
      <c r="Z116" s="507">
        <f t="shared" ca="1" si="37"/>
        <v>0</v>
      </c>
      <c r="AA116" s="507">
        <f t="shared" ca="1" si="38"/>
        <v>0</v>
      </c>
      <c r="AB116" s="507">
        <f t="shared" ca="1" si="39"/>
        <v>0</v>
      </c>
      <c r="AC116" s="507">
        <f t="shared" ca="1" si="40"/>
        <v>0</v>
      </c>
      <c r="AD116" s="507">
        <f t="shared" ca="1" si="41"/>
        <v>0</v>
      </c>
      <c r="AE116" s="507">
        <f t="shared" ca="1" si="42"/>
        <v>0</v>
      </c>
      <c r="AF116" s="11">
        <f t="shared" ca="1" si="30"/>
        <v>0</v>
      </c>
      <c r="AI116" s="4">
        <v>222</v>
      </c>
      <c r="AJ116" s="5" t="s">
        <v>331</v>
      </c>
      <c r="AK116" s="5" t="s">
        <v>321</v>
      </c>
      <c r="AL116" s="5" t="s">
        <v>332</v>
      </c>
      <c r="AM116" s="5" t="s">
        <v>0</v>
      </c>
      <c r="AN116" s="5" t="s">
        <v>18</v>
      </c>
      <c r="AO116" s="5" t="s">
        <v>12</v>
      </c>
      <c r="AP116" s="5" t="s">
        <v>17</v>
      </c>
      <c r="AQ116" s="5" t="s">
        <v>139</v>
      </c>
      <c r="AR116" s="5" t="s">
        <v>18</v>
      </c>
      <c r="AS116" s="6"/>
      <c r="AU116" s="5"/>
      <c r="AV116" s="5"/>
      <c r="AW116" s="5"/>
      <c r="AX116" s="5"/>
      <c r="AY116" s="5"/>
      <c r="BA116" s="34"/>
      <c r="BB116" s="35"/>
      <c r="BC116" s="36"/>
      <c r="BE116" s="34"/>
      <c r="BF116" s="35"/>
      <c r="BG116" s="36"/>
      <c r="BI116" s="34"/>
      <c r="BJ116" s="35"/>
      <c r="BK116" s="36"/>
      <c r="BM116" s="34"/>
      <c r="BN116" s="35"/>
      <c r="BO116" s="36"/>
      <c r="BQ116" s="34"/>
      <c r="BR116" s="35"/>
      <c r="BS116" s="36"/>
      <c r="BU116" s="34"/>
      <c r="BV116" s="35"/>
      <c r="BW116" s="36"/>
      <c r="BY116" s="34"/>
      <c r="BZ116" s="35"/>
      <c r="CA116" s="36"/>
      <c r="CC116" s="34"/>
      <c r="CD116" s="35"/>
      <c r="CE116" s="36"/>
      <c r="CG116" s="34"/>
      <c r="CH116" s="35"/>
      <c r="CI116" s="36"/>
      <c r="CK116" s="34"/>
      <c r="CL116" s="35"/>
      <c r="CM116" s="36"/>
      <c r="CO116" s="34"/>
      <c r="CP116" s="35"/>
      <c r="CQ116" s="36"/>
      <c r="CS116" s="34"/>
      <c r="CT116" s="35"/>
      <c r="CU116" s="36"/>
    </row>
    <row r="117" spans="1:99">
      <c r="A117" s="727"/>
      <c r="B117" s="728"/>
      <c r="C117" s="729"/>
      <c r="R117" s="506"/>
      <c r="S117" s="506" t="s">
        <v>3959</v>
      </c>
      <c r="T117" s="507">
        <f t="shared" ca="1" si="31"/>
        <v>0</v>
      </c>
      <c r="U117" s="507">
        <f t="shared" ca="1" si="32"/>
        <v>0</v>
      </c>
      <c r="V117" s="507">
        <f t="shared" ca="1" si="33"/>
        <v>0</v>
      </c>
      <c r="W117" s="507">
        <f t="shared" ca="1" si="34"/>
        <v>0</v>
      </c>
      <c r="X117" s="507">
        <f t="shared" ca="1" si="35"/>
        <v>0</v>
      </c>
      <c r="Y117" s="507">
        <f t="shared" ca="1" si="36"/>
        <v>0</v>
      </c>
      <c r="Z117" s="507">
        <f t="shared" ca="1" si="37"/>
        <v>0</v>
      </c>
      <c r="AA117" s="507">
        <f t="shared" ca="1" si="38"/>
        <v>0</v>
      </c>
      <c r="AB117" s="507">
        <f t="shared" ca="1" si="39"/>
        <v>0</v>
      </c>
      <c r="AC117" s="507">
        <f t="shared" ca="1" si="40"/>
        <v>0</v>
      </c>
      <c r="AD117" s="507">
        <f t="shared" ca="1" si="41"/>
        <v>0</v>
      </c>
      <c r="AE117" s="507">
        <f t="shared" ca="1" si="42"/>
        <v>0</v>
      </c>
      <c r="AF117" s="11">
        <f t="shared" ca="1" si="30"/>
        <v>0</v>
      </c>
      <c r="AI117" s="4">
        <v>224</v>
      </c>
      <c r="AJ117" s="5" t="s">
        <v>333</v>
      </c>
      <c r="AK117" s="5" t="s">
        <v>321</v>
      </c>
      <c r="AL117" s="5" t="s">
        <v>334</v>
      </c>
      <c r="AM117" s="5" t="s">
        <v>0</v>
      </c>
      <c r="AN117" s="5" t="s">
        <v>18</v>
      </c>
      <c r="AO117" s="5" t="s">
        <v>12</v>
      </c>
      <c r="AP117" s="5" t="s">
        <v>17</v>
      </c>
      <c r="AQ117" s="5" t="s">
        <v>139</v>
      </c>
      <c r="AR117" s="5" t="s">
        <v>18</v>
      </c>
      <c r="AS117" s="6"/>
      <c r="AU117" s="5"/>
      <c r="AV117" s="5"/>
      <c r="AW117" s="5"/>
      <c r="AX117" s="5"/>
      <c r="AY117" s="5"/>
      <c r="BA117" s="34"/>
      <c r="BB117" s="35"/>
      <c r="BC117" s="36"/>
      <c r="BE117" s="34"/>
      <c r="BF117" s="35"/>
      <c r="BG117" s="36"/>
      <c r="BI117" s="34"/>
      <c r="BJ117" s="35"/>
      <c r="BK117" s="36"/>
      <c r="BM117" s="34"/>
      <c r="BN117" s="35"/>
      <c r="BO117" s="36"/>
      <c r="BQ117" s="34"/>
      <c r="BR117" s="35"/>
      <c r="BS117" s="36"/>
      <c r="BU117" s="34"/>
      <c r="BV117" s="35"/>
      <c r="BW117" s="36"/>
      <c r="BY117" s="34"/>
      <c r="BZ117" s="35"/>
      <c r="CA117" s="36"/>
      <c r="CC117" s="34"/>
      <c r="CD117" s="35"/>
      <c r="CE117" s="36"/>
      <c r="CG117" s="34"/>
      <c r="CH117" s="35"/>
      <c r="CI117" s="36"/>
      <c r="CK117" s="34"/>
      <c r="CL117" s="35"/>
      <c r="CM117" s="36"/>
      <c r="CO117" s="34"/>
      <c r="CP117" s="35"/>
      <c r="CQ117" s="36"/>
      <c r="CS117" s="34"/>
      <c r="CT117" s="35"/>
      <c r="CU117" s="36"/>
    </row>
    <row r="118" spans="1:99">
      <c r="A118" s="727"/>
      <c r="B118" s="728"/>
      <c r="C118" s="729"/>
      <c r="R118" s="506"/>
      <c r="S118" s="506" t="s">
        <v>3961</v>
      </c>
      <c r="T118" s="507">
        <f t="shared" ca="1" si="31"/>
        <v>0</v>
      </c>
      <c r="U118" s="507">
        <f t="shared" ca="1" si="32"/>
        <v>0</v>
      </c>
      <c r="V118" s="507">
        <f t="shared" ca="1" si="33"/>
        <v>0</v>
      </c>
      <c r="W118" s="507">
        <f t="shared" ca="1" si="34"/>
        <v>0</v>
      </c>
      <c r="X118" s="507">
        <f t="shared" ca="1" si="35"/>
        <v>0</v>
      </c>
      <c r="Y118" s="507">
        <f t="shared" ca="1" si="36"/>
        <v>0</v>
      </c>
      <c r="Z118" s="507">
        <f t="shared" ca="1" si="37"/>
        <v>0</v>
      </c>
      <c r="AA118" s="507">
        <f t="shared" ca="1" si="38"/>
        <v>0</v>
      </c>
      <c r="AB118" s="507">
        <f t="shared" ca="1" si="39"/>
        <v>0</v>
      </c>
      <c r="AC118" s="507">
        <f t="shared" ca="1" si="40"/>
        <v>0</v>
      </c>
      <c r="AD118" s="507">
        <f t="shared" ca="1" si="41"/>
        <v>0</v>
      </c>
      <c r="AE118" s="507">
        <f t="shared" ca="1" si="42"/>
        <v>0</v>
      </c>
      <c r="AF118" s="11">
        <f t="shared" ca="1" si="30"/>
        <v>0</v>
      </c>
      <c r="AI118" s="4">
        <v>226</v>
      </c>
      <c r="AJ118" s="5" t="s">
        <v>335</v>
      </c>
      <c r="AK118" s="5" t="s">
        <v>321</v>
      </c>
      <c r="AL118" s="5" t="s">
        <v>336</v>
      </c>
      <c r="AM118" s="5" t="s">
        <v>0</v>
      </c>
      <c r="AN118" s="5" t="s">
        <v>18</v>
      </c>
      <c r="AO118" s="5" t="s">
        <v>12</v>
      </c>
      <c r="AP118" s="5" t="s">
        <v>17</v>
      </c>
      <c r="AQ118" s="5" t="s">
        <v>139</v>
      </c>
      <c r="AR118" s="5" t="s">
        <v>18</v>
      </c>
      <c r="AS118" s="6"/>
      <c r="AU118" s="5"/>
      <c r="AV118" s="5"/>
      <c r="AW118" s="5"/>
      <c r="AX118" s="5"/>
      <c r="AY118" s="5"/>
      <c r="BA118" s="34"/>
      <c r="BB118" s="35"/>
      <c r="BC118" s="36"/>
      <c r="BE118" s="34"/>
      <c r="BF118" s="35"/>
      <c r="BG118" s="36"/>
      <c r="BI118" s="34"/>
      <c r="BJ118" s="35"/>
      <c r="BK118" s="36"/>
      <c r="BM118" s="34"/>
      <c r="BN118" s="35"/>
      <c r="BO118" s="36"/>
      <c r="BQ118" s="34"/>
      <c r="BR118" s="35"/>
      <c r="BS118" s="36"/>
      <c r="BU118" s="34"/>
      <c r="BV118" s="35"/>
      <c r="BW118" s="36"/>
      <c r="BY118" s="34"/>
      <c r="BZ118" s="35"/>
      <c r="CA118" s="36"/>
      <c r="CC118" s="34"/>
      <c r="CD118" s="35"/>
      <c r="CE118" s="36"/>
      <c r="CG118" s="34"/>
      <c r="CH118" s="35"/>
      <c r="CI118" s="36"/>
      <c r="CK118" s="34"/>
      <c r="CL118" s="35"/>
      <c r="CM118" s="36"/>
      <c r="CO118" s="34"/>
      <c r="CP118" s="35"/>
      <c r="CQ118" s="36"/>
      <c r="CS118" s="34"/>
      <c r="CT118" s="35"/>
      <c r="CU118" s="36"/>
    </row>
    <row r="119" spans="1:99">
      <c r="A119" s="727"/>
      <c r="B119" s="728"/>
      <c r="C119" s="729"/>
      <c r="R119" s="506"/>
      <c r="S119" s="506" t="s">
        <v>3946</v>
      </c>
      <c r="T119" s="507">
        <f t="shared" ca="1" si="31"/>
        <v>0</v>
      </c>
      <c r="U119" s="507">
        <f t="shared" ca="1" si="32"/>
        <v>0</v>
      </c>
      <c r="V119" s="507">
        <f t="shared" ca="1" si="33"/>
        <v>0</v>
      </c>
      <c r="W119" s="507">
        <f t="shared" ca="1" si="34"/>
        <v>0</v>
      </c>
      <c r="X119" s="507">
        <f t="shared" ca="1" si="35"/>
        <v>0</v>
      </c>
      <c r="Y119" s="507">
        <f t="shared" ca="1" si="36"/>
        <v>0</v>
      </c>
      <c r="Z119" s="507">
        <f t="shared" ca="1" si="37"/>
        <v>0</v>
      </c>
      <c r="AA119" s="507">
        <f t="shared" ca="1" si="38"/>
        <v>0</v>
      </c>
      <c r="AB119" s="507">
        <f t="shared" ca="1" si="39"/>
        <v>0</v>
      </c>
      <c r="AC119" s="507">
        <f t="shared" ca="1" si="40"/>
        <v>0</v>
      </c>
      <c r="AD119" s="507">
        <f t="shared" ca="1" si="41"/>
        <v>0</v>
      </c>
      <c r="AE119" s="507">
        <f t="shared" ca="1" si="42"/>
        <v>0</v>
      </c>
      <c r="AF119" s="11">
        <f t="shared" ca="1" si="30"/>
        <v>0</v>
      </c>
      <c r="AI119" s="4">
        <v>228</v>
      </c>
      <c r="AJ119" s="5" t="s">
        <v>337</v>
      </c>
      <c r="AK119" s="5" t="s">
        <v>321</v>
      </c>
      <c r="AL119" s="5" t="s">
        <v>338</v>
      </c>
      <c r="AM119" s="5" t="s">
        <v>0</v>
      </c>
      <c r="AN119" s="5" t="s">
        <v>18</v>
      </c>
      <c r="AO119" s="5" t="s">
        <v>12</v>
      </c>
      <c r="AP119" s="5" t="s">
        <v>17</v>
      </c>
      <c r="AQ119" s="5" t="s">
        <v>139</v>
      </c>
      <c r="AR119" s="5" t="s">
        <v>18</v>
      </c>
      <c r="AS119" s="6"/>
      <c r="AU119" s="5"/>
      <c r="AV119" s="5"/>
      <c r="AW119" s="5"/>
      <c r="AX119" s="5"/>
      <c r="AY119" s="5"/>
      <c r="BA119" s="34"/>
      <c r="BB119" s="35"/>
      <c r="BC119" s="36"/>
      <c r="BE119" s="34"/>
      <c r="BF119" s="35"/>
      <c r="BG119" s="36"/>
      <c r="BI119" s="34"/>
      <c r="BJ119" s="35"/>
      <c r="BK119" s="36"/>
      <c r="BM119" s="34"/>
      <c r="BN119" s="35"/>
      <c r="BO119" s="36"/>
      <c r="BQ119" s="34"/>
      <c r="BR119" s="35"/>
      <c r="BS119" s="36"/>
      <c r="BU119" s="34"/>
      <c r="BV119" s="35"/>
      <c r="BW119" s="36"/>
      <c r="BY119" s="34"/>
      <c r="BZ119" s="35"/>
      <c r="CA119" s="36"/>
      <c r="CC119" s="34"/>
      <c r="CD119" s="35"/>
      <c r="CE119" s="36"/>
      <c r="CG119" s="34"/>
      <c r="CH119" s="35"/>
      <c r="CI119" s="36"/>
      <c r="CK119" s="34"/>
      <c r="CL119" s="35"/>
      <c r="CM119" s="36"/>
      <c r="CO119" s="34"/>
      <c r="CP119" s="35"/>
      <c r="CQ119" s="36"/>
      <c r="CS119" s="34"/>
      <c r="CT119" s="35"/>
      <c r="CU119" s="36"/>
    </row>
    <row r="120" spans="1:99">
      <c r="A120" s="727"/>
      <c r="B120" s="728"/>
      <c r="C120" s="729"/>
      <c r="R120" s="506"/>
      <c r="S120" s="506" t="s">
        <v>3954</v>
      </c>
      <c r="T120" s="507">
        <f t="shared" ca="1" si="31"/>
        <v>0</v>
      </c>
      <c r="U120" s="507">
        <f t="shared" ca="1" si="32"/>
        <v>0</v>
      </c>
      <c r="V120" s="507">
        <f t="shared" ca="1" si="33"/>
        <v>0</v>
      </c>
      <c r="W120" s="507">
        <f t="shared" ca="1" si="34"/>
        <v>0</v>
      </c>
      <c r="X120" s="507">
        <f t="shared" ca="1" si="35"/>
        <v>0</v>
      </c>
      <c r="Y120" s="507">
        <f t="shared" ca="1" si="36"/>
        <v>0</v>
      </c>
      <c r="Z120" s="507">
        <f t="shared" ca="1" si="37"/>
        <v>0</v>
      </c>
      <c r="AA120" s="507">
        <f t="shared" ca="1" si="38"/>
        <v>0</v>
      </c>
      <c r="AB120" s="507">
        <f t="shared" ca="1" si="39"/>
        <v>0</v>
      </c>
      <c r="AC120" s="507">
        <f t="shared" ca="1" si="40"/>
        <v>0</v>
      </c>
      <c r="AD120" s="507">
        <f t="shared" ca="1" si="41"/>
        <v>0</v>
      </c>
      <c r="AE120" s="507">
        <f t="shared" ca="1" si="42"/>
        <v>0</v>
      </c>
      <c r="AF120" s="11">
        <f t="shared" ca="1" si="30"/>
        <v>0</v>
      </c>
      <c r="AI120" s="4">
        <v>230</v>
      </c>
      <c r="AJ120" s="5" t="s">
        <v>339</v>
      </c>
      <c r="AK120" s="5" t="s">
        <v>321</v>
      </c>
      <c r="AL120" s="5" t="s">
        <v>340</v>
      </c>
      <c r="AM120" s="5" t="s">
        <v>0</v>
      </c>
      <c r="AN120" s="5" t="s">
        <v>18</v>
      </c>
      <c r="AO120" s="5" t="s">
        <v>12</v>
      </c>
      <c r="AP120" s="5" t="s">
        <v>17</v>
      </c>
      <c r="AQ120" s="5" t="s">
        <v>139</v>
      </c>
      <c r="AR120" s="5" t="s">
        <v>18</v>
      </c>
      <c r="AS120" s="6"/>
      <c r="AU120" s="5"/>
      <c r="AV120" s="5"/>
      <c r="AW120" s="5"/>
      <c r="AX120" s="5"/>
      <c r="AY120" s="5"/>
      <c r="BA120" s="34"/>
      <c r="BB120" s="35"/>
      <c r="BC120" s="36"/>
      <c r="BE120" s="34"/>
      <c r="BF120" s="35"/>
      <c r="BG120" s="36"/>
      <c r="BI120" s="34"/>
      <c r="BJ120" s="35"/>
      <c r="BK120" s="36"/>
      <c r="BM120" s="34"/>
      <c r="BN120" s="35"/>
      <c r="BO120" s="36"/>
      <c r="BQ120" s="34"/>
      <c r="BR120" s="35"/>
      <c r="BS120" s="36"/>
      <c r="BU120" s="34"/>
      <c r="BV120" s="35"/>
      <c r="BW120" s="36"/>
      <c r="BY120" s="34"/>
      <c r="BZ120" s="35"/>
      <c r="CA120" s="36"/>
      <c r="CC120" s="34"/>
      <c r="CD120" s="35"/>
      <c r="CE120" s="36"/>
      <c r="CG120" s="34"/>
      <c r="CH120" s="35"/>
      <c r="CI120" s="36"/>
      <c r="CK120" s="34"/>
      <c r="CL120" s="35"/>
      <c r="CM120" s="36"/>
      <c r="CO120" s="34"/>
      <c r="CP120" s="35"/>
      <c r="CQ120" s="36"/>
      <c r="CS120" s="34"/>
      <c r="CT120" s="35"/>
      <c r="CU120" s="36"/>
    </row>
    <row r="121" spans="1:99">
      <c r="A121" s="727"/>
      <c r="B121" s="728"/>
      <c r="C121" s="729"/>
      <c r="R121" s="506"/>
      <c r="S121" s="506" t="s">
        <v>3947</v>
      </c>
      <c r="T121" s="507">
        <f t="shared" ca="1" si="31"/>
        <v>0</v>
      </c>
      <c r="U121" s="507">
        <f t="shared" ca="1" si="32"/>
        <v>0</v>
      </c>
      <c r="V121" s="507">
        <f t="shared" ca="1" si="33"/>
        <v>0</v>
      </c>
      <c r="W121" s="507">
        <f t="shared" ca="1" si="34"/>
        <v>0</v>
      </c>
      <c r="X121" s="507">
        <f t="shared" ca="1" si="35"/>
        <v>0</v>
      </c>
      <c r="Y121" s="507">
        <f t="shared" ca="1" si="36"/>
        <v>0</v>
      </c>
      <c r="Z121" s="507">
        <f t="shared" ca="1" si="37"/>
        <v>0</v>
      </c>
      <c r="AA121" s="507">
        <f t="shared" ca="1" si="38"/>
        <v>0</v>
      </c>
      <c r="AB121" s="507">
        <f t="shared" ca="1" si="39"/>
        <v>0</v>
      </c>
      <c r="AC121" s="507">
        <f t="shared" ca="1" si="40"/>
        <v>0</v>
      </c>
      <c r="AD121" s="507">
        <f t="shared" ca="1" si="41"/>
        <v>0</v>
      </c>
      <c r="AE121" s="507">
        <f t="shared" ca="1" si="42"/>
        <v>0</v>
      </c>
      <c r="AF121" s="11">
        <f t="shared" ca="1" si="30"/>
        <v>0</v>
      </c>
      <c r="AI121" s="4">
        <v>232</v>
      </c>
      <c r="AJ121" s="5" t="s">
        <v>341</v>
      </c>
      <c r="AK121" s="5" t="s">
        <v>321</v>
      </c>
      <c r="AL121" s="5" t="s">
        <v>342</v>
      </c>
      <c r="AM121" s="5" t="s">
        <v>0</v>
      </c>
      <c r="AN121" s="5" t="s">
        <v>18</v>
      </c>
      <c r="AO121" s="5" t="s">
        <v>12</v>
      </c>
      <c r="AP121" s="5" t="s">
        <v>17</v>
      </c>
      <c r="AQ121" s="5" t="s">
        <v>139</v>
      </c>
      <c r="AR121" s="5" t="s">
        <v>18</v>
      </c>
      <c r="AS121" s="6"/>
      <c r="AU121" s="5"/>
      <c r="AV121" s="5"/>
      <c r="AW121" s="5"/>
      <c r="AX121" s="5"/>
      <c r="AY121" s="5"/>
      <c r="BA121" s="34"/>
      <c r="BB121" s="35"/>
      <c r="BC121" s="36"/>
      <c r="BE121" s="34"/>
      <c r="BF121" s="35"/>
      <c r="BG121" s="36"/>
      <c r="BI121" s="34"/>
      <c r="BJ121" s="35"/>
      <c r="BK121" s="36"/>
      <c r="BM121" s="34"/>
      <c r="BN121" s="35"/>
      <c r="BO121" s="36"/>
      <c r="BQ121" s="34"/>
      <c r="BR121" s="35"/>
      <c r="BS121" s="36"/>
      <c r="BU121" s="34"/>
      <c r="BV121" s="35"/>
      <c r="BW121" s="36"/>
      <c r="BY121" s="34"/>
      <c r="BZ121" s="35"/>
      <c r="CA121" s="36"/>
      <c r="CC121" s="34"/>
      <c r="CD121" s="35"/>
      <c r="CE121" s="36"/>
      <c r="CG121" s="34"/>
      <c r="CH121" s="35"/>
      <c r="CI121" s="36"/>
      <c r="CK121" s="34"/>
      <c r="CL121" s="35"/>
      <c r="CM121" s="36"/>
      <c r="CO121" s="34"/>
      <c r="CP121" s="35"/>
      <c r="CQ121" s="36"/>
      <c r="CS121" s="34"/>
      <c r="CT121" s="35"/>
      <c r="CU121" s="36"/>
    </row>
    <row r="122" spans="1:99">
      <c r="A122" s="727"/>
      <c r="B122" s="728"/>
      <c r="C122" s="729"/>
      <c r="R122" s="506"/>
      <c r="S122" s="506"/>
      <c r="T122" s="507">
        <f t="shared" ca="1" si="31"/>
        <v>0</v>
      </c>
      <c r="U122" s="507">
        <f t="shared" ca="1" si="32"/>
        <v>0</v>
      </c>
      <c r="V122" s="507">
        <f t="shared" ca="1" si="33"/>
        <v>0</v>
      </c>
      <c r="W122" s="507">
        <f t="shared" ca="1" si="34"/>
        <v>0</v>
      </c>
      <c r="X122" s="507">
        <f t="shared" ca="1" si="35"/>
        <v>0</v>
      </c>
      <c r="Y122" s="507">
        <f t="shared" ca="1" si="36"/>
        <v>0</v>
      </c>
      <c r="Z122" s="507">
        <f t="shared" ca="1" si="37"/>
        <v>0</v>
      </c>
      <c r="AA122" s="507">
        <f t="shared" ca="1" si="38"/>
        <v>0</v>
      </c>
      <c r="AB122" s="507">
        <f t="shared" ca="1" si="39"/>
        <v>0</v>
      </c>
      <c r="AC122" s="507">
        <f t="shared" ca="1" si="40"/>
        <v>0</v>
      </c>
      <c r="AD122" s="507">
        <f t="shared" ca="1" si="41"/>
        <v>0</v>
      </c>
      <c r="AE122" s="507">
        <f t="shared" ca="1" si="42"/>
        <v>0</v>
      </c>
      <c r="AF122" s="11">
        <f t="shared" ca="1" si="30"/>
        <v>0</v>
      </c>
      <c r="AI122" s="4">
        <v>234</v>
      </c>
      <c r="AJ122" s="5" t="s">
        <v>343</v>
      </c>
      <c r="AK122" s="5" t="s">
        <v>225</v>
      </c>
      <c r="AL122" s="5" t="s">
        <v>344</v>
      </c>
      <c r="AM122" s="5" t="s">
        <v>0</v>
      </c>
      <c r="AN122" s="5" t="s">
        <v>18</v>
      </c>
      <c r="AO122" s="5" t="s">
        <v>12</v>
      </c>
      <c r="AP122" s="5" t="s">
        <v>17</v>
      </c>
      <c r="AQ122" s="5" t="s">
        <v>139</v>
      </c>
      <c r="AR122" s="5" t="s">
        <v>18</v>
      </c>
      <c r="AS122" s="6"/>
      <c r="AU122" s="5"/>
      <c r="AV122" s="5"/>
      <c r="AW122" s="5"/>
      <c r="AX122" s="5"/>
      <c r="AY122" s="5"/>
      <c r="BA122" s="34"/>
      <c r="BB122" s="35"/>
      <c r="BC122" s="36"/>
      <c r="BE122" s="34"/>
      <c r="BF122" s="35"/>
      <c r="BG122" s="36"/>
      <c r="BI122" s="34"/>
      <c r="BJ122" s="35"/>
      <c r="BK122" s="36"/>
      <c r="BM122" s="34"/>
      <c r="BN122" s="35"/>
      <c r="BO122" s="36"/>
      <c r="BQ122" s="34"/>
      <c r="BR122" s="35"/>
      <c r="BS122" s="36"/>
      <c r="BU122" s="34"/>
      <c r="BV122" s="35"/>
      <c r="BW122" s="36"/>
      <c r="BY122" s="34"/>
      <c r="BZ122" s="35"/>
      <c r="CA122" s="36"/>
      <c r="CC122" s="34"/>
      <c r="CD122" s="35"/>
      <c r="CE122" s="36"/>
      <c r="CG122" s="34"/>
      <c r="CH122" s="35"/>
      <c r="CI122" s="36"/>
      <c r="CK122" s="34"/>
      <c r="CL122" s="35"/>
      <c r="CM122" s="36"/>
      <c r="CO122" s="34"/>
      <c r="CP122" s="35"/>
      <c r="CQ122" s="36"/>
      <c r="CS122" s="34"/>
      <c r="CT122" s="35"/>
      <c r="CU122" s="36"/>
    </row>
    <row r="123" spans="1:99">
      <c r="A123" s="727"/>
      <c r="B123" s="728"/>
      <c r="C123" s="729"/>
      <c r="R123" s="506"/>
      <c r="S123" s="506" t="s">
        <v>3950</v>
      </c>
      <c r="T123" s="507">
        <f t="shared" ca="1" si="31"/>
        <v>0</v>
      </c>
      <c r="U123" s="507">
        <f t="shared" ca="1" si="32"/>
        <v>0</v>
      </c>
      <c r="V123" s="507">
        <f t="shared" ca="1" si="33"/>
        <v>0</v>
      </c>
      <c r="W123" s="507">
        <f t="shared" ca="1" si="34"/>
        <v>0</v>
      </c>
      <c r="X123" s="507">
        <f t="shared" ca="1" si="35"/>
        <v>0</v>
      </c>
      <c r="Y123" s="507">
        <f t="shared" ca="1" si="36"/>
        <v>0</v>
      </c>
      <c r="Z123" s="507">
        <f t="shared" ca="1" si="37"/>
        <v>0</v>
      </c>
      <c r="AA123" s="507">
        <f t="shared" ca="1" si="38"/>
        <v>0</v>
      </c>
      <c r="AB123" s="507">
        <f t="shared" ca="1" si="39"/>
        <v>0</v>
      </c>
      <c r="AC123" s="507">
        <f t="shared" ca="1" si="40"/>
        <v>0</v>
      </c>
      <c r="AD123" s="507">
        <f t="shared" ca="1" si="41"/>
        <v>0</v>
      </c>
      <c r="AE123" s="507">
        <f t="shared" ca="1" si="42"/>
        <v>0</v>
      </c>
      <c r="AF123" s="11">
        <f t="shared" ca="1" si="30"/>
        <v>0</v>
      </c>
      <c r="AI123" s="4">
        <v>236</v>
      </c>
      <c r="AJ123" s="5" t="s">
        <v>345</v>
      </c>
      <c r="AK123" s="5" t="s">
        <v>225</v>
      </c>
      <c r="AL123" s="5" t="s">
        <v>346</v>
      </c>
      <c r="AM123" s="5" t="s">
        <v>0</v>
      </c>
      <c r="AN123" s="5" t="s">
        <v>18</v>
      </c>
      <c r="AO123" s="5" t="s">
        <v>12</v>
      </c>
      <c r="AP123" s="5" t="s">
        <v>17</v>
      </c>
      <c r="AQ123" s="5" t="s">
        <v>139</v>
      </c>
      <c r="AR123" s="5" t="s">
        <v>18</v>
      </c>
      <c r="AS123" s="6"/>
      <c r="AU123" s="5"/>
      <c r="AV123" s="5"/>
      <c r="AW123" s="5"/>
      <c r="AX123" s="5"/>
      <c r="AY123" s="5"/>
      <c r="BA123" s="34"/>
      <c r="BB123" s="35"/>
      <c r="BC123" s="36"/>
      <c r="BE123" s="34"/>
      <c r="BF123" s="35"/>
      <c r="BG123" s="36"/>
      <c r="BI123" s="34"/>
      <c r="BJ123" s="35"/>
      <c r="BK123" s="36"/>
      <c r="BM123" s="34"/>
      <c r="BN123" s="35"/>
      <c r="BO123" s="36"/>
      <c r="BQ123" s="34"/>
      <c r="BR123" s="35"/>
      <c r="BS123" s="36"/>
      <c r="BU123" s="34"/>
      <c r="BV123" s="35"/>
      <c r="BW123" s="36"/>
      <c r="BY123" s="34"/>
      <c r="BZ123" s="35"/>
      <c r="CA123" s="36"/>
      <c r="CC123" s="34"/>
      <c r="CD123" s="35"/>
      <c r="CE123" s="36"/>
      <c r="CG123" s="34"/>
      <c r="CH123" s="35"/>
      <c r="CI123" s="36"/>
      <c r="CK123" s="34"/>
      <c r="CL123" s="35"/>
      <c r="CM123" s="36"/>
      <c r="CO123" s="34"/>
      <c r="CP123" s="35"/>
      <c r="CQ123" s="36"/>
      <c r="CS123" s="34"/>
      <c r="CT123" s="35"/>
      <c r="CU123" s="36"/>
    </row>
    <row r="124" spans="1:99">
      <c r="A124" s="727"/>
      <c r="B124" s="728"/>
      <c r="C124" s="729"/>
      <c r="R124" s="506"/>
      <c r="S124" s="506" t="s">
        <v>3953</v>
      </c>
      <c r="T124" s="507">
        <f t="shared" ca="1" si="31"/>
        <v>0</v>
      </c>
      <c r="U124" s="507">
        <f t="shared" ca="1" si="32"/>
        <v>0</v>
      </c>
      <c r="V124" s="507">
        <f t="shared" ca="1" si="33"/>
        <v>0</v>
      </c>
      <c r="W124" s="507">
        <f t="shared" ca="1" si="34"/>
        <v>0</v>
      </c>
      <c r="X124" s="507">
        <f t="shared" ca="1" si="35"/>
        <v>0</v>
      </c>
      <c r="Y124" s="507">
        <f t="shared" ca="1" si="36"/>
        <v>0</v>
      </c>
      <c r="Z124" s="507">
        <f t="shared" ca="1" si="37"/>
        <v>0</v>
      </c>
      <c r="AA124" s="507">
        <f t="shared" ca="1" si="38"/>
        <v>0</v>
      </c>
      <c r="AB124" s="507">
        <f t="shared" ca="1" si="39"/>
        <v>0</v>
      </c>
      <c r="AC124" s="507">
        <f t="shared" ca="1" si="40"/>
        <v>0</v>
      </c>
      <c r="AD124" s="507">
        <f t="shared" ca="1" si="41"/>
        <v>0</v>
      </c>
      <c r="AE124" s="507">
        <f t="shared" ca="1" si="42"/>
        <v>0</v>
      </c>
      <c r="AF124" s="11">
        <f t="shared" ca="1" si="30"/>
        <v>0</v>
      </c>
      <c r="AI124" s="4">
        <v>238</v>
      </c>
      <c r="AJ124" s="5" t="s">
        <v>347</v>
      </c>
      <c r="AK124" s="5" t="s">
        <v>225</v>
      </c>
      <c r="AL124" s="5" t="s">
        <v>348</v>
      </c>
      <c r="AM124" s="5" t="s">
        <v>0</v>
      </c>
      <c r="AN124" s="5" t="s">
        <v>18</v>
      </c>
      <c r="AO124" s="5" t="s">
        <v>12</v>
      </c>
      <c r="AP124" s="5" t="s">
        <v>17</v>
      </c>
      <c r="AQ124" s="5" t="s">
        <v>139</v>
      </c>
      <c r="AR124" s="5" t="s">
        <v>18</v>
      </c>
      <c r="AS124" s="6"/>
      <c r="AU124" s="5"/>
      <c r="AV124" s="5"/>
      <c r="AW124" s="5"/>
      <c r="AX124" s="5"/>
      <c r="AY124" s="5"/>
      <c r="BA124" s="34"/>
      <c r="BB124" s="35"/>
      <c r="BC124" s="36"/>
      <c r="BE124" s="34"/>
      <c r="BF124" s="35"/>
      <c r="BG124" s="36"/>
      <c r="BI124" s="34"/>
      <c r="BJ124" s="35"/>
      <c r="BK124" s="36"/>
      <c r="BM124" s="34"/>
      <c r="BN124" s="35"/>
      <c r="BO124" s="36"/>
      <c r="BQ124" s="34"/>
      <c r="BR124" s="35"/>
      <c r="BS124" s="36"/>
      <c r="BU124" s="34"/>
      <c r="BV124" s="35"/>
      <c r="BW124" s="36"/>
      <c r="BY124" s="34"/>
      <c r="BZ124" s="35"/>
      <c r="CA124" s="36"/>
      <c r="CC124" s="34"/>
      <c r="CD124" s="35"/>
      <c r="CE124" s="36"/>
      <c r="CG124" s="34"/>
      <c r="CH124" s="35"/>
      <c r="CI124" s="36"/>
      <c r="CK124" s="34"/>
      <c r="CL124" s="35"/>
      <c r="CM124" s="36"/>
      <c r="CO124" s="34"/>
      <c r="CP124" s="35"/>
      <c r="CQ124" s="36"/>
      <c r="CS124" s="34"/>
      <c r="CT124" s="35"/>
      <c r="CU124" s="36"/>
    </row>
    <row r="125" spans="1:99">
      <c r="A125" s="730"/>
      <c r="B125" s="731"/>
      <c r="C125" s="732"/>
      <c r="R125" s="506"/>
      <c r="S125" s="506" t="s">
        <v>3948</v>
      </c>
      <c r="T125" s="507">
        <f t="shared" ca="1" si="31"/>
        <v>0</v>
      </c>
      <c r="U125" s="507">
        <f t="shared" ca="1" si="32"/>
        <v>0</v>
      </c>
      <c r="V125" s="507">
        <f t="shared" ca="1" si="33"/>
        <v>0</v>
      </c>
      <c r="W125" s="507">
        <f t="shared" ca="1" si="34"/>
        <v>0</v>
      </c>
      <c r="X125" s="507">
        <f t="shared" ca="1" si="35"/>
        <v>0</v>
      </c>
      <c r="Y125" s="507">
        <f t="shared" ca="1" si="36"/>
        <v>0</v>
      </c>
      <c r="Z125" s="507">
        <f t="shared" ca="1" si="37"/>
        <v>0</v>
      </c>
      <c r="AA125" s="507">
        <f t="shared" ca="1" si="38"/>
        <v>0</v>
      </c>
      <c r="AB125" s="507">
        <f t="shared" ca="1" si="39"/>
        <v>0</v>
      </c>
      <c r="AC125" s="507">
        <f t="shared" ca="1" si="40"/>
        <v>0</v>
      </c>
      <c r="AD125" s="507">
        <f t="shared" ca="1" si="41"/>
        <v>0</v>
      </c>
      <c r="AE125" s="507">
        <f t="shared" ca="1" si="42"/>
        <v>0</v>
      </c>
      <c r="AF125" s="11">
        <f t="shared" ca="1" si="30"/>
        <v>0</v>
      </c>
      <c r="AI125" s="4">
        <v>240</v>
      </c>
      <c r="AJ125" s="5" t="s">
        <v>355</v>
      </c>
      <c r="AK125" s="5" t="s">
        <v>353</v>
      </c>
      <c r="AL125" s="5" t="s">
        <v>356</v>
      </c>
      <c r="AM125" s="5" t="s">
        <v>0</v>
      </c>
      <c r="AN125" s="5" t="s">
        <v>18</v>
      </c>
      <c r="AO125" s="5" t="s">
        <v>12</v>
      </c>
      <c r="AP125" s="5" t="s">
        <v>17</v>
      </c>
      <c r="AQ125" s="5" t="s">
        <v>139</v>
      </c>
      <c r="AR125" s="5" t="s">
        <v>18</v>
      </c>
      <c r="AS125" s="6"/>
      <c r="AU125" s="5"/>
      <c r="AV125" s="5"/>
      <c r="AW125" s="5"/>
      <c r="AX125" s="5"/>
      <c r="AY125" s="5"/>
      <c r="BA125" s="34"/>
      <c r="BB125" s="35"/>
      <c r="BC125" s="36"/>
      <c r="BE125" s="34"/>
      <c r="BF125" s="35"/>
      <c r="BG125" s="36"/>
      <c r="BI125" s="34"/>
      <c r="BJ125" s="35"/>
      <c r="BK125" s="36"/>
      <c r="BM125" s="34"/>
      <c r="BN125" s="35"/>
      <c r="BO125" s="36"/>
      <c r="BQ125" s="34"/>
      <c r="BR125" s="35"/>
      <c r="BS125" s="36"/>
      <c r="BU125" s="34"/>
      <c r="BV125" s="35"/>
      <c r="BW125" s="36"/>
      <c r="BY125" s="34"/>
      <c r="BZ125" s="35"/>
      <c r="CA125" s="36"/>
      <c r="CC125" s="34"/>
      <c r="CD125" s="35"/>
      <c r="CE125" s="36"/>
      <c r="CG125" s="34"/>
      <c r="CH125" s="35"/>
      <c r="CI125" s="36"/>
      <c r="CK125" s="34"/>
      <c r="CL125" s="35"/>
      <c r="CM125" s="36"/>
      <c r="CO125" s="34"/>
      <c r="CP125" s="35"/>
      <c r="CQ125" s="36"/>
      <c r="CS125" s="34"/>
      <c r="CT125" s="35"/>
      <c r="CU125" s="36"/>
    </row>
    <row r="126" spans="1:99">
      <c r="A126" s="1788"/>
      <c r="B126" s="1788"/>
      <c r="C126" s="1789"/>
      <c r="R126" s="506"/>
      <c r="S126" s="506" t="s">
        <v>3982</v>
      </c>
      <c r="T126" s="507">
        <f t="shared" ca="1" si="31"/>
        <v>0</v>
      </c>
      <c r="U126" s="507">
        <f t="shared" ca="1" si="32"/>
        <v>0</v>
      </c>
      <c r="V126" s="507">
        <f t="shared" ca="1" si="33"/>
        <v>0</v>
      </c>
      <c r="W126" s="507">
        <f t="shared" ca="1" si="34"/>
        <v>0</v>
      </c>
      <c r="X126" s="507">
        <f t="shared" ca="1" si="35"/>
        <v>0</v>
      </c>
      <c r="Y126" s="507">
        <f t="shared" ca="1" si="36"/>
        <v>0</v>
      </c>
      <c r="Z126" s="507">
        <f t="shared" ca="1" si="37"/>
        <v>0</v>
      </c>
      <c r="AA126" s="507">
        <f t="shared" ca="1" si="38"/>
        <v>0</v>
      </c>
      <c r="AB126" s="507">
        <f t="shared" ca="1" si="39"/>
        <v>0</v>
      </c>
      <c r="AC126" s="507">
        <f t="shared" ca="1" si="40"/>
        <v>0</v>
      </c>
      <c r="AD126" s="507">
        <f t="shared" ca="1" si="41"/>
        <v>0</v>
      </c>
      <c r="AE126" s="507">
        <f t="shared" ca="1" si="42"/>
        <v>0</v>
      </c>
      <c r="AF126" s="11">
        <f t="shared" ca="1" si="30"/>
        <v>0</v>
      </c>
      <c r="AI126" s="4">
        <v>242</v>
      </c>
      <c r="AJ126" s="5" t="s">
        <v>357</v>
      </c>
      <c r="AK126" s="5" t="s">
        <v>353</v>
      </c>
      <c r="AL126" s="5" t="s">
        <v>358</v>
      </c>
      <c r="AM126" s="5" t="s">
        <v>0</v>
      </c>
      <c r="AN126" s="5" t="s">
        <v>18</v>
      </c>
      <c r="AO126" s="5" t="s">
        <v>12</v>
      </c>
      <c r="AP126" s="5" t="s">
        <v>17</v>
      </c>
      <c r="AQ126" s="5" t="s">
        <v>139</v>
      </c>
      <c r="AR126" s="5" t="s">
        <v>18</v>
      </c>
      <c r="AS126" s="6"/>
      <c r="AU126" s="5"/>
      <c r="AV126" s="5"/>
      <c r="AW126" s="5"/>
      <c r="AX126" s="5"/>
      <c r="AY126" s="5"/>
      <c r="BA126" s="34"/>
      <c r="BB126" s="35"/>
      <c r="BC126" s="36"/>
      <c r="BE126" s="34"/>
      <c r="BF126" s="35"/>
      <c r="BG126" s="36"/>
      <c r="BI126" s="34"/>
      <c r="BJ126" s="35"/>
      <c r="BK126" s="36"/>
      <c r="BM126" s="34"/>
      <c r="BN126" s="35"/>
      <c r="BO126" s="36"/>
      <c r="BQ126" s="34"/>
      <c r="BR126" s="35"/>
      <c r="BS126" s="36"/>
      <c r="BU126" s="34"/>
      <c r="BV126" s="35"/>
      <c r="BW126" s="36"/>
      <c r="BY126" s="34"/>
      <c r="BZ126" s="35"/>
      <c r="CA126" s="36"/>
      <c r="CC126" s="34"/>
      <c r="CD126" s="35"/>
      <c r="CE126" s="36"/>
      <c r="CG126" s="34"/>
      <c r="CH126" s="35"/>
      <c r="CI126" s="36"/>
      <c r="CK126" s="34"/>
      <c r="CL126" s="35"/>
      <c r="CM126" s="36"/>
      <c r="CO126" s="34"/>
      <c r="CP126" s="35"/>
      <c r="CQ126" s="36"/>
      <c r="CS126" s="34"/>
      <c r="CT126" s="35"/>
      <c r="CU126" s="36"/>
    </row>
    <row r="127" spans="1:99">
      <c r="A127" s="1788"/>
      <c r="B127" s="1788"/>
      <c r="C127" s="1789"/>
      <c r="R127" s="506"/>
      <c r="S127" s="506" t="s">
        <v>3993</v>
      </c>
      <c r="T127" s="507">
        <f t="shared" ca="1" si="31"/>
        <v>0</v>
      </c>
      <c r="U127" s="507">
        <f t="shared" ca="1" si="32"/>
        <v>0</v>
      </c>
      <c r="V127" s="507">
        <f t="shared" ca="1" si="33"/>
        <v>0</v>
      </c>
      <c r="W127" s="507">
        <f t="shared" ca="1" si="34"/>
        <v>0</v>
      </c>
      <c r="X127" s="507">
        <f t="shared" ca="1" si="35"/>
        <v>0</v>
      </c>
      <c r="Y127" s="507">
        <f t="shared" ca="1" si="36"/>
        <v>0</v>
      </c>
      <c r="Z127" s="507">
        <f t="shared" ca="1" si="37"/>
        <v>0</v>
      </c>
      <c r="AA127" s="507">
        <f t="shared" ca="1" si="38"/>
        <v>0</v>
      </c>
      <c r="AB127" s="507">
        <f t="shared" ca="1" si="39"/>
        <v>0</v>
      </c>
      <c r="AC127" s="507">
        <f t="shared" ca="1" si="40"/>
        <v>0</v>
      </c>
      <c r="AD127" s="507">
        <f t="shared" ca="1" si="41"/>
        <v>0</v>
      </c>
      <c r="AE127" s="507">
        <f t="shared" ca="1" si="42"/>
        <v>0</v>
      </c>
      <c r="AF127" s="11">
        <f t="shared" ca="1" si="30"/>
        <v>0</v>
      </c>
      <c r="AI127" s="4">
        <v>244</v>
      </c>
      <c r="AJ127" s="5" t="s">
        <v>359</v>
      </c>
      <c r="AK127" s="5" t="s">
        <v>353</v>
      </c>
      <c r="AL127" s="5" t="s">
        <v>360</v>
      </c>
      <c r="AM127" s="5" t="s">
        <v>0</v>
      </c>
      <c r="AN127" s="5" t="s">
        <v>18</v>
      </c>
      <c r="AO127" s="5" t="s">
        <v>12</v>
      </c>
      <c r="AP127" s="5" t="s">
        <v>17</v>
      </c>
      <c r="AQ127" s="5" t="s">
        <v>139</v>
      </c>
      <c r="AR127" s="5" t="s">
        <v>18</v>
      </c>
      <c r="AS127" s="6"/>
      <c r="AU127" s="5"/>
      <c r="AV127" s="5"/>
      <c r="AW127" s="5"/>
      <c r="AX127" s="5"/>
      <c r="AY127" s="5"/>
      <c r="BA127" s="34"/>
      <c r="BB127" s="35"/>
      <c r="BC127" s="36"/>
      <c r="BE127" s="34"/>
      <c r="BF127" s="35"/>
      <c r="BG127" s="36"/>
      <c r="BI127" s="34"/>
      <c r="BJ127" s="35"/>
      <c r="BK127" s="36"/>
      <c r="BM127" s="34"/>
      <c r="BN127" s="35"/>
      <c r="BO127" s="36"/>
      <c r="BQ127" s="34"/>
      <c r="BR127" s="35"/>
      <c r="BS127" s="36"/>
      <c r="BU127" s="34"/>
      <c r="BV127" s="35"/>
      <c r="BW127" s="36"/>
      <c r="BY127" s="34"/>
      <c r="BZ127" s="35"/>
      <c r="CA127" s="36"/>
      <c r="CC127" s="34"/>
      <c r="CD127" s="35"/>
      <c r="CE127" s="36"/>
      <c r="CG127" s="34"/>
      <c r="CH127" s="35"/>
      <c r="CI127" s="36"/>
      <c r="CK127" s="34"/>
      <c r="CL127" s="35"/>
      <c r="CM127" s="36"/>
      <c r="CO127" s="34"/>
      <c r="CP127" s="35"/>
      <c r="CQ127" s="36"/>
      <c r="CS127" s="34"/>
      <c r="CT127" s="35"/>
      <c r="CU127" s="36"/>
    </row>
    <row r="128" spans="1:99">
      <c r="A128" s="1788"/>
      <c r="B128" s="1788"/>
      <c r="C128" s="1789"/>
      <c r="R128" s="506"/>
      <c r="S128" s="506" t="s">
        <v>3995</v>
      </c>
      <c r="T128" s="507">
        <f t="shared" ca="1" si="31"/>
        <v>0</v>
      </c>
      <c r="U128" s="507">
        <f t="shared" ca="1" si="32"/>
        <v>0</v>
      </c>
      <c r="V128" s="507">
        <f t="shared" ca="1" si="33"/>
        <v>0</v>
      </c>
      <c r="W128" s="507">
        <f t="shared" ca="1" si="34"/>
        <v>0</v>
      </c>
      <c r="X128" s="507">
        <f t="shared" ca="1" si="35"/>
        <v>0</v>
      </c>
      <c r="Y128" s="507">
        <f t="shared" ca="1" si="36"/>
        <v>0</v>
      </c>
      <c r="Z128" s="507">
        <f t="shared" ca="1" si="37"/>
        <v>0</v>
      </c>
      <c r="AA128" s="507">
        <f t="shared" ca="1" si="38"/>
        <v>0</v>
      </c>
      <c r="AB128" s="507">
        <f t="shared" ca="1" si="39"/>
        <v>0</v>
      </c>
      <c r="AC128" s="507">
        <f t="shared" ca="1" si="40"/>
        <v>0</v>
      </c>
      <c r="AD128" s="507">
        <f t="shared" ca="1" si="41"/>
        <v>0</v>
      </c>
      <c r="AE128" s="507">
        <f t="shared" ca="1" si="42"/>
        <v>0</v>
      </c>
      <c r="AF128" s="11">
        <f t="shared" ca="1" si="30"/>
        <v>0</v>
      </c>
      <c r="AI128" s="4">
        <v>246</v>
      </c>
      <c r="AJ128" s="5" t="s">
        <v>361</v>
      </c>
      <c r="AK128" s="5" t="s">
        <v>353</v>
      </c>
      <c r="AL128" s="5" t="s">
        <v>362</v>
      </c>
      <c r="AM128" s="5" t="s">
        <v>0</v>
      </c>
      <c r="AN128" s="5" t="s">
        <v>18</v>
      </c>
      <c r="AO128" s="5" t="s">
        <v>12</v>
      </c>
      <c r="AP128" s="5" t="s">
        <v>17</v>
      </c>
      <c r="AQ128" s="5" t="s">
        <v>139</v>
      </c>
      <c r="AR128" s="5" t="s">
        <v>18</v>
      </c>
      <c r="AS128" s="6"/>
      <c r="AU128" s="5"/>
      <c r="AV128" s="5"/>
      <c r="AW128" s="5"/>
      <c r="AX128" s="5"/>
      <c r="AY128" s="5"/>
      <c r="BA128" s="34"/>
      <c r="BB128" s="35"/>
      <c r="BC128" s="36"/>
      <c r="BE128" s="34"/>
      <c r="BF128" s="35"/>
      <c r="BG128" s="36"/>
      <c r="BI128" s="34"/>
      <c r="BJ128" s="35"/>
      <c r="BK128" s="36"/>
      <c r="BM128" s="34"/>
      <c r="BN128" s="35"/>
      <c r="BO128" s="36"/>
      <c r="BQ128" s="34"/>
      <c r="BR128" s="35"/>
      <c r="BS128" s="36"/>
      <c r="BU128" s="34"/>
      <c r="BV128" s="35"/>
      <c r="BW128" s="36"/>
      <c r="BY128" s="34"/>
      <c r="BZ128" s="35"/>
      <c r="CA128" s="36"/>
      <c r="CC128" s="34"/>
      <c r="CD128" s="35"/>
      <c r="CE128" s="36"/>
      <c r="CG128" s="34"/>
      <c r="CH128" s="35"/>
      <c r="CI128" s="36"/>
      <c r="CK128" s="34"/>
      <c r="CL128" s="35"/>
      <c r="CM128" s="36"/>
      <c r="CO128" s="34"/>
      <c r="CP128" s="35"/>
      <c r="CQ128" s="36"/>
      <c r="CS128" s="34"/>
      <c r="CT128" s="35"/>
      <c r="CU128" s="36"/>
    </row>
    <row r="129" spans="1:99">
      <c r="A129" s="1788"/>
      <c r="B129" s="1788"/>
      <c r="C129" s="1789"/>
      <c r="R129" s="506"/>
      <c r="S129" s="506" t="s">
        <v>4005</v>
      </c>
      <c r="T129" s="507">
        <f ca="1">SUMIF($BB$7:$BC$297,S129,$BC$7:$BC$297)</f>
        <v>0</v>
      </c>
      <c r="U129" s="507">
        <f ca="1">SUMIF($BF$7:$BG$297,S129,$BG$7:$BG$297)</f>
        <v>0</v>
      </c>
      <c r="V129" s="507">
        <f ca="1">SUMIF($BJ$7:$BK$297,S129,$BK$7:$BK$297)</f>
        <v>0</v>
      </c>
      <c r="W129" s="507">
        <f ca="1">SUMIF($BN$7:$BO$297,S129,$BO$7:$BO$297)</f>
        <v>0</v>
      </c>
      <c r="X129" s="507">
        <f ca="1">SUMIF($BR$7:$BS$297,S129,$BS$7:$BS$297)</f>
        <v>0</v>
      </c>
      <c r="Y129" s="507">
        <f ca="1">SUMIF($BV$7:$BW$297,S129,$BW$7:$BW$297)</f>
        <v>0</v>
      </c>
      <c r="Z129" s="507">
        <f ca="1">SUMIF($BZ$7:$CA$297,S129,$CA$7:$CA$297)</f>
        <v>0</v>
      </c>
      <c r="AA129" s="507">
        <f ca="1">SUMIF($CD$7:$CE$297,S129,$CE$7:$CE$297)</f>
        <v>0</v>
      </c>
      <c r="AB129" s="507">
        <f ca="1">SUMIF($CH$7:$CI$297,S129,$CI$7:$CI$297)</f>
        <v>0</v>
      </c>
      <c r="AC129" s="507">
        <f ca="1">SUMIF($CL$7:$CM$297,S129,$CM$7:$CM$297)</f>
        <v>0</v>
      </c>
      <c r="AD129" s="507">
        <f ca="1">SUMIF($CP$7:$CQ$297,S129,$CQ$7:$CQ$297)</f>
        <v>0</v>
      </c>
      <c r="AE129" s="507">
        <f ca="1">SUMIF($CT$7:$CU$297,S129,$CU$7:$CU$297)</f>
        <v>0</v>
      </c>
      <c r="AF129" s="11">
        <f t="shared" ca="1" si="30"/>
        <v>0</v>
      </c>
      <c r="AI129" s="4">
        <v>248</v>
      </c>
      <c r="AJ129" s="5" t="s">
        <v>363</v>
      </c>
      <c r="AK129" s="5" t="s">
        <v>353</v>
      </c>
      <c r="AL129" s="5" t="s">
        <v>364</v>
      </c>
      <c r="AM129" s="5" t="s">
        <v>0</v>
      </c>
      <c r="AN129" s="5" t="s">
        <v>18</v>
      </c>
      <c r="AO129" s="5" t="s">
        <v>12</v>
      </c>
      <c r="AP129" s="5" t="s">
        <v>17</v>
      </c>
      <c r="AQ129" s="5" t="s">
        <v>139</v>
      </c>
      <c r="AR129" s="5" t="s">
        <v>18</v>
      </c>
      <c r="AS129" s="6"/>
      <c r="AU129" s="5"/>
      <c r="AV129" s="5"/>
      <c r="AW129" s="5"/>
      <c r="AX129" s="5"/>
      <c r="AY129" s="5"/>
      <c r="BA129" s="34"/>
      <c r="BB129" s="35"/>
      <c r="BC129" s="36"/>
      <c r="BE129" s="34"/>
      <c r="BF129" s="35"/>
      <c r="BG129" s="36"/>
      <c r="BI129" s="34"/>
      <c r="BJ129" s="35"/>
      <c r="BK129" s="36"/>
      <c r="BM129" s="34"/>
      <c r="BN129" s="35"/>
      <c r="BO129" s="36"/>
      <c r="BQ129" s="34"/>
      <c r="BR129" s="35"/>
      <c r="BS129" s="36"/>
      <c r="BU129" s="34"/>
      <c r="BV129" s="35"/>
      <c r="BW129" s="36"/>
      <c r="BY129" s="34"/>
      <c r="BZ129" s="35"/>
      <c r="CA129" s="36"/>
      <c r="CC129" s="34"/>
      <c r="CD129" s="35"/>
      <c r="CE129" s="36"/>
      <c r="CG129" s="34"/>
      <c r="CH129" s="35"/>
      <c r="CI129" s="36"/>
      <c r="CK129" s="34"/>
      <c r="CL129" s="35"/>
      <c r="CM129" s="36"/>
      <c r="CO129" s="34"/>
      <c r="CP129" s="35"/>
      <c r="CQ129" s="36"/>
      <c r="CS129" s="34"/>
      <c r="CT129" s="35"/>
      <c r="CU129" s="36"/>
    </row>
    <row r="130" spans="1:99">
      <c r="A130" s="1788"/>
      <c r="B130" s="1788"/>
      <c r="C130" s="1789"/>
      <c r="R130" s="506"/>
      <c r="S130" s="506"/>
      <c r="T130" s="507">
        <f t="shared" ca="1" si="31"/>
        <v>0</v>
      </c>
      <c r="U130" s="507">
        <f t="shared" ca="1" si="32"/>
        <v>0</v>
      </c>
      <c r="V130" s="507">
        <f t="shared" ca="1" si="33"/>
        <v>0</v>
      </c>
      <c r="W130" s="507">
        <f t="shared" ca="1" si="34"/>
        <v>0</v>
      </c>
      <c r="X130" s="507">
        <f t="shared" ca="1" si="35"/>
        <v>0</v>
      </c>
      <c r="Y130" s="507">
        <f t="shared" ca="1" si="36"/>
        <v>0</v>
      </c>
      <c r="Z130" s="507">
        <f t="shared" ca="1" si="37"/>
        <v>0</v>
      </c>
      <c r="AA130" s="507">
        <f t="shared" ca="1" si="38"/>
        <v>0</v>
      </c>
      <c r="AB130" s="507">
        <f t="shared" ca="1" si="39"/>
        <v>0</v>
      </c>
      <c r="AC130" s="507">
        <f t="shared" ca="1" si="40"/>
        <v>0</v>
      </c>
      <c r="AD130" s="507">
        <f t="shared" ca="1" si="41"/>
        <v>0</v>
      </c>
      <c r="AE130" s="507">
        <f t="shared" ca="1" si="42"/>
        <v>0</v>
      </c>
      <c r="AF130" s="11">
        <f t="shared" ca="1" si="30"/>
        <v>0</v>
      </c>
      <c r="AI130" s="4">
        <v>250</v>
      </c>
      <c r="AJ130" s="5" t="s">
        <v>365</v>
      </c>
      <c r="AK130" s="5" t="s">
        <v>353</v>
      </c>
      <c r="AL130" s="5" t="s">
        <v>366</v>
      </c>
      <c r="AM130" s="5" t="s">
        <v>0</v>
      </c>
      <c r="AN130" s="5" t="s">
        <v>18</v>
      </c>
      <c r="AO130" s="5" t="s">
        <v>12</v>
      </c>
      <c r="AP130" s="5" t="s">
        <v>17</v>
      </c>
      <c r="AQ130" s="5" t="s">
        <v>139</v>
      </c>
      <c r="AR130" s="5" t="s">
        <v>18</v>
      </c>
      <c r="AS130" s="6"/>
      <c r="AU130" s="5"/>
      <c r="AV130" s="5"/>
      <c r="AW130" s="5"/>
      <c r="AX130" s="5"/>
      <c r="AY130" s="5"/>
      <c r="BA130" s="34"/>
      <c r="BB130" s="35"/>
      <c r="BC130" s="36"/>
      <c r="BE130" s="34"/>
      <c r="BF130" s="35"/>
      <c r="BG130" s="36"/>
      <c r="BI130" s="34"/>
      <c r="BJ130" s="35"/>
      <c r="BK130" s="36"/>
      <c r="BM130" s="34"/>
      <c r="BN130" s="35"/>
      <c r="BO130" s="36"/>
      <c r="BQ130" s="34"/>
      <c r="BR130" s="35"/>
      <c r="BS130" s="36"/>
      <c r="BU130" s="34"/>
      <c r="BV130" s="35"/>
      <c r="BW130" s="36"/>
      <c r="BY130" s="34"/>
      <c r="BZ130" s="35"/>
      <c r="CA130" s="36"/>
      <c r="CC130" s="34"/>
      <c r="CD130" s="35"/>
      <c r="CE130" s="36"/>
      <c r="CG130" s="34"/>
      <c r="CH130" s="35"/>
      <c r="CI130" s="36"/>
      <c r="CK130" s="34"/>
      <c r="CL130" s="35"/>
      <c r="CM130" s="36"/>
      <c r="CO130" s="34"/>
      <c r="CP130" s="35"/>
      <c r="CQ130" s="36"/>
      <c r="CS130" s="34"/>
      <c r="CT130" s="35"/>
      <c r="CU130" s="36"/>
    </row>
    <row r="131" spans="1:99">
      <c r="A131" s="1788"/>
      <c r="B131" s="1788"/>
      <c r="C131" s="1789"/>
      <c r="R131" s="506"/>
      <c r="S131" s="506"/>
      <c r="T131" s="507">
        <f t="shared" ca="1" si="31"/>
        <v>0</v>
      </c>
      <c r="U131" s="507">
        <f t="shared" ca="1" si="32"/>
        <v>0</v>
      </c>
      <c r="V131" s="507">
        <f t="shared" ca="1" si="33"/>
        <v>0</v>
      </c>
      <c r="W131" s="507">
        <f t="shared" ca="1" si="34"/>
        <v>0</v>
      </c>
      <c r="X131" s="507">
        <f t="shared" ca="1" si="35"/>
        <v>0</v>
      </c>
      <c r="Y131" s="507">
        <f t="shared" ca="1" si="36"/>
        <v>0</v>
      </c>
      <c r="Z131" s="507">
        <f t="shared" ca="1" si="37"/>
        <v>0</v>
      </c>
      <c r="AA131" s="507">
        <f t="shared" ca="1" si="38"/>
        <v>0</v>
      </c>
      <c r="AB131" s="507">
        <f t="shared" ca="1" si="39"/>
        <v>0</v>
      </c>
      <c r="AC131" s="507">
        <f t="shared" ca="1" si="40"/>
        <v>0</v>
      </c>
      <c r="AD131" s="507">
        <f t="shared" ca="1" si="41"/>
        <v>0</v>
      </c>
      <c r="AE131" s="507">
        <f t="shared" ca="1" si="42"/>
        <v>0</v>
      </c>
      <c r="AF131" s="11">
        <f t="shared" ca="1" si="30"/>
        <v>0</v>
      </c>
      <c r="AI131" s="4">
        <v>252</v>
      </c>
      <c r="AJ131" s="5" t="s">
        <v>367</v>
      </c>
      <c r="AK131" s="5" t="s">
        <v>353</v>
      </c>
      <c r="AL131" s="5" t="s">
        <v>368</v>
      </c>
      <c r="AM131" s="5" t="s">
        <v>0</v>
      </c>
      <c r="AN131" s="5" t="s">
        <v>18</v>
      </c>
      <c r="AO131" s="5" t="s">
        <v>12</v>
      </c>
      <c r="AP131" s="5" t="s">
        <v>17</v>
      </c>
      <c r="AQ131" s="5" t="s">
        <v>139</v>
      </c>
      <c r="AR131" s="5" t="s">
        <v>18</v>
      </c>
      <c r="AS131" s="6"/>
      <c r="AU131" s="5"/>
      <c r="AV131" s="5"/>
      <c r="AW131" s="5"/>
      <c r="AX131" s="5"/>
      <c r="AY131" s="5"/>
      <c r="BA131" s="34"/>
      <c r="BB131" s="35"/>
      <c r="BC131" s="36"/>
      <c r="BE131" s="34"/>
      <c r="BF131" s="35"/>
      <c r="BG131" s="36"/>
      <c r="BI131" s="34"/>
      <c r="BJ131" s="35"/>
      <c r="BK131" s="36"/>
      <c r="BM131" s="34"/>
      <c r="BN131" s="35"/>
      <c r="BO131" s="36"/>
      <c r="BQ131" s="34"/>
      <c r="BR131" s="35"/>
      <c r="BS131" s="36"/>
      <c r="BU131" s="34"/>
      <c r="BV131" s="35"/>
      <c r="BW131" s="36"/>
      <c r="BY131" s="34"/>
      <c r="BZ131" s="35"/>
      <c r="CA131" s="36"/>
      <c r="CC131" s="34"/>
      <c r="CD131" s="35"/>
      <c r="CE131" s="36"/>
      <c r="CG131" s="34"/>
      <c r="CH131" s="35"/>
      <c r="CI131" s="36"/>
      <c r="CK131" s="34"/>
      <c r="CL131" s="35"/>
      <c r="CM131" s="36"/>
      <c r="CO131" s="34"/>
      <c r="CP131" s="35"/>
      <c r="CQ131" s="36"/>
      <c r="CS131" s="34"/>
      <c r="CT131" s="35"/>
      <c r="CU131" s="36"/>
    </row>
    <row r="132" spans="1:99">
      <c r="A132" s="1788"/>
      <c r="B132" s="1788"/>
      <c r="C132" s="1789"/>
      <c r="R132" s="506"/>
      <c r="S132" s="506"/>
      <c r="T132" s="507">
        <f t="shared" ca="1" si="31"/>
        <v>0</v>
      </c>
      <c r="U132" s="507">
        <f t="shared" ca="1" si="32"/>
        <v>0</v>
      </c>
      <c r="V132" s="507">
        <f t="shared" ca="1" si="33"/>
        <v>0</v>
      </c>
      <c r="W132" s="507">
        <f t="shared" ca="1" si="34"/>
        <v>0</v>
      </c>
      <c r="X132" s="507">
        <f t="shared" ca="1" si="35"/>
        <v>0</v>
      </c>
      <c r="Y132" s="507">
        <f t="shared" ca="1" si="36"/>
        <v>0</v>
      </c>
      <c r="Z132" s="507">
        <f t="shared" ca="1" si="37"/>
        <v>0</v>
      </c>
      <c r="AA132" s="507">
        <f t="shared" ca="1" si="38"/>
        <v>0</v>
      </c>
      <c r="AB132" s="507">
        <f t="shared" ca="1" si="39"/>
        <v>0</v>
      </c>
      <c r="AC132" s="507">
        <f t="shared" ca="1" si="40"/>
        <v>0</v>
      </c>
      <c r="AD132" s="507">
        <f t="shared" ca="1" si="41"/>
        <v>0</v>
      </c>
      <c r="AE132" s="507">
        <f t="shared" ca="1" si="42"/>
        <v>0</v>
      </c>
      <c r="AF132" s="11">
        <f t="shared" ca="1" si="30"/>
        <v>0</v>
      </c>
      <c r="AI132" s="4">
        <v>254</v>
      </c>
      <c r="AJ132" s="5" t="s">
        <v>902</v>
      </c>
      <c r="AK132" s="5" t="s">
        <v>353</v>
      </c>
      <c r="AL132" s="5" t="s">
        <v>903</v>
      </c>
      <c r="AM132" s="5" t="s">
        <v>0</v>
      </c>
      <c r="AN132" s="5" t="s">
        <v>18</v>
      </c>
      <c r="AO132" s="5" t="s">
        <v>12</v>
      </c>
      <c r="AP132" s="5" t="s">
        <v>17</v>
      </c>
      <c r="AQ132" s="5" t="s">
        <v>139</v>
      </c>
      <c r="AR132" s="5" t="s">
        <v>18</v>
      </c>
      <c r="AS132" s="6"/>
      <c r="AU132" s="5"/>
      <c r="AV132" s="5"/>
      <c r="AW132" s="5"/>
      <c r="AX132" s="5"/>
      <c r="AY132" s="5"/>
      <c r="BA132" s="34"/>
      <c r="BB132" s="35"/>
      <c r="BC132" s="36"/>
      <c r="BE132" s="34"/>
      <c r="BF132" s="35"/>
      <c r="BG132" s="36"/>
      <c r="BI132" s="34"/>
      <c r="BJ132" s="35"/>
      <c r="BK132" s="36"/>
      <c r="BM132" s="34"/>
      <c r="BN132" s="35"/>
      <c r="BO132" s="36"/>
      <c r="BQ132" s="34"/>
      <c r="BR132" s="35"/>
      <c r="BS132" s="36"/>
      <c r="BU132" s="34"/>
      <c r="BV132" s="35"/>
      <c r="BW132" s="36"/>
      <c r="BY132" s="34"/>
      <c r="BZ132" s="35"/>
      <c r="CA132" s="36"/>
      <c r="CC132" s="34"/>
      <c r="CD132" s="35"/>
      <c r="CE132" s="36"/>
      <c r="CG132" s="34"/>
      <c r="CH132" s="35"/>
      <c r="CI132" s="36"/>
      <c r="CK132" s="34"/>
      <c r="CL132" s="35"/>
      <c r="CM132" s="36"/>
      <c r="CO132" s="34"/>
      <c r="CP132" s="35"/>
      <c r="CQ132" s="36"/>
      <c r="CS132" s="34"/>
      <c r="CT132" s="35"/>
      <c r="CU132" s="36"/>
    </row>
    <row r="133" spans="1:99">
      <c r="A133" s="1788"/>
      <c r="B133" s="1788"/>
      <c r="C133" s="1789"/>
      <c r="R133" s="506"/>
      <c r="S133" s="506"/>
      <c r="T133" s="507">
        <f t="shared" ca="1" si="31"/>
        <v>0</v>
      </c>
      <c r="U133" s="507">
        <f t="shared" ca="1" si="32"/>
        <v>0</v>
      </c>
      <c r="V133" s="507">
        <f t="shared" ca="1" si="33"/>
        <v>0</v>
      </c>
      <c r="W133" s="507">
        <f t="shared" ca="1" si="34"/>
        <v>0</v>
      </c>
      <c r="X133" s="507">
        <f t="shared" ca="1" si="35"/>
        <v>0</v>
      </c>
      <c r="Y133" s="507">
        <f t="shared" ca="1" si="36"/>
        <v>0</v>
      </c>
      <c r="Z133" s="507">
        <f t="shared" ca="1" si="37"/>
        <v>0</v>
      </c>
      <c r="AA133" s="507">
        <f t="shared" ca="1" si="38"/>
        <v>0</v>
      </c>
      <c r="AB133" s="507">
        <f t="shared" ca="1" si="39"/>
        <v>0</v>
      </c>
      <c r="AC133" s="507">
        <f t="shared" ca="1" si="40"/>
        <v>0</v>
      </c>
      <c r="AD133" s="507">
        <f t="shared" ca="1" si="41"/>
        <v>0</v>
      </c>
      <c r="AE133" s="507">
        <f t="shared" ca="1" si="42"/>
        <v>0</v>
      </c>
      <c r="AF133" s="11">
        <f t="shared" ca="1" si="30"/>
        <v>0</v>
      </c>
      <c r="AI133" s="4">
        <v>256</v>
      </c>
      <c r="AJ133" s="5" t="s">
        <v>369</v>
      </c>
      <c r="AK133" s="5" t="s">
        <v>351</v>
      </c>
      <c r="AL133" s="5" t="s">
        <v>370</v>
      </c>
      <c r="AM133" s="5" t="s">
        <v>0</v>
      </c>
      <c r="AN133" s="5" t="s">
        <v>18</v>
      </c>
      <c r="AO133" s="5" t="s">
        <v>12</v>
      </c>
      <c r="AP133" s="5" t="s">
        <v>17</v>
      </c>
      <c r="AQ133" s="5" t="s">
        <v>139</v>
      </c>
      <c r="AR133" s="5" t="s">
        <v>18</v>
      </c>
      <c r="AS133" s="6"/>
      <c r="AU133" s="5"/>
      <c r="AV133" s="5"/>
      <c r="AW133" s="5"/>
      <c r="AX133" s="5"/>
      <c r="AY133" s="5"/>
      <c r="BA133" s="34"/>
      <c r="BB133" s="35"/>
      <c r="BC133" s="36"/>
      <c r="BE133" s="34"/>
      <c r="BF133" s="35"/>
      <c r="BG133" s="36"/>
      <c r="BI133" s="34"/>
      <c r="BJ133" s="35"/>
      <c r="BK133" s="36"/>
      <c r="BM133" s="34"/>
      <c r="BN133" s="35"/>
      <c r="BO133" s="36"/>
      <c r="BQ133" s="34"/>
      <c r="BR133" s="35"/>
      <c r="BS133" s="36"/>
      <c r="BU133" s="34"/>
      <c r="BV133" s="35"/>
      <c r="BW133" s="36"/>
      <c r="BY133" s="34"/>
      <c r="BZ133" s="35"/>
      <c r="CA133" s="36"/>
      <c r="CC133" s="34"/>
      <c r="CD133" s="35"/>
      <c r="CE133" s="36"/>
      <c r="CG133" s="34"/>
      <c r="CH133" s="35"/>
      <c r="CI133" s="36"/>
      <c r="CK133" s="34"/>
      <c r="CL133" s="35"/>
      <c r="CM133" s="36"/>
      <c r="CO133" s="34"/>
      <c r="CP133" s="35"/>
      <c r="CQ133" s="36"/>
      <c r="CS133" s="34"/>
      <c r="CT133" s="35"/>
      <c r="CU133" s="36"/>
    </row>
    <row r="134" spans="1:99">
      <c r="A134" s="1788"/>
      <c r="B134" s="1788"/>
      <c r="C134" s="1789"/>
      <c r="R134" s="506"/>
      <c r="S134" s="506"/>
      <c r="T134" s="507">
        <f t="shared" ca="1" si="31"/>
        <v>0</v>
      </c>
      <c r="U134" s="507">
        <f t="shared" ca="1" si="32"/>
        <v>0</v>
      </c>
      <c r="V134" s="507">
        <f t="shared" ca="1" si="33"/>
        <v>0</v>
      </c>
      <c r="W134" s="507">
        <f t="shared" ca="1" si="34"/>
        <v>0</v>
      </c>
      <c r="X134" s="507">
        <f t="shared" ca="1" si="35"/>
        <v>0</v>
      </c>
      <c r="Y134" s="507">
        <f t="shared" ca="1" si="36"/>
        <v>0</v>
      </c>
      <c r="Z134" s="507">
        <f t="shared" ca="1" si="37"/>
        <v>0</v>
      </c>
      <c r="AA134" s="507">
        <f t="shared" ca="1" si="38"/>
        <v>0</v>
      </c>
      <c r="AB134" s="507">
        <f t="shared" ca="1" si="39"/>
        <v>0</v>
      </c>
      <c r="AC134" s="507">
        <f t="shared" ca="1" si="40"/>
        <v>0</v>
      </c>
      <c r="AD134" s="507">
        <f t="shared" ca="1" si="41"/>
        <v>0</v>
      </c>
      <c r="AE134" s="507">
        <f t="shared" ca="1" si="42"/>
        <v>0</v>
      </c>
      <c r="AF134" s="11">
        <f t="shared" ca="1" si="30"/>
        <v>0</v>
      </c>
      <c r="AI134" s="4">
        <v>258</v>
      </c>
      <c r="AJ134" s="5" t="s">
        <v>371</v>
      </c>
      <c r="AK134" s="5" t="s">
        <v>349</v>
      </c>
      <c r="AL134" s="5" t="s">
        <v>372</v>
      </c>
      <c r="AM134" s="5" t="s">
        <v>0</v>
      </c>
      <c r="AN134" s="5" t="s">
        <v>18</v>
      </c>
      <c r="AO134" s="5" t="s">
        <v>12</v>
      </c>
      <c r="AP134" s="5" t="s">
        <v>17</v>
      </c>
      <c r="AQ134" s="5" t="s">
        <v>139</v>
      </c>
      <c r="AR134" s="5" t="s">
        <v>18</v>
      </c>
      <c r="AS134" s="6"/>
      <c r="AU134" s="5"/>
      <c r="AV134" s="5"/>
      <c r="AW134" s="5"/>
      <c r="AX134" s="5"/>
      <c r="AY134" s="5"/>
      <c r="BA134" s="34"/>
      <c r="BB134" s="35"/>
      <c r="BC134" s="36"/>
      <c r="BE134" s="34"/>
      <c r="BF134" s="35"/>
      <c r="BG134" s="36"/>
      <c r="BI134" s="34"/>
      <c r="BJ134" s="35"/>
      <c r="BK134" s="36"/>
      <c r="BM134" s="34"/>
      <c r="BN134" s="35"/>
      <c r="BO134" s="36"/>
      <c r="BQ134" s="34"/>
      <c r="BR134" s="35"/>
      <c r="BS134" s="36"/>
      <c r="BU134" s="34"/>
      <c r="BV134" s="35"/>
      <c r="BW134" s="36"/>
      <c r="BY134" s="34"/>
      <c r="BZ134" s="35"/>
      <c r="CA134" s="36"/>
      <c r="CC134" s="34"/>
      <c r="CD134" s="35"/>
      <c r="CE134" s="36"/>
      <c r="CG134" s="34"/>
      <c r="CH134" s="35"/>
      <c r="CI134" s="36"/>
      <c r="CK134" s="34"/>
      <c r="CL134" s="35"/>
      <c r="CM134" s="36"/>
      <c r="CO134" s="34"/>
      <c r="CP134" s="35"/>
      <c r="CQ134" s="36"/>
      <c r="CS134" s="34"/>
      <c r="CT134" s="35"/>
      <c r="CU134" s="36"/>
    </row>
    <row r="135" spans="1:99">
      <c r="A135" s="1788"/>
      <c r="B135" s="1788"/>
      <c r="C135" s="1789"/>
      <c r="R135" s="506"/>
      <c r="S135" s="506"/>
      <c r="T135" s="507">
        <f t="shared" ca="1" si="31"/>
        <v>0</v>
      </c>
      <c r="U135" s="507">
        <f t="shared" ca="1" si="32"/>
        <v>0</v>
      </c>
      <c r="V135" s="507">
        <f t="shared" ca="1" si="33"/>
        <v>0</v>
      </c>
      <c r="W135" s="507">
        <f t="shared" ca="1" si="34"/>
        <v>0</v>
      </c>
      <c r="X135" s="507">
        <f t="shared" ca="1" si="35"/>
        <v>0</v>
      </c>
      <c r="Y135" s="507">
        <f t="shared" ca="1" si="36"/>
        <v>0</v>
      </c>
      <c r="Z135" s="507">
        <f t="shared" ca="1" si="37"/>
        <v>0</v>
      </c>
      <c r="AA135" s="507">
        <f t="shared" ca="1" si="38"/>
        <v>0</v>
      </c>
      <c r="AB135" s="507">
        <f t="shared" ca="1" si="39"/>
        <v>0</v>
      </c>
      <c r="AC135" s="507">
        <f t="shared" ca="1" si="40"/>
        <v>0</v>
      </c>
      <c r="AD135" s="507">
        <f t="shared" ca="1" si="41"/>
        <v>0</v>
      </c>
      <c r="AE135" s="507">
        <f t="shared" ca="1" si="42"/>
        <v>0</v>
      </c>
      <c r="AF135" s="11">
        <f t="shared" ca="1" si="30"/>
        <v>0</v>
      </c>
      <c r="AI135" s="4">
        <v>275</v>
      </c>
      <c r="AJ135" s="5" t="s">
        <v>375</v>
      </c>
      <c r="AK135" s="5" t="s">
        <v>373</v>
      </c>
      <c r="AL135" s="5" t="s">
        <v>376</v>
      </c>
      <c r="AM135" s="5" t="s">
        <v>0</v>
      </c>
      <c r="AN135" s="5" t="s">
        <v>18</v>
      </c>
      <c r="AO135" s="5" t="s">
        <v>12</v>
      </c>
      <c r="AP135" s="5" t="s">
        <v>17</v>
      </c>
      <c r="AQ135" s="5" t="s">
        <v>139</v>
      </c>
      <c r="AR135" s="5" t="s">
        <v>18</v>
      </c>
      <c r="AS135" s="6"/>
      <c r="AU135" s="5"/>
      <c r="AV135" s="5"/>
      <c r="AW135" s="5"/>
      <c r="AX135" s="5"/>
      <c r="AY135" s="5"/>
      <c r="BA135" s="34"/>
      <c r="BB135" s="35"/>
      <c r="BC135" s="36"/>
      <c r="BE135" s="34"/>
      <c r="BF135" s="35"/>
      <c r="BG135" s="36"/>
      <c r="BI135" s="34"/>
      <c r="BJ135" s="35"/>
      <c r="BK135" s="36"/>
      <c r="BM135" s="34"/>
      <c r="BN135" s="35"/>
      <c r="BO135" s="36"/>
      <c r="BQ135" s="34"/>
      <c r="BR135" s="35"/>
      <c r="BS135" s="36"/>
      <c r="BU135" s="34"/>
      <c r="BV135" s="35"/>
      <c r="BW135" s="36"/>
      <c r="BY135" s="34"/>
      <c r="BZ135" s="35"/>
      <c r="CA135" s="36"/>
      <c r="CC135" s="34"/>
      <c r="CD135" s="35"/>
      <c r="CE135" s="36"/>
      <c r="CG135" s="34"/>
      <c r="CH135" s="35"/>
      <c r="CI135" s="36"/>
      <c r="CK135" s="34"/>
      <c r="CL135" s="35"/>
      <c r="CM135" s="36"/>
      <c r="CO135" s="34"/>
      <c r="CP135" s="35"/>
      <c r="CQ135" s="36"/>
      <c r="CS135" s="34"/>
      <c r="CT135" s="35"/>
      <c r="CU135" s="36"/>
    </row>
    <row r="136" spans="1:99">
      <c r="A136" s="1788"/>
      <c r="B136" s="1788"/>
      <c r="C136" s="1789"/>
      <c r="R136" s="506"/>
      <c r="S136" s="506"/>
      <c r="T136" s="507">
        <f t="shared" ca="1" si="31"/>
        <v>0</v>
      </c>
      <c r="U136" s="507">
        <f t="shared" ca="1" si="32"/>
        <v>0</v>
      </c>
      <c r="V136" s="507">
        <f t="shared" ca="1" si="33"/>
        <v>0</v>
      </c>
      <c r="W136" s="507">
        <f t="shared" ca="1" si="34"/>
        <v>0</v>
      </c>
      <c r="X136" s="507">
        <f t="shared" ca="1" si="35"/>
        <v>0</v>
      </c>
      <c r="Y136" s="507">
        <f t="shared" ca="1" si="36"/>
        <v>0</v>
      </c>
      <c r="Z136" s="507">
        <f t="shared" ca="1" si="37"/>
        <v>0</v>
      </c>
      <c r="AA136" s="507">
        <f t="shared" ca="1" si="38"/>
        <v>0</v>
      </c>
      <c r="AB136" s="507">
        <f t="shared" ca="1" si="39"/>
        <v>0</v>
      </c>
      <c r="AC136" s="507">
        <f t="shared" ca="1" si="40"/>
        <v>0</v>
      </c>
      <c r="AD136" s="507">
        <f t="shared" ca="1" si="41"/>
        <v>0</v>
      </c>
      <c r="AE136" s="507">
        <f t="shared" ca="1" si="42"/>
        <v>0</v>
      </c>
      <c r="AF136" s="11">
        <f t="shared" ca="1" si="30"/>
        <v>0</v>
      </c>
      <c r="AI136" s="4">
        <v>279</v>
      </c>
      <c r="AJ136" s="5" t="s">
        <v>377</v>
      </c>
      <c r="AK136" s="5" t="s">
        <v>373</v>
      </c>
      <c r="AL136" s="5" t="s">
        <v>378</v>
      </c>
      <c r="AM136" s="5" t="s">
        <v>0</v>
      </c>
      <c r="AN136" s="5" t="s">
        <v>18</v>
      </c>
      <c r="AO136" s="5" t="s">
        <v>12</v>
      </c>
      <c r="AP136" s="5" t="s">
        <v>17</v>
      </c>
      <c r="AQ136" s="5" t="s">
        <v>139</v>
      </c>
      <c r="AR136" s="5" t="s">
        <v>18</v>
      </c>
      <c r="AS136" s="6"/>
      <c r="AU136" s="5"/>
      <c r="AV136" s="5"/>
      <c r="AW136" s="5"/>
      <c r="AX136" s="5"/>
      <c r="AY136" s="5"/>
      <c r="BA136" s="34"/>
      <c r="BB136" s="35"/>
      <c r="BC136" s="36"/>
      <c r="BE136" s="34"/>
      <c r="BF136" s="35"/>
      <c r="BG136" s="36"/>
      <c r="BI136" s="34"/>
      <c r="BJ136" s="35"/>
      <c r="BK136" s="36"/>
      <c r="BM136" s="34"/>
      <c r="BN136" s="35"/>
      <c r="BO136" s="36"/>
      <c r="BQ136" s="34"/>
      <c r="BR136" s="35"/>
      <c r="BS136" s="36"/>
      <c r="BU136" s="34"/>
      <c r="BV136" s="35"/>
      <c r="BW136" s="36"/>
      <c r="BY136" s="34"/>
      <c r="BZ136" s="35"/>
      <c r="CA136" s="36"/>
      <c r="CC136" s="34"/>
      <c r="CD136" s="35"/>
      <c r="CE136" s="36"/>
      <c r="CG136" s="34"/>
      <c r="CH136" s="35"/>
      <c r="CI136" s="36"/>
      <c r="CK136" s="34"/>
      <c r="CL136" s="35"/>
      <c r="CM136" s="36"/>
      <c r="CO136" s="34"/>
      <c r="CP136" s="35"/>
      <c r="CQ136" s="36"/>
      <c r="CS136" s="34"/>
      <c r="CT136" s="35"/>
      <c r="CU136" s="36"/>
    </row>
    <row r="137" spans="1:99">
      <c r="R137" s="506"/>
      <c r="S137" s="506"/>
      <c r="T137" s="507">
        <f t="shared" ca="1" si="31"/>
        <v>0</v>
      </c>
      <c r="U137" s="507">
        <f t="shared" ca="1" si="32"/>
        <v>0</v>
      </c>
      <c r="V137" s="507">
        <f t="shared" ca="1" si="33"/>
        <v>0</v>
      </c>
      <c r="W137" s="507">
        <f t="shared" ca="1" si="34"/>
        <v>0</v>
      </c>
      <c r="X137" s="507">
        <f t="shared" ca="1" si="35"/>
        <v>0</v>
      </c>
      <c r="Y137" s="507">
        <f t="shared" ca="1" si="36"/>
        <v>0</v>
      </c>
      <c r="Z137" s="507">
        <f t="shared" ca="1" si="37"/>
        <v>0</v>
      </c>
      <c r="AA137" s="507">
        <f t="shared" ca="1" si="38"/>
        <v>0</v>
      </c>
      <c r="AB137" s="507">
        <f t="shared" ca="1" si="39"/>
        <v>0</v>
      </c>
      <c r="AC137" s="507">
        <f t="shared" ca="1" si="40"/>
        <v>0</v>
      </c>
      <c r="AD137" s="507">
        <f t="shared" ca="1" si="41"/>
        <v>0</v>
      </c>
      <c r="AE137" s="507">
        <f t="shared" ca="1" si="42"/>
        <v>0</v>
      </c>
      <c r="AF137" s="11">
        <f t="shared" ref="AF137:AF200" ca="1" si="43">SUM(T137:AE137)</f>
        <v>0</v>
      </c>
      <c r="AI137" s="4">
        <v>281</v>
      </c>
      <c r="AJ137" s="5" t="s">
        <v>379</v>
      </c>
      <c r="AK137" s="5" t="s">
        <v>373</v>
      </c>
      <c r="AL137" s="5" t="s">
        <v>380</v>
      </c>
      <c r="AM137" s="5" t="s">
        <v>0</v>
      </c>
      <c r="AN137" s="5" t="s">
        <v>18</v>
      </c>
      <c r="AO137" s="5" t="s">
        <v>12</v>
      </c>
      <c r="AP137" s="5" t="s">
        <v>17</v>
      </c>
      <c r="AQ137" s="5" t="s">
        <v>139</v>
      </c>
      <c r="AR137" s="5" t="s">
        <v>18</v>
      </c>
      <c r="AS137" s="6"/>
      <c r="AU137" s="5"/>
      <c r="AV137" s="5"/>
      <c r="AW137" s="5"/>
      <c r="AX137" s="5"/>
      <c r="AY137" s="5"/>
      <c r="BA137" s="34"/>
      <c r="BB137" s="35"/>
      <c r="BC137" s="36"/>
      <c r="BE137" s="34"/>
      <c r="BF137" s="35"/>
      <c r="BG137" s="36"/>
      <c r="BI137" s="34"/>
      <c r="BJ137" s="35"/>
      <c r="BK137" s="36"/>
      <c r="BM137" s="34"/>
      <c r="BN137" s="35"/>
      <c r="BO137" s="36"/>
      <c r="BQ137" s="34"/>
      <c r="BR137" s="35"/>
      <c r="BS137" s="36"/>
      <c r="BU137" s="34"/>
      <c r="BV137" s="35"/>
      <c r="BW137" s="36"/>
      <c r="BY137" s="34"/>
      <c r="BZ137" s="35"/>
      <c r="CA137" s="36"/>
      <c r="CC137" s="34"/>
      <c r="CD137" s="35"/>
      <c r="CE137" s="36"/>
      <c r="CG137" s="34"/>
      <c r="CH137" s="35"/>
      <c r="CI137" s="36"/>
      <c r="CK137" s="34"/>
      <c r="CL137" s="35"/>
      <c r="CM137" s="36"/>
      <c r="CO137" s="34"/>
      <c r="CP137" s="35"/>
      <c r="CQ137" s="36"/>
      <c r="CS137" s="34"/>
      <c r="CT137" s="35"/>
      <c r="CU137" s="36"/>
    </row>
    <row r="138" spans="1:99">
      <c r="R138" s="506"/>
      <c r="S138" s="506"/>
      <c r="T138" s="507">
        <f t="shared" ref="T138:T201" ca="1" si="44">SUMIF($BB$7:$BC$297,S138,$BC$7:$BC$297)</f>
        <v>0</v>
      </c>
      <c r="U138" s="507">
        <f t="shared" ca="1" si="32"/>
        <v>0</v>
      </c>
      <c r="V138" s="507">
        <f t="shared" ca="1" si="33"/>
        <v>0</v>
      </c>
      <c r="W138" s="507">
        <f t="shared" ca="1" si="34"/>
        <v>0</v>
      </c>
      <c r="X138" s="507">
        <f t="shared" ca="1" si="35"/>
        <v>0</v>
      </c>
      <c r="Y138" s="507">
        <f t="shared" ca="1" si="36"/>
        <v>0</v>
      </c>
      <c r="Z138" s="507">
        <f t="shared" ca="1" si="37"/>
        <v>0</v>
      </c>
      <c r="AA138" s="507">
        <f t="shared" ca="1" si="38"/>
        <v>0</v>
      </c>
      <c r="AB138" s="507">
        <f t="shared" ca="1" si="39"/>
        <v>0</v>
      </c>
      <c r="AC138" s="507">
        <f t="shared" ca="1" si="40"/>
        <v>0</v>
      </c>
      <c r="AD138" s="507">
        <f t="shared" ca="1" si="41"/>
        <v>0</v>
      </c>
      <c r="AE138" s="507">
        <f t="shared" ca="1" si="42"/>
        <v>0</v>
      </c>
      <c r="AF138" s="11">
        <f t="shared" ca="1" si="43"/>
        <v>0</v>
      </c>
      <c r="AI138" s="4">
        <v>283</v>
      </c>
      <c r="AJ138" s="5" t="s">
        <v>381</v>
      </c>
      <c r="AK138" s="5" t="s">
        <v>225</v>
      </c>
      <c r="AL138" s="5" t="s">
        <v>382</v>
      </c>
      <c r="AM138" s="5" t="s">
        <v>0</v>
      </c>
      <c r="AN138" s="5" t="s">
        <v>18</v>
      </c>
      <c r="AO138" s="5" t="s">
        <v>12</v>
      </c>
      <c r="AP138" s="5" t="s">
        <v>17</v>
      </c>
      <c r="AQ138" s="5" t="s">
        <v>139</v>
      </c>
      <c r="AR138" s="5" t="s">
        <v>18</v>
      </c>
      <c r="AS138" s="6"/>
      <c r="AU138" s="5"/>
      <c r="AV138" s="5"/>
      <c r="AW138" s="5"/>
      <c r="AX138" s="5"/>
      <c r="AY138" s="5"/>
      <c r="BA138" s="34"/>
      <c r="BB138" s="35"/>
      <c r="BC138" s="36"/>
      <c r="BE138" s="34"/>
      <c r="BF138" s="35"/>
      <c r="BG138" s="36"/>
      <c r="BI138" s="34"/>
      <c r="BJ138" s="35"/>
      <c r="BK138" s="36"/>
      <c r="BM138" s="34"/>
      <c r="BN138" s="35"/>
      <c r="BO138" s="36"/>
      <c r="BQ138" s="34"/>
      <c r="BR138" s="35"/>
      <c r="BS138" s="36"/>
      <c r="BU138" s="34"/>
      <c r="BV138" s="35"/>
      <c r="BW138" s="36"/>
      <c r="BY138" s="34"/>
      <c r="BZ138" s="35"/>
      <c r="CA138" s="36"/>
      <c r="CC138" s="34"/>
      <c r="CD138" s="35"/>
      <c r="CE138" s="36"/>
      <c r="CG138" s="34"/>
      <c r="CH138" s="35"/>
      <c r="CI138" s="36"/>
      <c r="CK138" s="34"/>
      <c r="CL138" s="35"/>
      <c r="CM138" s="36"/>
      <c r="CO138" s="34"/>
      <c r="CP138" s="35"/>
      <c r="CQ138" s="36"/>
      <c r="CS138" s="34"/>
      <c r="CT138" s="35"/>
      <c r="CU138" s="36"/>
    </row>
    <row r="139" spans="1:99">
      <c r="R139" s="506"/>
      <c r="S139" s="506"/>
      <c r="T139" s="507">
        <f t="shared" ca="1" si="44"/>
        <v>0</v>
      </c>
      <c r="U139" s="507">
        <f t="shared" ca="1" si="32"/>
        <v>0</v>
      </c>
      <c r="V139" s="507">
        <f t="shared" ca="1" si="33"/>
        <v>0</v>
      </c>
      <c r="W139" s="507">
        <f t="shared" ca="1" si="34"/>
        <v>0</v>
      </c>
      <c r="X139" s="507">
        <f t="shared" ca="1" si="35"/>
        <v>0</v>
      </c>
      <c r="Y139" s="507">
        <f t="shared" ca="1" si="36"/>
        <v>0</v>
      </c>
      <c r="Z139" s="507">
        <f t="shared" ca="1" si="37"/>
        <v>0</v>
      </c>
      <c r="AA139" s="507">
        <f t="shared" ca="1" si="38"/>
        <v>0</v>
      </c>
      <c r="AB139" s="507">
        <f t="shared" ca="1" si="39"/>
        <v>0</v>
      </c>
      <c r="AC139" s="507">
        <f t="shared" ca="1" si="40"/>
        <v>0</v>
      </c>
      <c r="AD139" s="507">
        <f t="shared" ca="1" si="41"/>
        <v>0</v>
      </c>
      <c r="AE139" s="507">
        <f t="shared" ca="1" si="42"/>
        <v>0</v>
      </c>
      <c r="AF139" s="11">
        <f t="shared" ca="1" si="43"/>
        <v>0</v>
      </c>
      <c r="AI139" s="4">
        <v>285</v>
      </c>
      <c r="AJ139" s="5" t="s">
        <v>383</v>
      </c>
      <c r="AK139" s="5" t="s">
        <v>225</v>
      </c>
      <c r="AL139" s="5" t="s">
        <v>384</v>
      </c>
      <c r="AM139" s="5" t="s">
        <v>0</v>
      </c>
      <c r="AN139" s="5" t="s">
        <v>18</v>
      </c>
      <c r="AO139" s="5" t="s">
        <v>12</v>
      </c>
      <c r="AP139" s="5" t="s">
        <v>17</v>
      </c>
      <c r="AQ139" s="5" t="s">
        <v>139</v>
      </c>
      <c r="AR139" s="5" t="s">
        <v>18</v>
      </c>
      <c r="AS139" s="6"/>
      <c r="AU139" s="5"/>
      <c r="AV139" s="5"/>
      <c r="AW139" s="5"/>
      <c r="AX139" s="5"/>
      <c r="AY139" s="5"/>
      <c r="BA139" s="34"/>
      <c r="BB139" s="35"/>
      <c r="BC139" s="36"/>
      <c r="BE139" s="34"/>
      <c r="BF139" s="35"/>
      <c r="BG139" s="36"/>
      <c r="BI139" s="34"/>
      <c r="BJ139" s="35"/>
      <c r="BK139" s="36"/>
      <c r="BM139" s="34"/>
      <c r="BN139" s="35"/>
      <c r="BO139" s="36"/>
      <c r="BQ139" s="34"/>
      <c r="BR139" s="35"/>
      <c r="BS139" s="36"/>
      <c r="BU139" s="34"/>
      <c r="BV139" s="35"/>
      <c r="BW139" s="36"/>
      <c r="BY139" s="34"/>
      <c r="BZ139" s="35"/>
      <c r="CA139" s="36"/>
      <c r="CC139" s="34"/>
      <c r="CD139" s="35"/>
      <c r="CE139" s="36"/>
      <c r="CG139" s="34"/>
      <c r="CH139" s="35"/>
      <c r="CI139" s="36"/>
      <c r="CK139" s="34"/>
      <c r="CL139" s="35"/>
      <c r="CM139" s="36"/>
      <c r="CO139" s="34"/>
      <c r="CP139" s="35"/>
      <c r="CQ139" s="36"/>
      <c r="CS139" s="34"/>
      <c r="CT139" s="35"/>
      <c r="CU139" s="36"/>
    </row>
    <row r="140" spans="1:99">
      <c r="R140" s="506"/>
      <c r="S140" s="506"/>
      <c r="T140" s="507">
        <f t="shared" ca="1" si="44"/>
        <v>0</v>
      </c>
      <c r="U140" s="507">
        <f t="shared" ca="1" si="32"/>
        <v>0</v>
      </c>
      <c r="V140" s="507">
        <f t="shared" ca="1" si="33"/>
        <v>0</v>
      </c>
      <c r="W140" s="507">
        <f t="shared" ca="1" si="34"/>
        <v>0</v>
      </c>
      <c r="X140" s="507">
        <f t="shared" ca="1" si="35"/>
        <v>0</v>
      </c>
      <c r="Y140" s="507">
        <f t="shared" ca="1" si="36"/>
        <v>0</v>
      </c>
      <c r="Z140" s="507">
        <f t="shared" ca="1" si="37"/>
        <v>0</v>
      </c>
      <c r="AA140" s="507">
        <f t="shared" ca="1" si="38"/>
        <v>0</v>
      </c>
      <c r="AB140" s="507">
        <f t="shared" ca="1" si="39"/>
        <v>0</v>
      </c>
      <c r="AC140" s="507">
        <f t="shared" ca="1" si="40"/>
        <v>0</v>
      </c>
      <c r="AD140" s="507">
        <f t="shared" ca="1" si="41"/>
        <v>0</v>
      </c>
      <c r="AE140" s="507">
        <f t="shared" ca="1" si="42"/>
        <v>0</v>
      </c>
      <c r="AF140" s="11">
        <f t="shared" ca="1" si="43"/>
        <v>0</v>
      </c>
      <c r="AI140" s="4">
        <v>287</v>
      </c>
      <c r="AJ140" s="5" t="s">
        <v>389</v>
      </c>
      <c r="AK140" s="5" t="s">
        <v>387</v>
      </c>
      <c r="AL140" s="5" t="s">
        <v>911</v>
      </c>
      <c r="AM140" s="5" t="s">
        <v>0</v>
      </c>
      <c r="AN140" s="5" t="s">
        <v>18</v>
      </c>
      <c r="AO140" s="5" t="s">
        <v>12</v>
      </c>
      <c r="AP140" s="5" t="s">
        <v>17</v>
      </c>
      <c r="AQ140" s="5" t="s">
        <v>139</v>
      </c>
      <c r="AR140" s="5" t="s">
        <v>18</v>
      </c>
      <c r="AS140" s="6"/>
      <c r="AU140" s="5"/>
      <c r="AV140" s="5"/>
      <c r="AW140" s="5"/>
      <c r="AX140" s="5"/>
      <c r="AY140" s="5"/>
      <c r="BA140" s="34"/>
      <c r="BB140" s="35"/>
      <c r="BC140" s="36"/>
      <c r="BE140" s="34"/>
      <c r="BF140" s="35"/>
      <c r="BG140" s="36"/>
      <c r="BI140" s="34"/>
      <c r="BJ140" s="35"/>
      <c r="BK140" s="36"/>
      <c r="BM140" s="34"/>
      <c r="BN140" s="35"/>
      <c r="BO140" s="36"/>
      <c r="BQ140" s="34"/>
      <c r="BR140" s="35"/>
      <c r="BS140" s="36"/>
      <c r="BU140" s="34"/>
      <c r="BV140" s="35"/>
      <c r="BW140" s="36"/>
      <c r="BY140" s="34"/>
      <c r="BZ140" s="35"/>
      <c r="CA140" s="36"/>
      <c r="CC140" s="34"/>
      <c r="CD140" s="35"/>
      <c r="CE140" s="36"/>
      <c r="CG140" s="34"/>
      <c r="CH140" s="35"/>
      <c r="CI140" s="36"/>
      <c r="CK140" s="34"/>
      <c r="CL140" s="35"/>
      <c r="CM140" s="36"/>
      <c r="CO140" s="34"/>
      <c r="CP140" s="35"/>
      <c r="CQ140" s="36"/>
      <c r="CS140" s="34"/>
      <c r="CT140" s="35"/>
      <c r="CU140" s="36"/>
    </row>
    <row r="141" spans="1:99">
      <c r="R141" s="506"/>
      <c r="S141" s="506"/>
      <c r="T141" s="507">
        <f t="shared" ca="1" si="44"/>
        <v>0</v>
      </c>
      <c r="U141" s="507">
        <f t="shared" ref="U141:U204" ca="1" si="45">SUMIF($BF$7:$BG$297,S141,$BG$7:$BG$297)</f>
        <v>0</v>
      </c>
      <c r="V141" s="507">
        <f t="shared" ref="V141:V204" ca="1" si="46">SUMIF($BJ$7:$BK$297,S141,$BK$7:$BK$297)</f>
        <v>0</v>
      </c>
      <c r="W141" s="507">
        <f t="shared" ref="W141:W204" ca="1" si="47">SUMIF($BN$7:$BO$297,S141,$BO$7:$BO$297)</f>
        <v>0</v>
      </c>
      <c r="X141" s="507">
        <f t="shared" ref="X141:X204" ca="1" si="48">SUMIF($BR$7:$BS$297,S141,$BS$7:$BS$297)</f>
        <v>0</v>
      </c>
      <c r="Y141" s="507">
        <f t="shared" ref="Y141:Y204" ca="1" si="49">SUMIF($BV$7:$BW$297,S141,$BW$7:$BW$297)</f>
        <v>0</v>
      </c>
      <c r="Z141" s="507">
        <f t="shared" ref="Z141:Z204" ca="1" si="50">SUMIF($BZ$7:$CA$297,S141,$CA$7:$CA$297)</f>
        <v>0</v>
      </c>
      <c r="AA141" s="507">
        <f t="shared" ref="AA141:AA204" ca="1" si="51">SUMIF($CD$7:$CE$297,S141,$CE$7:$CE$297)</f>
        <v>0</v>
      </c>
      <c r="AB141" s="507">
        <f t="shared" ref="AB141:AB204" ca="1" si="52">SUMIF($CH$7:$CI$297,S141,$CI$7:$CI$297)</f>
        <v>0</v>
      </c>
      <c r="AC141" s="507">
        <f t="shared" ref="AC141:AC204" ca="1" si="53">SUMIF($CL$7:$CM$297,S141,$CM$7:$CM$297)</f>
        <v>0</v>
      </c>
      <c r="AD141" s="507">
        <f t="shared" ref="AD141:AD204" ca="1" si="54">SUMIF($CP$7:$CQ$297,S141,$CQ$7:$CQ$297)</f>
        <v>0</v>
      </c>
      <c r="AE141" s="507">
        <f t="shared" ref="AE141:AE204" ca="1" si="55">SUMIF($CT$7:$CU$297,S141,$CU$7:$CU$297)</f>
        <v>0</v>
      </c>
      <c r="AF141" s="11">
        <f t="shared" ca="1" si="43"/>
        <v>0</v>
      </c>
      <c r="AI141" s="4">
        <v>289</v>
      </c>
      <c r="AJ141" s="5" t="s">
        <v>393</v>
      </c>
      <c r="AK141" s="5" t="s">
        <v>391</v>
      </c>
      <c r="AL141" s="5" t="s">
        <v>394</v>
      </c>
      <c r="AM141" s="5" t="s">
        <v>0</v>
      </c>
      <c r="AN141" s="5" t="s">
        <v>18</v>
      </c>
      <c r="AO141" s="5" t="s">
        <v>12</v>
      </c>
      <c r="AP141" s="5" t="s">
        <v>17</v>
      </c>
      <c r="AQ141" s="5" t="s">
        <v>139</v>
      </c>
      <c r="AR141" s="5" t="s">
        <v>18</v>
      </c>
      <c r="AS141" s="6"/>
      <c r="AU141" s="5"/>
      <c r="AV141" s="5"/>
      <c r="AW141" s="5"/>
      <c r="AX141" s="5"/>
      <c r="AY141" s="5"/>
      <c r="BA141" s="34"/>
      <c r="BB141" s="35"/>
      <c r="BC141" s="36"/>
      <c r="BE141" s="34"/>
      <c r="BF141" s="35"/>
      <c r="BG141" s="36"/>
      <c r="BI141" s="34"/>
      <c r="BJ141" s="35"/>
      <c r="BK141" s="36"/>
      <c r="BM141" s="34"/>
      <c r="BN141" s="35"/>
      <c r="BO141" s="36"/>
      <c r="BQ141" s="34"/>
      <c r="BR141" s="35"/>
      <c r="BS141" s="36"/>
      <c r="BU141" s="34"/>
      <c r="BV141" s="35"/>
      <c r="BW141" s="36"/>
      <c r="BY141" s="34"/>
      <c r="BZ141" s="35"/>
      <c r="CA141" s="36"/>
      <c r="CC141" s="34"/>
      <c r="CD141" s="35"/>
      <c r="CE141" s="36"/>
      <c r="CG141" s="34"/>
      <c r="CH141" s="35"/>
      <c r="CI141" s="36"/>
      <c r="CK141" s="34"/>
      <c r="CL141" s="35"/>
      <c r="CM141" s="36"/>
      <c r="CO141" s="34"/>
      <c r="CP141" s="35"/>
      <c r="CQ141" s="36"/>
      <c r="CS141" s="34"/>
      <c r="CT141" s="35"/>
      <c r="CU141" s="36"/>
    </row>
    <row r="142" spans="1:99">
      <c r="R142" s="506"/>
      <c r="S142" s="506"/>
      <c r="T142" s="507">
        <f t="shared" ca="1" si="44"/>
        <v>0</v>
      </c>
      <c r="U142" s="507">
        <f t="shared" ca="1" si="45"/>
        <v>0</v>
      </c>
      <c r="V142" s="507">
        <f t="shared" ca="1" si="46"/>
        <v>0</v>
      </c>
      <c r="W142" s="507">
        <f t="shared" ca="1" si="47"/>
        <v>0</v>
      </c>
      <c r="X142" s="507">
        <f t="shared" ca="1" si="48"/>
        <v>0</v>
      </c>
      <c r="Y142" s="507">
        <f t="shared" ca="1" si="49"/>
        <v>0</v>
      </c>
      <c r="Z142" s="507">
        <f t="shared" ca="1" si="50"/>
        <v>0</v>
      </c>
      <c r="AA142" s="507">
        <f t="shared" ca="1" si="51"/>
        <v>0</v>
      </c>
      <c r="AB142" s="507">
        <f t="shared" ca="1" si="52"/>
        <v>0</v>
      </c>
      <c r="AC142" s="507">
        <f t="shared" ca="1" si="53"/>
        <v>0</v>
      </c>
      <c r="AD142" s="507">
        <f t="shared" ca="1" si="54"/>
        <v>0</v>
      </c>
      <c r="AE142" s="507">
        <f t="shared" ca="1" si="55"/>
        <v>0</v>
      </c>
      <c r="AF142" s="11">
        <f t="shared" ca="1" si="43"/>
        <v>0</v>
      </c>
      <c r="AI142" s="4">
        <v>291</v>
      </c>
      <c r="AJ142" s="5" t="s">
        <v>395</v>
      </c>
      <c r="AK142" s="5" t="s">
        <v>391</v>
      </c>
      <c r="AL142" s="5" t="s">
        <v>396</v>
      </c>
      <c r="AM142" s="5" t="s">
        <v>0</v>
      </c>
      <c r="AN142" s="5" t="s">
        <v>18</v>
      </c>
      <c r="AO142" s="5" t="s">
        <v>12</v>
      </c>
      <c r="AP142" s="5" t="s">
        <v>17</v>
      </c>
      <c r="AQ142" s="5" t="s">
        <v>139</v>
      </c>
      <c r="AR142" s="5" t="s">
        <v>18</v>
      </c>
      <c r="AS142" s="6"/>
      <c r="AU142" s="5"/>
      <c r="AV142" s="5"/>
      <c r="AW142" s="5"/>
      <c r="AX142" s="5"/>
      <c r="AY142" s="5"/>
      <c r="BA142" s="34"/>
      <c r="BB142" s="35"/>
      <c r="BC142" s="36"/>
      <c r="BE142" s="34"/>
      <c r="BF142" s="35"/>
      <c r="BG142" s="36"/>
      <c r="BI142" s="34"/>
      <c r="BJ142" s="35"/>
      <c r="BK142" s="36"/>
      <c r="BM142" s="34"/>
      <c r="BN142" s="35"/>
      <c r="BO142" s="36"/>
      <c r="BQ142" s="34"/>
      <c r="BR142" s="35"/>
      <c r="BS142" s="36"/>
      <c r="BU142" s="34"/>
      <c r="BV142" s="35"/>
      <c r="BW142" s="36"/>
      <c r="BY142" s="34"/>
      <c r="BZ142" s="35"/>
      <c r="CA142" s="36"/>
      <c r="CC142" s="34"/>
      <c r="CD142" s="35"/>
      <c r="CE142" s="36"/>
      <c r="CG142" s="34"/>
      <c r="CH142" s="35"/>
      <c r="CI142" s="36"/>
      <c r="CK142" s="34"/>
      <c r="CL142" s="35"/>
      <c r="CM142" s="36"/>
      <c r="CO142" s="34"/>
      <c r="CP142" s="35"/>
      <c r="CQ142" s="36"/>
      <c r="CS142" s="34"/>
      <c r="CT142" s="35"/>
      <c r="CU142" s="36"/>
    </row>
    <row r="143" spans="1:99">
      <c r="R143" s="506"/>
      <c r="S143" s="506"/>
      <c r="T143" s="507">
        <f t="shared" ca="1" si="44"/>
        <v>0</v>
      </c>
      <c r="U143" s="507">
        <f t="shared" ca="1" si="45"/>
        <v>0</v>
      </c>
      <c r="V143" s="507">
        <f t="shared" ca="1" si="46"/>
        <v>0</v>
      </c>
      <c r="W143" s="507">
        <f t="shared" ca="1" si="47"/>
        <v>0</v>
      </c>
      <c r="X143" s="507">
        <f t="shared" ca="1" si="48"/>
        <v>0</v>
      </c>
      <c r="Y143" s="507">
        <f t="shared" ca="1" si="49"/>
        <v>0</v>
      </c>
      <c r="Z143" s="507">
        <f t="shared" ca="1" si="50"/>
        <v>0</v>
      </c>
      <c r="AA143" s="507">
        <f t="shared" ca="1" si="51"/>
        <v>0</v>
      </c>
      <c r="AB143" s="507">
        <f t="shared" ca="1" si="52"/>
        <v>0</v>
      </c>
      <c r="AC143" s="507">
        <f t="shared" ca="1" si="53"/>
        <v>0</v>
      </c>
      <c r="AD143" s="507">
        <f t="shared" ca="1" si="54"/>
        <v>0</v>
      </c>
      <c r="AE143" s="507">
        <f t="shared" ca="1" si="55"/>
        <v>0</v>
      </c>
      <c r="AF143" s="11">
        <f t="shared" ca="1" si="43"/>
        <v>0</v>
      </c>
      <c r="AI143" s="4">
        <v>293</v>
      </c>
      <c r="AJ143" s="5" t="s">
        <v>397</v>
      </c>
      <c r="AK143" s="5" t="s">
        <v>391</v>
      </c>
      <c r="AL143" s="5" t="s">
        <v>398</v>
      </c>
      <c r="AM143" s="5" t="s">
        <v>0</v>
      </c>
      <c r="AN143" s="5" t="s">
        <v>18</v>
      </c>
      <c r="AO143" s="5" t="s">
        <v>12</v>
      </c>
      <c r="AP143" s="5" t="s">
        <v>17</v>
      </c>
      <c r="AQ143" s="5" t="s">
        <v>139</v>
      </c>
      <c r="AR143" s="5" t="s">
        <v>18</v>
      </c>
      <c r="AS143" s="6"/>
      <c r="AU143" s="5"/>
      <c r="AV143" s="5"/>
      <c r="AW143" s="5"/>
      <c r="AX143" s="5"/>
      <c r="AY143" s="5"/>
      <c r="BA143" s="34"/>
      <c r="BB143" s="35"/>
      <c r="BC143" s="36"/>
      <c r="BE143" s="34"/>
      <c r="BF143" s="35"/>
      <c r="BG143" s="36"/>
      <c r="BI143" s="34"/>
      <c r="BJ143" s="35"/>
      <c r="BK143" s="36"/>
      <c r="BM143" s="34"/>
      <c r="BN143" s="35"/>
      <c r="BO143" s="36"/>
      <c r="BQ143" s="34"/>
      <c r="BR143" s="35"/>
      <c r="BS143" s="36"/>
      <c r="BU143" s="34"/>
      <c r="BV143" s="35"/>
      <c r="BW143" s="36"/>
      <c r="BY143" s="34"/>
      <c r="BZ143" s="35"/>
      <c r="CA143" s="36"/>
      <c r="CC143" s="34"/>
      <c r="CD143" s="35"/>
      <c r="CE143" s="36"/>
      <c r="CG143" s="34"/>
      <c r="CH143" s="35"/>
      <c r="CI143" s="36"/>
      <c r="CK143" s="34"/>
      <c r="CL143" s="35"/>
      <c r="CM143" s="36"/>
      <c r="CO143" s="34"/>
      <c r="CP143" s="35"/>
      <c r="CQ143" s="36"/>
      <c r="CS143" s="34"/>
      <c r="CT143" s="35"/>
      <c r="CU143" s="36"/>
    </row>
    <row r="144" spans="1:99">
      <c r="R144" s="506"/>
      <c r="S144" s="506"/>
      <c r="T144" s="507">
        <f t="shared" ca="1" si="44"/>
        <v>0</v>
      </c>
      <c r="U144" s="507">
        <f t="shared" ca="1" si="45"/>
        <v>0</v>
      </c>
      <c r="V144" s="507">
        <f t="shared" ca="1" si="46"/>
        <v>0</v>
      </c>
      <c r="W144" s="507">
        <f t="shared" ca="1" si="47"/>
        <v>0</v>
      </c>
      <c r="X144" s="507">
        <f t="shared" ca="1" si="48"/>
        <v>0</v>
      </c>
      <c r="Y144" s="507">
        <f t="shared" ca="1" si="49"/>
        <v>0</v>
      </c>
      <c r="Z144" s="507">
        <f t="shared" ca="1" si="50"/>
        <v>0</v>
      </c>
      <c r="AA144" s="507">
        <f t="shared" ca="1" si="51"/>
        <v>0</v>
      </c>
      <c r="AB144" s="507">
        <f t="shared" ca="1" si="52"/>
        <v>0</v>
      </c>
      <c r="AC144" s="507">
        <f t="shared" ca="1" si="53"/>
        <v>0</v>
      </c>
      <c r="AD144" s="507">
        <f t="shared" ca="1" si="54"/>
        <v>0</v>
      </c>
      <c r="AE144" s="507">
        <f t="shared" ca="1" si="55"/>
        <v>0</v>
      </c>
      <c r="AF144" s="11">
        <f t="shared" ca="1" si="43"/>
        <v>0</v>
      </c>
      <c r="AI144" s="4">
        <v>295</v>
      </c>
      <c r="AJ144" s="5" t="s">
        <v>399</v>
      </c>
      <c r="AK144" s="5" t="s">
        <v>391</v>
      </c>
      <c r="AL144" s="5" t="s">
        <v>400</v>
      </c>
      <c r="AM144" s="5" t="s">
        <v>0</v>
      </c>
      <c r="AN144" s="5" t="s">
        <v>18</v>
      </c>
      <c r="AO144" s="5" t="s">
        <v>12</v>
      </c>
      <c r="AP144" s="5" t="s">
        <v>17</v>
      </c>
      <c r="AQ144" s="5" t="s">
        <v>139</v>
      </c>
      <c r="AR144" s="5" t="s">
        <v>18</v>
      </c>
      <c r="AS144" s="6"/>
      <c r="AU144" s="5"/>
      <c r="AV144" s="5"/>
      <c r="AW144" s="5"/>
      <c r="AX144" s="5"/>
      <c r="AY144" s="5"/>
      <c r="BA144" s="34"/>
      <c r="BB144" s="35"/>
      <c r="BC144" s="36"/>
      <c r="BE144" s="34"/>
      <c r="BF144" s="35"/>
      <c r="BG144" s="36"/>
      <c r="BI144" s="34"/>
      <c r="BJ144" s="35"/>
      <c r="BK144" s="36"/>
      <c r="BM144" s="34"/>
      <c r="BN144" s="35"/>
      <c r="BO144" s="36"/>
      <c r="BQ144" s="34"/>
      <c r="BR144" s="35"/>
      <c r="BS144" s="36"/>
      <c r="BU144" s="34"/>
      <c r="BV144" s="35"/>
      <c r="BW144" s="36"/>
      <c r="BY144" s="34"/>
      <c r="BZ144" s="35"/>
      <c r="CA144" s="36"/>
      <c r="CC144" s="34"/>
      <c r="CD144" s="35"/>
      <c r="CE144" s="36"/>
      <c r="CG144" s="34"/>
      <c r="CH144" s="35"/>
      <c r="CI144" s="36"/>
      <c r="CK144" s="34"/>
      <c r="CL144" s="35"/>
      <c r="CM144" s="36"/>
      <c r="CO144" s="34"/>
      <c r="CP144" s="35"/>
      <c r="CQ144" s="36"/>
      <c r="CS144" s="34"/>
      <c r="CT144" s="35"/>
      <c r="CU144" s="36"/>
    </row>
    <row r="145" spans="1:99">
      <c r="R145" s="506"/>
      <c r="S145" s="506"/>
      <c r="T145" s="507">
        <f t="shared" ca="1" si="44"/>
        <v>0</v>
      </c>
      <c r="U145" s="507">
        <f t="shared" ca="1" si="45"/>
        <v>0</v>
      </c>
      <c r="V145" s="507">
        <f t="shared" ca="1" si="46"/>
        <v>0</v>
      </c>
      <c r="W145" s="507">
        <f t="shared" ca="1" si="47"/>
        <v>0</v>
      </c>
      <c r="X145" s="507">
        <f t="shared" ca="1" si="48"/>
        <v>0</v>
      </c>
      <c r="Y145" s="507">
        <f t="shared" ca="1" si="49"/>
        <v>0</v>
      </c>
      <c r="Z145" s="507">
        <f t="shared" ca="1" si="50"/>
        <v>0</v>
      </c>
      <c r="AA145" s="507">
        <f t="shared" ca="1" si="51"/>
        <v>0</v>
      </c>
      <c r="AB145" s="507">
        <f t="shared" ca="1" si="52"/>
        <v>0</v>
      </c>
      <c r="AC145" s="507">
        <f t="shared" ca="1" si="53"/>
        <v>0</v>
      </c>
      <c r="AD145" s="507">
        <f t="shared" ca="1" si="54"/>
        <v>0</v>
      </c>
      <c r="AE145" s="507">
        <f t="shared" ca="1" si="55"/>
        <v>0</v>
      </c>
      <c r="AF145" s="11">
        <f t="shared" ca="1" si="43"/>
        <v>0</v>
      </c>
      <c r="AI145" s="4">
        <v>297</v>
      </c>
      <c r="AJ145" s="5" t="s">
        <v>401</v>
      </c>
      <c r="AK145" s="5" t="s">
        <v>391</v>
      </c>
      <c r="AL145" s="5" t="s">
        <v>402</v>
      </c>
      <c r="AM145" s="5" t="s">
        <v>0</v>
      </c>
      <c r="AN145" s="5" t="s">
        <v>18</v>
      </c>
      <c r="AO145" s="5" t="s">
        <v>12</v>
      </c>
      <c r="AP145" s="5" t="s">
        <v>17</v>
      </c>
      <c r="AQ145" s="5" t="s">
        <v>139</v>
      </c>
      <c r="AR145" s="5" t="s">
        <v>18</v>
      </c>
      <c r="AS145" s="6"/>
      <c r="AU145" s="5"/>
      <c r="AV145" s="5"/>
      <c r="AW145" s="5"/>
      <c r="AX145" s="5"/>
      <c r="AY145" s="5"/>
      <c r="BA145" s="34"/>
      <c r="BB145" s="35"/>
      <c r="BC145" s="36"/>
      <c r="BE145" s="34"/>
      <c r="BF145" s="35"/>
      <c r="BG145" s="36"/>
      <c r="BI145" s="34"/>
      <c r="BJ145" s="35"/>
      <c r="BK145" s="36"/>
      <c r="BM145" s="34"/>
      <c r="BN145" s="35"/>
      <c r="BO145" s="36"/>
      <c r="BQ145" s="34"/>
      <c r="BR145" s="35"/>
      <c r="BS145" s="36"/>
      <c r="BU145" s="34"/>
      <c r="BV145" s="35"/>
      <c r="BW145" s="36"/>
      <c r="BY145" s="34"/>
      <c r="BZ145" s="35"/>
      <c r="CA145" s="36"/>
      <c r="CC145" s="34"/>
      <c r="CD145" s="35"/>
      <c r="CE145" s="36"/>
      <c r="CG145" s="34"/>
      <c r="CH145" s="35"/>
      <c r="CI145" s="36"/>
      <c r="CK145" s="34"/>
      <c r="CL145" s="35"/>
      <c r="CM145" s="36"/>
      <c r="CO145" s="34"/>
      <c r="CP145" s="35"/>
      <c r="CQ145" s="36"/>
      <c r="CS145" s="34"/>
      <c r="CT145" s="35"/>
      <c r="CU145" s="36"/>
    </row>
    <row r="146" spans="1:99">
      <c r="R146" s="506"/>
      <c r="S146" s="506"/>
      <c r="T146" s="507">
        <f t="shared" ca="1" si="44"/>
        <v>0</v>
      </c>
      <c r="U146" s="507">
        <f t="shared" ca="1" si="45"/>
        <v>0</v>
      </c>
      <c r="V146" s="507">
        <f t="shared" ca="1" si="46"/>
        <v>0</v>
      </c>
      <c r="W146" s="507">
        <f t="shared" ca="1" si="47"/>
        <v>0</v>
      </c>
      <c r="X146" s="507">
        <f t="shared" ca="1" si="48"/>
        <v>0</v>
      </c>
      <c r="Y146" s="507">
        <f t="shared" ca="1" si="49"/>
        <v>0</v>
      </c>
      <c r="Z146" s="507">
        <f t="shared" ca="1" si="50"/>
        <v>0</v>
      </c>
      <c r="AA146" s="507">
        <f t="shared" ca="1" si="51"/>
        <v>0</v>
      </c>
      <c r="AB146" s="507">
        <f t="shared" ca="1" si="52"/>
        <v>0</v>
      </c>
      <c r="AC146" s="507">
        <f t="shared" ca="1" si="53"/>
        <v>0</v>
      </c>
      <c r="AD146" s="507">
        <f t="shared" ca="1" si="54"/>
        <v>0</v>
      </c>
      <c r="AE146" s="507">
        <f t="shared" ca="1" si="55"/>
        <v>0</v>
      </c>
      <c r="AF146" s="11">
        <f t="shared" ca="1" si="43"/>
        <v>0</v>
      </c>
      <c r="AI146" s="4">
        <v>299</v>
      </c>
      <c r="AJ146" s="5" t="s">
        <v>403</v>
      </c>
      <c r="AK146" s="5" t="s">
        <v>391</v>
      </c>
      <c r="AL146" s="5" t="s">
        <v>404</v>
      </c>
      <c r="AM146" s="5" t="s">
        <v>0</v>
      </c>
      <c r="AN146" s="5" t="s">
        <v>18</v>
      </c>
      <c r="AO146" s="5" t="s">
        <v>12</v>
      </c>
      <c r="AP146" s="5" t="s">
        <v>17</v>
      </c>
      <c r="AQ146" s="5" t="s">
        <v>139</v>
      </c>
      <c r="AR146" s="5" t="s">
        <v>18</v>
      </c>
      <c r="AS146" s="6"/>
      <c r="AU146" s="5"/>
      <c r="AV146" s="5"/>
      <c r="AW146" s="5"/>
      <c r="AX146" s="5"/>
      <c r="AY146" s="5"/>
      <c r="BA146" s="34"/>
      <c r="BB146" s="35"/>
      <c r="BC146" s="36"/>
      <c r="BE146" s="34"/>
      <c r="BF146" s="35"/>
      <c r="BG146" s="36"/>
      <c r="BI146" s="34"/>
      <c r="BJ146" s="35"/>
      <c r="BK146" s="36"/>
      <c r="BM146" s="34"/>
      <c r="BN146" s="35"/>
      <c r="BO146" s="36"/>
      <c r="BQ146" s="34"/>
      <c r="BR146" s="35"/>
      <c r="BS146" s="36"/>
      <c r="BU146" s="34"/>
      <c r="BV146" s="35"/>
      <c r="BW146" s="36"/>
      <c r="BY146" s="34"/>
      <c r="BZ146" s="35"/>
      <c r="CA146" s="36"/>
      <c r="CC146" s="34"/>
      <c r="CD146" s="35"/>
      <c r="CE146" s="36"/>
      <c r="CG146" s="34"/>
      <c r="CH146" s="35"/>
      <c r="CI146" s="36"/>
      <c r="CK146" s="34"/>
      <c r="CL146" s="35"/>
      <c r="CM146" s="36"/>
      <c r="CO146" s="34"/>
      <c r="CP146" s="35"/>
      <c r="CQ146" s="36"/>
      <c r="CS146" s="34"/>
      <c r="CT146" s="35"/>
      <c r="CU146" s="36"/>
    </row>
    <row r="147" spans="1:99">
      <c r="A147" s="1825" t="s">
        <v>899</v>
      </c>
      <c r="B147" s="1825"/>
      <c r="R147" s="506"/>
      <c r="S147" s="506"/>
      <c r="T147" s="507">
        <f t="shared" ca="1" si="44"/>
        <v>0</v>
      </c>
      <c r="U147" s="507">
        <f t="shared" ca="1" si="45"/>
        <v>0</v>
      </c>
      <c r="V147" s="507">
        <f t="shared" ca="1" si="46"/>
        <v>0</v>
      </c>
      <c r="W147" s="507">
        <f t="shared" ca="1" si="47"/>
        <v>0</v>
      </c>
      <c r="X147" s="507">
        <f t="shared" ca="1" si="48"/>
        <v>0</v>
      </c>
      <c r="Y147" s="507">
        <f t="shared" ca="1" si="49"/>
        <v>0</v>
      </c>
      <c r="Z147" s="507">
        <f t="shared" ca="1" si="50"/>
        <v>0</v>
      </c>
      <c r="AA147" s="507">
        <f t="shared" ca="1" si="51"/>
        <v>0</v>
      </c>
      <c r="AB147" s="507">
        <f t="shared" ca="1" si="52"/>
        <v>0</v>
      </c>
      <c r="AC147" s="507">
        <f t="shared" ca="1" si="53"/>
        <v>0</v>
      </c>
      <c r="AD147" s="507">
        <f t="shared" ca="1" si="54"/>
        <v>0</v>
      </c>
      <c r="AE147" s="507">
        <f t="shared" ca="1" si="55"/>
        <v>0</v>
      </c>
      <c r="AF147" s="11">
        <f t="shared" ca="1" si="43"/>
        <v>0</v>
      </c>
      <c r="AI147" s="4">
        <v>301</v>
      </c>
      <c r="AJ147" s="5" t="s">
        <v>407</v>
      </c>
      <c r="AK147" s="5" t="s">
        <v>405</v>
      </c>
      <c r="AL147" s="5" t="s">
        <v>408</v>
      </c>
      <c r="AM147" s="5" t="s">
        <v>0</v>
      </c>
      <c r="AN147" s="5" t="s">
        <v>18</v>
      </c>
      <c r="AO147" s="5" t="s">
        <v>12</v>
      </c>
      <c r="AP147" s="5" t="s">
        <v>17</v>
      </c>
      <c r="AQ147" s="5" t="s">
        <v>139</v>
      </c>
      <c r="AR147" s="5" t="s">
        <v>18</v>
      </c>
      <c r="AS147" s="6"/>
      <c r="AU147" s="5"/>
      <c r="AV147" s="5"/>
      <c r="AW147" s="5"/>
      <c r="AX147" s="5"/>
      <c r="AY147" s="5"/>
      <c r="BA147" s="34"/>
      <c r="BB147" s="35"/>
      <c r="BC147" s="36"/>
      <c r="BE147" s="34"/>
      <c r="BF147" s="35"/>
      <c r="BG147" s="36"/>
      <c r="BI147" s="34"/>
      <c r="BJ147" s="35"/>
      <c r="BK147" s="36"/>
      <c r="BM147" s="34"/>
      <c r="BN147" s="35"/>
      <c r="BO147" s="36"/>
      <c r="BQ147" s="34"/>
      <c r="BR147" s="35"/>
      <c r="BS147" s="36"/>
      <c r="BU147" s="34"/>
      <c r="BV147" s="35"/>
      <c r="BW147" s="36"/>
      <c r="BY147" s="34"/>
      <c r="BZ147" s="35"/>
      <c r="CA147" s="36"/>
      <c r="CC147" s="34"/>
      <c r="CD147" s="35"/>
      <c r="CE147" s="36"/>
      <c r="CG147" s="34"/>
      <c r="CH147" s="35"/>
      <c r="CI147" s="36"/>
      <c r="CK147" s="34"/>
      <c r="CL147" s="35"/>
      <c r="CM147" s="36"/>
      <c r="CO147" s="34"/>
      <c r="CP147" s="35"/>
      <c r="CQ147" s="36"/>
      <c r="CS147" s="34"/>
      <c r="CT147" s="35"/>
      <c r="CU147" s="36"/>
    </row>
    <row r="148" spans="1:99">
      <c r="A148" s="1823" t="s">
        <v>4112</v>
      </c>
      <c r="B148" s="1823"/>
      <c r="R148" s="506"/>
      <c r="S148" s="506"/>
      <c r="T148" s="507">
        <f t="shared" ca="1" si="44"/>
        <v>0</v>
      </c>
      <c r="U148" s="507">
        <f t="shared" ca="1" si="45"/>
        <v>0</v>
      </c>
      <c r="V148" s="507">
        <f t="shared" ca="1" si="46"/>
        <v>0</v>
      </c>
      <c r="W148" s="507">
        <f t="shared" ca="1" si="47"/>
        <v>0</v>
      </c>
      <c r="X148" s="507">
        <f t="shared" ca="1" si="48"/>
        <v>0</v>
      </c>
      <c r="Y148" s="507">
        <f t="shared" ca="1" si="49"/>
        <v>0</v>
      </c>
      <c r="Z148" s="507">
        <f t="shared" ca="1" si="50"/>
        <v>0</v>
      </c>
      <c r="AA148" s="507">
        <f t="shared" ca="1" si="51"/>
        <v>0</v>
      </c>
      <c r="AB148" s="507">
        <f t="shared" ca="1" si="52"/>
        <v>0</v>
      </c>
      <c r="AC148" s="507">
        <f t="shared" ca="1" si="53"/>
        <v>0</v>
      </c>
      <c r="AD148" s="507">
        <f t="shared" ca="1" si="54"/>
        <v>0</v>
      </c>
      <c r="AE148" s="507">
        <f t="shared" ca="1" si="55"/>
        <v>0</v>
      </c>
      <c r="AF148" s="11">
        <f t="shared" ca="1" si="43"/>
        <v>0</v>
      </c>
      <c r="AI148" s="4">
        <v>303</v>
      </c>
      <c r="AJ148" s="5" t="s">
        <v>409</v>
      </c>
      <c r="AK148" s="5" t="s">
        <v>405</v>
      </c>
      <c r="AL148" s="5" t="s">
        <v>410</v>
      </c>
      <c r="AM148" s="5" t="s">
        <v>0</v>
      </c>
      <c r="AN148" s="5" t="s">
        <v>18</v>
      </c>
      <c r="AO148" s="5" t="s">
        <v>12</v>
      </c>
      <c r="AP148" s="5" t="s">
        <v>17</v>
      </c>
      <c r="AQ148" s="5" t="s">
        <v>139</v>
      </c>
      <c r="AR148" s="5" t="s">
        <v>18</v>
      </c>
      <c r="AS148" s="6"/>
      <c r="AU148" s="5"/>
      <c r="AV148" s="5"/>
      <c r="AW148" s="5"/>
      <c r="AX148" s="5" t="s">
        <v>0</v>
      </c>
      <c r="AY148" s="5"/>
      <c r="BA148" s="34"/>
      <c r="BB148" s="35"/>
      <c r="BC148" s="36"/>
      <c r="BE148" s="34"/>
      <c r="BF148" s="35"/>
      <c r="BG148" s="36"/>
      <c r="BI148" s="34"/>
      <c r="BJ148" s="35"/>
      <c r="BK148" s="36"/>
      <c r="BM148" s="34"/>
      <c r="BN148" s="35"/>
      <c r="BO148" s="36"/>
      <c r="BQ148" s="34"/>
      <c r="BR148" s="35"/>
      <c r="BS148" s="36"/>
      <c r="BU148" s="34"/>
      <c r="BV148" s="35"/>
      <c r="BW148" s="36"/>
      <c r="BY148" s="34"/>
      <c r="BZ148" s="35"/>
      <c r="CA148" s="36"/>
      <c r="CC148" s="34"/>
      <c r="CD148" s="35"/>
      <c r="CE148" s="36"/>
      <c r="CG148" s="34"/>
      <c r="CH148" s="35"/>
      <c r="CI148" s="36"/>
      <c r="CK148" s="34"/>
      <c r="CL148" s="35"/>
      <c r="CM148" s="36"/>
      <c r="CO148" s="34"/>
      <c r="CP148" s="35"/>
      <c r="CQ148" s="36"/>
      <c r="CS148" s="34"/>
      <c r="CT148" s="35"/>
      <c r="CU148" s="36"/>
    </row>
    <row r="149" spans="1:99">
      <c r="A149" s="1801">
        <v>2.1</v>
      </c>
      <c r="B149" s="1802" t="s">
        <v>1656</v>
      </c>
      <c r="R149" s="506"/>
      <c r="S149" s="506"/>
      <c r="T149" s="507">
        <f t="shared" ca="1" si="44"/>
        <v>0</v>
      </c>
      <c r="U149" s="507">
        <f t="shared" ca="1" si="45"/>
        <v>0</v>
      </c>
      <c r="V149" s="507">
        <f t="shared" ca="1" si="46"/>
        <v>0</v>
      </c>
      <c r="W149" s="507">
        <f t="shared" ca="1" si="47"/>
        <v>0</v>
      </c>
      <c r="X149" s="507">
        <f t="shared" ca="1" si="48"/>
        <v>0</v>
      </c>
      <c r="Y149" s="507">
        <f t="shared" ca="1" si="49"/>
        <v>0</v>
      </c>
      <c r="Z149" s="507">
        <f t="shared" ca="1" si="50"/>
        <v>0</v>
      </c>
      <c r="AA149" s="507">
        <f t="shared" ca="1" si="51"/>
        <v>0</v>
      </c>
      <c r="AB149" s="507">
        <f t="shared" ca="1" si="52"/>
        <v>0</v>
      </c>
      <c r="AC149" s="507">
        <f t="shared" ca="1" si="53"/>
        <v>0</v>
      </c>
      <c r="AD149" s="507">
        <f t="shared" ca="1" si="54"/>
        <v>0</v>
      </c>
      <c r="AE149" s="507">
        <f t="shared" ca="1" si="55"/>
        <v>0</v>
      </c>
      <c r="AF149" s="11">
        <f t="shared" ca="1" si="43"/>
        <v>0</v>
      </c>
      <c r="AI149" s="4">
        <v>305</v>
      </c>
      <c r="AJ149" s="5" t="s">
        <v>412</v>
      </c>
      <c r="AK149" s="5" t="s">
        <v>405</v>
      </c>
      <c r="AL149" s="5" t="s">
        <v>413</v>
      </c>
      <c r="AM149" s="5" t="s">
        <v>0</v>
      </c>
      <c r="AN149" s="5" t="s">
        <v>18</v>
      </c>
      <c r="AO149" s="5" t="s">
        <v>12</v>
      </c>
      <c r="AP149" s="5" t="s">
        <v>17</v>
      </c>
      <c r="AQ149" s="5" t="s">
        <v>139</v>
      </c>
      <c r="AR149" s="5" t="s">
        <v>18</v>
      </c>
      <c r="AS149" s="6"/>
      <c r="AU149" s="5"/>
      <c r="AV149" s="5"/>
      <c r="AW149" s="5"/>
      <c r="AX149" s="5"/>
      <c r="AY149" s="5"/>
      <c r="BA149" s="34"/>
      <c r="BB149" s="35"/>
      <c r="BC149" s="36"/>
      <c r="BE149" s="34"/>
      <c r="BF149" s="35"/>
      <c r="BG149" s="36"/>
      <c r="BI149" s="34"/>
      <c r="BJ149" s="35"/>
      <c r="BK149" s="36"/>
      <c r="BM149" s="34"/>
      <c r="BN149" s="35"/>
      <c r="BO149" s="36"/>
      <c r="BQ149" s="34"/>
      <c r="BR149" s="35"/>
      <c r="BS149" s="36"/>
      <c r="BU149" s="34"/>
      <c r="BV149" s="35"/>
      <c r="BW149" s="36"/>
      <c r="BY149" s="34"/>
      <c r="BZ149" s="35"/>
      <c r="CA149" s="36"/>
      <c r="CC149" s="34"/>
      <c r="CD149" s="35"/>
      <c r="CE149" s="36"/>
      <c r="CG149" s="34"/>
      <c r="CH149" s="35"/>
      <c r="CI149" s="36"/>
      <c r="CK149" s="34"/>
      <c r="CL149" s="35"/>
      <c r="CM149" s="36"/>
      <c r="CO149" s="34"/>
      <c r="CP149" s="35"/>
      <c r="CQ149" s="36"/>
      <c r="CS149" s="34"/>
      <c r="CT149" s="35"/>
      <c r="CU149" s="36"/>
    </row>
    <row r="150" spans="1:99">
      <c r="A150" s="1803" t="s">
        <v>570</v>
      </c>
      <c r="B150" s="1803" t="s">
        <v>4113</v>
      </c>
      <c r="R150" s="506"/>
      <c r="S150" s="506"/>
      <c r="T150" s="507">
        <f t="shared" ca="1" si="44"/>
        <v>0</v>
      </c>
      <c r="U150" s="507">
        <f t="shared" ca="1" si="45"/>
        <v>0</v>
      </c>
      <c r="V150" s="507">
        <f t="shared" ca="1" si="46"/>
        <v>0</v>
      </c>
      <c r="W150" s="507">
        <f t="shared" ca="1" si="47"/>
        <v>0</v>
      </c>
      <c r="X150" s="507">
        <f t="shared" ca="1" si="48"/>
        <v>0</v>
      </c>
      <c r="Y150" s="507">
        <f t="shared" ca="1" si="49"/>
        <v>0</v>
      </c>
      <c r="Z150" s="507">
        <f t="shared" ca="1" si="50"/>
        <v>0</v>
      </c>
      <c r="AA150" s="507">
        <f t="shared" ca="1" si="51"/>
        <v>0</v>
      </c>
      <c r="AB150" s="507">
        <f t="shared" ca="1" si="52"/>
        <v>0</v>
      </c>
      <c r="AC150" s="507">
        <f t="shared" ca="1" si="53"/>
        <v>0</v>
      </c>
      <c r="AD150" s="507">
        <f t="shared" ca="1" si="54"/>
        <v>0</v>
      </c>
      <c r="AE150" s="507">
        <f t="shared" ca="1" si="55"/>
        <v>0</v>
      </c>
      <c r="AF150" s="11">
        <f t="shared" ca="1" si="43"/>
        <v>0</v>
      </c>
      <c r="AI150" s="4">
        <v>307</v>
      </c>
      <c r="AJ150" s="5" t="s">
        <v>414</v>
      </c>
      <c r="AK150" s="5" t="s">
        <v>405</v>
      </c>
      <c r="AL150" s="5" t="s">
        <v>415</v>
      </c>
      <c r="AM150" s="5" t="s">
        <v>0</v>
      </c>
      <c r="AN150" s="5" t="s">
        <v>18</v>
      </c>
      <c r="AO150" s="5" t="s">
        <v>12</v>
      </c>
      <c r="AP150" s="5" t="s">
        <v>17</v>
      </c>
      <c r="AQ150" s="5" t="s">
        <v>139</v>
      </c>
      <c r="AR150" s="5" t="s">
        <v>18</v>
      </c>
      <c r="AS150" s="6"/>
      <c r="AU150" s="5"/>
      <c r="AV150" s="5"/>
      <c r="AW150" s="5"/>
      <c r="AX150" s="5"/>
      <c r="AY150" s="5"/>
      <c r="BA150" s="34"/>
      <c r="BB150" s="35"/>
      <c r="BC150" s="36"/>
      <c r="BE150" s="34"/>
      <c r="BF150" s="35"/>
      <c r="BG150" s="36"/>
      <c r="BI150" s="34"/>
      <c r="BJ150" s="35"/>
      <c r="BK150" s="36"/>
      <c r="BM150" s="34"/>
      <c r="BN150" s="35"/>
      <c r="BO150" s="36"/>
      <c r="BQ150" s="34"/>
      <c r="BR150" s="35"/>
      <c r="BS150" s="36"/>
      <c r="BU150" s="34"/>
      <c r="BV150" s="35"/>
      <c r="BW150" s="36"/>
      <c r="BY150" s="34"/>
      <c r="BZ150" s="35"/>
      <c r="CA150" s="36"/>
      <c r="CC150" s="34"/>
      <c r="CD150" s="35"/>
      <c r="CE150" s="36"/>
      <c r="CG150" s="34"/>
      <c r="CH150" s="35"/>
      <c r="CI150" s="36"/>
      <c r="CK150" s="34"/>
      <c r="CL150" s="35"/>
      <c r="CM150" s="36"/>
      <c r="CO150" s="34"/>
      <c r="CP150" s="35"/>
      <c r="CQ150" s="36"/>
      <c r="CS150" s="34"/>
      <c r="CT150" s="35"/>
      <c r="CU150" s="36"/>
    </row>
    <row r="151" spans="1:99">
      <c r="A151" s="1803" t="s">
        <v>4030</v>
      </c>
      <c r="B151" s="1803" t="s">
        <v>4114</v>
      </c>
      <c r="R151" s="506"/>
      <c r="S151" s="506"/>
      <c r="T151" s="507">
        <f t="shared" ca="1" si="44"/>
        <v>0</v>
      </c>
      <c r="U151" s="507">
        <f t="shared" ca="1" si="45"/>
        <v>0</v>
      </c>
      <c r="V151" s="507">
        <f t="shared" ca="1" si="46"/>
        <v>0</v>
      </c>
      <c r="W151" s="507">
        <f t="shared" ca="1" si="47"/>
        <v>0</v>
      </c>
      <c r="X151" s="507">
        <f t="shared" ca="1" si="48"/>
        <v>0</v>
      </c>
      <c r="Y151" s="507">
        <f t="shared" ca="1" si="49"/>
        <v>0</v>
      </c>
      <c r="Z151" s="507">
        <f t="shared" ca="1" si="50"/>
        <v>0</v>
      </c>
      <c r="AA151" s="507">
        <f t="shared" ca="1" si="51"/>
        <v>0</v>
      </c>
      <c r="AB151" s="507">
        <f t="shared" ca="1" si="52"/>
        <v>0</v>
      </c>
      <c r="AC151" s="507">
        <f t="shared" ca="1" si="53"/>
        <v>0</v>
      </c>
      <c r="AD151" s="507">
        <f t="shared" ca="1" si="54"/>
        <v>0</v>
      </c>
      <c r="AE151" s="507">
        <f t="shared" ca="1" si="55"/>
        <v>0</v>
      </c>
      <c r="AF151" s="11">
        <f t="shared" ca="1" si="43"/>
        <v>0</v>
      </c>
      <c r="AI151" s="4">
        <v>309</v>
      </c>
      <c r="AJ151" s="5" t="s">
        <v>416</v>
      </c>
      <c r="AK151" s="5" t="s">
        <v>405</v>
      </c>
      <c r="AL151" s="5" t="s">
        <v>417</v>
      </c>
      <c r="AM151" s="5" t="s">
        <v>0</v>
      </c>
      <c r="AN151" s="5" t="s">
        <v>18</v>
      </c>
      <c r="AO151" s="5" t="s">
        <v>12</v>
      </c>
      <c r="AP151" s="5" t="s">
        <v>17</v>
      </c>
      <c r="AQ151" s="5" t="s">
        <v>139</v>
      </c>
      <c r="AR151" s="5" t="s">
        <v>18</v>
      </c>
      <c r="AS151" s="6"/>
      <c r="AU151" s="5"/>
      <c r="AV151" s="5"/>
      <c r="AW151" s="5"/>
      <c r="AX151" s="5"/>
      <c r="AY151" s="5"/>
      <c r="BA151" s="34"/>
      <c r="BB151" s="35"/>
      <c r="BC151" s="36"/>
      <c r="BE151" s="34"/>
      <c r="BF151" s="35"/>
      <c r="BG151" s="36"/>
      <c r="BI151" s="34"/>
      <c r="BJ151" s="35"/>
      <c r="BK151" s="36"/>
      <c r="BM151" s="34"/>
      <c r="BN151" s="35"/>
      <c r="BO151" s="36"/>
      <c r="BQ151" s="34"/>
      <c r="BR151" s="35"/>
      <c r="BS151" s="36"/>
      <c r="BU151" s="34"/>
      <c r="BV151" s="35"/>
      <c r="BW151" s="36"/>
      <c r="BY151" s="34"/>
      <c r="BZ151" s="35"/>
      <c r="CA151" s="36"/>
      <c r="CC151" s="34"/>
      <c r="CD151" s="35"/>
      <c r="CE151" s="36"/>
      <c r="CG151" s="34"/>
      <c r="CH151" s="35"/>
      <c r="CI151" s="36"/>
      <c r="CK151" s="34"/>
      <c r="CL151" s="35"/>
      <c r="CM151" s="36"/>
      <c r="CO151" s="34"/>
      <c r="CP151" s="35"/>
      <c r="CQ151" s="36"/>
      <c r="CS151" s="34"/>
      <c r="CT151" s="35"/>
      <c r="CU151" s="36"/>
    </row>
    <row r="152" spans="1:99">
      <c r="A152" s="1803" t="s">
        <v>3783</v>
      </c>
      <c r="B152" s="1803" t="s">
        <v>4115</v>
      </c>
      <c r="R152" s="506"/>
      <c r="S152" s="506"/>
      <c r="T152" s="507">
        <f t="shared" ca="1" si="44"/>
        <v>0</v>
      </c>
      <c r="U152" s="507">
        <f t="shared" ca="1" si="45"/>
        <v>0</v>
      </c>
      <c r="V152" s="507">
        <f t="shared" ca="1" si="46"/>
        <v>0</v>
      </c>
      <c r="W152" s="507">
        <f t="shared" ca="1" si="47"/>
        <v>0</v>
      </c>
      <c r="X152" s="507">
        <f t="shared" ca="1" si="48"/>
        <v>0</v>
      </c>
      <c r="Y152" s="507">
        <f t="shared" ca="1" si="49"/>
        <v>0</v>
      </c>
      <c r="Z152" s="507">
        <f t="shared" ca="1" si="50"/>
        <v>0</v>
      </c>
      <c r="AA152" s="507">
        <f t="shared" ca="1" si="51"/>
        <v>0</v>
      </c>
      <c r="AB152" s="507">
        <f t="shared" ca="1" si="52"/>
        <v>0</v>
      </c>
      <c r="AC152" s="507">
        <f t="shared" ca="1" si="53"/>
        <v>0</v>
      </c>
      <c r="AD152" s="507">
        <f t="shared" ca="1" si="54"/>
        <v>0</v>
      </c>
      <c r="AE152" s="507">
        <f t="shared" ca="1" si="55"/>
        <v>0</v>
      </c>
      <c r="AF152" s="11">
        <f t="shared" ca="1" si="43"/>
        <v>0</v>
      </c>
      <c r="AI152" s="4">
        <v>311</v>
      </c>
      <c r="AJ152" s="5" t="s">
        <v>422</v>
      </c>
      <c r="AK152" s="5" t="s">
        <v>420</v>
      </c>
      <c r="AL152" s="5" t="s">
        <v>423</v>
      </c>
      <c r="AM152" s="5" t="s">
        <v>0</v>
      </c>
      <c r="AN152" s="5" t="s">
        <v>18</v>
      </c>
      <c r="AO152" s="5" t="s">
        <v>12</v>
      </c>
      <c r="AP152" s="5" t="s">
        <v>17</v>
      </c>
      <c r="AQ152" s="5" t="s">
        <v>139</v>
      </c>
      <c r="AR152" s="5" t="s">
        <v>18</v>
      </c>
      <c r="AS152" s="6"/>
      <c r="AU152" s="5"/>
      <c r="AV152" s="5"/>
      <c r="AW152" s="5"/>
      <c r="AX152" s="5"/>
      <c r="AY152" s="5"/>
      <c r="BA152" s="34"/>
      <c r="BB152" s="35"/>
      <c r="BC152" s="36"/>
      <c r="BE152" s="34"/>
      <c r="BF152" s="35"/>
      <c r="BG152" s="36"/>
      <c r="BI152" s="34"/>
      <c r="BJ152" s="35"/>
      <c r="BK152" s="36"/>
      <c r="BM152" s="34"/>
      <c r="BN152" s="35"/>
      <c r="BO152" s="36"/>
      <c r="BQ152" s="34"/>
      <c r="BR152" s="35"/>
      <c r="BS152" s="36"/>
      <c r="BU152" s="34"/>
      <c r="BV152" s="35"/>
      <c r="BW152" s="36"/>
      <c r="BY152" s="34"/>
      <c r="BZ152" s="35"/>
      <c r="CA152" s="36"/>
      <c r="CC152" s="34"/>
      <c r="CD152" s="35"/>
      <c r="CE152" s="36"/>
      <c r="CG152" s="34"/>
      <c r="CH152" s="35"/>
      <c r="CI152" s="36"/>
      <c r="CK152" s="34"/>
      <c r="CL152" s="35"/>
      <c r="CM152" s="36"/>
      <c r="CO152" s="34"/>
      <c r="CP152" s="35"/>
      <c r="CQ152" s="36"/>
      <c r="CS152" s="34"/>
      <c r="CT152" s="35"/>
      <c r="CU152" s="36"/>
    </row>
    <row r="153" spans="1:99">
      <c r="A153" s="1803" t="s">
        <v>617</v>
      </c>
      <c r="B153" s="1803" t="s">
        <v>2394</v>
      </c>
      <c r="R153" s="506"/>
      <c r="S153" s="506"/>
      <c r="T153" s="507">
        <f t="shared" ca="1" si="44"/>
        <v>0</v>
      </c>
      <c r="U153" s="507">
        <f t="shared" ca="1" si="45"/>
        <v>0</v>
      </c>
      <c r="V153" s="507">
        <f t="shared" ca="1" si="46"/>
        <v>0</v>
      </c>
      <c r="W153" s="507">
        <f t="shared" ca="1" si="47"/>
        <v>0</v>
      </c>
      <c r="X153" s="507">
        <f t="shared" ca="1" si="48"/>
        <v>0</v>
      </c>
      <c r="Y153" s="507">
        <f t="shared" ca="1" si="49"/>
        <v>0</v>
      </c>
      <c r="Z153" s="507">
        <f t="shared" ca="1" si="50"/>
        <v>0</v>
      </c>
      <c r="AA153" s="507">
        <f t="shared" ca="1" si="51"/>
        <v>0</v>
      </c>
      <c r="AB153" s="507">
        <f t="shared" ca="1" si="52"/>
        <v>0</v>
      </c>
      <c r="AC153" s="507">
        <f t="shared" ca="1" si="53"/>
        <v>0</v>
      </c>
      <c r="AD153" s="507">
        <f t="shared" ca="1" si="54"/>
        <v>0</v>
      </c>
      <c r="AE153" s="507">
        <f t="shared" ca="1" si="55"/>
        <v>0</v>
      </c>
      <c r="AF153" s="11">
        <f t="shared" ca="1" si="43"/>
        <v>0</v>
      </c>
      <c r="AI153" s="4">
        <v>313</v>
      </c>
      <c r="AJ153" s="5" t="s">
        <v>424</v>
      </c>
      <c r="AK153" s="5" t="s">
        <v>420</v>
      </c>
      <c r="AL153" s="5" t="s">
        <v>425</v>
      </c>
      <c r="AM153" s="5" t="s">
        <v>0</v>
      </c>
      <c r="AN153" s="5" t="s">
        <v>18</v>
      </c>
      <c r="AO153" s="5" t="s">
        <v>12</v>
      </c>
      <c r="AP153" s="5" t="s">
        <v>17</v>
      </c>
      <c r="AQ153" s="5" t="s">
        <v>139</v>
      </c>
      <c r="AR153" s="5" t="s">
        <v>18</v>
      </c>
      <c r="AS153" s="6"/>
      <c r="AU153" s="5"/>
      <c r="AV153" s="5"/>
      <c r="AW153" s="5"/>
      <c r="AX153" s="5"/>
      <c r="AY153" s="5"/>
      <c r="BA153" s="34"/>
      <c r="BB153" s="35"/>
      <c r="BC153" s="36"/>
      <c r="BE153" s="34"/>
      <c r="BF153" s="35"/>
      <c r="BG153" s="36"/>
      <c r="BI153" s="34"/>
      <c r="BJ153" s="35"/>
      <c r="BK153" s="36"/>
      <c r="BM153" s="34"/>
      <c r="BN153" s="35"/>
      <c r="BO153" s="36"/>
      <c r="BQ153" s="34"/>
      <c r="BR153" s="35"/>
      <c r="BS153" s="36"/>
      <c r="BU153" s="34"/>
      <c r="BV153" s="35"/>
      <c r="BW153" s="36"/>
      <c r="BY153" s="34"/>
      <c r="BZ153" s="35"/>
      <c r="CA153" s="36"/>
      <c r="CC153" s="34"/>
      <c r="CD153" s="35"/>
      <c r="CE153" s="36"/>
      <c r="CG153" s="34"/>
      <c r="CH153" s="35"/>
      <c r="CI153" s="36"/>
      <c r="CK153" s="34"/>
      <c r="CL153" s="35"/>
      <c r="CM153" s="36"/>
      <c r="CO153" s="34"/>
      <c r="CP153" s="35"/>
      <c r="CQ153" s="36"/>
      <c r="CS153" s="34"/>
      <c r="CT153" s="35"/>
      <c r="CU153" s="36"/>
    </row>
    <row r="154" spans="1:99">
      <c r="A154" s="1803" t="s">
        <v>4033</v>
      </c>
      <c r="B154" s="1803" t="s">
        <v>3904</v>
      </c>
      <c r="R154" s="506"/>
      <c r="S154" s="506"/>
      <c r="T154" s="507">
        <f t="shared" ca="1" si="44"/>
        <v>0</v>
      </c>
      <c r="U154" s="507">
        <f t="shared" ca="1" si="45"/>
        <v>0</v>
      </c>
      <c r="V154" s="507">
        <f t="shared" ca="1" si="46"/>
        <v>0</v>
      </c>
      <c r="W154" s="507">
        <f t="shared" ca="1" si="47"/>
        <v>0</v>
      </c>
      <c r="X154" s="507">
        <f t="shared" ca="1" si="48"/>
        <v>0</v>
      </c>
      <c r="Y154" s="507">
        <f t="shared" ca="1" si="49"/>
        <v>0</v>
      </c>
      <c r="Z154" s="507">
        <f t="shared" ca="1" si="50"/>
        <v>0</v>
      </c>
      <c r="AA154" s="507">
        <f t="shared" ca="1" si="51"/>
        <v>0</v>
      </c>
      <c r="AB154" s="507">
        <f t="shared" ca="1" si="52"/>
        <v>0</v>
      </c>
      <c r="AC154" s="507">
        <f t="shared" ca="1" si="53"/>
        <v>0</v>
      </c>
      <c r="AD154" s="507">
        <f t="shared" ca="1" si="54"/>
        <v>0</v>
      </c>
      <c r="AE154" s="507">
        <f t="shared" ca="1" si="55"/>
        <v>0</v>
      </c>
      <c r="AF154" s="11">
        <f t="shared" ca="1" si="43"/>
        <v>0</v>
      </c>
      <c r="AI154" s="4">
        <v>315</v>
      </c>
      <c r="AJ154" s="5" t="s">
        <v>426</v>
      </c>
      <c r="AK154" s="5" t="s">
        <v>420</v>
      </c>
      <c r="AL154" s="5" t="s">
        <v>427</v>
      </c>
      <c r="AM154" s="5" t="s">
        <v>0</v>
      </c>
      <c r="AN154" s="5" t="s">
        <v>18</v>
      </c>
      <c r="AO154" s="5" t="s">
        <v>12</v>
      </c>
      <c r="AP154" s="5" t="s">
        <v>17</v>
      </c>
      <c r="AQ154" s="5" t="s">
        <v>139</v>
      </c>
      <c r="AR154" s="5" t="s">
        <v>18</v>
      </c>
      <c r="AS154" s="6"/>
      <c r="AU154" s="5"/>
      <c r="AV154" s="5"/>
      <c r="AW154" s="5"/>
      <c r="AX154" s="5"/>
      <c r="AY154" s="5"/>
      <c r="BA154" s="34"/>
      <c r="BB154" s="35"/>
      <c r="BC154" s="36"/>
      <c r="BE154" s="34"/>
      <c r="BF154" s="35"/>
      <c r="BG154" s="36"/>
      <c r="BI154" s="34"/>
      <c r="BJ154" s="35"/>
      <c r="BK154" s="36"/>
      <c r="BM154" s="34"/>
      <c r="BN154" s="35"/>
      <c r="BO154" s="36"/>
      <c r="BQ154" s="34"/>
      <c r="BR154" s="35"/>
      <c r="BS154" s="36"/>
      <c r="BU154" s="34"/>
      <c r="BV154" s="35"/>
      <c r="BW154" s="36"/>
      <c r="BY154" s="34"/>
      <c r="BZ154" s="35"/>
      <c r="CA154" s="36"/>
      <c r="CC154" s="34"/>
      <c r="CD154" s="35"/>
      <c r="CE154" s="36"/>
      <c r="CG154" s="34"/>
      <c r="CH154" s="35"/>
      <c r="CI154" s="36"/>
      <c r="CK154" s="34"/>
      <c r="CL154" s="35"/>
      <c r="CM154" s="36"/>
      <c r="CO154" s="34"/>
      <c r="CP154" s="35"/>
      <c r="CQ154" s="36"/>
      <c r="CS154" s="34"/>
      <c r="CT154" s="35"/>
      <c r="CU154" s="36"/>
    </row>
    <row r="155" spans="1:99">
      <c r="A155" s="1803" t="s">
        <v>584</v>
      </c>
      <c r="B155" s="1803" t="s">
        <v>2254</v>
      </c>
      <c r="R155" s="506"/>
      <c r="S155" s="506"/>
      <c r="T155" s="507">
        <f t="shared" ca="1" si="44"/>
        <v>0</v>
      </c>
      <c r="U155" s="507">
        <f t="shared" ca="1" si="45"/>
        <v>0</v>
      </c>
      <c r="V155" s="507">
        <f t="shared" ca="1" si="46"/>
        <v>0</v>
      </c>
      <c r="W155" s="507">
        <f t="shared" ca="1" si="47"/>
        <v>0</v>
      </c>
      <c r="X155" s="507">
        <f t="shared" ca="1" si="48"/>
        <v>0</v>
      </c>
      <c r="Y155" s="507">
        <f t="shared" ca="1" si="49"/>
        <v>0</v>
      </c>
      <c r="Z155" s="507">
        <f t="shared" ca="1" si="50"/>
        <v>0</v>
      </c>
      <c r="AA155" s="507">
        <f t="shared" ca="1" si="51"/>
        <v>0</v>
      </c>
      <c r="AB155" s="507">
        <f t="shared" ca="1" si="52"/>
        <v>0</v>
      </c>
      <c r="AC155" s="507">
        <f t="shared" ca="1" si="53"/>
        <v>0</v>
      </c>
      <c r="AD155" s="507">
        <f t="shared" ca="1" si="54"/>
        <v>0</v>
      </c>
      <c r="AE155" s="507">
        <f t="shared" ca="1" si="55"/>
        <v>0</v>
      </c>
      <c r="AF155" s="11">
        <f t="shared" ca="1" si="43"/>
        <v>0</v>
      </c>
      <c r="AI155" s="4">
        <v>317</v>
      </c>
      <c r="AJ155" s="5" t="s">
        <v>431</v>
      </c>
      <c r="AK155" s="5" t="s">
        <v>429</v>
      </c>
      <c r="AL155" s="5" t="s">
        <v>432</v>
      </c>
      <c r="AM155" s="5" t="s">
        <v>0</v>
      </c>
      <c r="AN155" s="5" t="s">
        <v>18</v>
      </c>
      <c r="AO155" s="5" t="s">
        <v>12</v>
      </c>
      <c r="AP155" s="5" t="s">
        <v>17</v>
      </c>
      <c r="AQ155" s="5" t="s">
        <v>284</v>
      </c>
      <c r="AR155" s="5" t="s">
        <v>18</v>
      </c>
      <c r="AS155" s="6"/>
      <c r="AU155" s="5"/>
      <c r="AV155" s="5"/>
      <c r="AW155" s="5"/>
      <c r="AX155" s="5"/>
      <c r="AY155" s="5"/>
      <c r="BA155" s="34"/>
      <c r="BB155" s="35"/>
      <c r="BC155" s="36"/>
      <c r="BE155" s="34"/>
      <c r="BF155" s="35"/>
      <c r="BG155" s="36"/>
      <c r="BI155" s="34"/>
      <c r="BJ155" s="35"/>
      <c r="BK155" s="36"/>
      <c r="BM155" s="34"/>
      <c r="BN155" s="35"/>
      <c r="BO155" s="36"/>
      <c r="BQ155" s="34"/>
      <c r="BR155" s="35"/>
      <c r="BS155" s="36"/>
      <c r="BU155" s="34"/>
      <c r="BV155" s="35"/>
      <c r="BW155" s="36"/>
      <c r="BY155" s="34"/>
      <c r="BZ155" s="35"/>
      <c r="CA155" s="36"/>
      <c r="CC155" s="34"/>
      <c r="CD155" s="35"/>
      <c r="CE155" s="36"/>
      <c r="CG155" s="34"/>
      <c r="CH155" s="35"/>
      <c r="CI155" s="36"/>
      <c r="CK155" s="34"/>
      <c r="CL155" s="35"/>
      <c r="CM155" s="36"/>
      <c r="CO155" s="34"/>
      <c r="CP155" s="35"/>
      <c r="CQ155" s="36"/>
      <c r="CS155" s="34"/>
      <c r="CT155" s="35"/>
      <c r="CU155" s="36"/>
    </row>
    <row r="156" spans="1:99">
      <c r="A156" s="1803" t="s">
        <v>3802</v>
      </c>
      <c r="B156" s="1803" t="s">
        <v>4116</v>
      </c>
      <c r="R156" s="506"/>
      <c r="S156" s="506"/>
      <c r="T156" s="507">
        <f t="shared" ca="1" si="44"/>
        <v>0</v>
      </c>
      <c r="U156" s="507">
        <f t="shared" ca="1" si="45"/>
        <v>0</v>
      </c>
      <c r="V156" s="507">
        <f t="shared" ca="1" si="46"/>
        <v>0</v>
      </c>
      <c r="W156" s="507">
        <f t="shared" ca="1" si="47"/>
        <v>0</v>
      </c>
      <c r="X156" s="507">
        <f t="shared" ca="1" si="48"/>
        <v>0</v>
      </c>
      <c r="Y156" s="507">
        <f t="shared" ca="1" si="49"/>
        <v>0</v>
      </c>
      <c r="Z156" s="507">
        <f t="shared" ca="1" si="50"/>
        <v>0</v>
      </c>
      <c r="AA156" s="507">
        <f t="shared" ca="1" si="51"/>
        <v>0</v>
      </c>
      <c r="AB156" s="507">
        <f t="shared" ca="1" si="52"/>
        <v>0</v>
      </c>
      <c r="AC156" s="507">
        <f t="shared" ca="1" si="53"/>
        <v>0</v>
      </c>
      <c r="AD156" s="507">
        <f t="shared" ca="1" si="54"/>
        <v>0</v>
      </c>
      <c r="AE156" s="507">
        <f t="shared" ca="1" si="55"/>
        <v>0</v>
      </c>
      <c r="AF156" s="11">
        <f t="shared" ca="1" si="43"/>
        <v>0</v>
      </c>
      <c r="AI156" s="4">
        <v>319</v>
      </c>
      <c r="AJ156" s="5" t="s">
        <v>435</v>
      </c>
      <c r="AK156" s="5" t="s">
        <v>433</v>
      </c>
      <c r="AL156" s="5" t="s">
        <v>436</v>
      </c>
      <c r="AM156" s="5" t="s">
        <v>0</v>
      </c>
      <c r="AN156" s="5" t="s">
        <v>18</v>
      </c>
      <c r="AO156" s="5" t="s">
        <v>12</v>
      </c>
      <c r="AP156" s="5" t="s">
        <v>17</v>
      </c>
      <c r="AQ156" s="5" t="s">
        <v>284</v>
      </c>
      <c r="AR156" s="5" t="s">
        <v>18</v>
      </c>
      <c r="AS156" s="6"/>
      <c r="AU156" s="5"/>
      <c r="AV156" s="5"/>
      <c r="AW156" s="5"/>
      <c r="AX156" s="5"/>
      <c r="AY156" s="5"/>
      <c r="BA156" s="34"/>
      <c r="BB156" s="35"/>
      <c r="BC156" s="36"/>
      <c r="BE156" s="34"/>
      <c r="BF156" s="35"/>
      <c r="BG156" s="36"/>
      <c r="BI156" s="34"/>
      <c r="BJ156" s="35"/>
      <c r="BK156" s="36"/>
      <c r="BM156" s="34"/>
      <c r="BN156" s="35"/>
      <c r="BO156" s="36"/>
      <c r="BQ156" s="34"/>
      <c r="BR156" s="35"/>
      <c r="BS156" s="36"/>
      <c r="BU156" s="34"/>
      <c r="BV156" s="35"/>
      <c r="BW156" s="36"/>
      <c r="BY156" s="34"/>
      <c r="BZ156" s="35"/>
      <c r="CA156" s="36"/>
      <c r="CC156" s="34"/>
      <c r="CD156" s="35"/>
      <c r="CE156" s="36"/>
      <c r="CG156" s="34"/>
      <c r="CH156" s="35"/>
      <c r="CI156" s="36"/>
      <c r="CK156" s="34"/>
      <c r="CL156" s="35"/>
      <c r="CM156" s="36"/>
      <c r="CO156" s="34"/>
      <c r="CP156" s="35"/>
      <c r="CQ156" s="36"/>
      <c r="CS156" s="34"/>
      <c r="CT156" s="35"/>
      <c r="CU156" s="36"/>
    </row>
    <row r="157" spans="1:99">
      <c r="A157" s="1803" t="s">
        <v>604</v>
      </c>
      <c r="B157" s="1803" t="s">
        <v>4117</v>
      </c>
      <c r="R157" s="506"/>
      <c r="S157" s="506"/>
      <c r="T157" s="507">
        <f t="shared" ca="1" si="44"/>
        <v>0</v>
      </c>
      <c r="U157" s="507">
        <f t="shared" ca="1" si="45"/>
        <v>0</v>
      </c>
      <c r="V157" s="507">
        <f t="shared" ca="1" si="46"/>
        <v>0</v>
      </c>
      <c r="W157" s="507">
        <f t="shared" ca="1" si="47"/>
        <v>0</v>
      </c>
      <c r="X157" s="507">
        <f t="shared" ca="1" si="48"/>
        <v>0</v>
      </c>
      <c r="Y157" s="507">
        <f t="shared" ca="1" si="49"/>
        <v>0</v>
      </c>
      <c r="Z157" s="507">
        <f t="shared" ca="1" si="50"/>
        <v>0</v>
      </c>
      <c r="AA157" s="507">
        <f t="shared" ca="1" si="51"/>
        <v>0</v>
      </c>
      <c r="AB157" s="507">
        <f t="shared" ca="1" si="52"/>
        <v>0</v>
      </c>
      <c r="AC157" s="507">
        <f t="shared" ca="1" si="53"/>
        <v>0</v>
      </c>
      <c r="AD157" s="507">
        <f t="shared" ca="1" si="54"/>
        <v>0</v>
      </c>
      <c r="AE157" s="507">
        <f t="shared" ca="1" si="55"/>
        <v>0</v>
      </c>
      <c r="AF157" s="11">
        <f t="shared" ca="1" si="43"/>
        <v>0</v>
      </c>
      <c r="AI157" s="4">
        <v>321</v>
      </c>
      <c r="AJ157" s="5" t="s">
        <v>437</v>
      </c>
      <c r="AK157" s="5" t="s">
        <v>433</v>
      </c>
      <c r="AL157" s="5" t="s">
        <v>438</v>
      </c>
      <c r="AM157" s="5" t="s">
        <v>0</v>
      </c>
      <c r="AN157" s="5" t="s">
        <v>18</v>
      </c>
      <c r="AO157" s="5" t="s">
        <v>12</v>
      </c>
      <c r="AP157" s="5" t="s">
        <v>17</v>
      </c>
      <c r="AQ157" s="5" t="s">
        <v>284</v>
      </c>
      <c r="AR157" s="5" t="s">
        <v>18</v>
      </c>
      <c r="AS157" s="6"/>
      <c r="AU157" s="5"/>
      <c r="AV157" s="5"/>
      <c r="AW157" s="5"/>
      <c r="AX157" s="5"/>
      <c r="AY157" s="5"/>
      <c r="BA157" s="34"/>
      <c r="BB157" s="35"/>
      <c r="BC157" s="36"/>
      <c r="BE157" s="34"/>
      <c r="BF157" s="35"/>
      <c r="BG157" s="36"/>
      <c r="BI157" s="34"/>
      <c r="BJ157" s="35"/>
      <c r="BK157" s="36"/>
      <c r="BM157" s="34"/>
      <c r="BN157" s="35"/>
      <c r="BO157" s="36"/>
      <c r="BQ157" s="34"/>
      <c r="BR157" s="35"/>
      <c r="BS157" s="36"/>
      <c r="BU157" s="34"/>
      <c r="BV157" s="35"/>
      <c r="BW157" s="36"/>
      <c r="BY157" s="34"/>
      <c r="BZ157" s="35"/>
      <c r="CA157" s="36"/>
      <c r="CC157" s="34"/>
      <c r="CD157" s="35"/>
      <c r="CE157" s="36"/>
      <c r="CG157" s="34"/>
      <c r="CH157" s="35"/>
      <c r="CI157" s="36"/>
      <c r="CK157" s="34"/>
      <c r="CL157" s="35"/>
      <c r="CM157" s="36"/>
      <c r="CO157" s="34"/>
      <c r="CP157" s="35"/>
      <c r="CQ157" s="36"/>
      <c r="CS157" s="34"/>
      <c r="CT157" s="35"/>
      <c r="CU157" s="36"/>
    </row>
    <row r="158" spans="1:99">
      <c r="A158" s="1803" t="s">
        <v>610</v>
      </c>
      <c r="B158" s="1803" t="s">
        <v>4118</v>
      </c>
      <c r="R158" s="506"/>
      <c r="S158" s="506"/>
      <c r="T158" s="507">
        <f t="shared" ca="1" si="44"/>
        <v>0</v>
      </c>
      <c r="U158" s="507">
        <f t="shared" ca="1" si="45"/>
        <v>0</v>
      </c>
      <c r="V158" s="507">
        <f t="shared" ca="1" si="46"/>
        <v>0</v>
      </c>
      <c r="W158" s="507">
        <f t="shared" ca="1" si="47"/>
        <v>0</v>
      </c>
      <c r="X158" s="507">
        <f t="shared" ca="1" si="48"/>
        <v>0</v>
      </c>
      <c r="Y158" s="507">
        <f t="shared" ca="1" si="49"/>
        <v>0</v>
      </c>
      <c r="Z158" s="507">
        <f t="shared" ca="1" si="50"/>
        <v>0</v>
      </c>
      <c r="AA158" s="507">
        <f t="shared" ca="1" si="51"/>
        <v>0</v>
      </c>
      <c r="AB158" s="507">
        <f t="shared" ca="1" si="52"/>
        <v>0</v>
      </c>
      <c r="AC158" s="507">
        <f t="shared" ca="1" si="53"/>
        <v>0</v>
      </c>
      <c r="AD158" s="507">
        <f t="shared" ca="1" si="54"/>
        <v>0</v>
      </c>
      <c r="AE158" s="507">
        <f t="shared" ca="1" si="55"/>
        <v>0</v>
      </c>
      <c r="AF158" s="11">
        <f t="shared" ca="1" si="43"/>
        <v>0</v>
      </c>
      <c r="AI158" s="4">
        <v>323</v>
      </c>
      <c r="AJ158" s="5" t="s">
        <v>443</v>
      </c>
      <c r="AK158" s="5" t="s">
        <v>441</v>
      </c>
      <c r="AL158" s="5" t="s">
        <v>444</v>
      </c>
      <c r="AM158" s="5" t="s">
        <v>0</v>
      </c>
      <c r="AN158" s="5" t="s">
        <v>18</v>
      </c>
      <c r="AO158" s="5" t="s">
        <v>12</v>
      </c>
      <c r="AP158" s="5" t="s">
        <v>17</v>
      </c>
      <c r="AQ158" s="5" t="s">
        <v>284</v>
      </c>
      <c r="AR158" s="5" t="s">
        <v>18</v>
      </c>
      <c r="AS158" s="6"/>
      <c r="AU158" s="5"/>
      <c r="AV158" s="5"/>
      <c r="AW158" s="5"/>
      <c r="AX158" s="5"/>
      <c r="AY158" s="5"/>
      <c r="BA158" s="34"/>
      <c r="BB158" s="35"/>
      <c r="BC158" s="36"/>
      <c r="BE158" s="34"/>
      <c r="BF158" s="35"/>
      <c r="BG158" s="36"/>
      <c r="BI158" s="34"/>
      <c r="BJ158" s="35"/>
      <c r="BK158" s="36"/>
      <c r="BM158" s="34"/>
      <c r="BN158" s="35"/>
      <c r="BO158" s="36"/>
      <c r="BQ158" s="34"/>
      <c r="BR158" s="35"/>
      <c r="BS158" s="36"/>
      <c r="BU158" s="34"/>
      <c r="BV158" s="35"/>
      <c r="BW158" s="36"/>
      <c r="BY158" s="34"/>
      <c r="BZ158" s="35"/>
      <c r="CA158" s="36"/>
      <c r="CC158" s="34"/>
      <c r="CD158" s="35"/>
      <c r="CE158" s="36"/>
      <c r="CG158" s="34"/>
      <c r="CH158" s="35"/>
      <c r="CI158" s="36"/>
      <c r="CK158" s="34"/>
      <c r="CL158" s="35"/>
      <c r="CM158" s="36"/>
      <c r="CO158" s="34"/>
      <c r="CP158" s="35"/>
      <c r="CQ158" s="36"/>
      <c r="CS158" s="34"/>
      <c r="CT158" s="35"/>
      <c r="CU158" s="36"/>
    </row>
    <row r="159" spans="1:99">
      <c r="A159" s="1803" t="s">
        <v>631</v>
      </c>
      <c r="B159" s="1803" t="s">
        <v>2261</v>
      </c>
      <c r="R159" s="506"/>
      <c r="S159" s="506"/>
      <c r="T159" s="507">
        <f t="shared" ca="1" si="44"/>
        <v>0</v>
      </c>
      <c r="U159" s="507">
        <f t="shared" ca="1" si="45"/>
        <v>0</v>
      </c>
      <c r="V159" s="507">
        <f t="shared" ca="1" si="46"/>
        <v>0</v>
      </c>
      <c r="W159" s="507">
        <f t="shared" ca="1" si="47"/>
        <v>0</v>
      </c>
      <c r="X159" s="507">
        <f t="shared" ca="1" si="48"/>
        <v>0</v>
      </c>
      <c r="Y159" s="507">
        <f t="shared" ca="1" si="49"/>
        <v>0</v>
      </c>
      <c r="Z159" s="507">
        <f t="shared" ca="1" si="50"/>
        <v>0</v>
      </c>
      <c r="AA159" s="507">
        <f t="shared" ca="1" si="51"/>
        <v>0</v>
      </c>
      <c r="AB159" s="507">
        <f t="shared" ca="1" si="52"/>
        <v>0</v>
      </c>
      <c r="AC159" s="507">
        <f t="shared" ca="1" si="53"/>
        <v>0</v>
      </c>
      <c r="AD159" s="507">
        <f t="shared" ca="1" si="54"/>
        <v>0</v>
      </c>
      <c r="AE159" s="507">
        <f t="shared" ca="1" si="55"/>
        <v>0</v>
      </c>
      <c r="AF159" s="11">
        <f t="shared" ca="1" si="43"/>
        <v>0</v>
      </c>
      <c r="AI159" s="4">
        <v>325</v>
      </c>
      <c r="AJ159" s="5" t="s">
        <v>445</v>
      </c>
      <c r="AK159" s="5" t="s">
        <v>441</v>
      </c>
      <c r="AL159" s="5" t="s">
        <v>446</v>
      </c>
      <c r="AM159" s="5" t="s">
        <v>447</v>
      </c>
      <c r="AN159" s="5" t="s">
        <v>18</v>
      </c>
      <c r="AO159" s="5" t="s">
        <v>12</v>
      </c>
      <c r="AP159" s="5" t="s">
        <v>17</v>
      </c>
      <c r="AQ159" s="5" t="s">
        <v>284</v>
      </c>
      <c r="AR159" s="5" t="s">
        <v>18</v>
      </c>
      <c r="AS159" s="6"/>
      <c r="AU159" s="5"/>
      <c r="AV159" s="5"/>
      <c r="AW159" s="5"/>
      <c r="AX159" s="5"/>
      <c r="AY159" s="5"/>
      <c r="BA159" s="34"/>
      <c r="BB159" s="35"/>
      <c r="BC159" s="36"/>
      <c r="BE159" s="34"/>
      <c r="BF159" s="35"/>
      <c r="BG159" s="36"/>
      <c r="BI159" s="34"/>
      <c r="BJ159" s="35"/>
      <c r="BK159" s="36"/>
      <c r="BM159" s="34"/>
      <c r="BN159" s="35"/>
      <c r="BO159" s="36"/>
      <c r="BQ159" s="34"/>
      <c r="BR159" s="35"/>
      <c r="BS159" s="36"/>
      <c r="BU159" s="34"/>
      <c r="BV159" s="35"/>
      <c r="BW159" s="36"/>
      <c r="BY159" s="34"/>
      <c r="BZ159" s="35"/>
      <c r="CA159" s="36"/>
      <c r="CC159" s="34"/>
      <c r="CD159" s="35"/>
      <c r="CE159" s="36"/>
      <c r="CG159" s="34"/>
      <c r="CH159" s="35"/>
      <c r="CI159" s="36"/>
      <c r="CK159" s="34"/>
      <c r="CL159" s="35"/>
      <c r="CM159" s="36"/>
      <c r="CO159" s="34"/>
      <c r="CP159" s="35"/>
      <c r="CQ159" s="36"/>
      <c r="CS159" s="34"/>
      <c r="CT159" s="35"/>
      <c r="CU159" s="36"/>
    </row>
    <row r="160" spans="1:99">
      <c r="A160" s="1803" t="s">
        <v>634</v>
      </c>
      <c r="B160" s="1803" t="s">
        <v>2262</v>
      </c>
      <c r="R160" s="506"/>
      <c r="S160" s="506"/>
      <c r="T160" s="507">
        <f t="shared" ca="1" si="44"/>
        <v>0</v>
      </c>
      <c r="U160" s="507">
        <f t="shared" ca="1" si="45"/>
        <v>0</v>
      </c>
      <c r="V160" s="507">
        <f t="shared" ca="1" si="46"/>
        <v>0</v>
      </c>
      <c r="W160" s="507">
        <f t="shared" ca="1" si="47"/>
        <v>0</v>
      </c>
      <c r="X160" s="507">
        <f t="shared" ca="1" si="48"/>
        <v>0</v>
      </c>
      <c r="Y160" s="507">
        <f t="shared" ca="1" si="49"/>
        <v>0</v>
      </c>
      <c r="Z160" s="507">
        <f t="shared" ca="1" si="50"/>
        <v>0</v>
      </c>
      <c r="AA160" s="507">
        <f t="shared" ca="1" si="51"/>
        <v>0</v>
      </c>
      <c r="AB160" s="507">
        <f t="shared" ca="1" si="52"/>
        <v>0</v>
      </c>
      <c r="AC160" s="507">
        <f t="shared" ca="1" si="53"/>
        <v>0</v>
      </c>
      <c r="AD160" s="507">
        <f t="shared" ca="1" si="54"/>
        <v>0</v>
      </c>
      <c r="AE160" s="507">
        <f t="shared" ca="1" si="55"/>
        <v>0</v>
      </c>
      <c r="AF160" s="11">
        <f t="shared" ca="1" si="43"/>
        <v>0</v>
      </c>
      <c r="AI160" s="4">
        <v>327</v>
      </c>
      <c r="AJ160" s="5" t="s">
        <v>448</v>
      </c>
      <c r="AK160" s="5" t="s">
        <v>441</v>
      </c>
      <c r="AL160" s="5" t="s">
        <v>449</v>
      </c>
      <c r="AM160" s="5" t="s">
        <v>450</v>
      </c>
      <c r="AN160" s="5" t="s">
        <v>18</v>
      </c>
      <c r="AO160" s="5" t="s">
        <v>12</v>
      </c>
      <c r="AP160" s="5" t="s">
        <v>17</v>
      </c>
      <c r="AQ160" s="5" t="s">
        <v>284</v>
      </c>
      <c r="AR160" s="5" t="s">
        <v>18</v>
      </c>
      <c r="AS160" s="6"/>
      <c r="AU160" s="5"/>
      <c r="AV160" s="5"/>
      <c r="AW160" s="5"/>
      <c r="AX160" s="5"/>
      <c r="AY160" s="5"/>
      <c r="BA160" s="34"/>
      <c r="BB160" s="35"/>
      <c r="BC160" s="36"/>
      <c r="BE160" s="34"/>
      <c r="BF160" s="35"/>
      <c r="BG160" s="36"/>
      <c r="BI160" s="34"/>
      <c r="BJ160" s="35"/>
      <c r="BK160" s="36"/>
      <c r="BM160" s="34"/>
      <c r="BN160" s="35"/>
      <c r="BO160" s="36"/>
      <c r="BQ160" s="34"/>
      <c r="BR160" s="35"/>
      <c r="BS160" s="36"/>
      <c r="BU160" s="34"/>
      <c r="BV160" s="35"/>
      <c r="BW160" s="36"/>
      <c r="BY160" s="34"/>
      <c r="BZ160" s="35"/>
      <c r="CA160" s="36"/>
      <c r="CC160" s="34"/>
      <c r="CD160" s="35"/>
      <c r="CE160" s="36"/>
      <c r="CG160" s="34"/>
      <c r="CH160" s="35"/>
      <c r="CI160" s="36"/>
      <c r="CK160" s="34"/>
      <c r="CL160" s="35"/>
      <c r="CM160" s="36"/>
      <c r="CO160" s="34"/>
      <c r="CP160" s="35"/>
      <c r="CQ160" s="36"/>
      <c r="CS160" s="34"/>
      <c r="CT160" s="35"/>
      <c r="CU160" s="36"/>
    </row>
    <row r="161" spans="1:99">
      <c r="A161" s="1803" t="s">
        <v>637</v>
      </c>
      <c r="B161" s="1803" t="s">
        <v>2263</v>
      </c>
      <c r="R161" s="506"/>
      <c r="S161" s="506"/>
      <c r="T161" s="507">
        <f t="shared" ca="1" si="44"/>
        <v>0</v>
      </c>
      <c r="U161" s="507">
        <f t="shared" ca="1" si="45"/>
        <v>0</v>
      </c>
      <c r="V161" s="507">
        <f t="shared" ca="1" si="46"/>
        <v>0</v>
      </c>
      <c r="W161" s="507">
        <f t="shared" ca="1" si="47"/>
        <v>0</v>
      </c>
      <c r="X161" s="507">
        <f t="shared" ca="1" si="48"/>
        <v>0</v>
      </c>
      <c r="Y161" s="507">
        <f t="shared" ca="1" si="49"/>
        <v>0</v>
      </c>
      <c r="Z161" s="507">
        <f t="shared" ca="1" si="50"/>
        <v>0</v>
      </c>
      <c r="AA161" s="507">
        <f t="shared" ca="1" si="51"/>
        <v>0</v>
      </c>
      <c r="AB161" s="507">
        <f t="shared" ca="1" si="52"/>
        <v>0</v>
      </c>
      <c r="AC161" s="507">
        <f t="shared" ca="1" si="53"/>
        <v>0</v>
      </c>
      <c r="AD161" s="507">
        <f t="shared" ca="1" si="54"/>
        <v>0</v>
      </c>
      <c r="AE161" s="507">
        <f t="shared" ca="1" si="55"/>
        <v>0</v>
      </c>
      <c r="AF161" s="11">
        <f t="shared" ca="1" si="43"/>
        <v>0</v>
      </c>
      <c r="AI161" s="4">
        <v>329</v>
      </c>
      <c r="AJ161" s="5" t="s">
        <v>451</v>
      </c>
      <c r="AK161" s="5" t="s">
        <v>441</v>
      </c>
      <c r="AL161" s="5" t="s">
        <v>452</v>
      </c>
      <c r="AM161" s="5" t="s">
        <v>453</v>
      </c>
      <c r="AN161" s="5" t="s">
        <v>18</v>
      </c>
      <c r="AO161" s="5" t="s">
        <v>12</v>
      </c>
      <c r="AP161" s="5" t="s">
        <v>17</v>
      </c>
      <c r="AQ161" s="5" t="s">
        <v>284</v>
      </c>
      <c r="AR161" s="5" t="s">
        <v>18</v>
      </c>
      <c r="AS161" s="6"/>
      <c r="AU161" s="5"/>
      <c r="AV161" s="5"/>
      <c r="AW161" s="5"/>
      <c r="AX161" s="5"/>
      <c r="AY161" s="5"/>
      <c r="BA161" s="34"/>
      <c r="BB161" s="35"/>
      <c r="BC161" s="36"/>
      <c r="BE161" s="34"/>
      <c r="BF161" s="35"/>
      <c r="BG161" s="36"/>
      <c r="BI161" s="34"/>
      <c r="BJ161" s="35"/>
      <c r="BK161" s="36"/>
      <c r="BM161" s="34"/>
      <c r="BN161" s="35"/>
      <c r="BO161" s="36"/>
      <c r="BQ161" s="34"/>
      <c r="BR161" s="35"/>
      <c r="BS161" s="36"/>
      <c r="BU161" s="34"/>
      <c r="BV161" s="35"/>
      <c r="BW161" s="36"/>
      <c r="BY161" s="34"/>
      <c r="BZ161" s="35"/>
      <c r="CA161" s="36"/>
      <c r="CC161" s="34"/>
      <c r="CD161" s="35"/>
      <c r="CE161" s="36"/>
      <c r="CG161" s="34"/>
      <c r="CH161" s="35"/>
      <c r="CI161" s="36"/>
      <c r="CK161" s="34"/>
      <c r="CL161" s="35"/>
      <c r="CM161" s="36"/>
      <c r="CO161" s="34"/>
      <c r="CP161" s="35"/>
      <c r="CQ161" s="36"/>
      <c r="CS161" s="34"/>
      <c r="CT161" s="35"/>
      <c r="CU161" s="36"/>
    </row>
    <row r="162" spans="1:99">
      <c r="A162" s="1801">
        <v>2.2000000000000002</v>
      </c>
      <c r="B162" s="1802" t="s">
        <v>4119</v>
      </c>
      <c r="R162" s="506"/>
      <c r="S162" s="506"/>
      <c r="T162" s="507">
        <f t="shared" ca="1" si="44"/>
        <v>0</v>
      </c>
      <c r="U162" s="507">
        <f t="shared" ca="1" si="45"/>
        <v>0</v>
      </c>
      <c r="V162" s="507">
        <f t="shared" ca="1" si="46"/>
        <v>0</v>
      </c>
      <c r="W162" s="507">
        <f t="shared" ca="1" si="47"/>
        <v>0</v>
      </c>
      <c r="X162" s="507">
        <f t="shared" ca="1" si="48"/>
        <v>0</v>
      </c>
      <c r="Y162" s="507">
        <f t="shared" ca="1" si="49"/>
        <v>0</v>
      </c>
      <c r="Z162" s="507">
        <f t="shared" ca="1" si="50"/>
        <v>0</v>
      </c>
      <c r="AA162" s="507">
        <f t="shared" ca="1" si="51"/>
        <v>0</v>
      </c>
      <c r="AB162" s="507">
        <f t="shared" ca="1" si="52"/>
        <v>0</v>
      </c>
      <c r="AC162" s="507">
        <f t="shared" ca="1" si="53"/>
        <v>0</v>
      </c>
      <c r="AD162" s="507">
        <f t="shared" ca="1" si="54"/>
        <v>0</v>
      </c>
      <c r="AE162" s="507">
        <f t="shared" ca="1" si="55"/>
        <v>0</v>
      </c>
      <c r="AF162" s="11">
        <f t="shared" ca="1" si="43"/>
        <v>0</v>
      </c>
      <c r="AI162" s="4">
        <v>331</v>
      </c>
      <c r="AJ162" s="5" t="s">
        <v>454</v>
      </c>
      <c r="AK162" s="5" t="s">
        <v>441</v>
      </c>
      <c r="AL162" s="5" t="s">
        <v>455</v>
      </c>
      <c r="AM162" s="5" t="s">
        <v>456</v>
      </c>
      <c r="AN162" s="5" t="s">
        <v>18</v>
      </c>
      <c r="AO162" s="5" t="s">
        <v>12</v>
      </c>
      <c r="AP162" s="5" t="s">
        <v>17</v>
      </c>
      <c r="AQ162" s="5" t="s">
        <v>284</v>
      </c>
      <c r="AR162" s="5" t="s">
        <v>18</v>
      </c>
      <c r="AS162" s="6"/>
      <c r="AU162" s="5"/>
      <c r="AV162" s="5"/>
      <c r="AW162" s="5"/>
      <c r="AX162" s="5"/>
      <c r="AY162" s="5"/>
      <c r="BA162" s="34"/>
      <c r="BB162" s="35"/>
      <c r="BC162" s="36"/>
      <c r="BE162" s="34"/>
      <c r="BF162" s="35"/>
      <c r="BG162" s="36"/>
      <c r="BI162" s="34"/>
      <c r="BJ162" s="35"/>
      <c r="BK162" s="36"/>
      <c r="BM162" s="34"/>
      <c r="BN162" s="35"/>
      <c r="BO162" s="36"/>
      <c r="BQ162" s="34"/>
      <c r="BR162" s="35"/>
      <c r="BS162" s="36"/>
      <c r="BU162" s="34"/>
      <c r="BV162" s="35"/>
      <c r="BW162" s="36"/>
      <c r="BY162" s="34"/>
      <c r="BZ162" s="35"/>
      <c r="CA162" s="36"/>
      <c r="CC162" s="34"/>
      <c r="CD162" s="35"/>
      <c r="CE162" s="36"/>
      <c r="CG162" s="34"/>
      <c r="CH162" s="35"/>
      <c r="CI162" s="36"/>
      <c r="CK162" s="34"/>
      <c r="CL162" s="35"/>
      <c r="CM162" s="36"/>
      <c r="CO162" s="34"/>
      <c r="CP162" s="35"/>
      <c r="CQ162" s="36"/>
      <c r="CS162" s="34"/>
      <c r="CT162" s="35"/>
      <c r="CU162" s="36"/>
    </row>
    <row r="163" spans="1:99">
      <c r="A163" s="1803" t="s">
        <v>2264</v>
      </c>
      <c r="B163" s="1803" t="s">
        <v>4120</v>
      </c>
      <c r="R163" s="506"/>
      <c r="S163" s="506"/>
      <c r="T163" s="507">
        <f t="shared" ca="1" si="44"/>
        <v>0</v>
      </c>
      <c r="U163" s="507">
        <f t="shared" ca="1" si="45"/>
        <v>0</v>
      </c>
      <c r="V163" s="507">
        <f t="shared" ca="1" si="46"/>
        <v>0</v>
      </c>
      <c r="W163" s="507">
        <f t="shared" ca="1" si="47"/>
        <v>0</v>
      </c>
      <c r="X163" s="507">
        <f t="shared" ca="1" si="48"/>
        <v>0</v>
      </c>
      <c r="Y163" s="507">
        <f t="shared" ca="1" si="49"/>
        <v>0</v>
      </c>
      <c r="Z163" s="507">
        <f t="shared" ca="1" si="50"/>
        <v>0</v>
      </c>
      <c r="AA163" s="507">
        <f t="shared" ca="1" si="51"/>
        <v>0</v>
      </c>
      <c r="AB163" s="507">
        <f t="shared" ca="1" si="52"/>
        <v>0</v>
      </c>
      <c r="AC163" s="507">
        <f t="shared" ca="1" si="53"/>
        <v>0</v>
      </c>
      <c r="AD163" s="507">
        <f t="shared" ca="1" si="54"/>
        <v>0</v>
      </c>
      <c r="AE163" s="507">
        <f t="shared" ca="1" si="55"/>
        <v>0</v>
      </c>
      <c r="AF163" s="11">
        <f t="shared" ca="1" si="43"/>
        <v>0</v>
      </c>
      <c r="AI163" s="4">
        <v>333</v>
      </c>
      <c r="AJ163" s="5" t="s">
        <v>457</v>
      </c>
      <c r="AK163" s="5" t="s">
        <v>441</v>
      </c>
      <c r="AL163" s="5" t="s">
        <v>458</v>
      </c>
      <c r="AM163" s="5" t="s">
        <v>459</v>
      </c>
      <c r="AN163" s="5" t="s">
        <v>18</v>
      </c>
      <c r="AO163" s="5" t="s">
        <v>12</v>
      </c>
      <c r="AP163" s="5" t="s">
        <v>17</v>
      </c>
      <c r="AQ163" s="5" t="s">
        <v>284</v>
      </c>
      <c r="AR163" s="5" t="s">
        <v>18</v>
      </c>
      <c r="AS163" s="6"/>
      <c r="AU163" s="5"/>
      <c r="AV163" s="5"/>
      <c r="AW163" s="5"/>
      <c r="AX163" s="5"/>
      <c r="AY163" s="5"/>
      <c r="BA163" s="34"/>
      <c r="BB163" s="35"/>
      <c r="BC163" s="36"/>
      <c r="BE163" s="34"/>
      <c r="BF163" s="35"/>
      <c r="BG163" s="36"/>
      <c r="BI163" s="34"/>
      <c r="BJ163" s="35"/>
      <c r="BK163" s="36"/>
      <c r="BM163" s="34"/>
      <c r="BN163" s="35"/>
      <c r="BO163" s="36"/>
      <c r="BQ163" s="34"/>
      <c r="BR163" s="35"/>
      <c r="BS163" s="36"/>
      <c r="BU163" s="34"/>
      <c r="BV163" s="35"/>
      <c r="BW163" s="36"/>
      <c r="BY163" s="34"/>
      <c r="BZ163" s="35"/>
      <c r="CA163" s="36"/>
      <c r="CC163" s="34"/>
      <c r="CD163" s="35"/>
      <c r="CE163" s="36"/>
      <c r="CG163" s="34"/>
      <c r="CH163" s="35"/>
      <c r="CI163" s="36"/>
      <c r="CK163" s="34"/>
      <c r="CL163" s="35"/>
      <c r="CM163" s="36"/>
      <c r="CO163" s="34"/>
      <c r="CP163" s="35"/>
      <c r="CQ163" s="36"/>
      <c r="CS163" s="34"/>
      <c r="CT163" s="35"/>
      <c r="CU163" s="36"/>
    </row>
    <row r="164" spans="1:99">
      <c r="A164" s="1803" t="s">
        <v>658</v>
      </c>
      <c r="B164" s="1803" t="s">
        <v>4121</v>
      </c>
      <c r="R164" s="506"/>
      <c r="S164" s="506"/>
      <c r="T164" s="507">
        <f t="shared" ca="1" si="44"/>
        <v>0</v>
      </c>
      <c r="U164" s="507">
        <f t="shared" ca="1" si="45"/>
        <v>0</v>
      </c>
      <c r="V164" s="507">
        <f t="shared" ca="1" si="46"/>
        <v>0</v>
      </c>
      <c r="W164" s="507">
        <f t="shared" ca="1" si="47"/>
        <v>0</v>
      </c>
      <c r="X164" s="507">
        <f t="shared" ca="1" si="48"/>
        <v>0</v>
      </c>
      <c r="Y164" s="507">
        <f t="shared" ca="1" si="49"/>
        <v>0</v>
      </c>
      <c r="Z164" s="507">
        <f t="shared" ca="1" si="50"/>
        <v>0</v>
      </c>
      <c r="AA164" s="507">
        <f t="shared" ca="1" si="51"/>
        <v>0</v>
      </c>
      <c r="AB164" s="507">
        <f t="shared" ca="1" si="52"/>
        <v>0</v>
      </c>
      <c r="AC164" s="507">
        <f t="shared" ca="1" si="53"/>
        <v>0</v>
      </c>
      <c r="AD164" s="507">
        <f t="shared" ca="1" si="54"/>
        <v>0</v>
      </c>
      <c r="AE164" s="507">
        <f t="shared" ca="1" si="55"/>
        <v>0</v>
      </c>
      <c r="AF164" s="11">
        <f t="shared" ca="1" si="43"/>
        <v>0</v>
      </c>
      <c r="AI164" s="4">
        <v>335</v>
      </c>
      <c r="AJ164" s="5" t="s">
        <v>460</v>
      </c>
      <c r="AK164" s="5" t="s">
        <v>441</v>
      </c>
      <c r="AL164" s="5" t="s">
        <v>461</v>
      </c>
      <c r="AM164" s="5" t="s">
        <v>462</v>
      </c>
      <c r="AN164" s="5" t="s">
        <v>18</v>
      </c>
      <c r="AO164" s="5" t="s">
        <v>12</v>
      </c>
      <c r="AP164" s="5" t="s">
        <v>17</v>
      </c>
      <c r="AQ164" s="5" t="s">
        <v>284</v>
      </c>
      <c r="AR164" s="5" t="s">
        <v>18</v>
      </c>
      <c r="AS164" s="6"/>
      <c r="AU164" s="5"/>
      <c r="AV164" s="5"/>
      <c r="AW164" s="5"/>
      <c r="AX164" s="5"/>
      <c r="AY164" s="5"/>
      <c r="BA164" s="34"/>
      <c r="BB164" s="35"/>
      <c r="BC164" s="36"/>
      <c r="BE164" s="34"/>
      <c r="BF164" s="35"/>
      <c r="BG164" s="36"/>
      <c r="BI164" s="34"/>
      <c r="BJ164" s="35"/>
      <c r="BK164" s="36"/>
      <c r="BM164" s="34"/>
      <c r="BN164" s="35"/>
      <c r="BO164" s="36"/>
      <c r="BQ164" s="34"/>
      <c r="BR164" s="35"/>
      <c r="BS164" s="36"/>
      <c r="BU164" s="34"/>
      <c r="BV164" s="35"/>
      <c r="BW164" s="36"/>
      <c r="BY164" s="34"/>
      <c r="BZ164" s="35"/>
      <c r="CA164" s="36"/>
      <c r="CC164" s="34"/>
      <c r="CD164" s="35"/>
      <c r="CE164" s="36"/>
      <c r="CG164" s="34"/>
      <c r="CH164" s="35"/>
      <c r="CI164" s="36"/>
      <c r="CK164" s="34"/>
      <c r="CL164" s="35"/>
      <c r="CM164" s="36"/>
      <c r="CO164" s="34"/>
      <c r="CP164" s="35"/>
      <c r="CQ164" s="36"/>
      <c r="CS164" s="34"/>
      <c r="CT164" s="35"/>
      <c r="CU164" s="36"/>
    </row>
    <row r="165" spans="1:99">
      <c r="A165" s="1803" t="s">
        <v>2269</v>
      </c>
      <c r="B165" s="1803" t="s">
        <v>4122</v>
      </c>
      <c r="R165" s="506"/>
      <c r="S165" s="506"/>
      <c r="T165" s="507">
        <f t="shared" ca="1" si="44"/>
        <v>0</v>
      </c>
      <c r="U165" s="507">
        <f t="shared" ca="1" si="45"/>
        <v>0</v>
      </c>
      <c r="V165" s="507">
        <f t="shared" ca="1" si="46"/>
        <v>0</v>
      </c>
      <c r="W165" s="507">
        <f t="shared" ca="1" si="47"/>
        <v>0</v>
      </c>
      <c r="X165" s="507">
        <f t="shared" ca="1" si="48"/>
        <v>0</v>
      </c>
      <c r="Y165" s="507">
        <f t="shared" ca="1" si="49"/>
        <v>0</v>
      </c>
      <c r="Z165" s="507">
        <f t="shared" ca="1" si="50"/>
        <v>0</v>
      </c>
      <c r="AA165" s="507">
        <f t="shared" ca="1" si="51"/>
        <v>0</v>
      </c>
      <c r="AB165" s="507">
        <f t="shared" ca="1" si="52"/>
        <v>0</v>
      </c>
      <c r="AC165" s="507">
        <f t="shared" ca="1" si="53"/>
        <v>0</v>
      </c>
      <c r="AD165" s="507">
        <f t="shared" ca="1" si="54"/>
        <v>0</v>
      </c>
      <c r="AE165" s="507">
        <f t="shared" ca="1" si="55"/>
        <v>0</v>
      </c>
      <c r="AF165" s="11">
        <f t="shared" ca="1" si="43"/>
        <v>0</v>
      </c>
      <c r="AI165" s="4">
        <v>337</v>
      </c>
      <c r="AJ165" s="5" t="s">
        <v>465</v>
      </c>
      <c r="AK165" s="5" t="s">
        <v>463</v>
      </c>
      <c r="AL165" s="5" t="s">
        <v>466</v>
      </c>
      <c r="AM165" s="5" t="s">
        <v>467</v>
      </c>
      <c r="AN165" s="5" t="s">
        <v>18</v>
      </c>
      <c r="AO165" s="5" t="s">
        <v>12</v>
      </c>
      <c r="AP165" s="5" t="s">
        <v>17</v>
      </c>
      <c r="AQ165" s="5" t="s">
        <v>284</v>
      </c>
      <c r="AR165" s="5" t="s">
        <v>18</v>
      </c>
      <c r="AS165" s="6"/>
      <c r="AU165" s="5"/>
      <c r="AV165" s="5"/>
      <c r="AW165" s="5"/>
      <c r="AX165" s="5"/>
      <c r="AY165" s="5"/>
      <c r="BA165" s="34"/>
      <c r="BB165" s="35"/>
      <c r="BC165" s="36"/>
      <c r="BE165" s="34"/>
      <c r="BF165" s="35"/>
      <c r="BG165" s="36"/>
      <c r="BI165" s="34"/>
      <c r="BJ165" s="35"/>
      <c r="BK165" s="36"/>
      <c r="BM165" s="34"/>
      <c r="BN165" s="35"/>
      <c r="BO165" s="36"/>
      <c r="BQ165" s="34"/>
      <c r="BR165" s="35"/>
      <c r="BS165" s="36"/>
      <c r="BU165" s="34"/>
      <c r="BV165" s="35"/>
      <c r="BW165" s="36"/>
      <c r="BY165" s="34"/>
      <c r="BZ165" s="35"/>
      <c r="CA165" s="36"/>
      <c r="CC165" s="34"/>
      <c r="CD165" s="35"/>
      <c r="CE165" s="36"/>
      <c r="CG165" s="34"/>
      <c r="CH165" s="35"/>
      <c r="CI165" s="36"/>
      <c r="CK165" s="34"/>
      <c r="CL165" s="35"/>
      <c r="CM165" s="36"/>
      <c r="CO165" s="34"/>
      <c r="CP165" s="35"/>
      <c r="CQ165" s="36"/>
      <c r="CS165" s="34"/>
      <c r="CT165" s="35"/>
      <c r="CU165" s="36"/>
    </row>
    <row r="166" spans="1:99">
      <c r="A166" s="1803" t="s">
        <v>4123</v>
      </c>
      <c r="B166" s="1803" t="s">
        <v>4124</v>
      </c>
      <c r="R166" s="506"/>
      <c r="S166" s="506"/>
      <c r="T166" s="507">
        <f t="shared" ca="1" si="44"/>
        <v>0</v>
      </c>
      <c r="U166" s="507">
        <f t="shared" ca="1" si="45"/>
        <v>0</v>
      </c>
      <c r="V166" s="507">
        <f t="shared" ca="1" si="46"/>
        <v>0</v>
      </c>
      <c r="W166" s="507">
        <f t="shared" ca="1" si="47"/>
        <v>0</v>
      </c>
      <c r="X166" s="507">
        <f t="shared" ca="1" si="48"/>
        <v>0</v>
      </c>
      <c r="Y166" s="507">
        <f t="shared" ca="1" si="49"/>
        <v>0</v>
      </c>
      <c r="Z166" s="507">
        <f t="shared" ca="1" si="50"/>
        <v>0</v>
      </c>
      <c r="AA166" s="507">
        <f t="shared" ca="1" si="51"/>
        <v>0</v>
      </c>
      <c r="AB166" s="507">
        <f t="shared" ca="1" si="52"/>
        <v>0</v>
      </c>
      <c r="AC166" s="507">
        <f t="shared" ca="1" si="53"/>
        <v>0</v>
      </c>
      <c r="AD166" s="507">
        <f t="shared" ca="1" si="54"/>
        <v>0</v>
      </c>
      <c r="AE166" s="507">
        <f t="shared" ca="1" si="55"/>
        <v>0</v>
      </c>
      <c r="AF166" s="11">
        <f t="shared" ca="1" si="43"/>
        <v>0</v>
      </c>
      <c r="AI166" s="4">
        <v>339</v>
      </c>
      <c r="AJ166" s="5" t="s">
        <v>468</v>
      </c>
      <c r="AK166" s="5" t="s">
        <v>463</v>
      </c>
      <c r="AL166" s="5" t="s">
        <v>469</v>
      </c>
      <c r="AM166" s="5" t="s">
        <v>470</v>
      </c>
      <c r="AN166" s="5" t="s">
        <v>18</v>
      </c>
      <c r="AO166" s="5" t="s">
        <v>12</v>
      </c>
      <c r="AP166" s="5" t="s">
        <v>17</v>
      </c>
      <c r="AQ166" s="5" t="s">
        <v>284</v>
      </c>
      <c r="AR166" s="5" t="s">
        <v>18</v>
      </c>
      <c r="AS166" s="6"/>
      <c r="AU166" s="5"/>
      <c r="AV166" s="5"/>
      <c r="AW166" s="5"/>
      <c r="AX166" s="5"/>
      <c r="AY166" s="5"/>
      <c r="BA166" s="34"/>
      <c r="BB166" s="35"/>
      <c r="BC166" s="36"/>
      <c r="BE166" s="34"/>
      <c r="BF166" s="35"/>
      <c r="BG166" s="36"/>
      <c r="BI166" s="34"/>
      <c r="BJ166" s="35"/>
      <c r="BK166" s="36"/>
      <c r="BM166" s="34"/>
      <c r="BN166" s="35"/>
      <c r="BO166" s="36"/>
      <c r="BQ166" s="34"/>
      <c r="BR166" s="35"/>
      <c r="BS166" s="36"/>
      <c r="BU166" s="34"/>
      <c r="BV166" s="35"/>
      <c r="BW166" s="36"/>
      <c r="BY166" s="34"/>
      <c r="BZ166" s="35"/>
      <c r="CA166" s="36"/>
      <c r="CC166" s="34"/>
      <c r="CD166" s="35"/>
      <c r="CE166" s="36"/>
      <c r="CG166" s="34"/>
      <c r="CH166" s="35"/>
      <c r="CI166" s="36"/>
      <c r="CK166" s="34"/>
      <c r="CL166" s="35"/>
      <c r="CM166" s="36"/>
      <c r="CO166" s="34"/>
      <c r="CP166" s="35"/>
      <c r="CQ166" s="36"/>
      <c r="CS166" s="34"/>
      <c r="CT166" s="35"/>
      <c r="CU166" s="36"/>
    </row>
    <row r="167" spans="1:99">
      <c r="A167" s="1803" t="s">
        <v>664</v>
      </c>
      <c r="B167" s="1803" t="s">
        <v>2271</v>
      </c>
      <c r="R167" s="506"/>
      <c r="S167" s="506"/>
      <c r="T167" s="507">
        <f t="shared" ca="1" si="44"/>
        <v>0</v>
      </c>
      <c r="U167" s="507">
        <f t="shared" ca="1" si="45"/>
        <v>0</v>
      </c>
      <c r="V167" s="507">
        <f t="shared" ca="1" si="46"/>
        <v>0</v>
      </c>
      <c r="W167" s="507">
        <f t="shared" ca="1" si="47"/>
        <v>0</v>
      </c>
      <c r="X167" s="507">
        <f t="shared" ca="1" si="48"/>
        <v>0</v>
      </c>
      <c r="Y167" s="507">
        <f t="shared" ca="1" si="49"/>
        <v>0</v>
      </c>
      <c r="Z167" s="507">
        <f t="shared" ca="1" si="50"/>
        <v>0</v>
      </c>
      <c r="AA167" s="507">
        <f t="shared" ca="1" si="51"/>
        <v>0</v>
      </c>
      <c r="AB167" s="507">
        <f t="shared" ca="1" si="52"/>
        <v>0</v>
      </c>
      <c r="AC167" s="507">
        <f t="shared" ca="1" si="53"/>
        <v>0</v>
      </c>
      <c r="AD167" s="507">
        <f t="shared" ca="1" si="54"/>
        <v>0</v>
      </c>
      <c r="AE167" s="507">
        <f t="shared" ca="1" si="55"/>
        <v>0</v>
      </c>
      <c r="AF167" s="11">
        <f t="shared" ca="1" si="43"/>
        <v>0</v>
      </c>
      <c r="AI167" s="4">
        <v>341</v>
      </c>
      <c r="AJ167" s="5" t="s">
        <v>471</v>
      </c>
      <c r="AK167" s="5" t="s">
        <v>463</v>
      </c>
      <c r="AL167" s="5" t="s">
        <v>472</v>
      </c>
      <c r="AM167" s="5" t="s">
        <v>473</v>
      </c>
      <c r="AN167" s="5" t="s">
        <v>18</v>
      </c>
      <c r="AO167" s="5" t="s">
        <v>12</v>
      </c>
      <c r="AP167" s="5" t="s">
        <v>17</v>
      </c>
      <c r="AQ167" s="5" t="s">
        <v>284</v>
      </c>
      <c r="AR167" s="5" t="s">
        <v>18</v>
      </c>
      <c r="AS167" s="6"/>
      <c r="AU167" s="5"/>
      <c r="AV167" s="5"/>
      <c r="AW167" s="5"/>
      <c r="AX167" s="5"/>
      <c r="AY167" s="5"/>
      <c r="BA167" s="34"/>
      <c r="BB167" s="35"/>
      <c r="BC167" s="36"/>
      <c r="BE167" s="34"/>
      <c r="BF167" s="35"/>
      <c r="BG167" s="36"/>
      <c r="BI167" s="34"/>
      <c r="BJ167" s="35"/>
      <c r="BK167" s="36"/>
      <c r="BM167" s="34"/>
      <c r="BN167" s="35"/>
      <c r="BO167" s="36"/>
      <c r="BQ167" s="34"/>
      <c r="BR167" s="35"/>
      <c r="BS167" s="36"/>
      <c r="BU167" s="34"/>
      <c r="BV167" s="35"/>
      <c r="BW167" s="36"/>
      <c r="BY167" s="34"/>
      <c r="BZ167" s="35"/>
      <c r="CA167" s="36"/>
      <c r="CC167" s="34"/>
      <c r="CD167" s="35"/>
      <c r="CE167" s="36"/>
      <c r="CG167" s="34"/>
      <c r="CH167" s="35"/>
      <c r="CI167" s="36"/>
      <c r="CK167" s="34"/>
      <c r="CL167" s="35"/>
      <c r="CM167" s="36"/>
      <c r="CO167" s="34"/>
      <c r="CP167" s="35"/>
      <c r="CQ167" s="36"/>
      <c r="CS167" s="34"/>
      <c r="CT167" s="35"/>
      <c r="CU167" s="36"/>
    </row>
    <row r="168" spans="1:99">
      <c r="A168" s="1803" t="s">
        <v>4040</v>
      </c>
      <c r="B168" s="1803" t="s">
        <v>4125</v>
      </c>
      <c r="R168" s="506"/>
      <c r="S168" s="506"/>
      <c r="T168" s="507">
        <f t="shared" ca="1" si="44"/>
        <v>0</v>
      </c>
      <c r="U168" s="507">
        <f t="shared" ca="1" si="45"/>
        <v>0</v>
      </c>
      <c r="V168" s="507">
        <f t="shared" ca="1" si="46"/>
        <v>0</v>
      </c>
      <c r="W168" s="507">
        <f t="shared" ca="1" si="47"/>
        <v>0</v>
      </c>
      <c r="X168" s="507">
        <f t="shared" ca="1" si="48"/>
        <v>0</v>
      </c>
      <c r="Y168" s="507">
        <f t="shared" ca="1" si="49"/>
        <v>0</v>
      </c>
      <c r="Z168" s="507">
        <f t="shared" ca="1" si="50"/>
        <v>0</v>
      </c>
      <c r="AA168" s="507">
        <f t="shared" ca="1" si="51"/>
        <v>0</v>
      </c>
      <c r="AB168" s="507">
        <f t="shared" ca="1" si="52"/>
        <v>0</v>
      </c>
      <c r="AC168" s="507">
        <f t="shared" ca="1" si="53"/>
        <v>0</v>
      </c>
      <c r="AD168" s="507">
        <f t="shared" ca="1" si="54"/>
        <v>0</v>
      </c>
      <c r="AE168" s="507">
        <f t="shared" ca="1" si="55"/>
        <v>0</v>
      </c>
      <c r="AF168" s="11">
        <f t="shared" ca="1" si="43"/>
        <v>0</v>
      </c>
      <c r="AI168" s="4">
        <v>343</v>
      </c>
      <c r="AJ168" s="5" t="s">
        <v>476</v>
      </c>
      <c r="AK168" s="5" t="s">
        <v>474</v>
      </c>
      <c r="AL168" s="5" t="s">
        <v>477</v>
      </c>
      <c r="AM168" s="5" t="s">
        <v>0</v>
      </c>
      <c r="AN168" s="5" t="s">
        <v>18</v>
      </c>
      <c r="AO168" s="5" t="s">
        <v>12</v>
      </c>
      <c r="AP168" s="5" t="s">
        <v>17</v>
      </c>
      <c r="AQ168" s="5" t="s">
        <v>284</v>
      </c>
      <c r="AR168" s="5" t="s">
        <v>18</v>
      </c>
      <c r="AS168" s="6"/>
      <c r="AU168" s="5"/>
      <c r="AV168" s="5"/>
      <c r="AW168" s="5"/>
      <c r="AX168" s="5"/>
      <c r="AY168" s="5"/>
      <c r="BA168" s="34"/>
      <c r="BB168" s="35"/>
      <c r="BC168" s="36"/>
      <c r="BE168" s="34"/>
      <c r="BF168" s="35"/>
      <c r="BG168" s="36"/>
      <c r="BI168" s="34"/>
      <c r="BJ168" s="35"/>
      <c r="BK168" s="36"/>
      <c r="BM168" s="34"/>
      <c r="BN168" s="35"/>
      <c r="BO168" s="36"/>
      <c r="BQ168" s="34"/>
      <c r="BR168" s="35"/>
      <c r="BS168" s="36"/>
      <c r="BU168" s="34"/>
      <c r="BV168" s="35"/>
      <c r="BW168" s="36"/>
      <c r="BY168" s="34"/>
      <c r="BZ168" s="35"/>
      <c r="CA168" s="36"/>
      <c r="CC168" s="34"/>
      <c r="CD168" s="35"/>
      <c r="CE168" s="36"/>
      <c r="CG168" s="34"/>
      <c r="CH168" s="35"/>
      <c r="CI168" s="36"/>
      <c r="CK168" s="34"/>
      <c r="CL168" s="35"/>
      <c r="CM168" s="36"/>
      <c r="CO168" s="34"/>
      <c r="CP168" s="35"/>
      <c r="CQ168" s="36"/>
      <c r="CS168" s="34"/>
      <c r="CT168" s="35"/>
      <c r="CU168" s="36"/>
    </row>
    <row r="169" spans="1:99">
      <c r="A169" s="1803" t="s">
        <v>2272</v>
      </c>
      <c r="B169" s="1803" t="s">
        <v>4126</v>
      </c>
      <c r="R169" s="506"/>
      <c r="S169" s="506"/>
      <c r="T169" s="507">
        <f t="shared" ca="1" si="44"/>
        <v>0</v>
      </c>
      <c r="U169" s="507">
        <f t="shared" ca="1" si="45"/>
        <v>0</v>
      </c>
      <c r="V169" s="507">
        <f t="shared" ca="1" si="46"/>
        <v>0</v>
      </c>
      <c r="W169" s="507">
        <f t="shared" ca="1" si="47"/>
        <v>0</v>
      </c>
      <c r="X169" s="507">
        <f t="shared" ca="1" si="48"/>
        <v>0</v>
      </c>
      <c r="Y169" s="507">
        <f t="shared" ca="1" si="49"/>
        <v>0</v>
      </c>
      <c r="Z169" s="507">
        <f t="shared" ca="1" si="50"/>
        <v>0</v>
      </c>
      <c r="AA169" s="507">
        <f t="shared" ca="1" si="51"/>
        <v>0</v>
      </c>
      <c r="AB169" s="507">
        <f t="shared" ca="1" si="52"/>
        <v>0</v>
      </c>
      <c r="AC169" s="507">
        <f t="shared" ca="1" si="53"/>
        <v>0</v>
      </c>
      <c r="AD169" s="507">
        <f t="shared" ca="1" si="54"/>
        <v>0</v>
      </c>
      <c r="AE169" s="507">
        <f t="shared" ca="1" si="55"/>
        <v>0</v>
      </c>
      <c r="AF169" s="11">
        <f t="shared" ca="1" si="43"/>
        <v>0</v>
      </c>
      <c r="AI169" s="4">
        <v>345</v>
      </c>
      <c r="AJ169" s="5" t="s">
        <v>478</v>
      </c>
      <c r="AK169" s="5" t="s">
        <v>474</v>
      </c>
      <c r="AL169" s="5" t="s">
        <v>479</v>
      </c>
      <c r="AM169" s="5" t="s">
        <v>0</v>
      </c>
      <c r="AN169" s="5" t="s">
        <v>18</v>
      </c>
      <c r="AO169" s="5" t="s">
        <v>12</v>
      </c>
      <c r="AP169" s="5" t="s">
        <v>17</v>
      </c>
      <c r="AQ169" s="5" t="s">
        <v>284</v>
      </c>
      <c r="AR169" s="5" t="s">
        <v>18</v>
      </c>
      <c r="AS169" s="6"/>
      <c r="AU169" s="5"/>
      <c r="AV169" s="5"/>
      <c r="AW169" s="5"/>
      <c r="AX169" s="5"/>
      <c r="AY169" s="5"/>
      <c r="BA169" s="34"/>
      <c r="BB169" s="35"/>
      <c r="BC169" s="36"/>
      <c r="BE169" s="34"/>
      <c r="BF169" s="35"/>
      <c r="BG169" s="36"/>
      <c r="BI169" s="34"/>
      <c r="BJ169" s="35"/>
      <c r="BK169" s="36"/>
      <c r="BM169" s="34"/>
      <c r="BN169" s="35"/>
      <c r="BO169" s="36"/>
      <c r="BQ169" s="34"/>
      <c r="BR169" s="35"/>
      <c r="BS169" s="36"/>
      <c r="BU169" s="34"/>
      <c r="BV169" s="35"/>
      <c r="BW169" s="36"/>
      <c r="BY169" s="34"/>
      <c r="BZ169" s="35"/>
      <c r="CA169" s="36"/>
      <c r="CC169" s="34"/>
      <c r="CD169" s="35"/>
      <c r="CE169" s="36"/>
      <c r="CG169" s="34"/>
      <c r="CH169" s="35"/>
      <c r="CI169" s="36"/>
      <c r="CK169" s="34"/>
      <c r="CL169" s="35"/>
      <c r="CM169" s="36"/>
      <c r="CO169" s="34"/>
      <c r="CP169" s="35"/>
      <c r="CQ169" s="36"/>
      <c r="CS169" s="34"/>
      <c r="CT169" s="35"/>
      <c r="CU169" s="36"/>
    </row>
    <row r="170" spans="1:99">
      <c r="A170" s="1803" t="s">
        <v>667</v>
      </c>
      <c r="B170" s="1803" t="s">
        <v>4127</v>
      </c>
      <c r="R170" s="506"/>
      <c r="S170" s="506"/>
      <c r="T170" s="507">
        <f t="shared" ca="1" si="44"/>
        <v>0</v>
      </c>
      <c r="U170" s="507">
        <f t="shared" ca="1" si="45"/>
        <v>0</v>
      </c>
      <c r="V170" s="507">
        <f t="shared" ca="1" si="46"/>
        <v>0</v>
      </c>
      <c r="W170" s="507">
        <f t="shared" ca="1" si="47"/>
        <v>0</v>
      </c>
      <c r="X170" s="507">
        <f t="shared" ca="1" si="48"/>
        <v>0</v>
      </c>
      <c r="Y170" s="507">
        <f t="shared" ca="1" si="49"/>
        <v>0</v>
      </c>
      <c r="Z170" s="507">
        <f t="shared" ca="1" si="50"/>
        <v>0</v>
      </c>
      <c r="AA170" s="507">
        <f t="shared" ca="1" si="51"/>
        <v>0</v>
      </c>
      <c r="AB170" s="507">
        <f t="shared" ca="1" si="52"/>
        <v>0</v>
      </c>
      <c r="AC170" s="507">
        <f t="shared" ca="1" si="53"/>
        <v>0</v>
      </c>
      <c r="AD170" s="507">
        <f t="shared" ca="1" si="54"/>
        <v>0</v>
      </c>
      <c r="AE170" s="507">
        <f t="shared" ca="1" si="55"/>
        <v>0</v>
      </c>
      <c r="AF170" s="11">
        <f t="shared" ca="1" si="43"/>
        <v>0</v>
      </c>
      <c r="AI170" s="4">
        <v>347</v>
      </c>
      <c r="AJ170" s="5" t="s">
        <v>488</v>
      </c>
      <c r="AK170" s="5" t="s">
        <v>486</v>
      </c>
      <c r="AL170" s="5" t="s">
        <v>489</v>
      </c>
      <c r="AM170" s="5" t="s">
        <v>490</v>
      </c>
      <c r="AN170" s="5" t="s">
        <v>18</v>
      </c>
      <c r="AO170" s="5" t="s">
        <v>12</v>
      </c>
      <c r="AP170" s="5" t="s">
        <v>481</v>
      </c>
      <c r="AQ170" s="5" t="s">
        <v>411</v>
      </c>
      <c r="AR170" s="5" t="s">
        <v>18</v>
      </c>
      <c r="AS170" s="6"/>
      <c r="AU170" s="5"/>
      <c r="AV170" s="5"/>
      <c r="AW170" s="5"/>
      <c r="AX170" s="5"/>
      <c r="AY170" s="5"/>
      <c r="BA170" s="34"/>
      <c r="BB170" s="35"/>
      <c r="BC170" s="36"/>
      <c r="BE170" s="34"/>
      <c r="BF170" s="35"/>
      <c r="BG170" s="36"/>
      <c r="BI170" s="34"/>
      <c r="BJ170" s="35"/>
      <c r="BK170" s="36"/>
      <c r="BM170" s="34"/>
      <c r="BN170" s="35"/>
      <c r="BO170" s="36"/>
      <c r="BQ170" s="34"/>
      <c r="BR170" s="35"/>
      <c r="BS170" s="36"/>
      <c r="BU170" s="34"/>
      <c r="BV170" s="35"/>
      <c r="BW170" s="36"/>
      <c r="BY170" s="34"/>
      <c r="BZ170" s="35"/>
      <c r="CA170" s="36"/>
      <c r="CC170" s="34"/>
      <c r="CD170" s="35"/>
      <c r="CE170" s="36"/>
      <c r="CG170" s="34"/>
      <c r="CH170" s="35"/>
      <c r="CI170" s="36"/>
      <c r="CK170" s="34"/>
      <c r="CL170" s="35"/>
      <c r="CM170" s="36"/>
      <c r="CO170" s="34"/>
      <c r="CP170" s="35"/>
      <c r="CQ170" s="36"/>
      <c r="CS170" s="34"/>
      <c r="CT170" s="35"/>
      <c r="CU170" s="36"/>
    </row>
    <row r="171" spans="1:99">
      <c r="A171" s="1803" t="s">
        <v>219</v>
      </c>
      <c r="B171" s="1803" t="s">
        <v>4128</v>
      </c>
      <c r="R171" s="506"/>
      <c r="S171" s="506"/>
      <c r="T171" s="507">
        <f t="shared" ca="1" si="44"/>
        <v>0</v>
      </c>
      <c r="U171" s="507">
        <f t="shared" ca="1" si="45"/>
        <v>0</v>
      </c>
      <c r="V171" s="507">
        <f t="shared" ca="1" si="46"/>
        <v>0</v>
      </c>
      <c r="W171" s="507">
        <f t="shared" ca="1" si="47"/>
        <v>0</v>
      </c>
      <c r="X171" s="507">
        <f t="shared" ca="1" si="48"/>
        <v>0</v>
      </c>
      <c r="Y171" s="507">
        <f t="shared" ca="1" si="49"/>
        <v>0</v>
      </c>
      <c r="Z171" s="507">
        <f t="shared" ca="1" si="50"/>
        <v>0</v>
      </c>
      <c r="AA171" s="507">
        <f t="shared" ca="1" si="51"/>
        <v>0</v>
      </c>
      <c r="AB171" s="507">
        <f t="shared" ca="1" si="52"/>
        <v>0</v>
      </c>
      <c r="AC171" s="507">
        <f t="shared" ca="1" si="53"/>
        <v>0</v>
      </c>
      <c r="AD171" s="507">
        <f t="shared" ca="1" si="54"/>
        <v>0</v>
      </c>
      <c r="AE171" s="507">
        <f t="shared" ca="1" si="55"/>
        <v>0</v>
      </c>
      <c r="AF171" s="11">
        <f t="shared" ca="1" si="43"/>
        <v>0</v>
      </c>
      <c r="AI171" s="4">
        <v>349</v>
      </c>
      <c r="AJ171" s="5" t="s">
        <v>491</v>
      </c>
      <c r="AK171" s="5" t="s">
        <v>486</v>
      </c>
      <c r="AL171" s="5" t="s">
        <v>492</v>
      </c>
      <c r="AM171" s="5" t="s">
        <v>0</v>
      </c>
      <c r="AN171" s="5" t="s">
        <v>18</v>
      </c>
      <c r="AO171" s="5" t="s">
        <v>12</v>
      </c>
      <c r="AP171" s="5" t="s">
        <v>481</v>
      </c>
      <c r="AQ171" s="5" t="s">
        <v>411</v>
      </c>
      <c r="AR171" s="5" t="s">
        <v>18</v>
      </c>
      <c r="AS171" s="6"/>
      <c r="AU171" s="5"/>
      <c r="AV171" s="5"/>
      <c r="AW171" s="5"/>
      <c r="AX171" s="5"/>
      <c r="AY171" s="5"/>
      <c r="BA171" s="34"/>
      <c r="BB171" s="35"/>
      <c r="BC171" s="36"/>
      <c r="BE171" s="34"/>
      <c r="BF171" s="35"/>
      <c r="BG171" s="36"/>
      <c r="BI171" s="34"/>
      <c r="BJ171" s="35"/>
      <c r="BK171" s="36"/>
      <c r="BM171" s="34"/>
      <c r="BN171" s="35"/>
      <c r="BO171" s="36"/>
      <c r="BQ171" s="34"/>
      <c r="BR171" s="35"/>
      <c r="BS171" s="36"/>
      <c r="BU171" s="34"/>
      <c r="BV171" s="35"/>
      <c r="BW171" s="36"/>
      <c r="BY171" s="34"/>
      <c r="BZ171" s="35"/>
      <c r="CA171" s="36"/>
      <c r="CC171" s="34"/>
      <c r="CD171" s="35"/>
      <c r="CE171" s="36"/>
      <c r="CG171" s="34"/>
      <c r="CH171" s="35"/>
      <c r="CI171" s="36"/>
      <c r="CK171" s="34"/>
      <c r="CL171" s="35"/>
      <c r="CM171" s="36"/>
      <c r="CO171" s="34"/>
      <c r="CP171" s="35"/>
      <c r="CQ171" s="36"/>
      <c r="CS171" s="34"/>
      <c r="CT171" s="35"/>
      <c r="CU171" s="36"/>
    </row>
    <row r="172" spans="1:99">
      <c r="A172" s="1803" t="s">
        <v>686</v>
      </c>
      <c r="B172" s="1803" t="s">
        <v>2278</v>
      </c>
      <c r="R172" s="506"/>
      <c r="S172" s="506"/>
      <c r="T172" s="507">
        <f t="shared" ca="1" si="44"/>
        <v>0</v>
      </c>
      <c r="U172" s="507">
        <f t="shared" ca="1" si="45"/>
        <v>0</v>
      </c>
      <c r="V172" s="507">
        <f t="shared" ca="1" si="46"/>
        <v>0</v>
      </c>
      <c r="W172" s="507">
        <f t="shared" ca="1" si="47"/>
        <v>0</v>
      </c>
      <c r="X172" s="507">
        <f t="shared" ca="1" si="48"/>
        <v>0</v>
      </c>
      <c r="Y172" s="507">
        <f t="shared" ca="1" si="49"/>
        <v>0</v>
      </c>
      <c r="Z172" s="507">
        <f t="shared" ca="1" si="50"/>
        <v>0</v>
      </c>
      <c r="AA172" s="507">
        <f t="shared" ca="1" si="51"/>
        <v>0</v>
      </c>
      <c r="AB172" s="507">
        <f t="shared" ca="1" si="52"/>
        <v>0</v>
      </c>
      <c r="AC172" s="507">
        <f t="shared" ca="1" si="53"/>
        <v>0</v>
      </c>
      <c r="AD172" s="507">
        <f t="shared" ca="1" si="54"/>
        <v>0</v>
      </c>
      <c r="AE172" s="507">
        <f t="shared" ca="1" si="55"/>
        <v>0</v>
      </c>
      <c r="AF172" s="11">
        <f t="shared" ca="1" si="43"/>
        <v>0</v>
      </c>
      <c r="AI172" s="4">
        <v>351</v>
      </c>
      <c r="AJ172" s="5" t="s">
        <v>493</v>
      </c>
      <c r="AK172" s="5" t="s">
        <v>486</v>
      </c>
      <c r="AL172" s="5" t="s">
        <v>494</v>
      </c>
      <c r="AM172" s="5" t="s">
        <v>495</v>
      </c>
      <c r="AN172" s="5" t="s">
        <v>18</v>
      </c>
      <c r="AO172" s="5" t="s">
        <v>12</v>
      </c>
      <c r="AP172" s="5" t="s">
        <v>481</v>
      </c>
      <c r="AQ172" s="5" t="s">
        <v>411</v>
      </c>
      <c r="AR172" s="5" t="s">
        <v>18</v>
      </c>
      <c r="AS172" s="6"/>
      <c r="AU172" s="5"/>
      <c r="AV172" s="5"/>
      <c r="AW172" s="5"/>
      <c r="AX172" s="5"/>
      <c r="AY172" s="5"/>
      <c r="BA172" s="34"/>
      <c r="BB172" s="35"/>
      <c r="BC172" s="36"/>
      <c r="BE172" s="34"/>
      <c r="BF172" s="35"/>
      <c r="BG172" s="36"/>
      <c r="BI172" s="34"/>
      <c r="BJ172" s="35"/>
      <c r="BK172" s="36"/>
      <c r="BM172" s="34"/>
      <c r="BN172" s="35"/>
      <c r="BO172" s="36"/>
      <c r="BQ172" s="34"/>
      <c r="BR172" s="35"/>
      <c r="BS172" s="36"/>
      <c r="BU172" s="34"/>
      <c r="BV172" s="35"/>
      <c r="BW172" s="36"/>
      <c r="BY172" s="34"/>
      <c r="BZ172" s="35"/>
      <c r="CA172" s="36"/>
      <c r="CC172" s="34"/>
      <c r="CD172" s="35"/>
      <c r="CE172" s="36"/>
      <c r="CG172" s="34"/>
      <c r="CH172" s="35"/>
      <c r="CI172" s="36"/>
      <c r="CK172" s="34"/>
      <c r="CL172" s="35"/>
      <c r="CM172" s="36"/>
      <c r="CO172" s="34"/>
      <c r="CP172" s="35"/>
      <c r="CQ172" s="36"/>
      <c r="CS172" s="34"/>
      <c r="CT172" s="35"/>
      <c r="CU172" s="36"/>
    </row>
    <row r="173" spans="1:99">
      <c r="A173" s="1803" t="s">
        <v>692</v>
      </c>
      <c r="B173" s="1803" t="s">
        <v>4129</v>
      </c>
      <c r="R173" s="506"/>
      <c r="S173" s="506"/>
      <c r="T173" s="507">
        <f t="shared" ca="1" si="44"/>
        <v>0</v>
      </c>
      <c r="U173" s="507">
        <f t="shared" ca="1" si="45"/>
        <v>0</v>
      </c>
      <c r="V173" s="507">
        <f t="shared" ca="1" si="46"/>
        <v>0</v>
      </c>
      <c r="W173" s="507">
        <f t="shared" ca="1" si="47"/>
        <v>0</v>
      </c>
      <c r="X173" s="507">
        <f t="shared" ca="1" si="48"/>
        <v>0</v>
      </c>
      <c r="Y173" s="507">
        <f t="shared" ca="1" si="49"/>
        <v>0</v>
      </c>
      <c r="Z173" s="507">
        <f t="shared" ca="1" si="50"/>
        <v>0</v>
      </c>
      <c r="AA173" s="507">
        <f t="shared" ca="1" si="51"/>
        <v>0</v>
      </c>
      <c r="AB173" s="507">
        <f t="shared" ca="1" si="52"/>
        <v>0</v>
      </c>
      <c r="AC173" s="507">
        <f t="shared" ca="1" si="53"/>
        <v>0</v>
      </c>
      <c r="AD173" s="507">
        <f t="shared" ca="1" si="54"/>
        <v>0</v>
      </c>
      <c r="AE173" s="507">
        <f t="shared" ca="1" si="55"/>
        <v>0</v>
      </c>
      <c r="AF173" s="11">
        <f t="shared" ca="1" si="43"/>
        <v>0</v>
      </c>
      <c r="AI173" s="4">
        <v>353</v>
      </c>
      <c r="AJ173" s="5" t="s">
        <v>498</v>
      </c>
      <c r="AK173" s="5" t="s">
        <v>496</v>
      </c>
      <c r="AL173" s="5" t="s">
        <v>499</v>
      </c>
      <c r="AM173" s="5" t="s">
        <v>500</v>
      </c>
      <c r="AN173" s="5" t="s">
        <v>18</v>
      </c>
      <c r="AO173" s="5" t="s">
        <v>12</v>
      </c>
      <c r="AP173" s="5" t="s">
        <v>481</v>
      </c>
      <c r="AQ173" s="5" t="s">
        <v>411</v>
      </c>
      <c r="AR173" s="5" t="s">
        <v>18</v>
      </c>
      <c r="AS173" s="6"/>
      <c r="AU173" s="5"/>
      <c r="AV173" s="5"/>
      <c r="AW173" s="5"/>
      <c r="AX173" s="5"/>
      <c r="AY173" s="5"/>
      <c r="BA173" s="34"/>
      <c r="BB173" s="35"/>
      <c r="BC173" s="36"/>
      <c r="BE173" s="34"/>
      <c r="BF173" s="35"/>
      <c r="BG173" s="36"/>
      <c r="BI173" s="34"/>
      <c r="BJ173" s="35"/>
      <c r="BK173" s="36"/>
      <c r="BM173" s="34"/>
      <c r="BN173" s="35"/>
      <c r="BO173" s="36"/>
      <c r="BQ173" s="34"/>
      <c r="BR173" s="35"/>
      <c r="BS173" s="36"/>
      <c r="BU173" s="34"/>
      <c r="BV173" s="35"/>
      <c r="BW173" s="36"/>
      <c r="BY173" s="34"/>
      <c r="BZ173" s="35"/>
      <c r="CA173" s="36"/>
      <c r="CC173" s="34"/>
      <c r="CD173" s="35"/>
      <c r="CE173" s="36"/>
      <c r="CG173" s="34"/>
      <c r="CH173" s="35"/>
      <c r="CI173" s="36"/>
      <c r="CK173" s="34"/>
      <c r="CL173" s="35"/>
      <c r="CM173" s="36"/>
      <c r="CO173" s="34"/>
      <c r="CP173" s="35"/>
      <c r="CQ173" s="36"/>
      <c r="CS173" s="34"/>
      <c r="CT173" s="35"/>
      <c r="CU173" s="36"/>
    </row>
    <row r="174" spans="1:99">
      <c r="A174" s="1803" t="s">
        <v>695</v>
      </c>
      <c r="B174" s="1803" t="s">
        <v>4130</v>
      </c>
      <c r="R174" s="506"/>
      <c r="S174" s="506"/>
      <c r="T174" s="507">
        <f t="shared" ca="1" si="44"/>
        <v>0</v>
      </c>
      <c r="U174" s="507">
        <f t="shared" ca="1" si="45"/>
        <v>0</v>
      </c>
      <c r="V174" s="507">
        <f t="shared" ca="1" si="46"/>
        <v>0</v>
      </c>
      <c r="W174" s="507">
        <f t="shared" ca="1" si="47"/>
        <v>0</v>
      </c>
      <c r="X174" s="507">
        <f t="shared" ca="1" si="48"/>
        <v>0</v>
      </c>
      <c r="Y174" s="507">
        <f t="shared" ca="1" si="49"/>
        <v>0</v>
      </c>
      <c r="Z174" s="507">
        <f t="shared" ca="1" si="50"/>
        <v>0</v>
      </c>
      <c r="AA174" s="507">
        <f t="shared" ca="1" si="51"/>
        <v>0</v>
      </c>
      <c r="AB174" s="507">
        <f t="shared" ca="1" si="52"/>
        <v>0</v>
      </c>
      <c r="AC174" s="507">
        <f t="shared" ca="1" si="53"/>
        <v>0</v>
      </c>
      <c r="AD174" s="507">
        <f t="shared" ca="1" si="54"/>
        <v>0</v>
      </c>
      <c r="AE174" s="507">
        <f t="shared" ca="1" si="55"/>
        <v>0</v>
      </c>
      <c r="AF174" s="11">
        <f t="shared" ca="1" si="43"/>
        <v>0</v>
      </c>
      <c r="AI174" s="4">
        <v>355</v>
      </c>
      <c r="AJ174" s="5" t="s">
        <v>501</v>
      </c>
      <c r="AK174" s="5" t="s">
        <v>496</v>
      </c>
      <c r="AL174" s="5" t="s">
        <v>502</v>
      </c>
      <c r="AM174" s="5" t="s">
        <v>0</v>
      </c>
      <c r="AN174" s="5" t="s">
        <v>18</v>
      </c>
      <c r="AO174" s="5" t="s">
        <v>12</v>
      </c>
      <c r="AP174" s="5" t="s">
        <v>481</v>
      </c>
      <c r="AQ174" s="5" t="s">
        <v>411</v>
      </c>
      <c r="AR174" s="5" t="s">
        <v>18</v>
      </c>
      <c r="AS174" s="6"/>
      <c r="AU174" s="5"/>
      <c r="AV174" s="5"/>
      <c r="AW174" s="5"/>
      <c r="AX174" s="5"/>
      <c r="AY174" s="5"/>
      <c r="BA174" s="34"/>
      <c r="BB174" s="35"/>
      <c r="BC174" s="36"/>
      <c r="BE174" s="34"/>
      <c r="BF174" s="35"/>
      <c r="BG174" s="36"/>
      <c r="BI174" s="34"/>
      <c r="BJ174" s="35"/>
      <c r="BK174" s="36"/>
      <c r="BM174" s="34"/>
      <c r="BN174" s="35"/>
      <c r="BO174" s="36"/>
      <c r="BQ174" s="34"/>
      <c r="BR174" s="35"/>
      <c r="BS174" s="36"/>
      <c r="BU174" s="34"/>
      <c r="BV174" s="35"/>
      <c r="BW174" s="36"/>
      <c r="BY174" s="34"/>
      <c r="BZ174" s="35"/>
      <c r="CA174" s="36"/>
      <c r="CC174" s="34"/>
      <c r="CD174" s="35"/>
      <c r="CE174" s="36"/>
      <c r="CG174" s="34"/>
      <c r="CH174" s="35"/>
      <c r="CI174" s="36"/>
      <c r="CK174" s="34"/>
      <c r="CL174" s="35"/>
      <c r="CM174" s="36"/>
      <c r="CO174" s="34"/>
      <c r="CP174" s="35"/>
      <c r="CQ174" s="36"/>
      <c r="CS174" s="34"/>
      <c r="CT174" s="35"/>
      <c r="CU174" s="36"/>
    </row>
    <row r="175" spans="1:99">
      <c r="A175" s="1803" t="s">
        <v>701</v>
      </c>
      <c r="B175" s="1803" t="s">
        <v>2281</v>
      </c>
      <c r="R175" s="506"/>
      <c r="S175" s="506"/>
      <c r="T175" s="507">
        <f t="shared" ca="1" si="44"/>
        <v>0</v>
      </c>
      <c r="U175" s="507">
        <f t="shared" ca="1" si="45"/>
        <v>0</v>
      </c>
      <c r="V175" s="507">
        <f t="shared" ca="1" si="46"/>
        <v>0</v>
      </c>
      <c r="W175" s="507">
        <f t="shared" ca="1" si="47"/>
        <v>0</v>
      </c>
      <c r="X175" s="507">
        <f t="shared" ca="1" si="48"/>
        <v>0</v>
      </c>
      <c r="Y175" s="507">
        <f t="shared" ca="1" si="49"/>
        <v>0</v>
      </c>
      <c r="Z175" s="507">
        <f t="shared" ca="1" si="50"/>
        <v>0</v>
      </c>
      <c r="AA175" s="507">
        <f t="shared" ca="1" si="51"/>
        <v>0</v>
      </c>
      <c r="AB175" s="507">
        <f t="shared" ca="1" si="52"/>
        <v>0</v>
      </c>
      <c r="AC175" s="507">
        <f t="shared" ca="1" si="53"/>
        <v>0</v>
      </c>
      <c r="AD175" s="507">
        <f t="shared" ca="1" si="54"/>
        <v>0</v>
      </c>
      <c r="AE175" s="507">
        <f t="shared" ca="1" si="55"/>
        <v>0</v>
      </c>
      <c r="AF175" s="11">
        <f t="shared" ca="1" si="43"/>
        <v>0</v>
      </c>
      <c r="AI175" s="4">
        <v>357</v>
      </c>
      <c r="AJ175" s="5" t="s">
        <v>503</v>
      </c>
      <c r="AK175" s="5" t="s">
        <v>496</v>
      </c>
      <c r="AL175" s="5" t="s">
        <v>504</v>
      </c>
      <c r="AM175" s="5" t="s">
        <v>0</v>
      </c>
      <c r="AN175" s="5" t="s">
        <v>18</v>
      </c>
      <c r="AO175" s="5" t="s">
        <v>12</v>
      </c>
      <c r="AP175" s="5" t="s">
        <v>481</v>
      </c>
      <c r="AQ175" s="5" t="s">
        <v>411</v>
      </c>
      <c r="AR175" s="5" t="s">
        <v>18</v>
      </c>
      <c r="AS175" s="6"/>
      <c r="AU175" s="5"/>
      <c r="AV175" s="5"/>
      <c r="AW175" s="5"/>
      <c r="AX175" s="5"/>
      <c r="AY175" s="5"/>
      <c r="BA175" s="34"/>
      <c r="BB175" s="35"/>
      <c r="BC175" s="36"/>
      <c r="BE175" s="34"/>
      <c r="BF175" s="35"/>
      <c r="BG175" s="36"/>
      <c r="BI175" s="34"/>
      <c r="BJ175" s="35"/>
      <c r="BK175" s="36"/>
      <c r="BM175" s="34"/>
      <c r="BN175" s="35"/>
      <c r="BO175" s="36"/>
      <c r="BQ175" s="34"/>
      <c r="BR175" s="35"/>
      <c r="BS175" s="36"/>
      <c r="BU175" s="34"/>
      <c r="BV175" s="35"/>
      <c r="BW175" s="36"/>
      <c r="BY175" s="34"/>
      <c r="BZ175" s="35"/>
      <c r="CA175" s="36"/>
      <c r="CC175" s="34"/>
      <c r="CD175" s="35"/>
      <c r="CE175" s="36"/>
      <c r="CG175" s="34"/>
      <c r="CH175" s="35"/>
      <c r="CI175" s="36"/>
      <c r="CK175" s="34"/>
      <c r="CL175" s="35"/>
      <c r="CM175" s="36"/>
      <c r="CO175" s="34"/>
      <c r="CP175" s="35"/>
      <c r="CQ175" s="36"/>
      <c r="CS175" s="34"/>
      <c r="CT175" s="35"/>
      <c r="CU175" s="36"/>
    </row>
    <row r="176" spans="1:99">
      <c r="A176" s="1803" t="s">
        <v>3848</v>
      </c>
      <c r="B176" s="1803" t="s">
        <v>3849</v>
      </c>
      <c r="R176" s="506"/>
      <c r="S176" s="506"/>
      <c r="T176" s="507">
        <f t="shared" ca="1" si="44"/>
        <v>0</v>
      </c>
      <c r="U176" s="507">
        <f t="shared" ca="1" si="45"/>
        <v>0</v>
      </c>
      <c r="V176" s="507">
        <f t="shared" ca="1" si="46"/>
        <v>0</v>
      </c>
      <c r="W176" s="507">
        <f t="shared" ca="1" si="47"/>
        <v>0</v>
      </c>
      <c r="X176" s="507">
        <f t="shared" ca="1" si="48"/>
        <v>0</v>
      </c>
      <c r="Y176" s="507">
        <f t="shared" ca="1" si="49"/>
        <v>0</v>
      </c>
      <c r="Z176" s="507">
        <f t="shared" ca="1" si="50"/>
        <v>0</v>
      </c>
      <c r="AA176" s="507">
        <f t="shared" ca="1" si="51"/>
        <v>0</v>
      </c>
      <c r="AB176" s="507">
        <f t="shared" ca="1" si="52"/>
        <v>0</v>
      </c>
      <c r="AC176" s="507">
        <f t="shared" ca="1" si="53"/>
        <v>0</v>
      </c>
      <c r="AD176" s="507">
        <f t="shared" ca="1" si="54"/>
        <v>0</v>
      </c>
      <c r="AE176" s="507">
        <f t="shared" ca="1" si="55"/>
        <v>0</v>
      </c>
      <c r="AF176" s="11">
        <f t="shared" ca="1" si="43"/>
        <v>0</v>
      </c>
      <c r="AI176" s="4">
        <v>359</v>
      </c>
      <c r="AJ176" s="5" t="s">
        <v>505</v>
      </c>
      <c r="AK176" s="5" t="s">
        <v>496</v>
      </c>
      <c r="AL176" s="5" t="s">
        <v>506</v>
      </c>
      <c r="AM176" s="5" t="s">
        <v>500</v>
      </c>
      <c r="AN176" s="5" t="s">
        <v>18</v>
      </c>
      <c r="AO176" s="5" t="s">
        <v>12</v>
      </c>
      <c r="AP176" s="5" t="s">
        <v>481</v>
      </c>
      <c r="AQ176" s="5" t="s">
        <v>411</v>
      </c>
      <c r="AR176" s="5" t="s">
        <v>18</v>
      </c>
      <c r="AS176" s="6"/>
      <c r="AU176" s="5"/>
      <c r="AV176" s="5"/>
      <c r="AW176" s="5"/>
      <c r="AX176" s="5"/>
      <c r="AY176" s="5"/>
      <c r="BA176" s="34"/>
      <c r="BB176" s="35"/>
      <c r="BC176" s="36"/>
      <c r="BE176" s="34"/>
      <c r="BF176" s="35"/>
      <c r="BG176" s="36"/>
      <c r="BI176" s="34"/>
      <c r="BJ176" s="35"/>
      <c r="BK176" s="36"/>
      <c r="BM176" s="34"/>
      <c r="BN176" s="35"/>
      <c r="BO176" s="36"/>
      <c r="BQ176" s="34"/>
      <c r="BR176" s="35"/>
      <c r="BS176" s="36"/>
      <c r="BU176" s="34"/>
      <c r="BV176" s="35"/>
      <c r="BW176" s="36"/>
      <c r="BY176" s="34"/>
      <c r="BZ176" s="35"/>
      <c r="CA176" s="36"/>
      <c r="CC176" s="34"/>
      <c r="CD176" s="35"/>
      <c r="CE176" s="36"/>
      <c r="CG176" s="34"/>
      <c r="CH176" s="35"/>
      <c r="CI176" s="36"/>
      <c r="CK176" s="34"/>
      <c r="CL176" s="35"/>
      <c r="CM176" s="36"/>
      <c r="CO176" s="34"/>
      <c r="CP176" s="35"/>
      <c r="CQ176" s="36"/>
      <c r="CS176" s="34"/>
      <c r="CT176" s="35"/>
      <c r="CU176" s="36"/>
    </row>
    <row r="177" spans="1:99">
      <c r="A177" s="1803" t="s">
        <v>742</v>
      </c>
      <c r="B177" s="1803" t="s">
        <v>4131</v>
      </c>
      <c r="R177" s="506"/>
      <c r="S177" s="506"/>
      <c r="T177" s="507">
        <f t="shared" ca="1" si="44"/>
        <v>0</v>
      </c>
      <c r="U177" s="507">
        <f t="shared" ca="1" si="45"/>
        <v>0</v>
      </c>
      <c r="V177" s="507">
        <f t="shared" ca="1" si="46"/>
        <v>0</v>
      </c>
      <c r="W177" s="507">
        <f t="shared" ca="1" si="47"/>
        <v>0</v>
      </c>
      <c r="X177" s="507">
        <f t="shared" ca="1" si="48"/>
        <v>0</v>
      </c>
      <c r="Y177" s="507">
        <f t="shared" ca="1" si="49"/>
        <v>0</v>
      </c>
      <c r="Z177" s="507">
        <f t="shared" ca="1" si="50"/>
        <v>0</v>
      </c>
      <c r="AA177" s="507">
        <f t="shared" ca="1" si="51"/>
        <v>0</v>
      </c>
      <c r="AB177" s="507">
        <f t="shared" ca="1" si="52"/>
        <v>0</v>
      </c>
      <c r="AC177" s="507">
        <f t="shared" ca="1" si="53"/>
        <v>0</v>
      </c>
      <c r="AD177" s="507">
        <f t="shared" ca="1" si="54"/>
        <v>0</v>
      </c>
      <c r="AE177" s="507">
        <f t="shared" ca="1" si="55"/>
        <v>0</v>
      </c>
      <c r="AF177" s="11">
        <f t="shared" ca="1" si="43"/>
        <v>0</v>
      </c>
      <c r="AI177" s="4">
        <v>361</v>
      </c>
      <c r="AJ177" s="5" t="s">
        <v>509</v>
      </c>
      <c r="AK177" s="5" t="s">
        <v>507</v>
      </c>
      <c r="AL177" s="5" t="s">
        <v>510</v>
      </c>
      <c r="AM177" s="5" t="s">
        <v>500</v>
      </c>
      <c r="AN177" s="5" t="s">
        <v>18</v>
      </c>
      <c r="AO177" s="5" t="s">
        <v>12</v>
      </c>
      <c r="AP177" s="5" t="s">
        <v>481</v>
      </c>
      <c r="AQ177" s="5" t="s">
        <v>411</v>
      </c>
      <c r="AR177" s="5" t="s">
        <v>18</v>
      </c>
      <c r="AS177" s="6"/>
      <c r="AU177" s="5"/>
      <c r="AV177" s="5"/>
      <c r="AW177" s="5"/>
      <c r="AX177" s="5"/>
      <c r="AY177" s="5"/>
      <c r="BA177" s="34"/>
      <c r="BB177" s="35"/>
      <c r="BC177" s="36"/>
      <c r="BE177" s="34"/>
      <c r="BF177" s="35"/>
      <c r="BG177" s="36"/>
      <c r="BI177" s="34"/>
      <c r="BJ177" s="35"/>
      <c r="BK177" s="36"/>
      <c r="BM177" s="34"/>
      <c r="BN177" s="35"/>
      <c r="BO177" s="36"/>
      <c r="BQ177" s="34"/>
      <c r="BR177" s="35"/>
      <c r="BS177" s="36"/>
      <c r="BU177" s="34"/>
      <c r="BV177" s="35"/>
      <c r="BW177" s="36"/>
      <c r="BY177" s="34"/>
      <c r="BZ177" s="35"/>
      <c r="CA177" s="36"/>
      <c r="CC177" s="34"/>
      <c r="CD177" s="35"/>
      <c r="CE177" s="36"/>
      <c r="CG177" s="34"/>
      <c r="CH177" s="35"/>
      <c r="CI177" s="36"/>
      <c r="CK177" s="34"/>
      <c r="CL177" s="35"/>
      <c r="CM177" s="36"/>
      <c r="CO177" s="34"/>
      <c r="CP177" s="35"/>
      <c r="CQ177" s="36"/>
      <c r="CS177" s="34"/>
      <c r="CT177" s="35"/>
      <c r="CU177" s="36"/>
    </row>
    <row r="178" spans="1:99">
      <c r="A178" s="1803" t="s">
        <v>759</v>
      </c>
      <c r="B178" s="1803" t="s">
        <v>4132</v>
      </c>
      <c r="R178" s="506"/>
      <c r="S178" s="506"/>
      <c r="T178" s="507">
        <f t="shared" ca="1" si="44"/>
        <v>0</v>
      </c>
      <c r="U178" s="507">
        <f t="shared" ca="1" si="45"/>
        <v>0</v>
      </c>
      <c r="V178" s="507">
        <f t="shared" ca="1" si="46"/>
        <v>0</v>
      </c>
      <c r="W178" s="507">
        <f t="shared" ca="1" si="47"/>
        <v>0</v>
      </c>
      <c r="X178" s="507">
        <f t="shared" ca="1" si="48"/>
        <v>0</v>
      </c>
      <c r="Y178" s="507">
        <f t="shared" ca="1" si="49"/>
        <v>0</v>
      </c>
      <c r="Z178" s="507">
        <f t="shared" ca="1" si="50"/>
        <v>0</v>
      </c>
      <c r="AA178" s="507">
        <f t="shared" ca="1" si="51"/>
        <v>0</v>
      </c>
      <c r="AB178" s="507">
        <f t="shared" ca="1" si="52"/>
        <v>0</v>
      </c>
      <c r="AC178" s="507">
        <f t="shared" ca="1" si="53"/>
        <v>0</v>
      </c>
      <c r="AD178" s="507">
        <f t="shared" ca="1" si="54"/>
        <v>0</v>
      </c>
      <c r="AE178" s="507">
        <f t="shared" ca="1" si="55"/>
        <v>0</v>
      </c>
      <c r="AF178" s="11">
        <f t="shared" ca="1" si="43"/>
        <v>0</v>
      </c>
      <c r="AI178" s="4">
        <v>363</v>
      </c>
      <c r="AJ178" s="5" t="s">
        <v>511</v>
      </c>
      <c r="AK178" s="5" t="s">
        <v>507</v>
      </c>
      <c r="AL178" s="5" t="s">
        <v>512</v>
      </c>
      <c r="AM178" s="5" t="s">
        <v>500</v>
      </c>
      <c r="AN178" s="5" t="s">
        <v>18</v>
      </c>
      <c r="AO178" s="5" t="s">
        <v>12</v>
      </c>
      <c r="AP178" s="5" t="s">
        <v>481</v>
      </c>
      <c r="AQ178" s="5" t="s">
        <v>411</v>
      </c>
      <c r="AR178" s="5" t="s">
        <v>18</v>
      </c>
      <c r="AS178" s="6"/>
      <c r="AU178" s="5"/>
      <c r="AV178" s="5"/>
      <c r="AW178" s="5"/>
      <c r="AX178" s="5"/>
      <c r="AY178" s="5"/>
      <c r="BA178" s="34"/>
      <c r="BB178" s="35"/>
      <c r="BC178" s="36"/>
      <c r="BE178" s="34"/>
      <c r="BF178" s="35"/>
      <c r="BG178" s="36"/>
      <c r="BI178" s="34"/>
      <c r="BJ178" s="35"/>
      <c r="BK178" s="36"/>
      <c r="BM178" s="34"/>
      <c r="BN178" s="35"/>
      <c r="BO178" s="36"/>
      <c r="BQ178" s="34"/>
      <c r="BR178" s="35"/>
      <c r="BS178" s="36"/>
      <c r="BU178" s="34"/>
      <c r="BV178" s="35"/>
      <c r="BW178" s="36"/>
      <c r="BY178" s="34"/>
      <c r="BZ178" s="35"/>
      <c r="CA178" s="36"/>
      <c r="CC178" s="34"/>
      <c r="CD178" s="35"/>
      <c r="CE178" s="36"/>
      <c r="CG178" s="34"/>
      <c r="CH178" s="35"/>
      <c r="CI178" s="36"/>
      <c r="CK178" s="34"/>
      <c r="CL178" s="35"/>
      <c r="CM178" s="36"/>
      <c r="CO178" s="34"/>
      <c r="CP178" s="35"/>
      <c r="CQ178" s="36"/>
      <c r="CS178" s="34"/>
      <c r="CT178" s="35"/>
      <c r="CU178" s="36"/>
    </row>
    <row r="179" spans="1:99">
      <c r="A179" s="1803" t="s">
        <v>768</v>
      </c>
      <c r="B179" s="1803" t="s">
        <v>4133</v>
      </c>
      <c r="R179" s="506"/>
      <c r="S179" s="506"/>
      <c r="T179" s="507">
        <f t="shared" ca="1" si="44"/>
        <v>0</v>
      </c>
      <c r="U179" s="507">
        <f t="shared" ca="1" si="45"/>
        <v>0</v>
      </c>
      <c r="V179" s="507">
        <f t="shared" ca="1" si="46"/>
        <v>0</v>
      </c>
      <c r="W179" s="507">
        <f t="shared" ca="1" si="47"/>
        <v>0</v>
      </c>
      <c r="X179" s="507">
        <f t="shared" ca="1" si="48"/>
        <v>0</v>
      </c>
      <c r="Y179" s="507">
        <f t="shared" ca="1" si="49"/>
        <v>0</v>
      </c>
      <c r="Z179" s="507">
        <f t="shared" ca="1" si="50"/>
        <v>0</v>
      </c>
      <c r="AA179" s="507">
        <f t="shared" ca="1" si="51"/>
        <v>0</v>
      </c>
      <c r="AB179" s="507">
        <f t="shared" ca="1" si="52"/>
        <v>0</v>
      </c>
      <c r="AC179" s="507">
        <f t="shared" ca="1" si="53"/>
        <v>0</v>
      </c>
      <c r="AD179" s="507">
        <f t="shared" ca="1" si="54"/>
        <v>0</v>
      </c>
      <c r="AE179" s="507">
        <f t="shared" ca="1" si="55"/>
        <v>0</v>
      </c>
      <c r="AF179" s="11">
        <f t="shared" ca="1" si="43"/>
        <v>0</v>
      </c>
      <c r="AI179" s="4">
        <v>365</v>
      </c>
      <c r="AJ179" s="5" t="s">
        <v>513</v>
      </c>
      <c r="AK179" s="5" t="s">
        <v>507</v>
      </c>
      <c r="AL179" s="5" t="s">
        <v>514</v>
      </c>
      <c r="AM179" s="5" t="s">
        <v>500</v>
      </c>
      <c r="AN179" s="5" t="s">
        <v>18</v>
      </c>
      <c r="AO179" s="5" t="s">
        <v>12</v>
      </c>
      <c r="AP179" s="5" t="s">
        <v>481</v>
      </c>
      <c r="AQ179" s="5" t="s">
        <v>411</v>
      </c>
      <c r="AR179" s="5" t="s">
        <v>18</v>
      </c>
      <c r="AS179" s="6"/>
      <c r="AU179" s="5"/>
      <c r="AV179" s="5"/>
      <c r="AW179" s="5"/>
      <c r="AX179" s="5"/>
      <c r="AY179" s="5"/>
      <c r="BA179" s="34"/>
      <c r="BB179" s="35"/>
      <c r="BC179" s="36"/>
      <c r="BE179" s="34"/>
      <c r="BF179" s="35"/>
      <c r="BG179" s="36"/>
      <c r="BI179" s="34"/>
      <c r="BJ179" s="35"/>
      <c r="BK179" s="36"/>
      <c r="BM179" s="34"/>
      <c r="BN179" s="35"/>
      <c r="BO179" s="36"/>
      <c r="BQ179" s="34"/>
      <c r="BR179" s="35"/>
      <c r="BS179" s="36"/>
      <c r="BU179" s="34"/>
      <c r="BV179" s="35"/>
      <c r="BW179" s="36"/>
      <c r="BY179" s="34"/>
      <c r="BZ179" s="35"/>
      <c r="CA179" s="36"/>
      <c r="CC179" s="34"/>
      <c r="CD179" s="35"/>
      <c r="CE179" s="36"/>
      <c r="CG179" s="34"/>
      <c r="CH179" s="35"/>
      <c r="CI179" s="36"/>
      <c r="CK179" s="34"/>
      <c r="CL179" s="35"/>
      <c r="CM179" s="36"/>
      <c r="CO179" s="34"/>
      <c r="CP179" s="35"/>
      <c r="CQ179" s="36"/>
      <c r="CS179" s="34"/>
      <c r="CT179" s="35"/>
      <c r="CU179" s="36"/>
    </row>
    <row r="180" spans="1:99">
      <c r="A180" s="1803" t="s">
        <v>774</v>
      </c>
      <c r="B180" s="1803" t="s">
        <v>2064</v>
      </c>
      <c r="R180" s="506"/>
      <c r="S180" s="506"/>
      <c r="T180" s="507">
        <f t="shared" ca="1" si="44"/>
        <v>0</v>
      </c>
      <c r="U180" s="507">
        <f t="shared" ca="1" si="45"/>
        <v>0</v>
      </c>
      <c r="V180" s="507">
        <f t="shared" ca="1" si="46"/>
        <v>0</v>
      </c>
      <c r="W180" s="507">
        <f t="shared" ca="1" si="47"/>
        <v>0</v>
      </c>
      <c r="X180" s="507">
        <f t="shared" ca="1" si="48"/>
        <v>0</v>
      </c>
      <c r="Y180" s="507">
        <f t="shared" ca="1" si="49"/>
        <v>0</v>
      </c>
      <c r="Z180" s="507">
        <f t="shared" ca="1" si="50"/>
        <v>0</v>
      </c>
      <c r="AA180" s="507">
        <f t="shared" ca="1" si="51"/>
        <v>0</v>
      </c>
      <c r="AB180" s="507">
        <f t="shared" ca="1" si="52"/>
        <v>0</v>
      </c>
      <c r="AC180" s="507">
        <f t="shared" ca="1" si="53"/>
        <v>0</v>
      </c>
      <c r="AD180" s="507">
        <f t="shared" ca="1" si="54"/>
        <v>0</v>
      </c>
      <c r="AE180" s="507">
        <f t="shared" ca="1" si="55"/>
        <v>0</v>
      </c>
      <c r="AF180" s="11">
        <f t="shared" ca="1" si="43"/>
        <v>0</v>
      </c>
      <c r="AI180" s="4">
        <v>367</v>
      </c>
      <c r="AJ180" s="5" t="s">
        <v>515</v>
      </c>
      <c r="AK180" s="5" t="s">
        <v>507</v>
      </c>
      <c r="AL180" s="5" t="s">
        <v>516</v>
      </c>
      <c r="AM180" s="5" t="s">
        <v>500</v>
      </c>
      <c r="AN180" s="5" t="s">
        <v>18</v>
      </c>
      <c r="AO180" s="5" t="s">
        <v>12</v>
      </c>
      <c r="AP180" s="5" t="s">
        <v>481</v>
      </c>
      <c r="AQ180" s="5" t="s">
        <v>411</v>
      </c>
      <c r="AR180" s="5" t="s">
        <v>18</v>
      </c>
      <c r="AS180" s="6"/>
      <c r="AU180" s="5"/>
      <c r="AV180" s="5"/>
      <c r="AW180" s="5"/>
      <c r="AX180" s="5"/>
      <c r="AY180" s="5"/>
      <c r="BA180" s="34"/>
      <c r="BB180" s="35"/>
      <c r="BC180" s="36"/>
      <c r="BE180" s="34"/>
      <c r="BF180" s="35"/>
      <c r="BG180" s="36"/>
      <c r="BI180" s="34"/>
      <c r="BJ180" s="35"/>
      <c r="BK180" s="36"/>
      <c r="BM180" s="34"/>
      <c r="BN180" s="35"/>
      <c r="BO180" s="36"/>
      <c r="BQ180" s="34"/>
      <c r="BR180" s="35"/>
      <c r="BS180" s="36"/>
      <c r="BU180" s="34"/>
      <c r="BV180" s="35"/>
      <c r="BW180" s="36"/>
      <c r="BY180" s="34"/>
      <c r="BZ180" s="35"/>
      <c r="CA180" s="36"/>
      <c r="CC180" s="34"/>
      <c r="CD180" s="35"/>
      <c r="CE180" s="36"/>
      <c r="CG180" s="34"/>
      <c r="CH180" s="35"/>
      <c r="CI180" s="36"/>
      <c r="CK180" s="34"/>
      <c r="CL180" s="35"/>
      <c r="CM180" s="36"/>
      <c r="CO180" s="34"/>
      <c r="CP180" s="35"/>
      <c r="CQ180" s="36"/>
      <c r="CS180" s="34"/>
      <c r="CT180" s="35"/>
      <c r="CU180" s="36"/>
    </row>
    <row r="181" spans="1:99">
      <c r="A181" s="1803" t="s">
        <v>3886</v>
      </c>
      <c r="B181" s="1803" t="s">
        <v>4134</v>
      </c>
      <c r="R181" s="506"/>
      <c r="S181" s="506"/>
      <c r="T181" s="507">
        <f t="shared" ca="1" si="44"/>
        <v>0</v>
      </c>
      <c r="U181" s="507">
        <f t="shared" ca="1" si="45"/>
        <v>0</v>
      </c>
      <c r="V181" s="507">
        <f t="shared" ca="1" si="46"/>
        <v>0</v>
      </c>
      <c r="W181" s="507">
        <f t="shared" ca="1" si="47"/>
        <v>0</v>
      </c>
      <c r="X181" s="507">
        <f t="shared" ca="1" si="48"/>
        <v>0</v>
      </c>
      <c r="Y181" s="507">
        <f t="shared" ca="1" si="49"/>
        <v>0</v>
      </c>
      <c r="Z181" s="507">
        <f t="shared" ca="1" si="50"/>
        <v>0</v>
      </c>
      <c r="AA181" s="507">
        <f t="shared" ca="1" si="51"/>
        <v>0</v>
      </c>
      <c r="AB181" s="507">
        <f t="shared" ca="1" si="52"/>
        <v>0</v>
      </c>
      <c r="AC181" s="507">
        <f t="shared" ca="1" si="53"/>
        <v>0</v>
      </c>
      <c r="AD181" s="507">
        <f t="shared" ca="1" si="54"/>
        <v>0</v>
      </c>
      <c r="AE181" s="507">
        <f t="shared" ca="1" si="55"/>
        <v>0</v>
      </c>
      <c r="AF181" s="11">
        <f t="shared" ca="1" si="43"/>
        <v>0</v>
      </c>
      <c r="AI181" s="4">
        <v>369</v>
      </c>
      <c r="AJ181" s="5" t="s">
        <v>517</v>
      </c>
      <c r="AK181" s="5" t="s">
        <v>507</v>
      </c>
      <c r="AL181" s="5" t="s">
        <v>518</v>
      </c>
      <c r="AM181" s="5" t="s">
        <v>500</v>
      </c>
      <c r="AN181" s="5" t="s">
        <v>18</v>
      </c>
      <c r="AO181" s="5" t="s">
        <v>12</v>
      </c>
      <c r="AP181" s="5" t="s">
        <v>481</v>
      </c>
      <c r="AQ181" s="5" t="s">
        <v>411</v>
      </c>
      <c r="AR181" s="5" t="s">
        <v>18</v>
      </c>
      <c r="AS181" s="6"/>
      <c r="AU181" s="5"/>
      <c r="AV181" s="5"/>
      <c r="AW181" s="5"/>
      <c r="AX181" s="5"/>
      <c r="AY181" s="5"/>
      <c r="BA181" s="34"/>
      <c r="BB181" s="35"/>
      <c r="BC181" s="36"/>
      <c r="BE181" s="34"/>
      <c r="BF181" s="35"/>
      <c r="BG181" s="36"/>
      <c r="BI181" s="34"/>
      <c r="BJ181" s="35"/>
      <c r="BK181" s="36"/>
      <c r="BM181" s="34"/>
      <c r="BN181" s="35"/>
      <c r="BO181" s="36"/>
      <c r="BQ181" s="34"/>
      <c r="BR181" s="35"/>
      <c r="BS181" s="36"/>
      <c r="BU181" s="34"/>
      <c r="BV181" s="35"/>
      <c r="BW181" s="36"/>
      <c r="BY181" s="34"/>
      <c r="BZ181" s="35"/>
      <c r="CA181" s="36"/>
      <c r="CC181" s="34"/>
      <c r="CD181" s="35"/>
      <c r="CE181" s="36"/>
      <c r="CG181" s="34"/>
      <c r="CH181" s="35"/>
      <c r="CI181" s="36"/>
      <c r="CK181" s="34"/>
      <c r="CL181" s="35"/>
      <c r="CM181" s="36"/>
      <c r="CO181" s="34"/>
      <c r="CP181" s="35"/>
      <c r="CQ181" s="36"/>
      <c r="CS181" s="34"/>
      <c r="CT181" s="35"/>
      <c r="CU181" s="36"/>
    </row>
    <row r="182" spans="1:99">
      <c r="A182" s="1803" t="s">
        <v>2294</v>
      </c>
      <c r="B182" s="1803" t="s">
        <v>4135</v>
      </c>
      <c r="R182" s="506"/>
      <c r="S182" s="506"/>
      <c r="T182" s="507">
        <f t="shared" ca="1" si="44"/>
        <v>0</v>
      </c>
      <c r="U182" s="507">
        <f t="shared" ca="1" si="45"/>
        <v>0</v>
      </c>
      <c r="V182" s="507">
        <f t="shared" ca="1" si="46"/>
        <v>0</v>
      </c>
      <c r="W182" s="507">
        <f t="shared" ca="1" si="47"/>
        <v>0</v>
      </c>
      <c r="X182" s="507">
        <f t="shared" ca="1" si="48"/>
        <v>0</v>
      </c>
      <c r="Y182" s="507">
        <f t="shared" ca="1" si="49"/>
        <v>0</v>
      </c>
      <c r="Z182" s="507">
        <f t="shared" ca="1" si="50"/>
        <v>0</v>
      </c>
      <c r="AA182" s="507">
        <f t="shared" ca="1" si="51"/>
        <v>0</v>
      </c>
      <c r="AB182" s="507">
        <f t="shared" ca="1" si="52"/>
        <v>0</v>
      </c>
      <c r="AC182" s="507">
        <f t="shared" ca="1" si="53"/>
        <v>0</v>
      </c>
      <c r="AD182" s="507">
        <f t="shared" ca="1" si="54"/>
        <v>0</v>
      </c>
      <c r="AE182" s="507">
        <f t="shared" ca="1" si="55"/>
        <v>0</v>
      </c>
      <c r="AF182" s="11">
        <f t="shared" ca="1" si="43"/>
        <v>0</v>
      </c>
      <c r="AI182" s="4">
        <v>371</v>
      </c>
      <c r="AJ182" s="5" t="s">
        <v>519</v>
      </c>
      <c r="AK182" s="5" t="s">
        <v>507</v>
      </c>
      <c r="AL182" s="5" t="s">
        <v>520</v>
      </c>
      <c r="AM182" s="5" t="s">
        <v>500</v>
      </c>
      <c r="AN182" s="5" t="s">
        <v>18</v>
      </c>
      <c r="AO182" s="5" t="s">
        <v>12</v>
      </c>
      <c r="AP182" s="5" t="s">
        <v>481</v>
      </c>
      <c r="AQ182" s="5" t="s">
        <v>411</v>
      </c>
      <c r="AR182" s="5" t="s">
        <v>18</v>
      </c>
      <c r="AS182" s="6"/>
      <c r="AU182" s="5"/>
      <c r="AV182" s="5"/>
      <c r="AW182" s="5"/>
      <c r="AX182" s="5"/>
      <c r="AY182" s="5"/>
      <c r="BA182" s="34"/>
      <c r="BB182" s="35"/>
      <c r="BC182" s="36"/>
      <c r="BE182" s="34"/>
      <c r="BF182" s="35"/>
      <c r="BG182" s="36"/>
      <c r="BI182" s="34"/>
      <c r="BJ182" s="35"/>
      <c r="BK182" s="36"/>
      <c r="BM182" s="34"/>
      <c r="BN182" s="35"/>
      <c r="BO182" s="36"/>
      <c r="BQ182" s="34"/>
      <c r="BR182" s="35"/>
      <c r="BS182" s="36"/>
      <c r="BU182" s="34"/>
      <c r="BV182" s="35"/>
      <c r="BW182" s="36"/>
      <c r="BY182" s="34"/>
      <c r="BZ182" s="35"/>
      <c r="CA182" s="36"/>
      <c r="CC182" s="34"/>
      <c r="CD182" s="35"/>
      <c r="CE182" s="36"/>
      <c r="CG182" s="34"/>
      <c r="CH182" s="35"/>
      <c r="CI182" s="36"/>
      <c r="CK182" s="34"/>
      <c r="CL182" s="35"/>
      <c r="CM182" s="36"/>
      <c r="CO182" s="34"/>
      <c r="CP182" s="35"/>
      <c r="CQ182" s="36"/>
      <c r="CS182" s="34"/>
      <c r="CT182" s="35"/>
      <c r="CU182" s="36"/>
    </row>
    <row r="183" spans="1:99">
      <c r="A183" s="1803" t="s">
        <v>3934</v>
      </c>
      <c r="B183" s="1803" t="s">
        <v>4136</v>
      </c>
      <c r="R183" s="506"/>
      <c r="S183" s="506"/>
      <c r="T183" s="507">
        <f t="shared" ca="1" si="44"/>
        <v>0</v>
      </c>
      <c r="U183" s="507">
        <f t="shared" ca="1" si="45"/>
        <v>0</v>
      </c>
      <c r="V183" s="507">
        <f t="shared" ca="1" si="46"/>
        <v>0</v>
      </c>
      <c r="W183" s="507">
        <f t="shared" ca="1" si="47"/>
        <v>0</v>
      </c>
      <c r="X183" s="507">
        <f t="shared" ca="1" si="48"/>
        <v>0</v>
      </c>
      <c r="Y183" s="507">
        <f t="shared" ca="1" si="49"/>
        <v>0</v>
      </c>
      <c r="Z183" s="507">
        <f t="shared" ca="1" si="50"/>
        <v>0</v>
      </c>
      <c r="AA183" s="507">
        <f t="shared" ca="1" si="51"/>
        <v>0</v>
      </c>
      <c r="AB183" s="507">
        <f t="shared" ca="1" si="52"/>
        <v>0</v>
      </c>
      <c r="AC183" s="507">
        <f t="shared" ca="1" si="53"/>
        <v>0</v>
      </c>
      <c r="AD183" s="507">
        <f t="shared" ca="1" si="54"/>
        <v>0</v>
      </c>
      <c r="AE183" s="507">
        <f t="shared" ca="1" si="55"/>
        <v>0</v>
      </c>
      <c r="AF183" s="11">
        <f t="shared" ca="1" si="43"/>
        <v>0</v>
      </c>
      <c r="AI183" s="4">
        <v>373</v>
      </c>
      <c r="AJ183" s="5" t="s">
        <v>521</v>
      </c>
      <c r="AK183" s="5" t="s">
        <v>507</v>
      </c>
      <c r="AL183" s="5" t="s">
        <v>522</v>
      </c>
      <c r="AM183" s="5" t="s">
        <v>500</v>
      </c>
      <c r="AN183" s="5" t="s">
        <v>18</v>
      </c>
      <c r="AO183" s="5" t="s">
        <v>12</v>
      </c>
      <c r="AP183" s="5" t="s">
        <v>481</v>
      </c>
      <c r="AQ183" s="5" t="s">
        <v>411</v>
      </c>
      <c r="AR183" s="5" t="s">
        <v>18</v>
      </c>
      <c r="AS183" s="6"/>
      <c r="AU183" s="5"/>
      <c r="AV183" s="5"/>
      <c r="AW183" s="5"/>
      <c r="AX183" s="5"/>
      <c r="AY183" s="5"/>
      <c r="BA183" s="34"/>
      <c r="BB183" s="35"/>
      <c r="BC183" s="36"/>
      <c r="BE183" s="34"/>
      <c r="BF183" s="35"/>
      <c r="BG183" s="36"/>
      <c r="BI183" s="34"/>
      <c r="BJ183" s="35"/>
      <c r="BK183" s="36"/>
      <c r="BM183" s="34"/>
      <c r="BN183" s="35"/>
      <c r="BO183" s="36"/>
      <c r="BQ183" s="34"/>
      <c r="BR183" s="35"/>
      <c r="BS183" s="36"/>
      <c r="BU183" s="34"/>
      <c r="BV183" s="35"/>
      <c r="BW183" s="36"/>
      <c r="BY183" s="34"/>
      <c r="BZ183" s="35"/>
      <c r="CA183" s="36"/>
      <c r="CC183" s="34"/>
      <c r="CD183" s="35"/>
      <c r="CE183" s="36"/>
      <c r="CG183" s="34"/>
      <c r="CH183" s="35"/>
      <c r="CI183" s="36"/>
      <c r="CK183" s="34"/>
      <c r="CL183" s="35"/>
      <c r="CM183" s="36"/>
      <c r="CO183" s="34"/>
      <c r="CP183" s="35"/>
      <c r="CQ183" s="36"/>
      <c r="CS183" s="34"/>
      <c r="CT183" s="35"/>
      <c r="CU183" s="36"/>
    </row>
    <row r="184" spans="1:99">
      <c r="A184" s="1801">
        <v>2.2999999999999998</v>
      </c>
      <c r="B184" s="1802" t="s">
        <v>4137</v>
      </c>
      <c r="R184" s="506"/>
      <c r="S184" s="506"/>
      <c r="T184" s="507">
        <f t="shared" ca="1" si="44"/>
        <v>0</v>
      </c>
      <c r="U184" s="507">
        <f t="shared" ca="1" si="45"/>
        <v>0</v>
      </c>
      <c r="V184" s="507">
        <f t="shared" ca="1" si="46"/>
        <v>0</v>
      </c>
      <c r="W184" s="507">
        <f t="shared" ca="1" si="47"/>
        <v>0</v>
      </c>
      <c r="X184" s="507">
        <f t="shared" ca="1" si="48"/>
        <v>0</v>
      </c>
      <c r="Y184" s="507">
        <f t="shared" ca="1" si="49"/>
        <v>0</v>
      </c>
      <c r="Z184" s="507">
        <f t="shared" ca="1" si="50"/>
        <v>0</v>
      </c>
      <c r="AA184" s="507">
        <f t="shared" ca="1" si="51"/>
        <v>0</v>
      </c>
      <c r="AB184" s="507">
        <f t="shared" ca="1" si="52"/>
        <v>0</v>
      </c>
      <c r="AC184" s="507">
        <f t="shared" ca="1" si="53"/>
        <v>0</v>
      </c>
      <c r="AD184" s="507">
        <f t="shared" ca="1" si="54"/>
        <v>0</v>
      </c>
      <c r="AE184" s="507">
        <f t="shared" ca="1" si="55"/>
        <v>0</v>
      </c>
      <c r="AF184" s="11">
        <f t="shared" ca="1" si="43"/>
        <v>0</v>
      </c>
      <c r="AI184" s="4">
        <v>375</v>
      </c>
      <c r="AJ184" s="5" t="s">
        <v>523</v>
      </c>
      <c r="AK184" s="5" t="s">
        <v>507</v>
      </c>
      <c r="AL184" s="5" t="s">
        <v>524</v>
      </c>
      <c r="AM184" s="5" t="s">
        <v>500</v>
      </c>
      <c r="AN184" s="5" t="s">
        <v>18</v>
      </c>
      <c r="AO184" s="5" t="s">
        <v>12</v>
      </c>
      <c r="AP184" s="5" t="s">
        <v>481</v>
      </c>
      <c r="AQ184" s="5" t="s">
        <v>411</v>
      </c>
      <c r="AR184" s="5" t="s">
        <v>18</v>
      </c>
      <c r="AS184" s="6"/>
      <c r="AU184" s="5"/>
      <c r="AV184" s="5"/>
      <c r="AW184" s="5"/>
      <c r="AX184" s="5"/>
      <c r="AY184" s="5"/>
      <c r="BA184" s="34"/>
      <c r="BB184" s="35"/>
      <c r="BC184" s="36"/>
      <c r="BE184" s="34"/>
      <c r="BF184" s="35"/>
      <c r="BG184" s="36"/>
      <c r="BI184" s="34"/>
      <c r="BJ184" s="35"/>
      <c r="BK184" s="36"/>
      <c r="BM184" s="34"/>
      <c r="BN184" s="35"/>
      <c r="BO184" s="36"/>
      <c r="BQ184" s="34"/>
      <c r="BR184" s="35"/>
      <c r="BS184" s="36"/>
      <c r="BU184" s="34"/>
      <c r="BV184" s="35"/>
      <c r="BW184" s="36"/>
      <c r="BY184" s="34"/>
      <c r="BZ184" s="35"/>
      <c r="CA184" s="36"/>
      <c r="CC184" s="34"/>
      <c r="CD184" s="35"/>
      <c r="CE184" s="36"/>
      <c r="CG184" s="34"/>
      <c r="CH184" s="35"/>
      <c r="CI184" s="36"/>
      <c r="CK184" s="34"/>
      <c r="CL184" s="35"/>
      <c r="CM184" s="36"/>
      <c r="CO184" s="34"/>
      <c r="CP184" s="35"/>
      <c r="CQ184" s="36"/>
      <c r="CS184" s="34"/>
      <c r="CT184" s="35"/>
      <c r="CU184" s="36"/>
    </row>
    <row r="185" spans="1:99">
      <c r="A185" s="1803" t="s">
        <v>785</v>
      </c>
      <c r="B185" s="1803" t="s">
        <v>4138</v>
      </c>
      <c r="R185" s="506"/>
      <c r="S185" s="506"/>
      <c r="T185" s="507">
        <f t="shared" ca="1" si="44"/>
        <v>0</v>
      </c>
      <c r="U185" s="507">
        <f t="shared" ca="1" si="45"/>
        <v>0</v>
      </c>
      <c r="V185" s="507">
        <f t="shared" ca="1" si="46"/>
        <v>0</v>
      </c>
      <c r="W185" s="507">
        <f t="shared" ca="1" si="47"/>
        <v>0</v>
      </c>
      <c r="X185" s="507">
        <f t="shared" ca="1" si="48"/>
        <v>0</v>
      </c>
      <c r="Y185" s="507">
        <f t="shared" ca="1" si="49"/>
        <v>0</v>
      </c>
      <c r="Z185" s="507">
        <f t="shared" ca="1" si="50"/>
        <v>0</v>
      </c>
      <c r="AA185" s="507">
        <f t="shared" ca="1" si="51"/>
        <v>0</v>
      </c>
      <c r="AB185" s="507">
        <f t="shared" ca="1" si="52"/>
        <v>0</v>
      </c>
      <c r="AC185" s="507">
        <f t="shared" ca="1" si="53"/>
        <v>0</v>
      </c>
      <c r="AD185" s="507">
        <f t="shared" ca="1" si="54"/>
        <v>0</v>
      </c>
      <c r="AE185" s="507">
        <f t="shared" ca="1" si="55"/>
        <v>0</v>
      </c>
      <c r="AF185" s="11">
        <f t="shared" ca="1" si="43"/>
        <v>0</v>
      </c>
      <c r="AI185" s="4">
        <v>377</v>
      </c>
      <c r="AJ185" s="5" t="s">
        <v>905</v>
      </c>
      <c r="AK185" s="5" t="s">
        <v>507</v>
      </c>
      <c r="AL185" s="5" t="s">
        <v>906</v>
      </c>
      <c r="AM185" s="5" t="s">
        <v>0</v>
      </c>
      <c r="AN185" s="5" t="s">
        <v>18</v>
      </c>
      <c r="AO185" s="5" t="s">
        <v>12</v>
      </c>
      <c r="AP185" s="5" t="s">
        <v>17</v>
      </c>
      <c r="AQ185" s="5" t="s">
        <v>139</v>
      </c>
      <c r="AR185" s="5" t="s">
        <v>18</v>
      </c>
      <c r="AS185" s="6"/>
      <c r="AU185" s="5"/>
      <c r="AV185" s="5"/>
      <c r="AW185" s="5"/>
      <c r="AX185" s="5"/>
      <c r="AY185" s="5"/>
      <c r="BA185" s="34"/>
      <c r="BB185" s="35"/>
      <c r="BC185" s="36"/>
      <c r="BE185" s="34"/>
      <c r="BF185" s="35"/>
      <c r="BG185" s="36"/>
      <c r="BI185" s="34"/>
      <c r="BJ185" s="35"/>
      <c r="BK185" s="36"/>
      <c r="BM185" s="34"/>
      <c r="BN185" s="35"/>
      <c r="BO185" s="36"/>
      <c r="BQ185" s="34"/>
      <c r="BR185" s="35"/>
      <c r="BS185" s="36"/>
      <c r="BU185" s="34"/>
      <c r="BV185" s="35"/>
      <c r="BW185" s="36"/>
      <c r="BY185" s="34"/>
      <c r="BZ185" s="35"/>
      <c r="CA185" s="36"/>
      <c r="CC185" s="34"/>
      <c r="CD185" s="35"/>
      <c r="CE185" s="36"/>
      <c r="CG185" s="34"/>
      <c r="CH185" s="35"/>
      <c r="CI185" s="36"/>
      <c r="CK185" s="34"/>
      <c r="CL185" s="35"/>
      <c r="CM185" s="36"/>
      <c r="CO185" s="34"/>
      <c r="CP185" s="35"/>
      <c r="CQ185" s="36"/>
      <c r="CS185" s="34"/>
      <c r="CT185" s="35"/>
      <c r="CU185" s="36"/>
    </row>
    <row r="186" spans="1:99">
      <c r="A186" s="1803" t="s">
        <v>4139</v>
      </c>
      <c r="B186" s="1803" t="s">
        <v>4140</v>
      </c>
      <c r="R186" s="506"/>
      <c r="S186" s="506"/>
      <c r="T186" s="507">
        <f t="shared" ca="1" si="44"/>
        <v>0</v>
      </c>
      <c r="U186" s="507">
        <f t="shared" ca="1" si="45"/>
        <v>0</v>
      </c>
      <c r="V186" s="507">
        <f t="shared" ca="1" si="46"/>
        <v>0</v>
      </c>
      <c r="W186" s="507">
        <f t="shared" ca="1" si="47"/>
        <v>0</v>
      </c>
      <c r="X186" s="507">
        <f t="shared" ca="1" si="48"/>
        <v>0</v>
      </c>
      <c r="Y186" s="507">
        <f t="shared" ca="1" si="49"/>
        <v>0</v>
      </c>
      <c r="Z186" s="507">
        <f t="shared" ca="1" si="50"/>
        <v>0</v>
      </c>
      <c r="AA186" s="507">
        <f t="shared" ca="1" si="51"/>
        <v>0</v>
      </c>
      <c r="AB186" s="507">
        <f t="shared" ca="1" si="52"/>
        <v>0</v>
      </c>
      <c r="AC186" s="507">
        <f t="shared" ca="1" si="53"/>
        <v>0</v>
      </c>
      <c r="AD186" s="507">
        <f t="shared" ca="1" si="54"/>
        <v>0</v>
      </c>
      <c r="AE186" s="507">
        <f t="shared" ca="1" si="55"/>
        <v>0</v>
      </c>
      <c r="AF186" s="11">
        <f t="shared" ca="1" si="43"/>
        <v>0</v>
      </c>
      <c r="AI186" s="4">
        <v>379</v>
      </c>
      <c r="AJ186" s="5" t="s">
        <v>529</v>
      </c>
      <c r="AK186" s="5" t="s">
        <v>527</v>
      </c>
      <c r="AL186" s="5" t="s">
        <v>530</v>
      </c>
      <c r="AM186" s="5" t="s">
        <v>531</v>
      </c>
      <c r="AN186" s="5" t="s">
        <v>18</v>
      </c>
      <c r="AO186" s="5" t="s">
        <v>12</v>
      </c>
      <c r="AP186" s="5" t="s">
        <v>481</v>
      </c>
      <c r="AQ186" s="5" t="s">
        <v>411</v>
      </c>
      <c r="AR186" s="5" t="s">
        <v>18</v>
      </c>
      <c r="AS186" s="6"/>
      <c r="AU186" s="5"/>
      <c r="AV186" s="5"/>
      <c r="AW186" s="5"/>
      <c r="AX186" s="5"/>
      <c r="AY186" s="5"/>
      <c r="BA186" s="34"/>
      <c r="BB186" s="35"/>
      <c r="BC186" s="36"/>
      <c r="BE186" s="34"/>
      <c r="BF186" s="35"/>
      <c r="BG186" s="36"/>
      <c r="BI186" s="34"/>
      <c r="BJ186" s="35"/>
      <c r="BK186" s="36"/>
      <c r="BM186" s="34"/>
      <c r="BN186" s="35"/>
      <c r="BO186" s="36"/>
      <c r="BQ186" s="34"/>
      <c r="BR186" s="35"/>
      <c r="BS186" s="36"/>
      <c r="BU186" s="34"/>
      <c r="BV186" s="35"/>
      <c r="BW186" s="36"/>
      <c r="BY186" s="34"/>
      <c r="BZ186" s="35"/>
      <c r="CA186" s="36"/>
      <c r="CC186" s="34"/>
      <c r="CD186" s="35"/>
      <c r="CE186" s="36"/>
      <c r="CG186" s="34"/>
      <c r="CH186" s="35"/>
      <c r="CI186" s="36"/>
      <c r="CK186" s="34"/>
      <c r="CL186" s="35"/>
      <c r="CM186" s="36"/>
      <c r="CO186" s="34"/>
      <c r="CP186" s="35"/>
      <c r="CQ186" s="36"/>
      <c r="CS186" s="34"/>
      <c r="CT186" s="35"/>
      <c r="CU186" s="36"/>
    </row>
    <row r="187" spans="1:99">
      <c r="A187" s="1803" t="s">
        <v>4141</v>
      </c>
      <c r="B187" s="1803" t="s">
        <v>4142</v>
      </c>
      <c r="R187" s="506"/>
      <c r="S187" s="506"/>
      <c r="T187" s="507">
        <f t="shared" ca="1" si="44"/>
        <v>0</v>
      </c>
      <c r="U187" s="507">
        <f t="shared" ca="1" si="45"/>
        <v>0</v>
      </c>
      <c r="V187" s="507">
        <f t="shared" ca="1" si="46"/>
        <v>0</v>
      </c>
      <c r="W187" s="507">
        <f t="shared" ca="1" si="47"/>
        <v>0</v>
      </c>
      <c r="X187" s="507">
        <f t="shared" ca="1" si="48"/>
        <v>0</v>
      </c>
      <c r="Y187" s="507">
        <f t="shared" ca="1" si="49"/>
        <v>0</v>
      </c>
      <c r="Z187" s="507">
        <f t="shared" ca="1" si="50"/>
        <v>0</v>
      </c>
      <c r="AA187" s="507">
        <f t="shared" ca="1" si="51"/>
        <v>0</v>
      </c>
      <c r="AB187" s="507">
        <f t="shared" ca="1" si="52"/>
        <v>0</v>
      </c>
      <c r="AC187" s="507">
        <f t="shared" ca="1" si="53"/>
        <v>0</v>
      </c>
      <c r="AD187" s="507">
        <f t="shared" ca="1" si="54"/>
        <v>0</v>
      </c>
      <c r="AE187" s="507">
        <f t="shared" ca="1" si="55"/>
        <v>0</v>
      </c>
      <c r="AF187" s="11">
        <f t="shared" ca="1" si="43"/>
        <v>0</v>
      </c>
      <c r="AI187" s="4">
        <v>381</v>
      </c>
      <c r="AJ187" s="5" t="s">
        <v>532</v>
      </c>
      <c r="AK187" s="5" t="s">
        <v>527</v>
      </c>
      <c r="AL187" s="5" t="s">
        <v>533</v>
      </c>
      <c r="AM187" s="5" t="s">
        <v>534</v>
      </c>
      <c r="AN187" s="5" t="s">
        <v>18</v>
      </c>
      <c r="AO187" s="5" t="s">
        <v>12</v>
      </c>
      <c r="AP187" s="5" t="s">
        <v>481</v>
      </c>
      <c r="AQ187" s="5" t="s">
        <v>411</v>
      </c>
      <c r="AR187" s="5" t="s">
        <v>18</v>
      </c>
      <c r="AS187" s="6"/>
      <c r="AU187" s="5"/>
      <c r="AV187" s="5"/>
      <c r="AW187" s="5"/>
      <c r="AX187" s="5"/>
      <c r="AY187" s="5"/>
      <c r="BA187" s="34"/>
      <c r="BB187" s="35"/>
      <c r="BC187" s="36"/>
      <c r="BE187" s="34"/>
      <c r="BF187" s="35"/>
      <c r="BG187" s="36"/>
      <c r="BI187" s="34"/>
      <c r="BJ187" s="35"/>
      <c r="BK187" s="36"/>
      <c r="BM187" s="34"/>
      <c r="BN187" s="35"/>
      <c r="BO187" s="36"/>
      <c r="BQ187" s="34"/>
      <c r="BR187" s="35"/>
      <c r="BS187" s="36"/>
      <c r="BU187" s="34"/>
      <c r="BV187" s="35"/>
      <c r="BW187" s="36"/>
      <c r="BY187" s="34"/>
      <c r="BZ187" s="35"/>
      <c r="CA187" s="36"/>
      <c r="CC187" s="34"/>
      <c r="CD187" s="35"/>
      <c r="CE187" s="36"/>
      <c r="CG187" s="34"/>
      <c r="CH187" s="35"/>
      <c r="CI187" s="36"/>
      <c r="CK187" s="34"/>
      <c r="CL187" s="35"/>
      <c r="CM187" s="36"/>
      <c r="CO187" s="34"/>
      <c r="CP187" s="35"/>
      <c r="CQ187" s="36"/>
      <c r="CS187" s="34"/>
      <c r="CT187" s="35"/>
      <c r="CU187" s="36"/>
    </row>
    <row r="188" spans="1:99">
      <c r="A188" s="1803" t="s">
        <v>4004</v>
      </c>
      <c r="B188" s="1803" t="s">
        <v>4005</v>
      </c>
      <c r="R188" s="506"/>
      <c r="S188" s="506"/>
      <c r="T188" s="507">
        <f t="shared" ca="1" si="44"/>
        <v>0</v>
      </c>
      <c r="U188" s="507">
        <f t="shared" ca="1" si="45"/>
        <v>0</v>
      </c>
      <c r="V188" s="507">
        <f t="shared" ca="1" si="46"/>
        <v>0</v>
      </c>
      <c r="W188" s="507">
        <f t="shared" ca="1" si="47"/>
        <v>0</v>
      </c>
      <c r="X188" s="507">
        <f t="shared" ca="1" si="48"/>
        <v>0</v>
      </c>
      <c r="Y188" s="507">
        <f t="shared" ca="1" si="49"/>
        <v>0</v>
      </c>
      <c r="Z188" s="507">
        <f t="shared" ca="1" si="50"/>
        <v>0</v>
      </c>
      <c r="AA188" s="507">
        <f t="shared" ca="1" si="51"/>
        <v>0</v>
      </c>
      <c r="AB188" s="507">
        <f t="shared" ca="1" si="52"/>
        <v>0</v>
      </c>
      <c r="AC188" s="507">
        <f t="shared" ca="1" si="53"/>
        <v>0</v>
      </c>
      <c r="AD188" s="507">
        <f t="shared" ca="1" si="54"/>
        <v>0</v>
      </c>
      <c r="AE188" s="507">
        <f t="shared" ca="1" si="55"/>
        <v>0</v>
      </c>
      <c r="AF188" s="11">
        <f t="shared" ca="1" si="43"/>
        <v>0</v>
      </c>
      <c r="AI188" s="4">
        <v>383</v>
      </c>
      <c r="AJ188" s="5" t="s">
        <v>535</v>
      </c>
      <c r="AK188" s="5" t="s">
        <v>527</v>
      </c>
      <c r="AL188" s="5" t="s">
        <v>536</v>
      </c>
      <c r="AM188" s="5" t="s">
        <v>537</v>
      </c>
      <c r="AN188" s="5" t="s">
        <v>18</v>
      </c>
      <c r="AO188" s="5" t="s">
        <v>12</v>
      </c>
      <c r="AP188" s="5" t="s">
        <v>481</v>
      </c>
      <c r="AQ188" s="5" t="s">
        <v>411</v>
      </c>
      <c r="AR188" s="5" t="s">
        <v>18</v>
      </c>
      <c r="AS188" s="6"/>
      <c r="AU188" s="5"/>
      <c r="AV188" s="5"/>
      <c r="AW188" s="5"/>
      <c r="AX188" s="5"/>
      <c r="AY188" s="5"/>
      <c r="BA188" s="34"/>
      <c r="BB188" s="35"/>
      <c r="BC188" s="36"/>
      <c r="BE188" s="34"/>
      <c r="BF188" s="35"/>
      <c r="BG188" s="36"/>
      <c r="BI188" s="34"/>
      <c r="BJ188" s="35"/>
      <c r="BK188" s="36"/>
      <c r="BM188" s="34"/>
      <c r="BN188" s="35"/>
      <c r="BO188" s="36"/>
      <c r="BQ188" s="34"/>
      <c r="BR188" s="35"/>
      <c r="BS188" s="36"/>
      <c r="BU188" s="34"/>
      <c r="BV188" s="35"/>
      <c r="BW188" s="36"/>
      <c r="BY188" s="34"/>
      <c r="BZ188" s="35"/>
      <c r="CA188" s="36"/>
      <c r="CC188" s="34"/>
      <c r="CD188" s="35"/>
      <c r="CE188" s="36"/>
      <c r="CG188" s="34"/>
      <c r="CH188" s="35"/>
      <c r="CI188" s="36"/>
      <c r="CK188" s="34"/>
      <c r="CL188" s="35"/>
      <c r="CM188" s="36"/>
      <c r="CO188" s="34"/>
      <c r="CP188" s="35"/>
      <c r="CQ188" s="36"/>
      <c r="CS188" s="34"/>
      <c r="CT188" s="35"/>
      <c r="CU188" s="36"/>
    </row>
    <row r="189" spans="1:99">
      <c r="A189" s="1803" t="s">
        <v>788</v>
      </c>
      <c r="B189" s="1803" t="s">
        <v>4143</v>
      </c>
      <c r="R189" s="506"/>
      <c r="S189" s="506"/>
      <c r="T189" s="507">
        <f t="shared" ca="1" si="44"/>
        <v>0</v>
      </c>
      <c r="U189" s="507">
        <f t="shared" ca="1" si="45"/>
        <v>0</v>
      </c>
      <c r="V189" s="507">
        <f t="shared" ca="1" si="46"/>
        <v>0</v>
      </c>
      <c r="W189" s="507">
        <f t="shared" ca="1" si="47"/>
        <v>0</v>
      </c>
      <c r="X189" s="507">
        <f t="shared" ca="1" si="48"/>
        <v>0</v>
      </c>
      <c r="Y189" s="507">
        <f t="shared" ca="1" si="49"/>
        <v>0</v>
      </c>
      <c r="Z189" s="507">
        <f t="shared" ca="1" si="50"/>
        <v>0</v>
      </c>
      <c r="AA189" s="507">
        <f t="shared" ca="1" si="51"/>
        <v>0</v>
      </c>
      <c r="AB189" s="507">
        <f t="shared" ca="1" si="52"/>
        <v>0</v>
      </c>
      <c r="AC189" s="507">
        <f t="shared" ca="1" si="53"/>
        <v>0</v>
      </c>
      <c r="AD189" s="507">
        <f t="shared" ca="1" si="54"/>
        <v>0</v>
      </c>
      <c r="AE189" s="507">
        <f t="shared" ca="1" si="55"/>
        <v>0</v>
      </c>
      <c r="AF189" s="11">
        <f t="shared" ca="1" si="43"/>
        <v>0</v>
      </c>
      <c r="AI189" s="4">
        <v>385</v>
      </c>
      <c r="AJ189" s="5" t="s">
        <v>538</v>
      </c>
      <c r="AK189" s="5" t="s">
        <v>527</v>
      </c>
      <c r="AL189" s="5" t="s">
        <v>539</v>
      </c>
      <c r="AM189" s="5" t="s">
        <v>540</v>
      </c>
      <c r="AN189" s="5" t="s">
        <v>18</v>
      </c>
      <c r="AO189" s="5" t="s">
        <v>12</v>
      </c>
      <c r="AP189" s="5" t="s">
        <v>481</v>
      </c>
      <c r="AQ189" s="5" t="s">
        <v>411</v>
      </c>
      <c r="AR189" s="5" t="s">
        <v>18</v>
      </c>
      <c r="AS189" s="6"/>
      <c r="AU189" s="5"/>
      <c r="AV189" s="5"/>
      <c r="AW189" s="5"/>
      <c r="AX189" s="5"/>
      <c r="AY189" s="5"/>
      <c r="BA189" s="34"/>
      <c r="BB189" s="35"/>
      <c r="BC189" s="36"/>
      <c r="BE189" s="34"/>
      <c r="BF189" s="35"/>
      <c r="BG189" s="36"/>
      <c r="BI189" s="34"/>
      <c r="BJ189" s="35"/>
      <c r="BK189" s="36"/>
      <c r="BM189" s="34"/>
      <c r="BN189" s="35"/>
      <c r="BO189" s="36"/>
      <c r="BQ189" s="34"/>
      <c r="BR189" s="35"/>
      <c r="BS189" s="36"/>
      <c r="BU189" s="34"/>
      <c r="BV189" s="35"/>
      <c r="BW189" s="36"/>
      <c r="BY189" s="34"/>
      <c r="BZ189" s="35"/>
      <c r="CA189" s="36"/>
      <c r="CC189" s="34"/>
      <c r="CD189" s="35"/>
      <c r="CE189" s="36"/>
      <c r="CG189" s="34"/>
      <c r="CH189" s="35"/>
      <c r="CI189" s="36"/>
      <c r="CK189" s="34"/>
      <c r="CL189" s="35"/>
      <c r="CM189" s="36"/>
      <c r="CO189" s="34"/>
      <c r="CP189" s="35"/>
      <c r="CQ189" s="36"/>
      <c r="CS189" s="34"/>
      <c r="CT189" s="35"/>
      <c r="CU189" s="36"/>
    </row>
    <row r="190" spans="1:99">
      <c r="A190" s="1803" t="s">
        <v>3958</v>
      </c>
      <c r="B190" s="1803" t="s">
        <v>4144</v>
      </c>
      <c r="R190" s="506"/>
      <c r="S190" s="506"/>
      <c r="T190" s="507">
        <f t="shared" ca="1" si="44"/>
        <v>0</v>
      </c>
      <c r="U190" s="507">
        <f t="shared" ca="1" si="45"/>
        <v>0</v>
      </c>
      <c r="V190" s="507">
        <f t="shared" ca="1" si="46"/>
        <v>0</v>
      </c>
      <c r="W190" s="507">
        <f t="shared" ca="1" si="47"/>
        <v>0</v>
      </c>
      <c r="X190" s="507">
        <f t="shared" ca="1" si="48"/>
        <v>0</v>
      </c>
      <c r="Y190" s="507">
        <f t="shared" ca="1" si="49"/>
        <v>0</v>
      </c>
      <c r="Z190" s="507">
        <f t="shared" ca="1" si="50"/>
        <v>0</v>
      </c>
      <c r="AA190" s="507">
        <f t="shared" ca="1" si="51"/>
        <v>0</v>
      </c>
      <c r="AB190" s="507">
        <f t="shared" ca="1" si="52"/>
        <v>0</v>
      </c>
      <c r="AC190" s="507">
        <f t="shared" ca="1" si="53"/>
        <v>0</v>
      </c>
      <c r="AD190" s="507">
        <f t="shared" ca="1" si="54"/>
        <v>0</v>
      </c>
      <c r="AE190" s="507">
        <f t="shared" ca="1" si="55"/>
        <v>0</v>
      </c>
      <c r="AF190" s="11">
        <f t="shared" ca="1" si="43"/>
        <v>0</v>
      </c>
      <c r="AI190" s="4">
        <v>387</v>
      </c>
      <c r="AJ190" s="5" t="s">
        <v>541</v>
      </c>
      <c r="AK190" s="5" t="s">
        <v>527</v>
      </c>
      <c r="AL190" s="5" t="s">
        <v>542</v>
      </c>
      <c r="AM190" s="5" t="s">
        <v>543</v>
      </c>
      <c r="AN190" s="5" t="s">
        <v>18</v>
      </c>
      <c r="AO190" s="5" t="s">
        <v>12</v>
      </c>
      <c r="AP190" s="5" t="s">
        <v>481</v>
      </c>
      <c r="AQ190" s="5" t="s">
        <v>411</v>
      </c>
      <c r="AR190" s="5" t="s">
        <v>18</v>
      </c>
      <c r="AS190" s="6"/>
      <c r="AU190" s="5"/>
      <c r="AV190" s="5"/>
      <c r="AW190" s="5"/>
      <c r="AX190" s="5"/>
      <c r="AY190" s="5"/>
      <c r="BA190" s="34"/>
      <c r="BB190" s="35"/>
      <c r="BC190" s="36"/>
      <c r="BE190" s="34"/>
      <c r="BF190" s="35"/>
      <c r="BG190" s="36"/>
      <c r="BI190" s="34"/>
      <c r="BJ190" s="35"/>
      <c r="BK190" s="36"/>
      <c r="BM190" s="34"/>
      <c r="BN190" s="35"/>
      <c r="BO190" s="36"/>
      <c r="BQ190" s="34"/>
      <c r="BR190" s="35"/>
      <c r="BS190" s="36"/>
      <c r="BU190" s="34"/>
      <c r="BV190" s="35"/>
      <c r="BW190" s="36"/>
      <c r="BY190" s="34"/>
      <c r="BZ190" s="35"/>
      <c r="CA190" s="36"/>
      <c r="CC190" s="34"/>
      <c r="CD190" s="35"/>
      <c r="CE190" s="36"/>
      <c r="CG190" s="34"/>
      <c r="CH190" s="35"/>
      <c r="CI190" s="36"/>
      <c r="CK190" s="34"/>
      <c r="CL190" s="35"/>
      <c r="CM190" s="36"/>
      <c r="CO190" s="34"/>
      <c r="CP190" s="35"/>
      <c r="CQ190" s="36"/>
      <c r="CS190" s="34"/>
      <c r="CT190" s="35"/>
      <c r="CU190" s="36"/>
    </row>
    <row r="191" spans="1:99">
      <c r="A191" s="1803" t="s">
        <v>791</v>
      </c>
      <c r="B191" s="1803" t="s">
        <v>4145</v>
      </c>
      <c r="R191" s="506"/>
      <c r="S191" s="506"/>
      <c r="T191" s="507">
        <f t="shared" ca="1" si="44"/>
        <v>0</v>
      </c>
      <c r="U191" s="507">
        <f t="shared" ca="1" si="45"/>
        <v>0</v>
      </c>
      <c r="V191" s="507">
        <f t="shared" ca="1" si="46"/>
        <v>0</v>
      </c>
      <c r="W191" s="507">
        <f t="shared" ca="1" si="47"/>
        <v>0</v>
      </c>
      <c r="X191" s="507">
        <f t="shared" ca="1" si="48"/>
        <v>0</v>
      </c>
      <c r="Y191" s="507">
        <f t="shared" ca="1" si="49"/>
        <v>0</v>
      </c>
      <c r="Z191" s="507">
        <f t="shared" ca="1" si="50"/>
        <v>0</v>
      </c>
      <c r="AA191" s="507">
        <f t="shared" ca="1" si="51"/>
        <v>0</v>
      </c>
      <c r="AB191" s="507">
        <f t="shared" ca="1" si="52"/>
        <v>0</v>
      </c>
      <c r="AC191" s="507">
        <f t="shared" ca="1" si="53"/>
        <v>0</v>
      </c>
      <c r="AD191" s="507">
        <f t="shared" ca="1" si="54"/>
        <v>0</v>
      </c>
      <c r="AE191" s="507">
        <f t="shared" ca="1" si="55"/>
        <v>0</v>
      </c>
      <c r="AF191" s="11">
        <f t="shared" ca="1" si="43"/>
        <v>0</v>
      </c>
      <c r="AI191" s="4">
        <v>389</v>
      </c>
      <c r="AJ191" s="5" t="s">
        <v>544</v>
      </c>
      <c r="AK191" s="5" t="s">
        <v>527</v>
      </c>
      <c r="AL191" s="5" t="s">
        <v>545</v>
      </c>
      <c r="AM191" s="5" t="s">
        <v>546</v>
      </c>
      <c r="AN191" s="5" t="s">
        <v>18</v>
      </c>
      <c r="AO191" s="5" t="s">
        <v>12</v>
      </c>
      <c r="AP191" s="5" t="s">
        <v>481</v>
      </c>
      <c r="AQ191" s="5" t="s">
        <v>411</v>
      </c>
      <c r="AR191" s="5" t="s">
        <v>18</v>
      </c>
      <c r="AS191" s="6"/>
      <c r="AU191" s="5"/>
      <c r="AV191" s="5"/>
      <c r="AW191" s="5"/>
      <c r="AX191" s="5"/>
      <c r="AY191" s="5"/>
      <c r="BA191" s="34"/>
      <c r="BB191" s="35"/>
      <c r="BC191" s="36"/>
      <c r="BE191" s="34"/>
      <c r="BF191" s="35"/>
      <c r="BG191" s="36"/>
      <c r="BI191" s="34"/>
      <c r="BJ191" s="35"/>
      <c r="BK191" s="36"/>
      <c r="BM191" s="34"/>
      <c r="BN191" s="35"/>
      <c r="BO191" s="36"/>
      <c r="BQ191" s="34"/>
      <c r="BR191" s="35"/>
      <c r="BS191" s="36"/>
      <c r="BU191" s="34"/>
      <c r="BV191" s="35"/>
      <c r="BW191" s="36"/>
      <c r="BY191" s="34"/>
      <c r="BZ191" s="35"/>
      <c r="CA191" s="36"/>
      <c r="CC191" s="34"/>
      <c r="CD191" s="35"/>
      <c r="CE191" s="36"/>
      <c r="CG191" s="34"/>
      <c r="CH191" s="35"/>
      <c r="CI191" s="36"/>
      <c r="CK191" s="34"/>
      <c r="CL191" s="35"/>
      <c r="CM191" s="36"/>
      <c r="CO191" s="34"/>
      <c r="CP191" s="35"/>
      <c r="CQ191" s="36"/>
      <c r="CS191" s="34"/>
      <c r="CT191" s="35"/>
      <c r="CU191" s="36"/>
    </row>
    <row r="192" spans="1:99">
      <c r="A192" s="1803" t="s">
        <v>813</v>
      </c>
      <c r="B192" s="1803" t="s">
        <v>3948</v>
      </c>
      <c r="R192" s="506"/>
      <c r="S192" s="506"/>
      <c r="T192" s="507">
        <f t="shared" ca="1" si="44"/>
        <v>0</v>
      </c>
      <c r="U192" s="507">
        <f t="shared" ca="1" si="45"/>
        <v>0</v>
      </c>
      <c r="V192" s="507">
        <f t="shared" ca="1" si="46"/>
        <v>0</v>
      </c>
      <c r="W192" s="507">
        <f t="shared" ca="1" si="47"/>
        <v>0</v>
      </c>
      <c r="X192" s="507">
        <f t="shared" ca="1" si="48"/>
        <v>0</v>
      </c>
      <c r="Y192" s="507">
        <f t="shared" ca="1" si="49"/>
        <v>0</v>
      </c>
      <c r="Z192" s="507">
        <f t="shared" ca="1" si="50"/>
        <v>0</v>
      </c>
      <c r="AA192" s="507">
        <f t="shared" ca="1" si="51"/>
        <v>0</v>
      </c>
      <c r="AB192" s="507">
        <f t="shared" ca="1" si="52"/>
        <v>0</v>
      </c>
      <c r="AC192" s="507">
        <f t="shared" ca="1" si="53"/>
        <v>0</v>
      </c>
      <c r="AD192" s="507">
        <f t="shared" ca="1" si="54"/>
        <v>0</v>
      </c>
      <c r="AE192" s="507">
        <f t="shared" ca="1" si="55"/>
        <v>0</v>
      </c>
      <c r="AF192" s="11">
        <f t="shared" ca="1" si="43"/>
        <v>0</v>
      </c>
      <c r="AI192" s="4">
        <v>391</v>
      </c>
      <c r="AJ192" s="5" t="s">
        <v>551</v>
      </c>
      <c r="AK192" s="5" t="s">
        <v>549</v>
      </c>
      <c r="AL192" s="5" t="s">
        <v>552</v>
      </c>
      <c r="AM192" s="5" t="s">
        <v>0</v>
      </c>
      <c r="AN192" s="5" t="s">
        <v>18</v>
      </c>
      <c r="AO192" s="5" t="s">
        <v>12</v>
      </c>
      <c r="AP192" s="5" t="s">
        <v>481</v>
      </c>
      <c r="AQ192" s="5" t="s">
        <v>411</v>
      </c>
      <c r="AR192" s="5" t="s">
        <v>18</v>
      </c>
      <c r="AS192" s="6"/>
      <c r="AU192" s="5"/>
      <c r="AV192" s="5"/>
      <c r="AW192" s="5"/>
      <c r="AX192" s="5"/>
      <c r="AY192" s="5"/>
      <c r="BA192" s="34"/>
      <c r="BB192" s="35"/>
      <c r="BC192" s="36"/>
      <c r="BE192" s="34"/>
      <c r="BF192" s="35"/>
      <c r="BG192" s="36"/>
      <c r="BI192" s="34"/>
      <c r="BJ192" s="35"/>
      <c r="BK192" s="36"/>
      <c r="BM192" s="34"/>
      <c r="BN192" s="35"/>
      <c r="BO192" s="36"/>
      <c r="BQ192" s="34"/>
      <c r="BR192" s="35"/>
      <c r="BS192" s="36"/>
      <c r="BU192" s="34"/>
      <c r="BV192" s="35"/>
      <c r="BW192" s="36"/>
      <c r="BY192" s="34"/>
      <c r="BZ192" s="35"/>
      <c r="CA192" s="36"/>
      <c r="CC192" s="34"/>
      <c r="CD192" s="35"/>
      <c r="CE192" s="36"/>
      <c r="CG192" s="34"/>
      <c r="CH192" s="35"/>
      <c r="CI192" s="36"/>
      <c r="CK192" s="34"/>
      <c r="CL192" s="35"/>
      <c r="CM192" s="36"/>
      <c r="CO192" s="34"/>
      <c r="CP192" s="35"/>
      <c r="CQ192" s="36"/>
      <c r="CS192" s="34"/>
      <c r="CT192" s="35"/>
      <c r="CU192" s="36"/>
    </row>
    <row r="193" spans="1:99">
      <c r="A193" s="1803" t="s">
        <v>3916</v>
      </c>
      <c r="B193" s="1803" t="s">
        <v>3905</v>
      </c>
      <c r="R193" s="506"/>
      <c r="S193" s="506"/>
      <c r="T193" s="507">
        <f t="shared" ca="1" si="44"/>
        <v>0</v>
      </c>
      <c r="U193" s="507">
        <f t="shared" ca="1" si="45"/>
        <v>0</v>
      </c>
      <c r="V193" s="507">
        <f t="shared" ca="1" si="46"/>
        <v>0</v>
      </c>
      <c r="W193" s="507">
        <f t="shared" ca="1" si="47"/>
        <v>0</v>
      </c>
      <c r="X193" s="507">
        <f t="shared" ca="1" si="48"/>
        <v>0</v>
      </c>
      <c r="Y193" s="507">
        <f t="shared" ca="1" si="49"/>
        <v>0</v>
      </c>
      <c r="Z193" s="507">
        <f t="shared" ca="1" si="50"/>
        <v>0</v>
      </c>
      <c r="AA193" s="507">
        <f t="shared" ca="1" si="51"/>
        <v>0</v>
      </c>
      <c r="AB193" s="507">
        <f t="shared" ca="1" si="52"/>
        <v>0</v>
      </c>
      <c r="AC193" s="507">
        <f t="shared" ca="1" si="53"/>
        <v>0</v>
      </c>
      <c r="AD193" s="507">
        <f t="shared" ca="1" si="54"/>
        <v>0</v>
      </c>
      <c r="AE193" s="507">
        <f t="shared" ca="1" si="55"/>
        <v>0</v>
      </c>
      <c r="AF193" s="11">
        <f t="shared" ca="1" si="43"/>
        <v>0</v>
      </c>
      <c r="AI193" s="4">
        <v>393</v>
      </c>
      <c r="AJ193" s="5" t="s">
        <v>553</v>
      </c>
      <c r="AK193" s="5" t="s">
        <v>549</v>
      </c>
      <c r="AL193" s="5" t="s">
        <v>554</v>
      </c>
      <c r="AM193" s="5" t="s">
        <v>0</v>
      </c>
      <c r="AN193" s="5" t="s">
        <v>18</v>
      </c>
      <c r="AO193" s="5" t="s">
        <v>12</v>
      </c>
      <c r="AP193" s="5" t="s">
        <v>481</v>
      </c>
      <c r="AQ193" s="5" t="s">
        <v>411</v>
      </c>
      <c r="AR193" s="5" t="s">
        <v>18</v>
      </c>
      <c r="AS193" s="6"/>
      <c r="AU193" s="5"/>
      <c r="AV193" s="5"/>
      <c r="AW193" s="5"/>
      <c r="AX193" s="5" t="s">
        <v>0</v>
      </c>
      <c r="AY193" s="5"/>
      <c r="BA193" s="34"/>
      <c r="BB193" s="35"/>
      <c r="BC193" s="36"/>
      <c r="BE193" s="34"/>
      <c r="BF193" s="35"/>
      <c r="BG193" s="36"/>
      <c r="BI193" s="34"/>
      <c r="BJ193" s="35"/>
      <c r="BK193" s="36"/>
      <c r="BM193" s="34"/>
      <c r="BN193" s="35"/>
      <c r="BO193" s="36"/>
      <c r="BQ193" s="34"/>
      <c r="BR193" s="35"/>
      <c r="BS193" s="36"/>
      <c r="BU193" s="34"/>
      <c r="BV193" s="35"/>
      <c r="BW193" s="36"/>
      <c r="BY193" s="34"/>
      <c r="BZ193" s="35"/>
      <c r="CA193" s="36"/>
      <c r="CC193" s="34"/>
      <c r="CD193" s="35"/>
      <c r="CE193" s="36"/>
      <c r="CG193" s="34"/>
      <c r="CH193" s="35"/>
      <c r="CI193" s="36"/>
      <c r="CK193" s="34"/>
      <c r="CL193" s="35"/>
      <c r="CM193" s="36"/>
      <c r="CO193" s="34"/>
      <c r="CP193" s="35"/>
      <c r="CQ193" s="36"/>
      <c r="CS193" s="34"/>
      <c r="CT193" s="35"/>
      <c r="CU193" s="36"/>
    </row>
    <row r="194" spans="1:99">
      <c r="A194" s="1803" t="s">
        <v>3854</v>
      </c>
      <c r="B194" s="1803" t="s">
        <v>3855</v>
      </c>
      <c r="R194" s="506"/>
      <c r="S194" s="506"/>
      <c r="T194" s="507">
        <f t="shared" ca="1" si="44"/>
        <v>0</v>
      </c>
      <c r="U194" s="507">
        <f t="shared" ca="1" si="45"/>
        <v>0</v>
      </c>
      <c r="V194" s="507">
        <f t="shared" ca="1" si="46"/>
        <v>0</v>
      </c>
      <c r="W194" s="507">
        <f t="shared" ca="1" si="47"/>
        <v>0</v>
      </c>
      <c r="X194" s="507">
        <f t="shared" ca="1" si="48"/>
        <v>0</v>
      </c>
      <c r="Y194" s="507">
        <f t="shared" ca="1" si="49"/>
        <v>0</v>
      </c>
      <c r="Z194" s="507">
        <f t="shared" ca="1" si="50"/>
        <v>0</v>
      </c>
      <c r="AA194" s="507">
        <f t="shared" ca="1" si="51"/>
        <v>0</v>
      </c>
      <c r="AB194" s="507">
        <f t="shared" ca="1" si="52"/>
        <v>0</v>
      </c>
      <c r="AC194" s="507">
        <f t="shared" ca="1" si="53"/>
        <v>0</v>
      </c>
      <c r="AD194" s="507">
        <f t="shared" ca="1" si="54"/>
        <v>0</v>
      </c>
      <c r="AE194" s="507">
        <f t="shared" ca="1" si="55"/>
        <v>0</v>
      </c>
      <c r="AF194" s="11">
        <f t="shared" ca="1" si="43"/>
        <v>0</v>
      </c>
      <c r="AI194" s="4">
        <v>395</v>
      </c>
      <c r="AJ194" s="5" t="s">
        <v>555</v>
      </c>
      <c r="AK194" s="5" t="s">
        <v>549</v>
      </c>
      <c r="AL194" s="5" t="s">
        <v>556</v>
      </c>
      <c r="AM194" s="5" t="s">
        <v>0</v>
      </c>
      <c r="AN194" s="5" t="s">
        <v>18</v>
      </c>
      <c r="AO194" s="5" t="s">
        <v>12</v>
      </c>
      <c r="AP194" s="5" t="s">
        <v>481</v>
      </c>
      <c r="AQ194" s="5" t="s">
        <v>411</v>
      </c>
      <c r="AR194" s="5" t="s">
        <v>18</v>
      </c>
      <c r="AS194" s="6"/>
      <c r="AU194" s="5"/>
      <c r="AV194" s="5"/>
      <c r="AW194" s="5"/>
      <c r="AX194" s="5"/>
      <c r="AY194" s="5"/>
      <c r="BA194" s="34"/>
      <c r="BB194" s="35"/>
      <c r="BC194" s="36"/>
      <c r="BE194" s="34"/>
      <c r="BF194" s="35"/>
      <c r="BG194" s="36"/>
      <c r="BI194" s="34"/>
      <c r="BJ194" s="35"/>
      <c r="BK194" s="36"/>
      <c r="BM194" s="34"/>
      <c r="BN194" s="35"/>
      <c r="BO194" s="36"/>
      <c r="BQ194" s="34"/>
      <c r="BR194" s="35"/>
      <c r="BS194" s="36"/>
      <c r="BU194" s="34"/>
      <c r="BV194" s="35"/>
      <c r="BW194" s="36"/>
      <c r="BY194" s="34"/>
      <c r="BZ194" s="35"/>
      <c r="CA194" s="36"/>
      <c r="CC194" s="34"/>
      <c r="CD194" s="35"/>
      <c r="CE194" s="36"/>
      <c r="CG194" s="34"/>
      <c r="CH194" s="35"/>
      <c r="CI194" s="36"/>
      <c r="CK194" s="34"/>
      <c r="CL194" s="35"/>
      <c r="CM194" s="36"/>
      <c r="CO194" s="34"/>
      <c r="CP194" s="35"/>
      <c r="CQ194" s="36"/>
      <c r="CS194" s="34"/>
      <c r="CT194" s="35"/>
      <c r="CU194" s="36"/>
    </row>
    <row r="195" spans="1:99">
      <c r="A195" s="1803" t="s">
        <v>3936</v>
      </c>
      <c r="B195" s="1803" t="s">
        <v>4146</v>
      </c>
      <c r="R195" s="506"/>
      <c r="S195" s="506"/>
      <c r="T195" s="507">
        <f t="shared" ca="1" si="44"/>
        <v>0</v>
      </c>
      <c r="U195" s="507">
        <f t="shared" ca="1" si="45"/>
        <v>0</v>
      </c>
      <c r="V195" s="507">
        <f t="shared" ca="1" si="46"/>
        <v>0</v>
      </c>
      <c r="W195" s="507">
        <f t="shared" ca="1" si="47"/>
        <v>0</v>
      </c>
      <c r="X195" s="507">
        <f t="shared" ca="1" si="48"/>
        <v>0</v>
      </c>
      <c r="Y195" s="507">
        <f t="shared" ca="1" si="49"/>
        <v>0</v>
      </c>
      <c r="Z195" s="507">
        <f t="shared" ca="1" si="50"/>
        <v>0</v>
      </c>
      <c r="AA195" s="507">
        <f t="shared" ca="1" si="51"/>
        <v>0</v>
      </c>
      <c r="AB195" s="507">
        <f t="shared" ca="1" si="52"/>
        <v>0</v>
      </c>
      <c r="AC195" s="507">
        <f t="shared" ca="1" si="53"/>
        <v>0</v>
      </c>
      <c r="AD195" s="507">
        <f t="shared" ca="1" si="54"/>
        <v>0</v>
      </c>
      <c r="AE195" s="507">
        <f t="shared" ca="1" si="55"/>
        <v>0</v>
      </c>
      <c r="AF195" s="11">
        <f t="shared" ca="1" si="43"/>
        <v>0</v>
      </c>
      <c r="AI195" s="4">
        <v>397</v>
      </c>
      <c r="AJ195" s="5" t="s">
        <v>558</v>
      </c>
      <c r="AK195" s="5" t="s">
        <v>549</v>
      </c>
      <c r="AL195" s="5" t="s">
        <v>559</v>
      </c>
      <c r="AM195" s="5" t="s">
        <v>0</v>
      </c>
      <c r="AN195" s="5" t="s">
        <v>18</v>
      </c>
      <c r="AO195" s="5" t="s">
        <v>12</v>
      </c>
      <c r="AP195" s="5" t="s">
        <v>481</v>
      </c>
      <c r="AQ195" s="5" t="s">
        <v>411</v>
      </c>
      <c r="AR195" s="5" t="s">
        <v>18</v>
      </c>
      <c r="AS195" s="6"/>
      <c r="AU195" s="5"/>
      <c r="AV195" s="5"/>
      <c r="AW195" s="5"/>
      <c r="AX195" s="5"/>
      <c r="AY195" s="5"/>
      <c r="BA195" s="34"/>
      <c r="BB195" s="35"/>
      <c r="BC195" s="36"/>
      <c r="BE195" s="34"/>
      <c r="BF195" s="35"/>
      <c r="BG195" s="36"/>
      <c r="BI195" s="34"/>
      <c r="BJ195" s="35"/>
      <c r="BK195" s="36"/>
      <c r="BM195" s="34"/>
      <c r="BN195" s="35"/>
      <c r="BO195" s="36"/>
      <c r="BQ195" s="34"/>
      <c r="BR195" s="35"/>
      <c r="BS195" s="36"/>
      <c r="BU195" s="34"/>
      <c r="BV195" s="35"/>
      <c r="BW195" s="36"/>
      <c r="BY195" s="34"/>
      <c r="BZ195" s="35"/>
      <c r="CA195" s="36"/>
      <c r="CC195" s="34"/>
      <c r="CD195" s="35"/>
      <c r="CE195" s="36"/>
      <c r="CG195" s="34"/>
      <c r="CH195" s="35"/>
      <c r="CI195" s="36"/>
      <c r="CK195" s="34"/>
      <c r="CL195" s="35"/>
      <c r="CM195" s="36"/>
      <c r="CO195" s="34"/>
      <c r="CP195" s="35"/>
      <c r="CQ195" s="36"/>
      <c r="CS195" s="34"/>
      <c r="CT195" s="35"/>
      <c r="CU195" s="36"/>
    </row>
    <row r="196" spans="1:99">
      <c r="A196" s="1803" t="s">
        <v>3992</v>
      </c>
      <c r="B196" s="1803" t="s">
        <v>4147</v>
      </c>
      <c r="R196" s="506"/>
      <c r="S196" s="506"/>
      <c r="T196" s="507">
        <f t="shared" ca="1" si="44"/>
        <v>0</v>
      </c>
      <c r="U196" s="507">
        <f t="shared" ca="1" si="45"/>
        <v>0</v>
      </c>
      <c r="V196" s="507">
        <f t="shared" ca="1" si="46"/>
        <v>0</v>
      </c>
      <c r="W196" s="507">
        <f t="shared" ca="1" si="47"/>
        <v>0</v>
      </c>
      <c r="X196" s="507">
        <f t="shared" ca="1" si="48"/>
        <v>0</v>
      </c>
      <c r="Y196" s="507">
        <f t="shared" ca="1" si="49"/>
        <v>0</v>
      </c>
      <c r="Z196" s="507">
        <f t="shared" ca="1" si="50"/>
        <v>0</v>
      </c>
      <c r="AA196" s="507">
        <f t="shared" ca="1" si="51"/>
        <v>0</v>
      </c>
      <c r="AB196" s="507">
        <f t="shared" ca="1" si="52"/>
        <v>0</v>
      </c>
      <c r="AC196" s="507">
        <f t="shared" ca="1" si="53"/>
        <v>0</v>
      </c>
      <c r="AD196" s="507">
        <f t="shared" ca="1" si="54"/>
        <v>0</v>
      </c>
      <c r="AE196" s="507">
        <f t="shared" ca="1" si="55"/>
        <v>0</v>
      </c>
      <c r="AF196" s="11">
        <f t="shared" ca="1" si="43"/>
        <v>0</v>
      </c>
      <c r="AI196" s="4">
        <v>399</v>
      </c>
      <c r="AJ196" s="5" t="s">
        <v>568</v>
      </c>
      <c r="AK196" s="5" t="s">
        <v>566</v>
      </c>
      <c r="AL196" s="5" t="s">
        <v>569</v>
      </c>
      <c r="AM196" s="5" t="s">
        <v>570</v>
      </c>
      <c r="AN196" s="5" t="s">
        <v>18</v>
      </c>
      <c r="AO196" s="5" t="s">
        <v>16</v>
      </c>
      <c r="AP196" s="5" t="s">
        <v>481</v>
      </c>
      <c r="AQ196" s="5" t="s">
        <v>561</v>
      </c>
      <c r="AR196" s="5" t="s">
        <v>18</v>
      </c>
      <c r="AS196" s="6"/>
      <c r="AU196" s="5"/>
      <c r="AV196" s="5"/>
      <c r="AW196" s="5"/>
      <c r="AX196" s="5"/>
      <c r="AY196" s="5"/>
      <c r="BA196" s="34"/>
      <c r="BB196" s="35"/>
      <c r="BC196" s="36"/>
      <c r="BE196" s="34"/>
      <c r="BF196" s="35"/>
      <c r="BG196" s="36"/>
      <c r="BI196" s="34"/>
      <c r="BJ196" s="35"/>
      <c r="BK196" s="36"/>
      <c r="BM196" s="34"/>
      <c r="BN196" s="35"/>
      <c r="BO196" s="36"/>
      <c r="BQ196" s="34"/>
      <c r="BR196" s="35"/>
      <c r="BS196" s="36"/>
      <c r="BU196" s="34"/>
      <c r="BV196" s="35"/>
      <c r="BW196" s="36"/>
      <c r="BY196" s="34"/>
      <c r="BZ196" s="35"/>
      <c r="CA196" s="36"/>
      <c r="CC196" s="34"/>
      <c r="CD196" s="35"/>
      <c r="CE196" s="36"/>
      <c r="CG196" s="34"/>
      <c r="CH196" s="35"/>
      <c r="CI196" s="36"/>
      <c r="CK196" s="34"/>
      <c r="CL196" s="35"/>
      <c r="CM196" s="36"/>
      <c r="CO196" s="34"/>
      <c r="CP196" s="35"/>
      <c r="CQ196" s="36"/>
      <c r="CS196" s="34"/>
      <c r="CT196" s="35"/>
      <c r="CU196" s="36"/>
    </row>
    <row r="197" spans="1:99">
      <c r="A197" s="1803" t="s">
        <v>3960</v>
      </c>
      <c r="B197" s="1803" t="s">
        <v>3961</v>
      </c>
      <c r="R197" s="506"/>
      <c r="S197" s="506"/>
      <c r="T197" s="507">
        <f t="shared" ca="1" si="44"/>
        <v>0</v>
      </c>
      <c r="U197" s="507">
        <f t="shared" ca="1" si="45"/>
        <v>0</v>
      </c>
      <c r="V197" s="507">
        <f t="shared" ca="1" si="46"/>
        <v>0</v>
      </c>
      <c r="W197" s="507">
        <f t="shared" ca="1" si="47"/>
        <v>0</v>
      </c>
      <c r="X197" s="507">
        <f t="shared" ca="1" si="48"/>
        <v>0</v>
      </c>
      <c r="Y197" s="507">
        <f t="shared" ca="1" si="49"/>
        <v>0</v>
      </c>
      <c r="Z197" s="507">
        <f t="shared" ca="1" si="50"/>
        <v>0</v>
      </c>
      <c r="AA197" s="507">
        <f t="shared" ca="1" si="51"/>
        <v>0</v>
      </c>
      <c r="AB197" s="507">
        <f t="shared" ca="1" si="52"/>
        <v>0</v>
      </c>
      <c r="AC197" s="507">
        <f t="shared" ca="1" si="53"/>
        <v>0</v>
      </c>
      <c r="AD197" s="507">
        <f t="shared" ca="1" si="54"/>
        <v>0</v>
      </c>
      <c r="AE197" s="507">
        <f t="shared" ca="1" si="55"/>
        <v>0</v>
      </c>
      <c r="AF197" s="11">
        <f t="shared" ca="1" si="43"/>
        <v>0</v>
      </c>
      <c r="AI197" s="4">
        <v>401</v>
      </c>
      <c r="AJ197" s="5" t="s">
        <v>571</v>
      </c>
      <c r="AK197" s="5" t="s">
        <v>566</v>
      </c>
      <c r="AL197" s="5" t="s">
        <v>572</v>
      </c>
      <c r="AM197" s="5" t="s">
        <v>573</v>
      </c>
      <c r="AN197" s="5" t="s">
        <v>18</v>
      </c>
      <c r="AO197" s="5" t="s">
        <v>16</v>
      </c>
      <c r="AP197" s="5" t="s">
        <v>481</v>
      </c>
      <c r="AQ197" s="5" t="s">
        <v>561</v>
      </c>
      <c r="AR197" s="5" t="s">
        <v>18</v>
      </c>
      <c r="AS197" s="6"/>
      <c r="AU197" s="5"/>
      <c r="AV197" s="5"/>
      <c r="AW197" s="5"/>
      <c r="AX197" s="5"/>
      <c r="AY197" s="5"/>
      <c r="BA197" s="34"/>
      <c r="BB197" s="35"/>
      <c r="BC197" s="36"/>
      <c r="BE197" s="34"/>
      <c r="BF197" s="35"/>
      <c r="BG197" s="36"/>
      <c r="BI197" s="34"/>
      <c r="BJ197" s="35"/>
      <c r="BK197" s="36"/>
      <c r="BM197" s="34"/>
      <c r="BN197" s="35"/>
      <c r="BO197" s="36"/>
      <c r="BQ197" s="34"/>
      <c r="BR197" s="35"/>
      <c r="BS197" s="36"/>
      <c r="BU197" s="34"/>
      <c r="BV197" s="35"/>
      <c r="BW197" s="36"/>
      <c r="BY197" s="34"/>
      <c r="BZ197" s="35"/>
      <c r="CA197" s="36"/>
      <c r="CC197" s="34"/>
      <c r="CD197" s="35"/>
      <c r="CE197" s="36"/>
      <c r="CG197" s="34"/>
      <c r="CH197" s="35"/>
      <c r="CI197" s="36"/>
      <c r="CK197" s="34"/>
      <c r="CL197" s="35"/>
      <c r="CM197" s="36"/>
      <c r="CO197" s="34"/>
      <c r="CP197" s="35"/>
      <c r="CQ197" s="36"/>
      <c r="CS197" s="34"/>
      <c r="CT197" s="35"/>
      <c r="CU197" s="36"/>
    </row>
    <row r="198" spans="1:99">
      <c r="A198" s="1803" t="s">
        <v>796</v>
      </c>
      <c r="B198" s="1803" t="s">
        <v>2298</v>
      </c>
      <c r="R198" s="506"/>
      <c r="S198" s="506"/>
      <c r="T198" s="507">
        <f t="shared" ca="1" si="44"/>
        <v>0</v>
      </c>
      <c r="U198" s="507">
        <f t="shared" ca="1" si="45"/>
        <v>0</v>
      </c>
      <c r="V198" s="507">
        <f t="shared" ca="1" si="46"/>
        <v>0</v>
      </c>
      <c r="W198" s="507">
        <f t="shared" ca="1" si="47"/>
        <v>0</v>
      </c>
      <c r="X198" s="507">
        <f t="shared" ca="1" si="48"/>
        <v>0</v>
      </c>
      <c r="Y198" s="507">
        <f t="shared" ca="1" si="49"/>
        <v>0</v>
      </c>
      <c r="Z198" s="507">
        <f t="shared" ca="1" si="50"/>
        <v>0</v>
      </c>
      <c r="AA198" s="507">
        <f t="shared" ca="1" si="51"/>
        <v>0</v>
      </c>
      <c r="AB198" s="507">
        <f t="shared" ca="1" si="52"/>
        <v>0</v>
      </c>
      <c r="AC198" s="507">
        <f t="shared" ca="1" si="53"/>
        <v>0</v>
      </c>
      <c r="AD198" s="507">
        <f t="shared" ca="1" si="54"/>
        <v>0</v>
      </c>
      <c r="AE198" s="507">
        <f t="shared" ca="1" si="55"/>
        <v>0</v>
      </c>
      <c r="AF198" s="11">
        <f t="shared" ca="1" si="43"/>
        <v>0</v>
      </c>
      <c r="AI198" s="4">
        <v>403</v>
      </c>
      <c r="AJ198" s="5" t="s">
        <v>574</v>
      </c>
      <c r="AK198" s="5" t="s">
        <v>564</v>
      </c>
      <c r="AL198" s="5" t="s">
        <v>575</v>
      </c>
      <c r="AM198" s="5" t="s">
        <v>576</v>
      </c>
      <c r="AN198" s="5" t="s">
        <v>18</v>
      </c>
      <c r="AO198" s="5" t="s">
        <v>16</v>
      </c>
      <c r="AP198" s="5" t="s">
        <v>481</v>
      </c>
      <c r="AQ198" s="5" t="s">
        <v>561</v>
      </c>
      <c r="AR198" s="5" t="s">
        <v>18</v>
      </c>
      <c r="AS198" s="6"/>
      <c r="AU198" s="5"/>
      <c r="AV198" s="5"/>
      <c r="AW198" s="5"/>
      <c r="AX198" s="5"/>
      <c r="AY198" s="5"/>
      <c r="BA198" s="34"/>
      <c r="BB198" s="35"/>
      <c r="BC198" s="36"/>
      <c r="BE198" s="34"/>
      <c r="BF198" s="35"/>
      <c r="BG198" s="36"/>
      <c r="BI198" s="34"/>
      <c r="BJ198" s="35"/>
      <c r="BK198" s="36"/>
      <c r="BM198" s="34"/>
      <c r="BN198" s="35"/>
      <c r="BO198" s="36"/>
      <c r="BQ198" s="34"/>
      <c r="BR198" s="35"/>
      <c r="BS198" s="36"/>
      <c r="BU198" s="34"/>
      <c r="BV198" s="35"/>
      <c r="BW198" s="36"/>
      <c r="BY198" s="34"/>
      <c r="BZ198" s="35"/>
      <c r="CA198" s="36"/>
      <c r="CC198" s="34"/>
      <c r="CD198" s="35"/>
      <c r="CE198" s="36"/>
      <c r="CG198" s="34"/>
      <c r="CH198" s="35"/>
      <c r="CI198" s="36"/>
      <c r="CK198" s="34"/>
      <c r="CL198" s="35"/>
      <c r="CM198" s="36"/>
      <c r="CO198" s="34"/>
      <c r="CP198" s="35"/>
      <c r="CQ198" s="36"/>
      <c r="CS198" s="34"/>
      <c r="CT198" s="35"/>
      <c r="CU198" s="36"/>
    </row>
    <row r="199" spans="1:99">
      <c r="A199" s="1803" t="s">
        <v>799</v>
      </c>
      <c r="B199" s="1803" t="s">
        <v>2299</v>
      </c>
      <c r="R199" s="506"/>
      <c r="S199" s="506"/>
      <c r="T199" s="507">
        <f t="shared" ca="1" si="44"/>
        <v>0</v>
      </c>
      <c r="U199" s="507">
        <f t="shared" ca="1" si="45"/>
        <v>0</v>
      </c>
      <c r="V199" s="507">
        <f t="shared" ca="1" si="46"/>
        <v>0</v>
      </c>
      <c r="W199" s="507">
        <f t="shared" ca="1" si="47"/>
        <v>0</v>
      </c>
      <c r="X199" s="507">
        <f t="shared" ca="1" si="48"/>
        <v>0</v>
      </c>
      <c r="Y199" s="507">
        <f t="shared" ca="1" si="49"/>
        <v>0</v>
      </c>
      <c r="Z199" s="507">
        <f t="shared" ca="1" si="50"/>
        <v>0</v>
      </c>
      <c r="AA199" s="507">
        <f t="shared" ca="1" si="51"/>
        <v>0</v>
      </c>
      <c r="AB199" s="507">
        <f t="shared" ca="1" si="52"/>
        <v>0</v>
      </c>
      <c r="AC199" s="507">
        <f t="shared" ca="1" si="53"/>
        <v>0</v>
      </c>
      <c r="AD199" s="507">
        <f t="shared" ca="1" si="54"/>
        <v>0</v>
      </c>
      <c r="AE199" s="507">
        <f t="shared" ca="1" si="55"/>
        <v>0</v>
      </c>
      <c r="AF199" s="11">
        <f t="shared" ca="1" si="43"/>
        <v>0</v>
      </c>
      <c r="AI199" s="4">
        <v>420</v>
      </c>
      <c r="AJ199" s="5" t="s">
        <v>579</v>
      </c>
      <c r="AK199" s="5" t="s">
        <v>577</v>
      </c>
      <c r="AL199" s="5" t="s">
        <v>580</v>
      </c>
      <c r="AM199" s="5" t="s">
        <v>581</v>
      </c>
      <c r="AN199" s="5" t="s">
        <v>18</v>
      </c>
      <c r="AO199" s="5" t="s">
        <v>16</v>
      </c>
      <c r="AP199" s="5" t="s">
        <v>481</v>
      </c>
      <c r="AQ199" s="5" t="s">
        <v>561</v>
      </c>
      <c r="AR199" s="5" t="s">
        <v>18</v>
      </c>
      <c r="AS199" s="6"/>
      <c r="AU199" s="5"/>
      <c r="AV199" s="5"/>
      <c r="AW199" s="5"/>
      <c r="AX199" s="5"/>
      <c r="AY199" s="5"/>
      <c r="BA199" s="34"/>
      <c r="BB199" s="35"/>
      <c r="BC199" s="36"/>
      <c r="BE199" s="34"/>
      <c r="BF199" s="35"/>
      <c r="BG199" s="36"/>
      <c r="BI199" s="34"/>
      <c r="BJ199" s="35"/>
      <c r="BK199" s="36"/>
      <c r="BM199" s="34"/>
      <c r="BN199" s="35"/>
      <c r="BO199" s="36"/>
      <c r="BQ199" s="34"/>
      <c r="BR199" s="35"/>
      <c r="BS199" s="36"/>
      <c r="BU199" s="34"/>
      <c r="BV199" s="35"/>
      <c r="BW199" s="36"/>
      <c r="BY199" s="34"/>
      <c r="BZ199" s="35"/>
      <c r="CA199" s="36"/>
      <c r="CC199" s="34"/>
      <c r="CD199" s="35"/>
      <c r="CE199" s="36"/>
      <c r="CG199" s="34"/>
      <c r="CH199" s="35"/>
      <c r="CI199" s="36"/>
      <c r="CK199" s="34"/>
      <c r="CL199" s="35"/>
      <c r="CM199" s="36"/>
      <c r="CO199" s="34"/>
      <c r="CP199" s="35"/>
      <c r="CQ199" s="36"/>
      <c r="CS199" s="34"/>
      <c r="CT199" s="35"/>
      <c r="CU199" s="36"/>
    </row>
    <row r="200" spans="1:99">
      <c r="A200" s="1803" t="s">
        <v>2300</v>
      </c>
      <c r="B200" s="1803" t="s">
        <v>2301</v>
      </c>
      <c r="R200" s="506"/>
      <c r="S200" s="506"/>
      <c r="T200" s="507">
        <f t="shared" ca="1" si="44"/>
        <v>0</v>
      </c>
      <c r="U200" s="507">
        <f t="shared" ca="1" si="45"/>
        <v>0</v>
      </c>
      <c r="V200" s="507">
        <f t="shared" ca="1" si="46"/>
        <v>0</v>
      </c>
      <c r="W200" s="507">
        <f t="shared" ca="1" si="47"/>
        <v>0</v>
      </c>
      <c r="X200" s="507">
        <f t="shared" ca="1" si="48"/>
        <v>0</v>
      </c>
      <c r="Y200" s="507">
        <f t="shared" ca="1" si="49"/>
        <v>0</v>
      </c>
      <c r="Z200" s="507">
        <f t="shared" ca="1" si="50"/>
        <v>0</v>
      </c>
      <c r="AA200" s="507">
        <f t="shared" ca="1" si="51"/>
        <v>0</v>
      </c>
      <c r="AB200" s="507">
        <f t="shared" ca="1" si="52"/>
        <v>0</v>
      </c>
      <c r="AC200" s="507">
        <f t="shared" ca="1" si="53"/>
        <v>0</v>
      </c>
      <c r="AD200" s="507">
        <f t="shared" ca="1" si="54"/>
        <v>0</v>
      </c>
      <c r="AE200" s="507">
        <f t="shared" ca="1" si="55"/>
        <v>0</v>
      </c>
      <c r="AF200" s="11">
        <f t="shared" ca="1" si="43"/>
        <v>0</v>
      </c>
      <c r="AI200" s="4">
        <v>424</v>
      </c>
      <c r="AJ200" s="5" t="s">
        <v>582</v>
      </c>
      <c r="AK200" s="5" t="s">
        <v>577</v>
      </c>
      <c r="AL200" s="5" t="s">
        <v>583</v>
      </c>
      <c r="AM200" s="5" t="s">
        <v>584</v>
      </c>
      <c r="AN200" s="5" t="s">
        <v>18</v>
      </c>
      <c r="AO200" s="5" t="s">
        <v>16</v>
      </c>
      <c r="AP200" s="5" t="s">
        <v>481</v>
      </c>
      <c r="AQ200" s="5" t="s">
        <v>561</v>
      </c>
      <c r="AR200" s="5" t="s">
        <v>18</v>
      </c>
      <c r="AS200" s="6"/>
      <c r="AU200" s="5"/>
      <c r="AV200" s="5"/>
      <c r="AW200" s="5"/>
      <c r="AX200" s="5"/>
      <c r="AY200" s="5"/>
      <c r="BA200" s="34"/>
      <c r="BB200" s="35"/>
      <c r="BC200" s="36"/>
      <c r="BE200" s="34"/>
      <c r="BF200" s="35"/>
      <c r="BG200" s="36"/>
      <c r="BI200" s="34"/>
      <c r="BJ200" s="35"/>
      <c r="BK200" s="36"/>
      <c r="BM200" s="34"/>
      <c r="BN200" s="35"/>
      <c r="BO200" s="36"/>
      <c r="BQ200" s="34"/>
      <c r="BR200" s="35"/>
      <c r="BS200" s="36"/>
      <c r="BU200" s="34"/>
      <c r="BV200" s="35"/>
      <c r="BW200" s="36"/>
      <c r="BY200" s="34"/>
      <c r="BZ200" s="35"/>
      <c r="CA200" s="36"/>
      <c r="CC200" s="34"/>
      <c r="CD200" s="35"/>
      <c r="CE200" s="36"/>
      <c r="CG200" s="34"/>
      <c r="CH200" s="35"/>
      <c r="CI200" s="36"/>
      <c r="CK200" s="34"/>
      <c r="CL200" s="35"/>
      <c r="CM200" s="36"/>
      <c r="CO200" s="34"/>
      <c r="CP200" s="35"/>
      <c r="CQ200" s="36"/>
      <c r="CS200" s="34"/>
      <c r="CT200" s="35"/>
      <c r="CU200" s="36"/>
    </row>
    <row r="201" spans="1:99">
      <c r="A201" s="1803" t="s">
        <v>3937</v>
      </c>
      <c r="B201" s="1803" t="s">
        <v>4148</v>
      </c>
      <c r="R201" s="506"/>
      <c r="S201" s="506"/>
      <c r="T201" s="507">
        <f t="shared" ca="1" si="44"/>
        <v>0</v>
      </c>
      <c r="U201" s="507">
        <f t="shared" ca="1" si="45"/>
        <v>0</v>
      </c>
      <c r="V201" s="507">
        <f t="shared" ca="1" si="46"/>
        <v>0</v>
      </c>
      <c r="W201" s="507">
        <f t="shared" ca="1" si="47"/>
        <v>0</v>
      </c>
      <c r="X201" s="507">
        <f t="shared" ca="1" si="48"/>
        <v>0</v>
      </c>
      <c r="Y201" s="507">
        <f t="shared" ca="1" si="49"/>
        <v>0</v>
      </c>
      <c r="Z201" s="507">
        <f t="shared" ca="1" si="50"/>
        <v>0</v>
      </c>
      <c r="AA201" s="507">
        <f t="shared" ca="1" si="51"/>
        <v>0</v>
      </c>
      <c r="AB201" s="507">
        <f t="shared" ca="1" si="52"/>
        <v>0</v>
      </c>
      <c r="AC201" s="507">
        <f t="shared" ca="1" si="53"/>
        <v>0</v>
      </c>
      <c r="AD201" s="507">
        <f t="shared" ca="1" si="54"/>
        <v>0</v>
      </c>
      <c r="AE201" s="507">
        <f t="shared" ca="1" si="55"/>
        <v>0</v>
      </c>
      <c r="AF201" s="11">
        <f t="shared" ref="AF201:AF265" ca="1" si="56">SUM(T201:AE201)</f>
        <v>0</v>
      </c>
      <c r="AI201" s="4">
        <v>426</v>
      </c>
      <c r="AJ201" s="5" t="s">
        <v>585</v>
      </c>
      <c r="AK201" s="5" t="s">
        <v>577</v>
      </c>
      <c r="AL201" s="5" t="s">
        <v>586</v>
      </c>
      <c r="AM201" s="5" t="s">
        <v>587</v>
      </c>
      <c r="AN201" s="5" t="s">
        <v>18</v>
      </c>
      <c r="AO201" s="5" t="s">
        <v>16</v>
      </c>
      <c r="AP201" s="5" t="s">
        <v>481</v>
      </c>
      <c r="AQ201" s="5" t="s">
        <v>561</v>
      </c>
      <c r="AR201" s="5" t="s">
        <v>18</v>
      </c>
      <c r="AS201" s="6"/>
      <c r="AU201" s="5"/>
      <c r="AV201" s="5"/>
      <c r="AW201" s="5"/>
      <c r="AX201" s="5"/>
      <c r="AY201" s="5"/>
      <c r="BA201" s="34"/>
      <c r="BB201" s="35"/>
      <c r="BC201" s="36"/>
      <c r="BE201" s="34"/>
      <c r="BF201" s="35"/>
      <c r="BG201" s="36"/>
      <c r="BI201" s="34"/>
      <c r="BJ201" s="35"/>
      <c r="BK201" s="36"/>
      <c r="BM201" s="34"/>
      <c r="BN201" s="35"/>
      <c r="BO201" s="36"/>
      <c r="BQ201" s="34"/>
      <c r="BR201" s="35"/>
      <c r="BS201" s="36"/>
      <c r="BU201" s="34"/>
      <c r="BV201" s="35"/>
      <c r="BW201" s="36"/>
      <c r="BY201" s="34"/>
      <c r="BZ201" s="35"/>
      <c r="CA201" s="36"/>
      <c r="CC201" s="34"/>
      <c r="CD201" s="35"/>
      <c r="CE201" s="36"/>
      <c r="CG201" s="34"/>
      <c r="CH201" s="35"/>
      <c r="CI201" s="36"/>
      <c r="CK201" s="34"/>
      <c r="CL201" s="35"/>
      <c r="CM201" s="36"/>
      <c r="CO201" s="34"/>
      <c r="CP201" s="35"/>
      <c r="CQ201" s="36"/>
      <c r="CS201" s="34"/>
      <c r="CT201" s="35"/>
      <c r="CU201" s="36"/>
    </row>
    <row r="202" spans="1:99">
      <c r="A202" s="1803" t="s">
        <v>4149</v>
      </c>
      <c r="B202" s="1803" t="s">
        <v>4150</v>
      </c>
      <c r="R202" s="506"/>
      <c r="S202" s="506"/>
      <c r="T202" s="507">
        <f t="shared" ref="T202:T265" ca="1" si="57">SUMIF($BB$7:$BC$297,S202,$BC$7:$BC$297)</f>
        <v>0</v>
      </c>
      <c r="U202" s="507">
        <f t="shared" ca="1" si="45"/>
        <v>0</v>
      </c>
      <c r="V202" s="507">
        <f t="shared" ca="1" si="46"/>
        <v>0</v>
      </c>
      <c r="W202" s="507">
        <f t="shared" ca="1" si="47"/>
        <v>0</v>
      </c>
      <c r="X202" s="507">
        <f t="shared" ca="1" si="48"/>
        <v>0</v>
      </c>
      <c r="Y202" s="507">
        <f t="shared" ca="1" si="49"/>
        <v>0</v>
      </c>
      <c r="Z202" s="507">
        <f t="shared" ca="1" si="50"/>
        <v>0</v>
      </c>
      <c r="AA202" s="507">
        <f t="shared" ca="1" si="51"/>
        <v>0</v>
      </c>
      <c r="AB202" s="507">
        <f t="shared" ca="1" si="52"/>
        <v>0</v>
      </c>
      <c r="AC202" s="507">
        <f t="shared" ca="1" si="53"/>
        <v>0</v>
      </c>
      <c r="AD202" s="507">
        <f t="shared" ca="1" si="54"/>
        <v>0</v>
      </c>
      <c r="AE202" s="507">
        <f t="shared" ca="1" si="55"/>
        <v>0</v>
      </c>
      <c r="AF202" s="11">
        <f t="shared" ca="1" si="56"/>
        <v>0</v>
      </c>
      <c r="AI202" s="4">
        <v>428</v>
      </c>
      <c r="AJ202" s="5" t="s">
        <v>588</v>
      </c>
      <c r="AK202" s="5" t="s">
        <v>577</v>
      </c>
      <c r="AL202" s="5" t="s">
        <v>589</v>
      </c>
      <c r="AM202" s="5" t="s">
        <v>590</v>
      </c>
      <c r="AN202" s="5" t="s">
        <v>18</v>
      </c>
      <c r="AO202" s="5" t="s">
        <v>16</v>
      </c>
      <c r="AP202" s="5" t="s">
        <v>481</v>
      </c>
      <c r="AQ202" s="5" t="s">
        <v>561</v>
      </c>
      <c r="AR202" s="5" t="s">
        <v>18</v>
      </c>
      <c r="AS202" s="6"/>
      <c r="AU202" s="5"/>
      <c r="AV202" s="5"/>
      <c r="AW202" s="5"/>
      <c r="AX202" s="5"/>
      <c r="AY202" s="5"/>
      <c r="BA202" s="34"/>
      <c r="BB202" s="35"/>
      <c r="BC202" s="36"/>
      <c r="BE202" s="34"/>
      <c r="BF202" s="35"/>
      <c r="BG202" s="36"/>
      <c r="BI202" s="34"/>
      <c r="BJ202" s="35"/>
      <c r="BK202" s="36"/>
      <c r="BM202" s="34"/>
      <c r="BN202" s="35"/>
      <c r="BO202" s="36"/>
      <c r="BQ202" s="34"/>
      <c r="BR202" s="35"/>
      <c r="BS202" s="36"/>
      <c r="BU202" s="34"/>
      <c r="BV202" s="35"/>
      <c r="BW202" s="36"/>
      <c r="BY202" s="34"/>
      <c r="BZ202" s="35"/>
      <c r="CA202" s="36"/>
      <c r="CC202" s="34"/>
      <c r="CD202" s="35"/>
      <c r="CE202" s="36"/>
      <c r="CG202" s="34"/>
      <c r="CH202" s="35"/>
      <c r="CI202" s="36"/>
      <c r="CK202" s="34"/>
      <c r="CL202" s="35"/>
      <c r="CM202" s="36"/>
      <c r="CO202" s="34"/>
      <c r="CP202" s="35"/>
      <c r="CQ202" s="36"/>
      <c r="CS202" s="34"/>
      <c r="CT202" s="35"/>
      <c r="CU202" s="36"/>
    </row>
    <row r="203" spans="1:99">
      <c r="A203" s="1803" t="s">
        <v>4151</v>
      </c>
      <c r="B203" s="1803" t="s">
        <v>4152</v>
      </c>
      <c r="R203" s="506"/>
      <c r="S203" s="506"/>
      <c r="T203" s="507">
        <f t="shared" ca="1" si="57"/>
        <v>0</v>
      </c>
      <c r="U203" s="507">
        <f t="shared" ca="1" si="45"/>
        <v>0</v>
      </c>
      <c r="V203" s="507">
        <f t="shared" ca="1" si="46"/>
        <v>0</v>
      </c>
      <c r="W203" s="507">
        <f t="shared" ca="1" si="47"/>
        <v>0</v>
      </c>
      <c r="X203" s="507">
        <f t="shared" ca="1" si="48"/>
        <v>0</v>
      </c>
      <c r="Y203" s="507">
        <f t="shared" ca="1" si="49"/>
        <v>0</v>
      </c>
      <c r="Z203" s="507">
        <f t="shared" ca="1" si="50"/>
        <v>0</v>
      </c>
      <c r="AA203" s="507">
        <f t="shared" ca="1" si="51"/>
        <v>0</v>
      </c>
      <c r="AB203" s="507">
        <f t="shared" ca="1" si="52"/>
        <v>0</v>
      </c>
      <c r="AC203" s="507">
        <f t="shared" ca="1" si="53"/>
        <v>0</v>
      </c>
      <c r="AD203" s="507">
        <f t="shared" ca="1" si="54"/>
        <v>0</v>
      </c>
      <c r="AE203" s="507">
        <f t="shared" ca="1" si="55"/>
        <v>0</v>
      </c>
      <c r="AF203" s="11">
        <f t="shared" ca="1" si="56"/>
        <v>0</v>
      </c>
      <c r="AI203" s="4">
        <v>430</v>
      </c>
      <c r="AJ203" s="5" t="s">
        <v>591</v>
      </c>
      <c r="AK203" s="5" t="s">
        <v>577</v>
      </c>
      <c r="AL203" s="5" t="s">
        <v>592</v>
      </c>
      <c r="AM203" s="5" t="s">
        <v>593</v>
      </c>
      <c r="AN203" s="5" t="s">
        <v>18</v>
      </c>
      <c r="AO203" s="5" t="s">
        <v>16</v>
      </c>
      <c r="AP203" s="5" t="s">
        <v>481</v>
      </c>
      <c r="AQ203" s="5" t="s">
        <v>561</v>
      </c>
      <c r="AR203" s="5" t="s">
        <v>18</v>
      </c>
      <c r="AS203" s="6"/>
      <c r="AU203" s="5"/>
      <c r="AV203" s="5"/>
      <c r="AW203" s="5"/>
      <c r="AX203" s="5"/>
      <c r="AY203" s="5"/>
      <c r="BA203" s="34"/>
      <c r="BB203" s="35"/>
      <c r="BC203" s="36"/>
      <c r="BE203" s="34"/>
      <c r="BF203" s="35"/>
      <c r="BG203" s="36"/>
      <c r="BI203" s="34"/>
      <c r="BJ203" s="35"/>
      <c r="BK203" s="36"/>
      <c r="BM203" s="34"/>
      <c r="BN203" s="35"/>
      <c r="BO203" s="36"/>
      <c r="BQ203" s="34"/>
      <c r="BR203" s="35"/>
      <c r="BS203" s="36"/>
      <c r="BU203" s="34"/>
      <c r="BV203" s="35"/>
      <c r="BW203" s="36"/>
      <c r="BY203" s="34"/>
      <c r="BZ203" s="35"/>
      <c r="CA203" s="36"/>
      <c r="CC203" s="34"/>
      <c r="CD203" s="35"/>
      <c r="CE203" s="36"/>
      <c r="CG203" s="34"/>
      <c r="CH203" s="35"/>
      <c r="CI203" s="36"/>
      <c r="CK203" s="34"/>
      <c r="CL203" s="35"/>
      <c r="CM203" s="36"/>
      <c r="CO203" s="34"/>
      <c r="CP203" s="35"/>
      <c r="CQ203" s="36"/>
      <c r="CS203" s="34"/>
      <c r="CT203" s="35"/>
      <c r="CU203" s="36"/>
    </row>
    <row r="204" spans="1:99">
      <c r="A204" s="1803" t="s">
        <v>3889</v>
      </c>
      <c r="B204" s="1803" t="s">
        <v>4153</v>
      </c>
      <c r="R204" s="506"/>
      <c r="S204" s="506"/>
      <c r="T204" s="507">
        <f t="shared" ca="1" si="57"/>
        <v>0</v>
      </c>
      <c r="U204" s="507">
        <f t="shared" ca="1" si="45"/>
        <v>0</v>
      </c>
      <c r="V204" s="507">
        <f t="shared" ca="1" si="46"/>
        <v>0</v>
      </c>
      <c r="W204" s="507">
        <f t="shared" ca="1" si="47"/>
        <v>0</v>
      </c>
      <c r="X204" s="507">
        <f t="shared" ca="1" si="48"/>
        <v>0</v>
      </c>
      <c r="Y204" s="507">
        <f t="shared" ca="1" si="49"/>
        <v>0</v>
      </c>
      <c r="Z204" s="507">
        <f t="shared" ca="1" si="50"/>
        <v>0</v>
      </c>
      <c r="AA204" s="507">
        <f t="shared" ca="1" si="51"/>
        <v>0</v>
      </c>
      <c r="AB204" s="507">
        <f t="shared" ca="1" si="52"/>
        <v>0</v>
      </c>
      <c r="AC204" s="507">
        <f t="shared" ca="1" si="53"/>
        <v>0</v>
      </c>
      <c r="AD204" s="507">
        <f t="shared" ca="1" si="54"/>
        <v>0</v>
      </c>
      <c r="AE204" s="507">
        <f t="shared" ca="1" si="55"/>
        <v>0</v>
      </c>
      <c r="AF204" s="11">
        <f t="shared" ca="1" si="56"/>
        <v>0</v>
      </c>
      <c r="AI204" s="4">
        <v>432</v>
      </c>
      <c r="AJ204" s="5" t="s">
        <v>594</v>
      </c>
      <c r="AK204" s="5" t="s">
        <v>564</v>
      </c>
      <c r="AL204" s="5" t="s">
        <v>595</v>
      </c>
      <c r="AM204" s="5" t="s">
        <v>596</v>
      </c>
      <c r="AN204" s="5" t="s">
        <v>18</v>
      </c>
      <c r="AO204" s="5" t="s">
        <v>16</v>
      </c>
      <c r="AP204" s="5" t="s">
        <v>481</v>
      </c>
      <c r="AQ204" s="5" t="s">
        <v>561</v>
      </c>
      <c r="AR204" s="5" t="s">
        <v>18</v>
      </c>
      <c r="AS204" s="6"/>
      <c r="AU204" s="5"/>
      <c r="AV204" s="5"/>
      <c r="AW204" s="5"/>
      <c r="AX204" s="5"/>
      <c r="AY204" s="5"/>
      <c r="BA204" s="34"/>
      <c r="BB204" s="35"/>
      <c r="BC204" s="36"/>
      <c r="BE204" s="34"/>
      <c r="BF204" s="35"/>
      <c r="BG204" s="36"/>
      <c r="BI204" s="34"/>
      <c r="BJ204" s="35"/>
      <c r="BK204" s="36"/>
      <c r="BM204" s="34"/>
      <c r="BN204" s="35"/>
      <c r="BO204" s="36"/>
      <c r="BQ204" s="34"/>
      <c r="BR204" s="35"/>
      <c r="BS204" s="36"/>
      <c r="BU204" s="34"/>
      <c r="BV204" s="35"/>
      <c r="BW204" s="36"/>
      <c r="BY204" s="34"/>
      <c r="BZ204" s="35"/>
      <c r="CA204" s="36"/>
      <c r="CC204" s="34"/>
      <c r="CD204" s="35"/>
      <c r="CE204" s="36"/>
      <c r="CG204" s="34"/>
      <c r="CH204" s="35"/>
      <c r="CI204" s="36"/>
      <c r="CK204" s="34"/>
      <c r="CL204" s="35"/>
      <c r="CM204" s="36"/>
      <c r="CO204" s="34"/>
      <c r="CP204" s="35"/>
      <c r="CQ204" s="36"/>
      <c r="CS204" s="34"/>
      <c r="CT204" s="35"/>
      <c r="CU204" s="36"/>
    </row>
    <row r="205" spans="1:99">
      <c r="A205" s="1803" t="s">
        <v>3952</v>
      </c>
      <c r="B205" s="1803" t="s">
        <v>4154</v>
      </c>
      <c r="R205" s="506"/>
      <c r="S205" s="506"/>
      <c r="T205" s="507">
        <f t="shared" ca="1" si="57"/>
        <v>0</v>
      </c>
      <c r="U205" s="507">
        <f t="shared" ref="U205:U268" ca="1" si="58">SUMIF($BF$7:$BG$297,S205,$BG$7:$BG$297)</f>
        <v>0</v>
      </c>
      <c r="V205" s="507">
        <f t="shared" ref="V205:V268" ca="1" si="59">SUMIF($BJ$7:$BK$297,S205,$BK$7:$BK$297)</f>
        <v>0</v>
      </c>
      <c r="W205" s="507">
        <f t="shared" ref="W205:W268" ca="1" si="60">SUMIF($BN$7:$BO$297,S205,$BO$7:$BO$297)</f>
        <v>0</v>
      </c>
      <c r="X205" s="507">
        <f t="shared" ref="X205:X268" ca="1" si="61">SUMIF($BR$7:$BS$297,S205,$BS$7:$BS$297)</f>
        <v>0</v>
      </c>
      <c r="Y205" s="507">
        <f t="shared" ref="Y205:Y268" ca="1" si="62">SUMIF($BV$7:$BW$297,S205,$BW$7:$BW$297)</f>
        <v>0</v>
      </c>
      <c r="Z205" s="507">
        <f t="shared" ref="Z205:Z268" ca="1" si="63">SUMIF($BZ$7:$CA$297,S205,$CA$7:$CA$297)</f>
        <v>0</v>
      </c>
      <c r="AA205" s="507">
        <f t="shared" ref="AA205:AA268" ca="1" si="64">SUMIF($CD$7:$CE$297,S205,$CE$7:$CE$297)</f>
        <v>0</v>
      </c>
      <c r="AB205" s="507">
        <f t="shared" ref="AB205:AB268" ca="1" si="65">SUMIF($CH$7:$CI$297,S205,$CI$7:$CI$297)</f>
        <v>0</v>
      </c>
      <c r="AC205" s="507">
        <f t="shared" ref="AC205:AC268" ca="1" si="66">SUMIF($CL$7:$CM$297,S205,$CM$7:$CM$297)</f>
        <v>0</v>
      </c>
      <c r="AD205" s="507">
        <f t="shared" ref="AD205:AD268" ca="1" si="67">SUMIF($CP$7:$CQ$297,S205,$CQ$7:$CQ$297)</f>
        <v>0</v>
      </c>
      <c r="AE205" s="507">
        <f t="shared" ref="AE205:AE268" ca="1" si="68">SUMIF($CT$7:$CU$297,S205,$CU$7:$CU$297)</f>
        <v>0</v>
      </c>
      <c r="AF205" s="11">
        <f t="shared" ca="1" si="56"/>
        <v>0</v>
      </c>
      <c r="AI205" s="4">
        <v>434</v>
      </c>
      <c r="AJ205" s="5" t="s">
        <v>597</v>
      </c>
      <c r="AK205" s="5" t="s">
        <v>564</v>
      </c>
      <c r="AL205" s="5" t="s">
        <v>598</v>
      </c>
      <c r="AM205" s="5" t="s">
        <v>599</v>
      </c>
      <c r="AN205" s="5" t="s">
        <v>18</v>
      </c>
      <c r="AO205" s="5" t="s">
        <v>16</v>
      </c>
      <c r="AP205" s="5" t="s">
        <v>481</v>
      </c>
      <c r="AQ205" s="5" t="s">
        <v>561</v>
      </c>
      <c r="AR205" s="5" t="s">
        <v>18</v>
      </c>
      <c r="AS205" s="6"/>
      <c r="AU205" s="5"/>
      <c r="AV205" s="5"/>
      <c r="AW205" s="5"/>
      <c r="AX205" s="5"/>
      <c r="AY205" s="5"/>
      <c r="BA205" s="34"/>
      <c r="BB205" s="35"/>
      <c r="BC205" s="36"/>
      <c r="BE205" s="34"/>
      <c r="BF205" s="35"/>
      <c r="BG205" s="36"/>
      <c r="BI205" s="34"/>
      <c r="BJ205" s="35"/>
      <c r="BK205" s="36"/>
      <c r="BM205" s="34"/>
      <c r="BN205" s="35"/>
      <c r="BO205" s="36"/>
      <c r="BQ205" s="34"/>
      <c r="BR205" s="35"/>
      <c r="BS205" s="36"/>
      <c r="BU205" s="34"/>
      <c r="BV205" s="35"/>
      <c r="BW205" s="36"/>
      <c r="BY205" s="34"/>
      <c r="BZ205" s="35"/>
      <c r="CA205" s="36"/>
      <c r="CC205" s="34"/>
      <c r="CD205" s="35"/>
      <c r="CE205" s="36"/>
      <c r="CG205" s="34"/>
      <c r="CH205" s="35"/>
      <c r="CI205" s="36"/>
      <c r="CK205" s="34"/>
      <c r="CL205" s="35"/>
      <c r="CM205" s="36"/>
      <c r="CO205" s="34"/>
      <c r="CP205" s="35"/>
      <c r="CQ205" s="36"/>
      <c r="CS205" s="34"/>
      <c r="CT205" s="35"/>
      <c r="CU205" s="36"/>
    </row>
    <row r="206" spans="1:99">
      <c r="A206" s="1803" t="s">
        <v>3891</v>
      </c>
      <c r="B206" s="1803" t="s">
        <v>4155</v>
      </c>
      <c r="S206" s="508"/>
      <c r="T206" s="507">
        <f t="shared" ca="1" si="57"/>
        <v>0</v>
      </c>
      <c r="U206" s="507">
        <f t="shared" ca="1" si="58"/>
        <v>0</v>
      </c>
      <c r="V206" s="507">
        <f t="shared" ca="1" si="59"/>
        <v>0</v>
      </c>
      <c r="W206" s="507">
        <f t="shared" ca="1" si="60"/>
        <v>0</v>
      </c>
      <c r="X206" s="507">
        <f t="shared" ca="1" si="61"/>
        <v>0</v>
      </c>
      <c r="Y206" s="507">
        <f t="shared" ca="1" si="62"/>
        <v>0</v>
      </c>
      <c r="Z206" s="507">
        <f t="shared" ca="1" si="63"/>
        <v>0</v>
      </c>
      <c r="AA206" s="507">
        <f t="shared" ca="1" si="64"/>
        <v>0</v>
      </c>
      <c r="AB206" s="507">
        <f t="shared" ca="1" si="65"/>
        <v>0</v>
      </c>
      <c r="AC206" s="507">
        <f t="shared" ca="1" si="66"/>
        <v>0</v>
      </c>
      <c r="AD206" s="507">
        <f t="shared" ca="1" si="67"/>
        <v>0</v>
      </c>
      <c r="AE206" s="507">
        <f t="shared" ca="1" si="68"/>
        <v>0</v>
      </c>
      <c r="AI206" s="4">
        <v>436</v>
      </c>
      <c r="AJ206" s="5" t="s">
        <v>602</v>
      </c>
      <c r="AK206" s="5" t="s">
        <v>600</v>
      </c>
      <c r="AL206" s="5" t="s">
        <v>603</v>
      </c>
      <c r="AM206" s="5" t="s">
        <v>604</v>
      </c>
      <c r="AN206" s="5" t="s">
        <v>18</v>
      </c>
      <c r="AO206" s="5" t="s">
        <v>16</v>
      </c>
      <c r="AP206" s="5" t="s">
        <v>481</v>
      </c>
      <c r="AQ206" s="5" t="s">
        <v>561</v>
      </c>
      <c r="AR206" s="5" t="s">
        <v>18</v>
      </c>
      <c r="AS206" s="6"/>
      <c r="AU206" s="5"/>
      <c r="AV206" s="5"/>
      <c r="AW206" s="5"/>
      <c r="AX206" s="5"/>
      <c r="AY206" s="5"/>
      <c r="BA206" s="34"/>
      <c r="BB206" s="35"/>
      <c r="BC206" s="36"/>
      <c r="BE206" s="34"/>
      <c r="BF206" s="35"/>
      <c r="BG206" s="36"/>
      <c r="BI206" s="34"/>
      <c r="BJ206" s="35"/>
      <c r="BK206" s="36"/>
      <c r="BM206" s="34"/>
      <c r="BN206" s="35"/>
      <c r="BO206" s="36"/>
      <c r="BQ206" s="34"/>
      <c r="BR206" s="35"/>
      <c r="BS206" s="36"/>
      <c r="BU206" s="34"/>
      <c r="BV206" s="35"/>
      <c r="BW206" s="36"/>
      <c r="BY206" s="34"/>
      <c r="BZ206" s="35"/>
      <c r="CA206" s="36"/>
      <c r="CC206" s="34"/>
      <c r="CD206" s="35"/>
      <c r="CE206" s="36"/>
      <c r="CG206" s="34"/>
      <c r="CH206" s="35"/>
      <c r="CI206" s="36"/>
      <c r="CK206" s="34"/>
      <c r="CL206" s="35"/>
      <c r="CM206" s="36"/>
      <c r="CO206" s="34"/>
      <c r="CP206" s="35"/>
      <c r="CQ206" s="36"/>
      <c r="CS206" s="34"/>
      <c r="CT206" s="35"/>
      <c r="CU206" s="36"/>
    </row>
    <row r="207" spans="1:99">
      <c r="A207" s="1803" t="s">
        <v>4156</v>
      </c>
      <c r="B207" s="1803" t="s">
        <v>4157</v>
      </c>
      <c r="R207" s="506"/>
      <c r="S207" s="506"/>
      <c r="T207" s="507">
        <f t="shared" ca="1" si="57"/>
        <v>0</v>
      </c>
      <c r="U207" s="507">
        <f t="shared" ca="1" si="58"/>
        <v>0</v>
      </c>
      <c r="V207" s="507">
        <f t="shared" ca="1" si="59"/>
        <v>0</v>
      </c>
      <c r="W207" s="507">
        <f t="shared" ca="1" si="60"/>
        <v>0</v>
      </c>
      <c r="X207" s="507">
        <f t="shared" ca="1" si="61"/>
        <v>0</v>
      </c>
      <c r="Y207" s="507">
        <f t="shared" ca="1" si="62"/>
        <v>0</v>
      </c>
      <c r="Z207" s="507">
        <f t="shared" ca="1" si="63"/>
        <v>0</v>
      </c>
      <c r="AA207" s="507">
        <f t="shared" ca="1" si="64"/>
        <v>0</v>
      </c>
      <c r="AB207" s="507">
        <f t="shared" ca="1" si="65"/>
        <v>0</v>
      </c>
      <c r="AC207" s="507">
        <f t="shared" ca="1" si="66"/>
        <v>0</v>
      </c>
      <c r="AD207" s="507">
        <f t="shared" ca="1" si="67"/>
        <v>0</v>
      </c>
      <c r="AE207" s="507">
        <f t="shared" ca="1" si="68"/>
        <v>0</v>
      </c>
      <c r="AF207" s="11">
        <f t="shared" ca="1" si="56"/>
        <v>0</v>
      </c>
      <c r="AI207" s="4">
        <v>438</v>
      </c>
      <c r="AJ207" s="5" t="s">
        <v>605</v>
      </c>
      <c r="AK207" s="5" t="s">
        <v>600</v>
      </c>
      <c r="AL207" s="5" t="s">
        <v>606</v>
      </c>
      <c r="AM207" s="5" t="s">
        <v>607</v>
      </c>
      <c r="AN207" s="5" t="s">
        <v>18</v>
      </c>
      <c r="AO207" s="5" t="s">
        <v>16</v>
      </c>
      <c r="AP207" s="5" t="s">
        <v>481</v>
      </c>
      <c r="AQ207" s="5" t="s">
        <v>561</v>
      </c>
      <c r="AR207" s="5" t="s">
        <v>18</v>
      </c>
      <c r="AS207" s="6"/>
      <c r="AU207" s="5"/>
      <c r="AV207" s="5"/>
      <c r="AW207" s="5"/>
      <c r="AX207" s="5"/>
      <c r="AY207" s="5"/>
      <c r="BA207" s="34"/>
      <c r="BB207" s="35"/>
      <c r="BC207" s="36"/>
      <c r="BE207" s="34"/>
      <c r="BF207" s="35"/>
      <c r="BG207" s="36"/>
      <c r="BI207" s="34"/>
      <c r="BJ207" s="35"/>
      <c r="BK207" s="36"/>
      <c r="BM207" s="34"/>
      <c r="BN207" s="35"/>
      <c r="BO207" s="36"/>
      <c r="BQ207" s="34"/>
      <c r="BR207" s="35"/>
      <c r="BS207" s="36"/>
      <c r="BU207" s="34"/>
      <c r="BV207" s="35"/>
      <c r="BW207" s="36"/>
      <c r="BY207" s="34"/>
      <c r="BZ207" s="35"/>
      <c r="CA207" s="36"/>
      <c r="CC207" s="34"/>
      <c r="CD207" s="35"/>
      <c r="CE207" s="36"/>
      <c r="CG207" s="34"/>
      <c r="CH207" s="35"/>
      <c r="CI207" s="36"/>
      <c r="CK207" s="34"/>
      <c r="CL207" s="35"/>
      <c r="CM207" s="36"/>
      <c r="CO207" s="34"/>
      <c r="CP207" s="35"/>
      <c r="CQ207" s="36"/>
      <c r="CS207" s="34"/>
      <c r="CT207" s="35"/>
      <c r="CU207" s="36"/>
    </row>
    <row r="208" spans="1:99">
      <c r="A208" s="1803" t="s">
        <v>818</v>
      </c>
      <c r="B208" s="1803" t="s">
        <v>4158</v>
      </c>
      <c r="R208" s="506"/>
      <c r="S208" s="506"/>
      <c r="T208" s="507">
        <f t="shared" ca="1" si="57"/>
        <v>0</v>
      </c>
      <c r="U208" s="507">
        <f t="shared" ca="1" si="58"/>
        <v>0</v>
      </c>
      <c r="V208" s="507">
        <f t="shared" ca="1" si="59"/>
        <v>0</v>
      </c>
      <c r="W208" s="507">
        <f t="shared" ca="1" si="60"/>
        <v>0</v>
      </c>
      <c r="X208" s="507">
        <f t="shared" ca="1" si="61"/>
        <v>0</v>
      </c>
      <c r="Y208" s="507">
        <f t="shared" ca="1" si="62"/>
        <v>0</v>
      </c>
      <c r="Z208" s="507">
        <f t="shared" ca="1" si="63"/>
        <v>0</v>
      </c>
      <c r="AA208" s="507">
        <f t="shared" ca="1" si="64"/>
        <v>0</v>
      </c>
      <c r="AB208" s="507">
        <f t="shared" ca="1" si="65"/>
        <v>0</v>
      </c>
      <c r="AC208" s="507">
        <f t="shared" ca="1" si="66"/>
        <v>0</v>
      </c>
      <c r="AD208" s="507">
        <f t="shared" ca="1" si="67"/>
        <v>0</v>
      </c>
      <c r="AE208" s="507">
        <f t="shared" ca="1" si="68"/>
        <v>0</v>
      </c>
      <c r="AF208" s="11">
        <f t="shared" ca="1" si="56"/>
        <v>0</v>
      </c>
      <c r="AI208" s="4">
        <v>440</v>
      </c>
      <c r="AJ208" s="5" t="s">
        <v>608</v>
      </c>
      <c r="AK208" s="5" t="s">
        <v>600</v>
      </c>
      <c r="AL208" s="5" t="s">
        <v>609</v>
      </c>
      <c r="AM208" s="5" t="s">
        <v>610</v>
      </c>
      <c r="AN208" s="5" t="s">
        <v>18</v>
      </c>
      <c r="AO208" s="5" t="s">
        <v>16</v>
      </c>
      <c r="AP208" s="5" t="s">
        <v>481</v>
      </c>
      <c r="AQ208" s="5" t="s">
        <v>561</v>
      </c>
      <c r="AR208" s="5" t="s">
        <v>18</v>
      </c>
      <c r="AS208" s="6"/>
      <c r="AU208" s="5"/>
      <c r="AV208" s="5"/>
      <c r="AW208" s="5"/>
      <c r="AX208" s="5"/>
      <c r="AY208" s="5"/>
      <c r="BA208" s="34"/>
      <c r="BB208" s="35"/>
      <c r="BC208" s="36"/>
      <c r="BE208" s="34"/>
      <c r="BF208" s="35"/>
      <c r="BG208" s="36"/>
      <c r="BI208" s="34"/>
      <c r="BJ208" s="35"/>
      <c r="BK208" s="36"/>
      <c r="BM208" s="34"/>
      <c r="BN208" s="35"/>
      <c r="BO208" s="36"/>
      <c r="BQ208" s="34"/>
      <c r="BR208" s="35"/>
      <c r="BS208" s="36"/>
      <c r="BU208" s="34"/>
      <c r="BV208" s="35"/>
      <c r="BW208" s="36"/>
      <c r="BY208" s="34"/>
      <c r="BZ208" s="35"/>
      <c r="CA208" s="36"/>
      <c r="CC208" s="34"/>
      <c r="CD208" s="35"/>
      <c r="CE208" s="36"/>
      <c r="CG208" s="34"/>
      <c r="CH208" s="35"/>
      <c r="CI208" s="36"/>
      <c r="CK208" s="34"/>
      <c r="CL208" s="35"/>
      <c r="CM208" s="36"/>
      <c r="CO208" s="34"/>
      <c r="CP208" s="35"/>
      <c r="CQ208" s="36"/>
      <c r="CS208" s="34"/>
      <c r="CT208" s="35"/>
      <c r="CU208" s="36"/>
    </row>
    <row r="209" spans="1:99">
      <c r="A209" s="1803" t="s">
        <v>821</v>
      </c>
      <c r="B209" s="1803" t="s">
        <v>4159</v>
      </c>
      <c r="R209" s="506"/>
      <c r="S209" s="506"/>
      <c r="T209" s="507">
        <f t="shared" ca="1" si="57"/>
        <v>0</v>
      </c>
      <c r="U209" s="507">
        <f t="shared" ca="1" si="58"/>
        <v>0</v>
      </c>
      <c r="V209" s="507">
        <f t="shared" ca="1" si="59"/>
        <v>0</v>
      </c>
      <c r="W209" s="507">
        <f t="shared" ca="1" si="60"/>
        <v>0</v>
      </c>
      <c r="X209" s="507">
        <f t="shared" ca="1" si="61"/>
        <v>0</v>
      </c>
      <c r="Y209" s="507">
        <f t="shared" ca="1" si="62"/>
        <v>0</v>
      </c>
      <c r="Z209" s="507">
        <f t="shared" ca="1" si="63"/>
        <v>0</v>
      </c>
      <c r="AA209" s="507">
        <f t="shared" ca="1" si="64"/>
        <v>0</v>
      </c>
      <c r="AB209" s="507">
        <f t="shared" ca="1" si="65"/>
        <v>0</v>
      </c>
      <c r="AC209" s="507">
        <f t="shared" ca="1" si="66"/>
        <v>0</v>
      </c>
      <c r="AD209" s="507">
        <f t="shared" ca="1" si="67"/>
        <v>0</v>
      </c>
      <c r="AE209" s="507">
        <f t="shared" ca="1" si="68"/>
        <v>0</v>
      </c>
      <c r="AF209" s="11">
        <f t="shared" ca="1" si="56"/>
        <v>0</v>
      </c>
      <c r="AI209" s="4">
        <v>442</v>
      </c>
      <c r="AJ209" s="5" t="s">
        <v>611</v>
      </c>
      <c r="AK209" s="5" t="s">
        <v>600</v>
      </c>
      <c r="AL209" s="5" t="s">
        <v>612</v>
      </c>
      <c r="AM209" s="5" t="s">
        <v>613</v>
      </c>
      <c r="AN209" s="5" t="s">
        <v>18</v>
      </c>
      <c r="AO209" s="5" t="s">
        <v>16</v>
      </c>
      <c r="AP209" s="5" t="s">
        <v>481</v>
      </c>
      <c r="AQ209" s="5" t="s">
        <v>561</v>
      </c>
      <c r="AR209" s="5" t="s">
        <v>18</v>
      </c>
      <c r="AS209" s="6"/>
      <c r="AU209" s="5"/>
      <c r="AV209" s="5"/>
      <c r="AW209" s="5"/>
      <c r="AX209" s="5"/>
      <c r="AY209" s="5"/>
      <c r="BA209" s="34"/>
      <c r="BB209" s="35"/>
      <c r="BC209" s="36"/>
      <c r="BE209" s="34"/>
      <c r="BF209" s="35"/>
      <c r="BG209" s="36"/>
      <c r="BI209" s="34"/>
      <c r="BJ209" s="35"/>
      <c r="BK209" s="36"/>
      <c r="BM209" s="34"/>
      <c r="BN209" s="35"/>
      <c r="BO209" s="36"/>
      <c r="BQ209" s="34"/>
      <c r="BR209" s="35"/>
      <c r="BS209" s="36"/>
      <c r="BU209" s="34"/>
      <c r="BV209" s="35"/>
      <c r="BW209" s="36"/>
      <c r="BY209" s="34"/>
      <c r="BZ209" s="35"/>
      <c r="CA209" s="36"/>
      <c r="CC209" s="34"/>
      <c r="CD209" s="35"/>
      <c r="CE209" s="36"/>
      <c r="CG209" s="34"/>
      <c r="CH209" s="35"/>
      <c r="CI209" s="36"/>
      <c r="CK209" s="34"/>
      <c r="CL209" s="35"/>
      <c r="CM209" s="36"/>
      <c r="CO209" s="34"/>
      <c r="CP209" s="35"/>
      <c r="CQ209" s="36"/>
      <c r="CS209" s="34"/>
      <c r="CT209" s="35"/>
      <c r="CU209" s="36"/>
    </row>
    <row r="210" spans="1:99">
      <c r="A210" s="1803" t="s">
        <v>824</v>
      </c>
      <c r="B210" s="1803" t="s">
        <v>4160</v>
      </c>
      <c r="R210" s="506"/>
      <c r="S210" s="506"/>
      <c r="T210" s="507">
        <f t="shared" ca="1" si="57"/>
        <v>0</v>
      </c>
      <c r="U210" s="507">
        <f t="shared" ca="1" si="58"/>
        <v>0</v>
      </c>
      <c r="V210" s="507">
        <f t="shared" ca="1" si="59"/>
        <v>0</v>
      </c>
      <c r="W210" s="507">
        <f t="shared" ca="1" si="60"/>
        <v>0</v>
      </c>
      <c r="X210" s="507">
        <f t="shared" ca="1" si="61"/>
        <v>0</v>
      </c>
      <c r="Y210" s="507">
        <f t="shared" ca="1" si="62"/>
        <v>0</v>
      </c>
      <c r="Z210" s="507">
        <f t="shared" ca="1" si="63"/>
        <v>0</v>
      </c>
      <c r="AA210" s="507">
        <f t="shared" ca="1" si="64"/>
        <v>0</v>
      </c>
      <c r="AB210" s="507">
        <f t="shared" ca="1" si="65"/>
        <v>0</v>
      </c>
      <c r="AC210" s="507">
        <f t="shared" ca="1" si="66"/>
        <v>0</v>
      </c>
      <c r="AD210" s="507">
        <f t="shared" ca="1" si="67"/>
        <v>0</v>
      </c>
      <c r="AE210" s="507">
        <f t="shared" ca="1" si="68"/>
        <v>0</v>
      </c>
      <c r="AF210" s="11">
        <f t="shared" ca="1" si="56"/>
        <v>0</v>
      </c>
      <c r="AI210" s="4">
        <v>444</v>
      </c>
      <c r="AJ210" s="5" t="s">
        <v>616</v>
      </c>
      <c r="AK210" s="5" t="s">
        <v>614</v>
      </c>
      <c r="AL210" s="5" t="s">
        <v>390</v>
      </c>
      <c r="AM210" s="5" t="s">
        <v>617</v>
      </c>
      <c r="AN210" s="5" t="s">
        <v>18</v>
      </c>
      <c r="AO210" s="5" t="s">
        <v>16</v>
      </c>
      <c r="AP210" s="5" t="s">
        <v>481</v>
      </c>
      <c r="AQ210" s="5" t="s">
        <v>561</v>
      </c>
      <c r="AR210" s="5" t="s">
        <v>18</v>
      </c>
      <c r="AS210" s="6"/>
      <c r="AU210" s="5"/>
      <c r="AV210" s="5"/>
      <c r="AW210" s="5"/>
      <c r="AX210" s="5"/>
      <c r="AY210" s="5"/>
      <c r="BA210" s="34"/>
      <c r="BB210" s="35"/>
      <c r="BC210" s="36"/>
      <c r="BE210" s="34"/>
      <c r="BF210" s="35"/>
      <c r="BG210" s="36"/>
      <c r="BI210" s="34"/>
      <c r="BJ210" s="35"/>
      <c r="BK210" s="36"/>
      <c r="BM210" s="34"/>
      <c r="BN210" s="35"/>
      <c r="BO210" s="36"/>
      <c r="BQ210" s="34"/>
      <c r="BR210" s="35"/>
      <c r="BS210" s="36"/>
      <c r="BU210" s="34"/>
      <c r="BV210" s="35"/>
      <c r="BW210" s="36"/>
      <c r="BY210" s="34"/>
      <c r="BZ210" s="35"/>
      <c r="CA210" s="36"/>
      <c r="CC210" s="34"/>
      <c r="CD210" s="35"/>
      <c r="CE210" s="36"/>
      <c r="CG210" s="34"/>
      <c r="CH210" s="35"/>
      <c r="CI210" s="36"/>
      <c r="CK210" s="34"/>
      <c r="CL210" s="35"/>
      <c r="CM210" s="36"/>
      <c r="CO210" s="34"/>
      <c r="CP210" s="35"/>
      <c r="CQ210" s="36"/>
      <c r="CS210" s="34"/>
      <c r="CT210" s="35"/>
      <c r="CU210" s="36"/>
    </row>
    <row r="211" spans="1:99">
      <c r="A211" s="1803" t="s">
        <v>827</v>
      </c>
      <c r="B211" s="1803" t="s">
        <v>4161</v>
      </c>
      <c r="R211" s="506"/>
      <c r="S211" s="506"/>
      <c r="T211" s="507">
        <f t="shared" ca="1" si="57"/>
        <v>0</v>
      </c>
      <c r="U211" s="507">
        <f t="shared" ca="1" si="58"/>
        <v>0</v>
      </c>
      <c r="V211" s="507">
        <f t="shared" ca="1" si="59"/>
        <v>0</v>
      </c>
      <c r="W211" s="507">
        <f t="shared" ca="1" si="60"/>
        <v>0</v>
      </c>
      <c r="X211" s="507">
        <f t="shared" ca="1" si="61"/>
        <v>0</v>
      </c>
      <c r="Y211" s="507">
        <f t="shared" ca="1" si="62"/>
        <v>0</v>
      </c>
      <c r="Z211" s="507">
        <f t="shared" ca="1" si="63"/>
        <v>0</v>
      </c>
      <c r="AA211" s="507">
        <f t="shared" ca="1" si="64"/>
        <v>0</v>
      </c>
      <c r="AB211" s="507">
        <f t="shared" ca="1" si="65"/>
        <v>0</v>
      </c>
      <c r="AC211" s="507">
        <f t="shared" ca="1" si="66"/>
        <v>0</v>
      </c>
      <c r="AD211" s="507">
        <f t="shared" ca="1" si="67"/>
        <v>0</v>
      </c>
      <c r="AE211" s="507">
        <f t="shared" ca="1" si="68"/>
        <v>0</v>
      </c>
      <c r="AF211" s="11">
        <f t="shared" ca="1" si="56"/>
        <v>0</v>
      </c>
      <c r="AI211" s="4">
        <v>446</v>
      </c>
      <c r="AJ211" s="5" t="s">
        <v>618</v>
      </c>
      <c r="AK211" s="5" t="s">
        <v>614</v>
      </c>
      <c r="AL211" s="5" t="s">
        <v>619</v>
      </c>
      <c r="AM211" s="5" t="s">
        <v>620</v>
      </c>
      <c r="AN211" s="5" t="s">
        <v>18</v>
      </c>
      <c r="AO211" s="5" t="s">
        <v>16</v>
      </c>
      <c r="AP211" s="5" t="s">
        <v>481</v>
      </c>
      <c r="AQ211" s="5" t="s">
        <v>561</v>
      </c>
      <c r="AR211" s="5" t="s">
        <v>18</v>
      </c>
      <c r="AS211" s="6"/>
      <c r="AU211" s="5"/>
      <c r="AV211" s="5"/>
      <c r="AW211" s="5"/>
      <c r="AX211" s="5"/>
      <c r="AY211" s="5"/>
      <c r="BA211" s="34"/>
      <c r="BB211" s="35"/>
      <c r="BC211" s="36"/>
      <c r="BE211" s="34"/>
      <c r="BF211" s="35"/>
      <c r="BG211" s="36"/>
      <c r="BI211" s="34"/>
      <c r="BJ211" s="35"/>
      <c r="BK211" s="36"/>
      <c r="BM211" s="34"/>
      <c r="BN211" s="35"/>
      <c r="BO211" s="36"/>
      <c r="BQ211" s="34"/>
      <c r="BR211" s="35"/>
      <c r="BS211" s="36"/>
      <c r="BU211" s="34"/>
      <c r="BV211" s="35"/>
      <c r="BW211" s="36"/>
      <c r="BY211" s="34"/>
      <c r="BZ211" s="35"/>
      <c r="CA211" s="36"/>
      <c r="CC211" s="34"/>
      <c r="CD211" s="35"/>
      <c r="CE211" s="36"/>
      <c r="CG211" s="34"/>
      <c r="CH211" s="35"/>
      <c r="CI211" s="36"/>
      <c r="CK211" s="34"/>
      <c r="CL211" s="35"/>
      <c r="CM211" s="36"/>
      <c r="CO211" s="34"/>
      <c r="CP211" s="35"/>
      <c r="CQ211" s="36"/>
      <c r="CS211" s="34"/>
      <c r="CT211" s="35"/>
      <c r="CU211" s="36"/>
    </row>
    <row r="212" spans="1:99">
      <c r="A212" s="1803" t="s">
        <v>830</v>
      </c>
      <c r="B212" s="1803" t="s">
        <v>4162</v>
      </c>
      <c r="R212" s="506"/>
      <c r="S212" s="506"/>
      <c r="T212" s="507">
        <f t="shared" ca="1" si="57"/>
        <v>0</v>
      </c>
      <c r="U212" s="507">
        <f t="shared" ca="1" si="58"/>
        <v>0</v>
      </c>
      <c r="V212" s="507">
        <f t="shared" ca="1" si="59"/>
        <v>0</v>
      </c>
      <c r="W212" s="507">
        <f t="shared" ca="1" si="60"/>
        <v>0</v>
      </c>
      <c r="X212" s="507">
        <f t="shared" ca="1" si="61"/>
        <v>0</v>
      </c>
      <c r="Y212" s="507">
        <f t="shared" ca="1" si="62"/>
        <v>0</v>
      </c>
      <c r="Z212" s="507">
        <f t="shared" ca="1" si="63"/>
        <v>0</v>
      </c>
      <c r="AA212" s="507">
        <f t="shared" ca="1" si="64"/>
        <v>0</v>
      </c>
      <c r="AB212" s="507">
        <f t="shared" ca="1" si="65"/>
        <v>0</v>
      </c>
      <c r="AC212" s="507">
        <f t="shared" ca="1" si="66"/>
        <v>0</v>
      </c>
      <c r="AD212" s="507">
        <f t="shared" ca="1" si="67"/>
        <v>0</v>
      </c>
      <c r="AE212" s="507">
        <f t="shared" ca="1" si="68"/>
        <v>0</v>
      </c>
      <c r="AF212" s="11">
        <f t="shared" ca="1" si="56"/>
        <v>0</v>
      </c>
      <c r="AI212" s="4">
        <v>448</v>
      </c>
      <c r="AJ212" s="5" t="s">
        <v>621</v>
      </c>
      <c r="AK212" s="5" t="s">
        <v>614</v>
      </c>
      <c r="AL212" s="5" t="s">
        <v>622</v>
      </c>
      <c r="AM212" s="5" t="s">
        <v>623</v>
      </c>
      <c r="AN212" s="5" t="s">
        <v>18</v>
      </c>
      <c r="AO212" s="5" t="s">
        <v>16</v>
      </c>
      <c r="AP212" s="5" t="s">
        <v>481</v>
      </c>
      <c r="AQ212" s="5" t="s">
        <v>561</v>
      </c>
      <c r="AR212" s="5" t="s">
        <v>18</v>
      </c>
      <c r="AS212" s="6"/>
      <c r="AU212" s="5"/>
      <c r="AV212" s="5"/>
      <c r="AW212" s="5"/>
      <c r="AX212" s="5"/>
      <c r="AY212" s="5"/>
      <c r="BA212" s="34"/>
      <c r="BB212" s="35"/>
      <c r="BC212" s="36"/>
      <c r="BE212" s="34"/>
      <c r="BF212" s="35"/>
      <c r="BG212" s="36"/>
      <c r="BI212" s="34"/>
      <c r="BJ212" s="35"/>
      <c r="BK212" s="36"/>
      <c r="BM212" s="34"/>
      <c r="BN212" s="35"/>
      <c r="BO212" s="36"/>
      <c r="BQ212" s="34"/>
      <c r="BR212" s="35"/>
      <c r="BS212" s="36"/>
      <c r="BU212" s="34"/>
      <c r="BV212" s="35"/>
      <c r="BW212" s="36"/>
      <c r="BY212" s="34"/>
      <c r="BZ212" s="35"/>
      <c r="CA212" s="36"/>
      <c r="CC212" s="34"/>
      <c r="CD212" s="35"/>
      <c r="CE212" s="36"/>
      <c r="CG212" s="34"/>
      <c r="CH212" s="35"/>
      <c r="CI212" s="36"/>
      <c r="CK212" s="34"/>
      <c r="CL212" s="35"/>
      <c r="CM212" s="36"/>
      <c r="CO212" s="34"/>
      <c r="CP212" s="35"/>
      <c r="CQ212" s="36"/>
      <c r="CS212" s="34"/>
      <c r="CT212" s="35"/>
      <c r="CU212" s="36"/>
    </row>
    <row r="213" spans="1:99">
      <c r="A213" s="1803" t="s">
        <v>3856</v>
      </c>
      <c r="B213" s="1803" t="s">
        <v>4163</v>
      </c>
      <c r="R213" s="506"/>
      <c r="S213" s="506"/>
      <c r="T213" s="507">
        <f t="shared" ca="1" si="57"/>
        <v>0</v>
      </c>
      <c r="U213" s="507">
        <f t="shared" ca="1" si="58"/>
        <v>0</v>
      </c>
      <c r="V213" s="507">
        <f t="shared" ca="1" si="59"/>
        <v>0</v>
      </c>
      <c r="W213" s="507">
        <f t="shared" ca="1" si="60"/>
        <v>0</v>
      </c>
      <c r="X213" s="507">
        <f t="shared" ca="1" si="61"/>
        <v>0</v>
      </c>
      <c r="Y213" s="507">
        <f t="shared" ca="1" si="62"/>
        <v>0</v>
      </c>
      <c r="Z213" s="507">
        <f t="shared" ca="1" si="63"/>
        <v>0</v>
      </c>
      <c r="AA213" s="507">
        <f t="shared" ca="1" si="64"/>
        <v>0</v>
      </c>
      <c r="AB213" s="507">
        <f t="shared" ca="1" si="65"/>
        <v>0</v>
      </c>
      <c r="AC213" s="507">
        <f t="shared" ca="1" si="66"/>
        <v>0</v>
      </c>
      <c r="AD213" s="507">
        <f t="shared" ca="1" si="67"/>
        <v>0</v>
      </c>
      <c r="AE213" s="507">
        <f t="shared" ca="1" si="68"/>
        <v>0</v>
      </c>
      <c r="AF213" s="11">
        <f t="shared" ca="1" si="56"/>
        <v>0</v>
      </c>
      <c r="AI213" s="4">
        <v>450</v>
      </c>
      <c r="AJ213" s="5" t="s">
        <v>624</v>
      </c>
      <c r="AK213" s="5" t="s">
        <v>614</v>
      </c>
      <c r="AL213" s="5" t="s">
        <v>625</v>
      </c>
      <c r="AM213" s="5" t="s">
        <v>626</v>
      </c>
      <c r="AN213" s="5" t="s">
        <v>18</v>
      </c>
      <c r="AO213" s="5" t="s">
        <v>16</v>
      </c>
      <c r="AP213" s="5" t="s">
        <v>481</v>
      </c>
      <c r="AQ213" s="5" t="s">
        <v>561</v>
      </c>
      <c r="AR213" s="5" t="s">
        <v>18</v>
      </c>
      <c r="AS213" s="6"/>
      <c r="AU213" s="5"/>
      <c r="AV213" s="5"/>
      <c r="AW213" s="5"/>
      <c r="AX213" s="5"/>
      <c r="AY213" s="5"/>
      <c r="BA213" s="34"/>
      <c r="BB213" s="35"/>
      <c r="BC213" s="36"/>
      <c r="BE213" s="34"/>
      <c r="BF213" s="35"/>
      <c r="BG213" s="36"/>
      <c r="BI213" s="34"/>
      <c r="BJ213" s="35"/>
      <c r="BK213" s="36"/>
      <c r="BM213" s="34"/>
      <c r="BN213" s="35"/>
      <c r="BO213" s="36"/>
      <c r="BQ213" s="34"/>
      <c r="BR213" s="35"/>
      <c r="BS213" s="36"/>
      <c r="BU213" s="34"/>
      <c r="BV213" s="35"/>
      <c r="BW213" s="36"/>
      <c r="BY213" s="34"/>
      <c r="BZ213" s="35"/>
      <c r="CA213" s="36"/>
      <c r="CC213" s="34"/>
      <c r="CD213" s="35"/>
      <c r="CE213" s="36"/>
      <c r="CG213" s="34"/>
      <c r="CH213" s="35"/>
      <c r="CI213" s="36"/>
      <c r="CK213" s="34"/>
      <c r="CL213" s="35"/>
      <c r="CM213" s="36"/>
      <c r="CO213" s="34"/>
      <c r="CP213" s="35"/>
      <c r="CQ213" s="36"/>
      <c r="CS213" s="34"/>
      <c r="CT213" s="35"/>
      <c r="CU213" s="36"/>
    </row>
    <row r="214" spans="1:99">
      <c r="A214" s="1803" t="s">
        <v>833</v>
      </c>
      <c r="B214" s="1803" t="s">
        <v>4164</v>
      </c>
      <c r="R214" s="506"/>
      <c r="S214" s="506"/>
      <c r="T214" s="507">
        <f t="shared" ca="1" si="57"/>
        <v>0</v>
      </c>
      <c r="U214" s="507">
        <f t="shared" ca="1" si="58"/>
        <v>0</v>
      </c>
      <c r="V214" s="507">
        <f t="shared" ca="1" si="59"/>
        <v>0</v>
      </c>
      <c r="W214" s="507">
        <f t="shared" ca="1" si="60"/>
        <v>0</v>
      </c>
      <c r="X214" s="507">
        <f t="shared" ca="1" si="61"/>
        <v>0</v>
      </c>
      <c r="Y214" s="507">
        <f t="shared" ca="1" si="62"/>
        <v>0</v>
      </c>
      <c r="Z214" s="507">
        <f t="shared" ca="1" si="63"/>
        <v>0</v>
      </c>
      <c r="AA214" s="507">
        <f t="shared" ca="1" si="64"/>
        <v>0</v>
      </c>
      <c r="AB214" s="507">
        <f t="shared" ca="1" si="65"/>
        <v>0</v>
      </c>
      <c r="AC214" s="507">
        <f t="shared" ca="1" si="66"/>
        <v>0</v>
      </c>
      <c r="AD214" s="507">
        <f t="shared" ca="1" si="67"/>
        <v>0</v>
      </c>
      <c r="AE214" s="507">
        <f t="shared" ca="1" si="68"/>
        <v>0</v>
      </c>
      <c r="AF214" s="11">
        <f t="shared" ca="1" si="56"/>
        <v>0</v>
      </c>
      <c r="AI214" s="4">
        <v>452</v>
      </c>
      <c r="AJ214" s="5" t="s">
        <v>629</v>
      </c>
      <c r="AK214" s="5" t="s">
        <v>627</v>
      </c>
      <c r="AL214" s="5" t="s">
        <v>630</v>
      </c>
      <c r="AM214" s="5" t="s">
        <v>631</v>
      </c>
      <c r="AN214" s="5" t="s">
        <v>18</v>
      </c>
      <c r="AO214" s="5" t="s">
        <v>16</v>
      </c>
      <c r="AP214" s="5" t="s">
        <v>481</v>
      </c>
      <c r="AQ214" s="5" t="s">
        <v>561</v>
      </c>
      <c r="AR214" s="5" t="s">
        <v>18</v>
      </c>
      <c r="AS214" s="6"/>
      <c r="AU214" s="5"/>
      <c r="AV214" s="5"/>
      <c r="AW214" s="5"/>
      <c r="AX214" s="5"/>
      <c r="AY214" s="5"/>
      <c r="BA214" s="34"/>
      <c r="BB214" s="35"/>
      <c r="BC214" s="36"/>
      <c r="BE214" s="34"/>
      <c r="BF214" s="35"/>
      <c r="BG214" s="36"/>
      <c r="BI214" s="34"/>
      <c r="BJ214" s="35"/>
      <c r="BK214" s="36"/>
      <c r="BM214" s="34"/>
      <c r="BN214" s="35"/>
      <c r="BO214" s="36"/>
      <c r="BQ214" s="34"/>
      <c r="BR214" s="35"/>
      <c r="BS214" s="36"/>
      <c r="BU214" s="34"/>
      <c r="BV214" s="35"/>
      <c r="BW214" s="36"/>
      <c r="BY214" s="34"/>
      <c r="BZ214" s="35"/>
      <c r="CA214" s="36"/>
      <c r="CC214" s="34"/>
      <c r="CD214" s="35"/>
      <c r="CE214" s="36"/>
      <c r="CG214" s="34"/>
      <c r="CH214" s="35"/>
      <c r="CI214" s="36"/>
      <c r="CK214" s="34"/>
      <c r="CL214" s="35"/>
      <c r="CM214" s="36"/>
      <c r="CO214" s="34"/>
      <c r="CP214" s="35"/>
      <c r="CQ214" s="36"/>
      <c r="CS214" s="34"/>
      <c r="CT214" s="35"/>
      <c r="CU214" s="36"/>
    </row>
    <row r="215" spans="1:99">
      <c r="A215" s="1803" t="s">
        <v>3939</v>
      </c>
      <c r="B215" s="1803" t="s">
        <v>4165</v>
      </c>
      <c r="R215" s="506"/>
      <c r="S215" s="506"/>
      <c r="T215" s="507">
        <f t="shared" ca="1" si="57"/>
        <v>0</v>
      </c>
      <c r="U215" s="507">
        <f t="shared" ca="1" si="58"/>
        <v>0</v>
      </c>
      <c r="V215" s="507">
        <f t="shared" ca="1" si="59"/>
        <v>0</v>
      </c>
      <c r="W215" s="507">
        <f t="shared" ca="1" si="60"/>
        <v>0</v>
      </c>
      <c r="X215" s="507">
        <f t="shared" ca="1" si="61"/>
        <v>0</v>
      </c>
      <c r="Y215" s="507">
        <f t="shared" ca="1" si="62"/>
        <v>0</v>
      </c>
      <c r="Z215" s="507">
        <f t="shared" ca="1" si="63"/>
        <v>0</v>
      </c>
      <c r="AA215" s="507">
        <f t="shared" ca="1" si="64"/>
        <v>0</v>
      </c>
      <c r="AB215" s="507">
        <f t="shared" ca="1" si="65"/>
        <v>0</v>
      </c>
      <c r="AC215" s="507">
        <f t="shared" ca="1" si="66"/>
        <v>0</v>
      </c>
      <c r="AD215" s="507">
        <f t="shared" ca="1" si="67"/>
        <v>0</v>
      </c>
      <c r="AE215" s="507">
        <f t="shared" ca="1" si="68"/>
        <v>0</v>
      </c>
      <c r="AF215" s="11">
        <f t="shared" ca="1" si="56"/>
        <v>0</v>
      </c>
      <c r="AI215" s="4">
        <v>454</v>
      </c>
      <c r="AJ215" s="5" t="s">
        <v>632</v>
      </c>
      <c r="AK215" s="5" t="s">
        <v>627</v>
      </c>
      <c r="AL215" s="5" t="s">
        <v>633</v>
      </c>
      <c r="AM215" s="5" t="s">
        <v>634</v>
      </c>
      <c r="AN215" s="5" t="s">
        <v>18</v>
      </c>
      <c r="AO215" s="5" t="s">
        <v>16</v>
      </c>
      <c r="AP215" s="5" t="s">
        <v>481</v>
      </c>
      <c r="AQ215" s="5" t="s">
        <v>561</v>
      </c>
      <c r="AR215" s="5" t="s">
        <v>18</v>
      </c>
      <c r="AS215" s="6"/>
      <c r="AU215" s="5"/>
      <c r="AV215" s="5"/>
      <c r="AW215" s="5"/>
      <c r="AX215" s="5"/>
      <c r="AY215" s="5"/>
      <c r="BA215" s="34"/>
      <c r="BB215" s="35"/>
      <c r="BC215" s="36"/>
      <c r="BE215" s="34"/>
      <c r="BF215" s="35"/>
      <c r="BG215" s="36"/>
      <c r="BI215" s="34"/>
      <c r="BJ215" s="35"/>
      <c r="BK215" s="36"/>
      <c r="BM215" s="34"/>
      <c r="BN215" s="35"/>
      <c r="BO215" s="36"/>
      <c r="BQ215" s="34"/>
      <c r="BR215" s="35"/>
      <c r="BS215" s="36"/>
      <c r="BU215" s="34"/>
      <c r="BV215" s="35"/>
      <c r="BW215" s="36"/>
      <c r="BY215" s="34"/>
      <c r="BZ215" s="35"/>
      <c r="CA215" s="36"/>
      <c r="CC215" s="34"/>
      <c r="CD215" s="35"/>
      <c r="CE215" s="36"/>
      <c r="CG215" s="34"/>
      <c r="CH215" s="35"/>
      <c r="CI215" s="36"/>
      <c r="CK215" s="34"/>
      <c r="CL215" s="35"/>
      <c r="CM215" s="36"/>
      <c r="CO215" s="34"/>
      <c r="CP215" s="35"/>
      <c r="CQ215" s="36"/>
      <c r="CS215" s="34"/>
      <c r="CT215" s="35"/>
      <c r="CU215" s="36"/>
    </row>
    <row r="216" spans="1:99">
      <c r="A216" s="1803" t="s">
        <v>3917</v>
      </c>
      <c r="B216" s="1803" t="s">
        <v>4166</v>
      </c>
      <c r="R216" s="506"/>
      <c r="S216" s="506"/>
      <c r="T216" s="507">
        <f t="shared" ca="1" si="57"/>
        <v>0</v>
      </c>
      <c r="U216" s="507">
        <f t="shared" ca="1" si="58"/>
        <v>0</v>
      </c>
      <c r="V216" s="507">
        <f t="shared" ca="1" si="59"/>
        <v>0</v>
      </c>
      <c r="W216" s="507">
        <f t="shared" ca="1" si="60"/>
        <v>0</v>
      </c>
      <c r="X216" s="507">
        <f t="shared" ca="1" si="61"/>
        <v>0</v>
      </c>
      <c r="Y216" s="507">
        <f t="shared" ca="1" si="62"/>
        <v>0</v>
      </c>
      <c r="Z216" s="507">
        <f t="shared" ca="1" si="63"/>
        <v>0</v>
      </c>
      <c r="AA216" s="507">
        <f t="shared" ca="1" si="64"/>
        <v>0</v>
      </c>
      <c r="AB216" s="507">
        <f t="shared" ca="1" si="65"/>
        <v>0</v>
      </c>
      <c r="AC216" s="507">
        <f t="shared" ca="1" si="66"/>
        <v>0</v>
      </c>
      <c r="AD216" s="507">
        <f t="shared" ca="1" si="67"/>
        <v>0</v>
      </c>
      <c r="AE216" s="507">
        <f t="shared" ca="1" si="68"/>
        <v>0</v>
      </c>
      <c r="AF216" s="11">
        <f t="shared" ca="1" si="56"/>
        <v>0</v>
      </c>
      <c r="AI216" s="4">
        <v>456</v>
      </c>
      <c r="AJ216" s="5" t="s">
        <v>635</v>
      </c>
      <c r="AK216" s="5" t="s">
        <v>627</v>
      </c>
      <c r="AL216" s="5" t="s">
        <v>636</v>
      </c>
      <c r="AM216" s="5" t="s">
        <v>637</v>
      </c>
      <c r="AN216" s="5" t="s">
        <v>18</v>
      </c>
      <c r="AO216" s="5" t="s">
        <v>16</v>
      </c>
      <c r="AP216" s="5" t="s">
        <v>481</v>
      </c>
      <c r="AQ216" s="5" t="s">
        <v>561</v>
      </c>
      <c r="AR216" s="5" t="s">
        <v>18</v>
      </c>
      <c r="AS216" s="6"/>
      <c r="AU216" s="5"/>
      <c r="AV216" s="5"/>
      <c r="AW216" s="5"/>
      <c r="AX216" s="5"/>
      <c r="AY216" s="5"/>
      <c r="BA216" s="34"/>
      <c r="BB216" s="35"/>
      <c r="BC216" s="36"/>
      <c r="BE216" s="34"/>
      <c r="BF216" s="35"/>
      <c r="BG216" s="36"/>
      <c r="BI216" s="34"/>
      <c r="BJ216" s="35"/>
      <c r="BK216" s="36"/>
      <c r="BM216" s="34"/>
      <c r="BN216" s="35"/>
      <c r="BO216" s="36"/>
      <c r="BQ216" s="34"/>
      <c r="BR216" s="35"/>
      <c r="BS216" s="36"/>
      <c r="BU216" s="34"/>
      <c r="BV216" s="35"/>
      <c r="BW216" s="36"/>
      <c r="BY216" s="34"/>
      <c r="BZ216" s="35"/>
      <c r="CA216" s="36"/>
      <c r="CC216" s="34"/>
      <c r="CD216" s="35"/>
      <c r="CE216" s="36"/>
      <c r="CG216" s="34"/>
      <c r="CH216" s="35"/>
      <c r="CI216" s="36"/>
      <c r="CK216" s="34"/>
      <c r="CL216" s="35"/>
      <c r="CM216" s="36"/>
      <c r="CO216" s="34"/>
      <c r="CP216" s="35"/>
      <c r="CQ216" s="36"/>
      <c r="CS216" s="34"/>
      <c r="CT216" s="35"/>
      <c r="CU216" s="36"/>
    </row>
    <row r="217" spans="1:99">
      <c r="A217" s="1801">
        <v>2.6</v>
      </c>
      <c r="B217" s="1802" t="s">
        <v>1660</v>
      </c>
      <c r="R217" s="506"/>
      <c r="S217" s="506"/>
      <c r="T217" s="507">
        <f t="shared" ca="1" si="57"/>
        <v>0</v>
      </c>
      <c r="U217" s="507">
        <f t="shared" ca="1" si="58"/>
        <v>0</v>
      </c>
      <c r="V217" s="507">
        <f t="shared" ca="1" si="59"/>
        <v>0</v>
      </c>
      <c r="W217" s="507">
        <f t="shared" ca="1" si="60"/>
        <v>0</v>
      </c>
      <c r="X217" s="507">
        <f t="shared" ca="1" si="61"/>
        <v>0</v>
      </c>
      <c r="Y217" s="507">
        <f t="shared" ca="1" si="62"/>
        <v>0</v>
      </c>
      <c r="Z217" s="507">
        <f t="shared" ca="1" si="63"/>
        <v>0</v>
      </c>
      <c r="AA217" s="507">
        <f t="shared" ca="1" si="64"/>
        <v>0</v>
      </c>
      <c r="AB217" s="507">
        <f t="shared" ca="1" si="65"/>
        <v>0</v>
      </c>
      <c r="AC217" s="507">
        <f t="shared" ca="1" si="66"/>
        <v>0</v>
      </c>
      <c r="AD217" s="507">
        <f t="shared" ca="1" si="67"/>
        <v>0</v>
      </c>
      <c r="AE217" s="507">
        <f t="shared" ca="1" si="68"/>
        <v>0</v>
      </c>
      <c r="AF217" s="11">
        <f t="shared" ca="1" si="56"/>
        <v>0</v>
      </c>
      <c r="AI217" s="4">
        <v>458</v>
      </c>
      <c r="AJ217" s="5" t="s">
        <v>640</v>
      </c>
      <c r="AK217" s="5" t="s">
        <v>638</v>
      </c>
      <c r="AL217" s="5" t="s">
        <v>641</v>
      </c>
      <c r="AM217" s="5" t="s">
        <v>642</v>
      </c>
      <c r="AN217" s="5" t="s">
        <v>18</v>
      </c>
      <c r="AO217" s="5" t="s">
        <v>16</v>
      </c>
      <c r="AP217" s="5" t="s">
        <v>481</v>
      </c>
      <c r="AQ217" s="5" t="s">
        <v>561</v>
      </c>
      <c r="AR217" s="5" t="s">
        <v>18</v>
      </c>
      <c r="AS217" s="6"/>
      <c r="AU217" s="5"/>
      <c r="AV217" s="5"/>
      <c r="AW217" s="5"/>
      <c r="AX217" s="5"/>
      <c r="AY217" s="5"/>
      <c r="BA217" s="34"/>
      <c r="BB217" s="35"/>
      <c r="BC217" s="36"/>
      <c r="BE217" s="34"/>
      <c r="BF217" s="35"/>
      <c r="BG217" s="36"/>
      <c r="BI217" s="34"/>
      <c r="BJ217" s="35"/>
      <c r="BK217" s="36"/>
      <c r="BM217" s="34"/>
      <c r="BN217" s="35"/>
      <c r="BO217" s="36"/>
      <c r="BQ217" s="34"/>
      <c r="BR217" s="35"/>
      <c r="BS217" s="36"/>
      <c r="BU217" s="34"/>
      <c r="BV217" s="35"/>
      <c r="BW217" s="36"/>
      <c r="BY217" s="34"/>
      <c r="BZ217" s="35"/>
      <c r="CA217" s="36"/>
      <c r="CC217" s="34"/>
      <c r="CD217" s="35"/>
      <c r="CE217" s="36"/>
      <c r="CG217" s="34"/>
      <c r="CH217" s="35"/>
      <c r="CI217" s="36"/>
      <c r="CK217" s="34"/>
      <c r="CL217" s="35"/>
      <c r="CM217" s="36"/>
      <c r="CO217" s="34"/>
      <c r="CP217" s="35"/>
      <c r="CQ217" s="36"/>
      <c r="CS217" s="34"/>
      <c r="CT217" s="35"/>
      <c r="CU217" s="36"/>
    </row>
    <row r="218" spans="1:99">
      <c r="A218" s="1803" t="s">
        <v>145</v>
      </c>
      <c r="B218" s="1803" t="s">
        <v>1111</v>
      </c>
      <c r="R218" s="506"/>
      <c r="S218" s="506"/>
      <c r="T218" s="507">
        <f t="shared" ca="1" si="57"/>
        <v>0</v>
      </c>
      <c r="U218" s="507">
        <f t="shared" ca="1" si="58"/>
        <v>0</v>
      </c>
      <c r="V218" s="507">
        <f t="shared" ca="1" si="59"/>
        <v>0</v>
      </c>
      <c r="W218" s="507">
        <f t="shared" ca="1" si="60"/>
        <v>0</v>
      </c>
      <c r="X218" s="507">
        <f t="shared" ca="1" si="61"/>
        <v>0</v>
      </c>
      <c r="Y218" s="507">
        <f t="shared" ca="1" si="62"/>
        <v>0</v>
      </c>
      <c r="Z218" s="507">
        <f t="shared" ca="1" si="63"/>
        <v>0</v>
      </c>
      <c r="AA218" s="507">
        <f t="shared" ca="1" si="64"/>
        <v>0</v>
      </c>
      <c r="AB218" s="507">
        <f t="shared" ca="1" si="65"/>
        <v>0</v>
      </c>
      <c r="AC218" s="507">
        <f t="shared" ca="1" si="66"/>
        <v>0</v>
      </c>
      <c r="AD218" s="507">
        <f t="shared" ca="1" si="67"/>
        <v>0</v>
      </c>
      <c r="AE218" s="507">
        <f t="shared" ca="1" si="68"/>
        <v>0</v>
      </c>
      <c r="AF218" s="11">
        <f t="shared" ca="1" si="56"/>
        <v>0</v>
      </c>
      <c r="AG218" s="11"/>
      <c r="AI218" s="4">
        <v>460</v>
      </c>
      <c r="AJ218" s="5" t="s">
        <v>643</v>
      </c>
      <c r="AK218" s="5" t="s">
        <v>638</v>
      </c>
      <c r="AL218" s="5" t="s">
        <v>644</v>
      </c>
      <c r="AM218" s="5" t="s">
        <v>645</v>
      </c>
      <c r="AN218" s="5" t="s">
        <v>18</v>
      </c>
      <c r="AO218" s="5" t="s">
        <v>16</v>
      </c>
      <c r="AP218" s="5" t="s">
        <v>481</v>
      </c>
      <c r="AQ218" s="5" t="s">
        <v>561</v>
      </c>
      <c r="AR218" s="5" t="s">
        <v>18</v>
      </c>
      <c r="AS218" s="6"/>
      <c r="AU218" s="5"/>
      <c r="AV218" s="5"/>
      <c r="AW218" s="5"/>
      <c r="AX218" s="5"/>
      <c r="AY218" s="5"/>
      <c r="BA218" s="34"/>
      <c r="BB218" s="35"/>
      <c r="BC218" s="36"/>
      <c r="BE218" s="34"/>
      <c r="BF218" s="35"/>
      <c r="BG218" s="36"/>
      <c r="BI218" s="34"/>
      <c r="BJ218" s="35"/>
      <c r="BK218" s="36"/>
      <c r="BM218" s="34"/>
      <c r="BN218" s="35"/>
      <c r="BO218" s="36"/>
      <c r="BQ218" s="34"/>
      <c r="BR218" s="35"/>
      <c r="BS218" s="36"/>
      <c r="BU218" s="34"/>
      <c r="BV218" s="35"/>
      <c r="BW218" s="36"/>
      <c r="BY218" s="34"/>
      <c r="BZ218" s="35"/>
      <c r="CA218" s="36"/>
      <c r="CC218" s="34"/>
      <c r="CD218" s="35"/>
      <c r="CE218" s="36"/>
      <c r="CG218" s="34"/>
      <c r="CH218" s="35"/>
      <c r="CI218" s="36"/>
      <c r="CK218" s="34"/>
      <c r="CL218" s="35"/>
      <c r="CM218" s="36"/>
      <c r="CO218" s="34"/>
      <c r="CP218" s="35"/>
      <c r="CQ218" s="36"/>
      <c r="CS218" s="34"/>
      <c r="CT218" s="35"/>
      <c r="CU218" s="36"/>
    </row>
    <row r="219" spans="1:99">
      <c r="A219" s="1803" t="s">
        <v>3949</v>
      </c>
      <c r="B219" s="1803" t="s">
        <v>3946</v>
      </c>
      <c r="R219" s="506"/>
      <c r="S219" s="506"/>
      <c r="T219" s="507">
        <f t="shared" ca="1" si="57"/>
        <v>0</v>
      </c>
      <c r="U219" s="507">
        <f t="shared" ca="1" si="58"/>
        <v>0</v>
      </c>
      <c r="V219" s="507">
        <f t="shared" ca="1" si="59"/>
        <v>0</v>
      </c>
      <c r="W219" s="507">
        <f t="shared" ca="1" si="60"/>
        <v>0</v>
      </c>
      <c r="X219" s="507">
        <f t="shared" ca="1" si="61"/>
        <v>0</v>
      </c>
      <c r="Y219" s="507">
        <f t="shared" ca="1" si="62"/>
        <v>0</v>
      </c>
      <c r="Z219" s="507">
        <f t="shared" ca="1" si="63"/>
        <v>0</v>
      </c>
      <c r="AA219" s="507">
        <f t="shared" ca="1" si="64"/>
        <v>0</v>
      </c>
      <c r="AB219" s="507">
        <f t="shared" ca="1" si="65"/>
        <v>0</v>
      </c>
      <c r="AC219" s="507">
        <f t="shared" ca="1" si="66"/>
        <v>0</v>
      </c>
      <c r="AD219" s="507">
        <f t="shared" ca="1" si="67"/>
        <v>0</v>
      </c>
      <c r="AE219" s="507">
        <f t="shared" ca="1" si="68"/>
        <v>0</v>
      </c>
      <c r="AF219" s="11">
        <f t="shared" ca="1" si="56"/>
        <v>0</v>
      </c>
      <c r="AI219" s="4">
        <v>462</v>
      </c>
      <c r="AJ219" s="5" t="s">
        <v>646</v>
      </c>
      <c r="AK219" s="5" t="s">
        <v>638</v>
      </c>
      <c r="AL219" s="5" t="s">
        <v>647</v>
      </c>
      <c r="AM219" s="5" t="s">
        <v>648</v>
      </c>
      <c r="AN219" s="5" t="s">
        <v>18</v>
      </c>
      <c r="AO219" s="5" t="s">
        <v>16</v>
      </c>
      <c r="AP219" s="5" t="s">
        <v>481</v>
      </c>
      <c r="AQ219" s="5" t="s">
        <v>561</v>
      </c>
      <c r="AR219" s="5" t="s">
        <v>18</v>
      </c>
      <c r="AS219" s="6"/>
      <c r="AU219" s="5"/>
      <c r="AV219" s="5"/>
      <c r="AW219" s="5"/>
      <c r="AX219" s="5"/>
      <c r="AY219" s="5"/>
      <c r="BA219" s="34"/>
      <c r="BB219" s="35"/>
      <c r="BC219" s="36"/>
      <c r="BE219" s="34"/>
      <c r="BF219" s="35"/>
      <c r="BG219" s="36"/>
      <c r="BI219" s="34"/>
      <c r="BJ219" s="35"/>
      <c r="BK219" s="36"/>
      <c r="BM219" s="34"/>
      <c r="BN219" s="35"/>
      <c r="BO219" s="36"/>
      <c r="BQ219" s="34"/>
      <c r="BR219" s="35"/>
      <c r="BS219" s="36"/>
      <c r="BU219" s="34"/>
      <c r="BV219" s="35"/>
      <c r="BW219" s="36"/>
      <c r="BY219" s="34"/>
      <c r="BZ219" s="35"/>
      <c r="CA219" s="36"/>
      <c r="CC219" s="34"/>
      <c r="CD219" s="35"/>
      <c r="CE219" s="36"/>
      <c r="CG219" s="34"/>
      <c r="CH219" s="35"/>
      <c r="CI219" s="36"/>
      <c r="CK219" s="34"/>
      <c r="CL219" s="35"/>
      <c r="CM219" s="36"/>
      <c r="CO219" s="34"/>
      <c r="CP219" s="35"/>
      <c r="CQ219" s="36"/>
      <c r="CS219" s="34"/>
      <c r="CT219" s="35"/>
      <c r="CU219" s="36"/>
    </row>
    <row r="220" spans="1:99">
      <c r="A220" s="1803" t="s">
        <v>151</v>
      </c>
      <c r="B220" s="1803" t="s">
        <v>4167</v>
      </c>
      <c r="R220" s="506"/>
      <c r="S220" s="506"/>
      <c r="T220" s="507">
        <f t="shared" ca="1" si="57"/>
        <v>0</v>
      </c>
      <c r="U220" s="507">
        <f t="shared" ca="1" si="58"/>
        <v>0</v>
      </c>
      <c r="V220" s="507">
        <f t="shared" ca="1" si="59"/>
        <v>0</v>
      </c>
      <c r="W220" s="507">
        <f t="shared" ca="1" si="60"/>
        <v>0</v>
      </c>
      <c r="X220" s="507">
        <f t="shared" ca="1" si="61"/>
        <v>0</v>
      </c>
      <c r="Y220" s="507">
        <f t="shared" ca="1" si="62"/>
        <v>0</v>
      </c>
      <c r="Z220" s="507">
        <f t="shared" ca="1" si="63"/>
        <v>0</v>
      </c>
      <c r="AA220" s="507">
        <f t="shared" ca="1" si="64"/>
        <v>0</v>
      </c>
      <c r="AB220" s="507">
        <f t="shared" ca="1" si="65"/>
        <v>0</v>
      </c>
      <c r="AC220" s="507">
        <f t="shared" ca="1" si="66"/>
        <v>0</v>
      </c>
      <c r="AD220" s="507">
        <f t="shared" ca="1" si="67"/>
        <v>0</v>
      </c>
      <c r="AE220" s="507">
        <f t="shared" ca="1" si="68"/>
        <v>0</v>
      </c>
      <c r="AF220" s="11">
        <f t="shared" ca="1" si="56"/>
        <v>0</v>
      </c>
      <c r="AI220" s="4">
        <v>464</v>
      </c>
      <c r="AJ220" s="5" t="s">
        <v>649</v>
      </c>
      <c r="AK220" s="5" t="s">
        <v>638</v>
      </c>
      <c r="AL220" s="5" t="s">
        <v>650</v>
      </c>
      <c r="AM220" s="5" t="s">
        <v>651</v>
      </c>
      <c r="AN220" s="5" t="s">
        <v>18</v>
      </c>
      <c r="AO220" s="5" t="s">
        <v>16</v>
      </c>
      <c r="AP220" s="5" t="s">
        <v>481</v>
      </c>
      <c r="AQ220" s="5" t="s">
        <v>561</v>
      </c>
      <c r="AR220" s="5" t="s">
        <v>18</v>
      </c>
      <c r="AS220" s="6"/>
      <c r="AU220" s="5"/>
      <c r="AV220" s="5"/>
      <c r="AW220" s="5"/>
      <c r="AX220" s="5"/>
      <c r="AY220" s="5"/>
      <c r="BA220" s="34"/>
      <c r="BB220" s="35"/>
      <c r="BC220" s="36"/>
      <c r="BE220" s="34"/>
      <c r="BF220" s="35"/>
      <c r="BG220" s="36"/>
      <c r="BI220" s="34"/>
      <c r="BJ220" s="35"/>
      <c r="BK220" s="36"/>
      <c r="BM220" s="34"/>
      <c r="BN220" s="35"/>
      <c r="BO220" s="36"/>
      <c r="BQ220" s="34"/>
      <c r="BR220" s="35"/>
      <c r="BS220" s="36"/>
      <c r="BU220" s="34"/>
      <c r="BV220" s="35"/>
      <c r="BW220" s="36"/>
      <c r="BY220" s="34"/>
      <c r="BZ220" s="35"/>
      <c r="CA220" s="36"/>
      <c r="CC220" s="34"/>
      <c r="CD220" s="35"/>
      <c r="CE220" s="36"/>
      <c r="CG220" s="34"/>
      <c r="CH220" s="35"/>
      <c r="CI220" s="36"/>
      <c r="CK220" s="34"/>
      <c r="CL220" s="35"/>
      <c r="CM220" s="36"/>
      <c r="CO220" s="34"/>
      <c r="CP220" s="35"/>
      <c r="CQ220" s="36"/>
      <c r="CS220" s="34"/>
      <c r="CT220" s="35"/>
      <c r="CU220" s="36"/>
    </row>
    <row r="221" spans="1:99">
      <c r="A221" s="1803" t="s">
        <v>209</v>
      </c>
      <c r="B221" s="1803" t="s">
        <v>4168</v>
      </c>
      <c r="R221" s="506"/>
      <c r="S221" s="506"/>
      <c r="T221" s="507">
        <f t="shared" ca="1" si="57"/>
        <v>0</v>
      </c>
      <c r="U221" s="507">
        <f t="shared" ca="1" si="58"/>
        <v>0</v>
      </c>
      <c r="V221" s="507">
        <f t="shared" ca="1" si="59"/>
        <v>0</v>
      </c>
      <c r="W221" s="507">
        <f t="shared" ca="1" si="60"/>
        <v>0</v>
      </c>
      <c r="X221" s="507">
        <f t="shared" ca="1" si="61"/>
        <v>0</v>
      </c>
      <c r="Y221" s="507">
        <f t="shared" ca="1" si="62"/>
        <v>0</v>
      </c>
      <c r="Z221" s="507">
        <f t="shared" ca="1" si="63"/>
        <v>0</v>
      </c>
      <c r="AA221" s="507">
        <f t="shared" ca="1" si="64"/>
        <v>0</v>
      </c>
      <c r="AB221" s="507">
        <f t="shared" ca="1" si="65"/>
        <v>0</v>
      </c>
      <c r="AC221" s="507">
        <f t="shared" ca="1" si="66"/>
        <v>0</v>
      </c>
      <c r="AD221" s="507">
        <f t="shared" ca="1" si="67"/>
        <v>0</v>
      </c>
      <c r="AE221" s="507">
        <f t="shared" ca="1" si="68"/>
        <v>0</v>
      </c>
      <c r="AF221" s="11">
        <f t="shared" ca="1" si="56"/>
        <v>0</v>
      </c>
      <c r="AI221" s="4">
        <v>466</v>
      </c>
      <c r="AJ221" s="5" t="s">
        <v>656</v>
      </c>
      <c r="AK221" s="5" t="s">
        <v>654</v>
      </c>
      <c r="AL221" s="5" t="s">
        <v>657</v>
      </c>
      <c r="AM221" s="5" t="s">
        <v>658</v>
      </c>
      <c r="AN221" s="5" t="s">
        <v>18</v>
      </c>
      <c r="AO221" s="5" t="s">
        <v>16</v>
      </c>
      <c r="AP221" s="5" t="s">
        <v>481</v>
      </c>
      <c r="AQ221" s="5" t="s">
        <v>561</v>
      </c>
      <c r="AR221" s="5" t="s">
        <v>18</v>
      </c>
      <c r="AS221" s="6"/>
      <c r="AU221" s="5"/>
      <c r="AV221" s="5"/>
      <c r="AW221" s="5"/>
      <c r="AX221" s="5"/>
      <c r="AY221" s="5"/>
      <c r="BA221" s="34"/>
      <c r="BB221" s="35"/>
      <c r="BC221" s="36"/>
      <c r="BE221" s="34"/>
      <c r="BF221" s="35"/>
      <c r="BG221" s="36"/>
      <c r="BI221" s="34"/>
      <c r="BJ221" s="35"/>
      <c r="BK221" s="36"/>
      <c r="BM221" s="34"/>
      <c r="BN221" s="35"/>
      <c r="BO221" s="36"/>
      <c r="BQ221" s="34"/>
      <c r="BR221" s="35"/>
      <c r="BS221" s="36"/>
      <c r="BU221" s="34"/>
      <c r="BV221" s="35"/>
      <c r="BW221" s="36"/>
      <c r="BY221" s="34"/>
      <c r="BZ221" s="35"/>
      <c r="CA221" s="36"/>
      <c r="CC221" s="34"/>
      <c r="CD221" s="35"/>
      <c r="CE221" s="36"/>
      <c r="CG221" s="34"/>
      <c r="CH221" s="35"/>
      <c r="CI221" s="36"/>
      <c r="CK221" s="34"/>
      <c r="CL221" s="35"/>
      <c r="CM221" s="36"/>
      <c r="CO221" s="34"/>
      <c r="CP221" s="35"/>
      <c r="CQ221" s="36"/>
      <c r="CS221" s="34"/>
      <c r="CT221" s="35"/>
      <c r="CU221" s="36"/>
    </row>
    <row r="222" spans="1:99">
      <c r="A222" s="1803" t="s">
        <v>176</v>
      </c>
      <c r="B222" s="1803" t="s">
        <v>4169</v>
      </c>
      <c r="R222" s="506"/>
      <c r="S222" s="506"/>
      <c r="T222" s="507">
        <f t="shared" ca="1" si="57"/>
        <v>0</v>
      </c>
      <c r="U222" s="507">
        <f t="shared" ca="1" si="58"/>
        <v>0</v>
      </c>
      <c r="V222" s="507">
        <f t="shared" ca="1" si="59"/>
        <v>0</v>
      </c>
      <c r="W222" s="507">
        <f t="shared" ca="1" si="60"/>
        <v>0</v>
      </c>
      <c r="X222" s="507">
        <f t="shared" ca="1" si="61"/>
        <v>0</v>
      </c>
      <c r="Y222" s="507">
        <f t="shared" ca="1" si="62"/>
        <v>0</v>
      </c>
      <c r="Z222" s="507">
        <f t="shared" ca="1" si="63"/>
        <v>0</v>
      </c>
      <c r="AA222" s="507">
        <f t="shared" ca="1" si="64"/>
        <v>0</v>
      </c>
      <c r="AB222" s="507">
        <f t="shared" ca="1" si="65"/>
        <v>0</v>
      </c>
      <c r="AC222" s="507">
        <f t="shared" ca="1" si="66"/>
        <v>0</v>
      </c>
      <c r="AD222" s="507">
        <f t="shared" ca="1" si="67"/>
        <v>0</v>
      </c>
      <c r="AE222" s="507">
        <f t="shared" ca="1" si="68"/>
        <v>0</v>
      </c>
      <c r="AF222" s="11">
        <f t="shared" ca="1" si="56"/>
        <v>0</v>
      </c>
      <c r="AI222" s="4">
        <v>468</v>
      </c>
      <c r="AJ222" s="5" t="s">
        <v>659</v>
      </c>
      <c r="AK222" s="5" t="s">
        <v>654</v>
      </c>
      <c r="AL222" s="5" t="s">
        <v>660</v>
      </c>
      <c r="AM222" s="5" t="s">
        <v>661</v>
      </c>
      <c r="AN222" s="5" t="s">
        <v>18</v>
      </c>
      <c r="AO222" s="5" t="s">
        <v>16</v>
      </c>
      <c r="AP222" s="5" t="s">
        <v>481</v>
      </c>
      <c r="AQ222" s="5" t="s">
        <v>561</v>
      </c>
      <c r="AR222" s="5" t="s">
        <v>18</v>
      </c>
      <c r="AS222" s="6"/>
      <c r="AU222" s="5"/>
      <c r="AV222" s="5"/>
      <c r="AW222" s="5"/>
      <c r="AX222" s="5"/>
      <c r="AY222" s="5"/>
      <c r="BA222" s="34"/>
      <c r="BB222" s="35"/>
      <c r="BC222" s="36"/>
      <c r="BE222" s="34"/>
      <c r="BF222" s="35"/>
      <c r="BG222" s="36"/>
      <c r="BI222" s="34"/>
      <c r="BJ222" s="35"/>
      <c r="BK222" s="36"/>
      <c r="BM222" s="34"/>
      <c r="BN222" s="35"/>
      <c r="BO222" s="36"/>
      <c r="BQ222" s="34"/>
      <c r="BR222" s="35"/>
      <c r="BS222" s="36"/>
      <c r="BU222" s="34"/>
      <c r="BV222" s="35"/>
      <c r="BW222" s="36"/>
      <c r="BY222" s="34"/>
      <c r="BZ222" s="35"/>
      <c r="CA222" s="36"/>
      <c r="CC222" s="34"/>
      <c r="CD222" s="35"/>
      <c r="CE222" s="36"/>
      <c r="CG222" s="34"/>
      <c r="CH222" s="35"/>
      <c r="CI222" s="36"/>
      <c r="CK222" s="34"/>
      <c r="CL222" s="35"/>
      <c r="CM222" s="36"/>
      <c r="CO222" s="34"/>
      <c r="CP222" s="35"/>
      <c r="CQ222" s="36"/>
      <c r="CS222" s="34"/>
      <c r="CT222" s="35"/>
      <c r="CU222" s="36"/>
    </row>
    <row r="223" spans="1:99">
      <c r="R223" s="506"/>
      <c r="S223" s="506"/>
      <c r="T223" s="507">
        <f t="shared" ca="1" si="57"/>
        <v>0</v>
      </c>
      <c r="U223" s="507">
        <f t="shared" ca="1" si="58"/>
        <v>0</v>
      </c>
      <c r="V223" s="507">
        <f t="shared" ca="1" si="59"/>
        <v>0</v>
      </c>
      <c r="W223" s="507">
        <f t="shared" ca="1" si="60"/>
        <v>0</v>
      </c>
      <c r="X223" s="507">
        <f t="shared" ca="1" si="61"/>
        <v>0</v>
      </c>
      <c r="Y223" s="507">
        <f t="shared" ca="1" si="62"/>
        <v>0</v>
      </c>
      <c r="Z223" s="507">
        <f t="shared" ca="1" si="63"/>
        <v>0</v>
      </c>
      <c r="AA223" s="507">
        <f t="shared" ca="1" si="64"/>
        <v>0</v>
      </c>
      <c r="AB223" s="507">
        <f t="shared" ca="1" si="65"/>
        <v>0</v>
      </c>
      <c r="AC223" s="507">
        <f t="shared" ca="1" si="66"/>
        <v>0</v>
      </c>
      <c r="AD223" s="507">
        <f t="shared" ca="1" si="67"/>
        <v>0</v>
      </c>
      <c r="AE223" s="507">
        <f t="shared" ca="1" si="68"/>
        <v>0</v>
      </c>
      <c r="AF223" s="11">
        <f t="shared" ca="1" si="56"/>
        <v>0</v>
      </c>
      <c r="AI223" s="4">
        <v>470</v>
      </c>
      <c r="AJ223" s="5" t="s">
        <v>662</v>
      </c>
      <c r="AK223" s="5" t="s">
        <v>654</v>
      </c>
      <c r="AL223" s="5" t="s">
        <v>663</v>
      </c>
      <c r="AM223" s="5" t="s">
        <v>664</v>
      </c>
      <c r="AN223" s="5" t="s">
        <v>18</v>
      </c>
      <c r="AO223" s="5" t="s">
        <v>16</v>
      </c>
      <c r="AP223" s="5" t="s">
        <v>481</v>
      </c>
      <c r="AQ223" s="5" t="s">
        <v>561</v>
      </c>
      <c r="AR223" s="5" t="s">
        <v>18</v>
      </c>
      <c r="AS223" s="6"/>
      <c r="AU223" s="5"/>
      <c r="AV223" s="5"/>
      <c r="AW223" s="5"/>
      <c r="AX223" s="5"/>
      <c r="AY223" s="5"/>
      <c r="BA223" s="34"/>
      <c r="BB223" s="35"/>
      <c r="BC223" s="36"/>
      <c r="BE223" s="34"/>
      <c r="BF223" s="35"/>
      <c r="BG223" s="36"/>
      <c r="BI223" s="34"/>
      <c r="BJ223" s="35"/>
      <c r="BK223" s="36"/>
      <c r="BM223" s="34"/>
      <c r="BN223" s="35"/>
      <c r="BO223" s="36"/>
      <c r="BQ223" s="34"/>
      <c r="BR223" s="35"/>
      <c r="BS223" s="36"/>
      <c r="BU223" s="34"/>
      <c r="BV223" s="35"/>
      <c r="BW223" s="36"/>
      <c r="BY223" s="34"/>
      <c r="BZ223" s="35"/>
      <c r="CA223" s="36"/>
      <c r="CC223" s="34"/>
      <c r="CD223" s="35"/>
      <c r="CE223" s="36"/>
      <c r="CG223" s="34"/>
      <c r="CH223" s="35"/>
      <c r="CI223" s="36"/>
      <c r="CK223" s="34"/>
      <c r="CL223" s="35"/>
      <c r="CM223" s="36"/>
      <c r="CO223" s="34"/>
      <c r="CP223" s="35"/>
      <c r="CQ223" s="36"/>
      <c r="CS223" s="34"/>
      <c r="CT223" s="35"/>
      <c r="CU223" s="36"/>
    </row>
    <row r="224" spans="1:99">
      <c r="R224" s="506"/>
      <c r="S224" s="506"/>
      <c r="T224" s="507">
        <f t="shared" ca="1" si="57"/>
        <v>0</v>
      </c>
      <c r="U224" s="507">
        <f t="shared" ca="1" si="58"/>
        <v>0</v>
      </c>
      <c r="V224" s="507">
        <f t="shared" ca="1" si="59"/>
        <v>0</v>
      </c>
      <c r="W224" s="507">
        <f t="shared" ca="1" si="60"/>
        <v>0</v>
      </c>
      <c r="X224" s="507">
        <f t="shared" ca="1" si="61"/>
        <v>0</v>
      </c>
      <c r="Y224" s="507">
        <f t="shared" ca="1" si="62"/>
        <v>0</v>
      </c>
      <c r="Z224" s="507">
        <f t="shared" ca="1" si="63"/>
        <v>0</v>
      </c>
      <c r="AA224" s="507">
        <f t="shared" ca="1" si="64"/>
        <v>0</v>
      </c>
      <c r="AB224" s="507">
        <f t="shared" ca="1" si="65"/>
        <v>0</v>
      </c>
      <c r="AC224" s="507">
        <f t="shared" ca="1" si="66"/>
        <v>0</v>
      </c>
      <c r="AD224" s="507">
        <f t="shared" ca="1" si="67"/>
        <v>0</v>
      </c>
      <c r="AE224" s="507">
        <f t="shared" ca="1" si="68"/>
        <v>0</v>
      </c>
      <c r="AF224" s="11">
        <f t="shared" ca="1" si="56"/>
        <v>0</v>
      </c>
      <c r="AI224" s="4">
        <v>472</v>
      </c>
      <c r="AJ224" s="5" t="s">
        <v>665</v>
      </c>
      <c r="AK224" s="5" t="s">
        <v>654</v>
      </c>
      <c r="AL224" s="5" t="s">
        <v>666</v>
      </c>
      <c r="AM224" s="5" t="s">
        <v>667</v>
      </c>
      <c r="AN224" s="5" t="s">
        <v>18</v>
      </c>
      <c r="AO224" s="5" t="s">
        <v>16</v>
      </c>
      <c r="AP224" s="5" t="s">
        <v>481</v>
      </c>
      <c r="AQ224" s="5" t="s">
        <v>561</v>
      </c>
      <c r="AR224" s="5" t="s">
        <v>18</v>
      </c>
      <c r="AS224" s="6"/>
      <c r="AU224" s="5"/>
      <c r="AV224" s="5"/>
      <c r="AW224" s="5"/>
      <c r="AX224" s="5"/>
      <c r="AY224" s="5"/>
      <c r="BA224" s="34"/>
      <c r="BB224" s="35"/>
      <c r="BC224" s="36"/>
      <c r="BE224" s="34"/>
      <c r="BF224" s="35"/>
      <c r="BG224" s="36"/>
      <c r="BI224" s="34"/>
      <c r="BJ224" s="35"/>
      <c r="BK224" s="36"/>
      <c r="BM224" s="34"/>
      <c r="BN224" s="35"/>
      <c r="BO224" s="36"/>
      <c r="BQ224" s="34"/>
      <c r="BR224" s="35"/>
      <c r="BS224" s="36"/>
      <c r="BU224" s="34"/>
      <c r="BV224" s="35"/>
      <c r="BW224" s="36"/>
      <c r="BY224" s="34"/>
      <c r="BZ224" s="35"/>
      <c r="CA224" s="36"/>
      <c r="CC224" s="34"/>
      <c r="CD224" s="35"/>
      <c r="CE224" s="36"/>
      <c r="CG224" s="34"/>
      <c r="CH224" s="35"/>
      <c r="CI224" s="36"/>
      <c r="CK224" s="34"/>
      <c r="CL224" s="35"/>
      <c r="CM224" s="36"/>
      <c r="CO224" s="34"/>
      <c r="CP224" s="35"/>
      <c r="CQ224" s="36"/>
      <c r="CS224" s="34"/>
      <c r="CT224" s="35"/>
      <c r="CU224" s="36"/>
    </row>
    <row r="225" spans="18:99">
      <c r="R225" s="506"/>
      <c r="S225" s="506"/>
      <c r="T225" s="507">
        <f t="shared" ca="1" si="57"/>
        <v>0</v>
      </c>
      <c r="U225" s="507">
        <f t="shared" ca="1" si="58"/>
        <v>0</v>
      </c>
      <c r="V225" s="507">
        <f t="shared" ca="1" si="59"/>
        <v>0</v>
      </c>
      <c r="W225" s="507">
        <f t="shared" ca="1" si="60"/>
        <v>0</v>
      </c>
      <c r="X225" s="507">
        <f t="shared" ca="1" si="61"/>
        <v>0</v>
      </c>
      <c r="Y225" s="507">
        <f t="shared" ca="1" si="62"/>
        <v>0</v>
      </c>
      <c r="Z225" s="507">
        <f t="shared" ca="1" si="63"/>
        <v>0</v>
      </c>
      <c r="AA225" s="507">
        <f t="shared" ca="1" si="64"/>
        <v>0</v>
      </c>
      <c r="AB225" s="507">
        <f t="shared" ca="1" si="65"/>
        <v>0</v>
      </c>
      <c r="AC225" s="507">
        <f t="shared" ca="1" si="66"/>
        <v>0</v>
      </c>
      <c r="AD225" s="507">
        <f t="shared" ca="1" si="67"/>
        <v>0</v>
      </c>
      <c r="AE225" s="507">
        <f t="shared" ca="1" si="68"/>
        <v>0</v>
      </c>
      <c r="AF225" s="11">
        <f t="shared" ca="1" si="56"/>
        <v>0</v>
      </c>
      <c r="AI225" s="4">
        <v>474</v>
      </c>
      <c r="AJ225" s="5" t="s">
        <v>668</v>
      </c>
      <c r="AK225" s="5" t="s">
        <v>654</v>
      </c>
      <c r="AL225" s="5" t="s">
        <v>669</v>
      </c>
      <c r="AM225" s="5" t="s">
        <v>670</v>
      </c>
      <c r="AN225" s="5" t="s">
        <v>18</v>
      </c>
      <c r="AO225" s="5" t="s">
        <v>16</v>
      </c>
      <c r="AP225" s="5" t="s">
        <v>481</v>
      </c>
      <c r="AQ225" s="5" t="s">
        <v>561</v>
      </c>
      <c r="AR225" s="5" t="s">
        <v>18</v>
      </c>
      <c r="AS225" s="6"/>
      <c r="AU225" s="5"/>
      <c r="AV225" s="5"/>
      <c r="AW225" s="5"/>
      <c r="AX225" s="5"/>
      <c r="AY225" s="5"/>
      <c r="BA225" s="34"/>
      <c r="BB225" s="35"/>
      <c r="BC225" s="36"/>
      <c r="BE225" s="34"/>
      <c r="BF225" s="35"/>
      <c r="BG225" s="36"/>
      <c r="BI225" s="34"/>
      <c r="BJ225" s="35"/>
      <c r="BK225" s="36"/>
      <c r="BM225" s="34"/>
      <c r="BN225" s="35"/>
      <c r="BO225" s="36"/>
      <c r="BQ225" s="34"/>
      <c r="BR225" s="35"/>
      <c r="BS225" s="36"/>
      <c r="BU225" s="34"/>
      <c r="BV225" s="35"/>
      <c r="BW225" s="36"/>
      <c r="BY225" s="34"/>
      <c r="BZ225" s="35"/>
      <c r="CA225" s="36"/>
      <c r="CC225" s="34"/>
      <c r="CD225" s="35"/>
      <c r="CE225" s="36"/>
      <c r="CG225" s="34"/>
      <c r="CH225" s="35"/>
      <c r="CI225" s="36"/>
      <c r="CK225" s="34"/>
      <c r="CL225" s="35"/>
      <c r="CM225" s="36"/>
      <c r="CO225" s="34"/>
      <c r="CP225" s="35"/>
      <c r="CQ225" s="36"/>
      <c r="CS225" s="34"/>
      <c r="CT225" s="35"/>
      <c r="CU225" s="36"/>
    </row>
    <row r="226" spans="18:99">
      <c r="R226" s="506"/>
      <c r="S226" s="506"/>
      <c r="T226" s="507">
        <f t="shared" ca="1" si="57"/>
        <v>0</v>
      </c>
      <c r="U226" s="507">
        <f t="shared" ca="1" si="58"/>
        <v>0</v>
      </c>
      <c r="V226" s="507">
        <f t="shared" ca="1" si="59"/>
        <v>0</v>
      </c>
      <c r="W226" s="507">
        <f t="shared" ca="1" si="60"/>
        <v>0</v>
      </c>
      <c r="X226" s="507">
        <f t="shared" ca="1" si="61"/>
        <v>0</v>
      </c>
      <c r="Y226" s="507">
        <f t="shared" ca="1" si="62"/>
        <v>0</v>
      </c>
      <c r="Z226" s="507">
        <f t="shared" ca="1" si="63"/>
        <v>0</v>
      </c>
      <c r="AA226" s="507">
        <f t="shared" ca="1" si="64"/>
        <v>0</v>
      </c>
      <c r="AB226" s="507">
        <f t="shared" ca="1" si="65"/>
        <v>0</v>
      </c>
      <c r="AC226" s="507">
        <f t="shared" ca="1" si="66"/>
        <v>0</v>
      </c>
      <c r="AD226" s="507">
        <f t="shared" ca="1" si="67"/>
        <v>0</v>
      </c>
      <c r="AE226" s="507">
        <f t="shared" ca="1" si="68"/>
        <v>0</v>
      </c>
      <c r="AF226" s="11">
        <f t="shared" ca="1" si="56"/>
        <v>0</v>
      </c>
      <c r="AI226" s="4">
        <v>476</v>
      </c>
      <c r="AJ226" s="5" t="s">
        <v>673</v>
      </c>
      <c r="AK226" s="5" t="s">
        <v>671</v>
      </c>
      <c r="AL226" s="5" t="s">
        <v>674</v>
      </c>
      <c r="AM226" s="5" t="s">
        <v>219</v>
      </c>
      <c r="AN226" s="5" t="s">
        <v>18</v>
      </c>
      <c r="AO226" s="5" t="s">
        <v>16</v>
      </c>
      <c r="AP226" s="5" t="s">
        <v>481</v>
      </c>
      <c r="AQ226" s="5" t="s">
        <v>561</v>
      </c>
      <c r="AR226" s="5" t="s">
        <v>18</v>
      </c>
      <c r="AS226" s="6"/>
      <c r="AU226" s="5"/>
      <c r="AV226" s="5"/>
      <c r="AW226" s="5"/>
      <c r="AX226" s="5"/>
      <c r="AY226" s="5"/>
      <c r="BA226" s="34"/>
      <c r="BB226" s="35"/>
      <c r="BC226" s="36"/>
      <c r="BE226" s="34"/>
      <c r="BF226" s="35"/>
      <c r="BG226" s="36"/>
      <c r="BI226" s="34"/>
      <c r="BJ226" s="35"/>
      <c r="BK226" s="36"/>
      <c r="BM226" s="34"/>
      <c r="BN226" s="35"/>
      <c r="BO226" s="36"/>
      <c r="BQ226" s="34"/>
      <c r="BR226" s="35"/>
      <c r="BS226" s="36"/>
      <c r="BU226" s="34"/>
      <c r="BV226" s="35"/>
      <c r="BW226" s="36"/>
      <c r="BY226" s="34"/>
      <c r="BZ226" s="35"/>
      <c r="CA226" s="36"/>
      <c r="CC226" s="34"/>
      <c r="CD226" s="35"/>
      <c r="CE226" s="36"/>
      <c r="CG226" s="34"/>
      <c r="CH226" s="35"/>
      <c r="CI226" s="36"/>
      <c r="CK226" s="34"/>
      <c r="CL226" s="35"/>
      <c r="CM226" s="36"/>
      <c r="CO226" s="34"/>
      <c r="CP226" s="35"/>
      <c r="CQ226" s="36"/>
      <c r="CS226" s="34"/>
      <c r="CT226" s="35"/>
      <c r="CU226" s="36"/>
    </row>
    <row r="227" spans="18:99">
      <c r="R227" s="506"/>
      <c r="S227" s="506"/>
      <c r="T227" s="507">
        <f t="shared" ca="1" si="57"/>
        <v>0</v>
      </c>
      <c r="U227" s="507">
        <f t="shared" ca="1" si="58"/>
        <v>0</v>
      </c>
      <c r="V227" s="507">
        <f t="shared" ca="1" si="59"/>
        <v>0</v>
      </c>
      <c r="W227" s="507">
        <f t="shared" ca="1" si="60"/>
        <v>0</v>
      </c>
      <c r="X227" s="507">
        <f t="shared" ca="1" si="61"/>
        <v>0</v>
      </c>
      <c r="Y227" s="507">
        <f t="shared" ca="1" si="62"/>
        <v>0</v>
      </c>
      <c r="Z227" s="507">
        <f t="shared" ca="1" si="63"/>
        <v>0</v>
      </c>
      <c r="AA227" s="507">
        <f t="shared" ca="1" si="64"/>
        <v>0</v>
      </c>
      <c r="AB227" s="507">
        <f t="shared" ca="1" si="65"/>
        <v>0</v>
      </c>
      <c r="AC227" s="507">
        <f t="shared" ca="1" si="66"/>
        <v>0</v>
      </c>
      <c r="AD227" s="507">
        <f t="shared" ca="1" si="67"/>
        <v>0</v>
      </c>
      <c r="AE227" s="507">
        <f t="shared" ca="1" si="68"/>
        <v>0</v>
      </c>
      <c r="AF227" s="11">
        <f t="shared" ca="1" si="56"/>
        <v>0</v>
      </c>
      <c r="AI227" s="4">
        <v>478</v>
      </c>
      <c r="AJ227" s="5" t="s">
        <v>675</v>
      </c>
      <c r="AK227" s="5" t="s">
        <v>671</v>
      </c>
      <c r="AL227" s="5" t="s">
        <v>676</v>
      </c>
      <c r="AM227" s="5" t="s">
        <v>677</v>
      </c>
      <c r="AN227" s="5" t="s">
        <v>18</v>
      </c>
      <c r="AO227" s="5" t="s">
        <v>16</v>
      </c>
      <c r="AP227" s="5" t="s">
        <v>481</v>
      </c>
      <c r="AQ227" s="5" t="s">
        <v>561</v>
      </c>
      <c r="AR227" s="5" t="s">
        <v>18</v>
      </c>
      <c r="AS227" s="6"/>
      <c r="AU227" s="5"/>
      <c r="AV227" s="5"/>
      <c r="AW227" s="5"/>
      <c r="AX227" s="5"/>
      <c r="AY227" s="5"/>
      <c r="BA227" s="34"/>
      <c r="BB227" s="35"/>
      <c r="BC227" s="36"/>
      <c r="BE227" s="34"/>
      <c r="BF227" s="35"/>
      <c r="BG227" s="36"/>
      <c r="BI227" s="34"/>
      <c r="BJ227" s="35"/>
      <c r="BK227" s="36"/>
      <c r="BM227" s="34"/>
      <c r="BN227" s="35"/>
      <c r="BO227" s="36"/>
      <c r="BQ227" s="34"/>
      <c r="BR227" s="35"/>
      <c r="BS227" s="36"/>
      <c r="BU227" s="34"/>
      <c r="BV227" s="35"/>
      <c r="BW227" s="36"/>
      <c r="BY227" s="34"/>
      <c r="BZ227" s="35"/>
      <c r="CA227" s="36"/>
      <c r="CC227" s="34"/>
      <c r="CD227" s="35"/>
      <c r="CE227" s="36"/>
      <c r="CG227" s="34"/>
      <c r="CH227" s="35"/>
      <c r="CI227" s="36"/>
      <c r="CK227" s="34"/>
      <c r="CL227" s="35"/>
      <c r="CM227" s="36"/>
      <c r="CO227" s="34"/>
      <c r="CP227" s="35"/>
      <c r="CQ227" s="36"/>
      <c r="CS227" s="34"/>
      <c r="CT227" s="35"/>
      <c r="CU227" s="36"/>
    </row>
    <row r="228" spans="18:99">
      <c r="R228" s="506"/>
      <c r="S228" s="506"/>
      <c r="T228" s="507">
        <f t="shared" ca="1" si="57"/>
        <v>0</v>
      </c>
      <c r="U228" s="507">
        <f t="shared" ca="1" si="58"/>
        <v>0</v>
      </c>
      <c r="V228" s="507">
        <f t="shared" ca="1" si="59"/>
        <v>0</v>
      </c>
      <c r="W228" s="507">
        <f t="shared" ca="1" si="60"/>
        <v>0</v>
      </c>
      <c r="X228" s="507">
        <f t="shared" ca="1" si="61"/>
        <v>0</v>
      </c>
      <c r="Y228" s="507">
        <f t="shared" ca="1" si="62"/>
        <v>0</v>
      </c>
      <c r="Z228" s="507">
        <f t="shared" ca="1" si="63"/>
        <v>0</v>
      </c>
      <c r="AA228" s="507">
        <f t="shared" ca="1" si="64"/>
        <v>0</v>
      </c>
      <c r="AB228" s="507">
        <f t="shared" ca="1" si="65"/>
        <v>0</v>
      </c>
      <c r="AC228" s="507">
        <f t="shared" ca="1" si="66"/>
        <v>0</v>
      </c>
      <c r="AD228" s="507">
        <f t="shared" ca="1" si="67"/>
        <v>0</v>
      </c>
      <c r="AE228" s="507">
        <f t="shared" ca="1" si="68"/>
        <v>0</v>
      </c>
      <c r="AF228" s="11">
        <f t="shared" ca="1" si="56"/>
        <v>0</v>
      </c>
      <c r="AI228" s="4">
        <v>480</v>
      </c>
      <c r="AJ228" s="5" t="s">
        <v>678</v>
      </c>
      <c r="AK228" s="5" t="s">
        <v>671</v>
      </c>
      <c r="AL228" s="5" t="s">
        <v>679</v>
      </c>
      <c r="AM228" s="5" t="s">
        <v>680</v>
      </c>
      <c r="AN228" s="5" t="s">
        <v>18</v>
      </c>
      <c r="AO228" s="5" t="s">
        <v>16</v>
      </c>
      <c r="AP228" s="5" t="s">
        <v>481</v>
      </c>
      <c r="AQ228" s="5" t="s">
        <v>561</v>
      </c>
      <c r="AR228" s="5" t="s">
        <v>18</v>
      </c>
      <c r="AS228" s="6"/>
      <c r="AU228" s="5"/>
      <c r="AV228" s="5"/>
      <c r="AW228" s="5"/>
      <c r="AX228" s="5"/>
      <c r="AY228" s="5"/>
      <c r="BA228" s="34"/>
      <c r="BB228" s="35"/>
      <c r="BC228" s="36"/>
      <c r="BE228" s="34"/>
      <c r="BF228" s="35"/>
      <c r="BG228" s="36"/>
      <c r="BI228" s="34"/>
      <c r="BJ228" s="35"/>
      <c r="BK228" s="36"/>
      <c r="BM228" s="34"/>
      <c r="BN228" s="35"/>
      <c r="BO228" s="36"/>
      <c r="BQ228" s="34"/>
      <c r="BR228" s="35"/>
      <c r="BS228" s="36"/>
      <c r="BU228" s="34"/>
      <c r="BV228" s="35"/>
      <c r="BW228" s="36"/>
      <c r="BY228" s="34"/>
      <c r="BZ228" s="35"/>
      <c r="CA228" s="36"/>
      <c r="CC228" s="34"/>
      <c r="CD228" s="35"/>
      <c r="CE228" s="36"/>
      <c r="CG228" s="34"/>
      <c r="CH228" s="35"/>
      <c r="CI228" s="36"/>
      <c r="CK228" s="34"/>
      <c r="CL228" s="35"/>
      <c r="CM228" s="36"/>
      <c r="CO228" s="34"/>
      <c r="CP228" s="35"/>
      <c r="CQ228" s="36"/>
      <c r="CS228" s="34"/>
      <c r="CT228" s="35"/>
      <c r="CU228" s="36"/>
    </row>
    <row r="229" spans="18:99">
      <c r="R229" s="506"/>
      <c r="S229" s="506"/>
      <c r="T229" s="507">
        <f t="shared" ca="1" si="57"/>
        <v>0</v>
      </c>
      <c r="U229" s="507">
        <f t="shared" ca="1" si="58"/>
        <v>0</v>
      </c>
      <c r="V229" s="507">
        <f t="shared" ca="1" si="59"/>
        <v>0</v>
      </c>
      <c r="W229" s="507">
        <f t="shared" ca="1" si="60"/>
        <v>0</v>
      </c>
      <c r="X229" s="507">
        <f t="shared" ca="1" si="61"/>
        <v>0</v>
      </c>
      <c r="Y229" s="507">
        <f t="shared" ca="1" si="62"/>
        <v>0</v>
      </c>
      <c r="Z229" s="507">
        <f t="shared" ca="1" si="63"/>
        <v>0</v>
      </c>
      <c r="AA229" s="507">
        <f t="shared" ca="1" si="64"/>
        <v>0</v>
      </c>
      <c r="AB229" s="507">
        <f t="shared" ca="1" si="65"/>
        <v>0</v>
      </c>
      <c r="AC229" s="507">
        <f t="shared" ca="1" si="66"/>
        <v>0</v>
      </c>
      <c r="AD229" s="507">
        <f t="shared" ca="1" si="67"/>
        <v>0</v>
      </c>
      <c r="AE229" s="507">
        <f t="shared" ca="1" si="68"/>
        <v>0</v>
      </c>
      <c r="AF229" s="11">
        <f t="shared" ca="1" si="56"/>
        <v>0</v>
      </c>
      <c r="AI229" s="4">
        <v>482</v>
      </c>
      <c r="AJ229" s="5" t="s">
        <v>681</v>
      </c>
      <c r="AK229" s="5" t="s">
        <v>671</v>
      </c>
      <c r="AL229" s="5" t="s">
        <v>682</v>
      </c>
      <c r="AM229" s="5" t="s">
        <v>683</v>
      </c>
      <c r="AN229" s="5" t="s">
        <v>18</v>
      </c>
      <c r="AO229" s="5" t="s">
        <v>16</v>
      </c>
      <c r="AP229" s="5" t="s">
        <v>481</v>
      </c>
      <c r="AQ229" s="5" t="s">
        <v>561</v>
      </c>
      <c r="AR229" s="5" t="s">
        <v>18</v>
      </c>
      <c r="AS229" s="6"/>
      <c r="AU229" s="5"/>
      <c r="AV229" s="5"/>
      <c r="AW229" s="5"/>
      <c r="AX229" s="5"/>
      <c r="AY229" s="5"/>
      <c r="BA229" s="34"/>
      <c r="BB229" s="35"/>
      <c r="BC229" s="36"/>
      <c r="BE229" s="34"/>
      <c r="BF229" s="35"/>
      <c r="BG229" s="36"/>
      <c r="BI229" s="34"/>
      <c r="BJ229" s="35"/>
      <c r="BK229" s="36"/>
      <c r="BM229" s="34"/>
      <c r="BN229" s="35"/>
      <c r="BO229" s="36"/>
      <c r="BQ229" s="34"/>
      <c r="BR229" s="35"/>
      <c r="BS229" s="36"/>
      <c r="BU229" s="34"/>
      <c r="BV229" s="35"/>
      <c r="BW229" s="36"/>
      <c r="BY229" s="34"/>
      <c r="BZ229" s="35"/>
      <c r="CA229" s="36"/>
      <c r="CC229" s="34"/>
      <c r="CD229" s="35"/>
      <c r="CE229" s="36"/>
      <c r="CG229" s="34"/>
      <c r="CH229" s="35"/>
      <c r="CI229" s="36"/>
      <c r="CK229" s="34"/>
      <c r="CL229" s="35"/>
      <c r="CM229" s="36"/>
      <c r="CO229" s="34"/>
      <c r="CP229" s="35"/>
      <c r="CQ229" s="36"/>
      <c r="CS229" s="34"/>
      <c r="CT229" s="35"/>
      <c r="CU229" s="36"/>
    </row>
    <row r="230" spans="18:99">
      <c r="R230" s="506"/>
      <c r="S230" s="506"/>
      <c r="T230" s="507">
        <f t="shared" ca="1" si="57"/>
        <v>0</v>
      </c>
      <c r="U230" s="507">
        <f t="shared" ca="1" si="58"/>
        <v>0</v>
      </c>
      <c r="V230" s="507">
        <f t="shared" ca="1" si="59"/>
        <v>0</v>
      </c>
      <c r="W230" s="507">
        <f t="shared" ca="1" si="60"/>
        <v>0</v>
      </c>
      <c r="X230" s="507">
        <f t="shared" ca="1" si="61"/>
        <v>0</v>
      </c>
      <c r="Y230" s="507">
        <f t="shared" ca="1" si="62"/>
        <v>0</v>
      </c>
      <c r="Z230" s="507">
        <f t="shared" ca="1" si="63"/>
        <v>0</v>
      </c>
      <c r="AA230" s="507">
        <f t="shared" ca="1" si="64"/>
        <v>0</v>
      </c>
      <c r="AB230" s="507">
        <f t="shared" ca="1" si="65"/>
        <v>0</v>
      </c>
      <c r="AC230" s="507">
        <f t="shared" ca="1" si="66"/>
        <v>0</v>
      </c>
      <c r="AD230" s="507">
        <f t="shared" ca="1" si="67"/>
        <v>0</v>
      </c>
      <c r="AE230" s="507">
        <f t="shared" ca="1" si="68"/>
        <v>0</v>
      </c>
      <c r="AF230" s="11">
        <f t="shared" ca="1" si="56"/>
        <v>0</v>
      </c>
      <c r="AI230" s="4">
        <v>484</v>
      </c>
      <c r="AJ230" s="5" t="s">
        <v>684</v>
      </c>
      <c r="AK230" s="5" t="s">
        <v>671</v>
      </c>
      <c r="AL230" s="5" t="s">
        <v>685</v>
      </c>
      <c r="AM230" s="5" t="s">
        <v>686</v>
      </c>
      <c r="AN230" s="5" t="s">
        <v>18</v>
      </c>
      <c r="AO230" s="5" t="s">
        <v>16</v>
      </c>
      <c r="AP230" s="5" t="s">
        <v>481</v>
      </c>
      <c r="AQ230" s="5" t="s">
        <v>561</v>
      </c>
      <c r="AR230" s="5" t="s">
        <v>18</v>
      </c>
      <c r="AS230" s="6"/>
      <c r="AU230" s="5"/>
      <c r="AV230" s="5"/>
      <c r="AW230" s="5"/>
      <c r="AX230" s="5"/>
      <c r="AY230" s="5"/>
      <c r="BA230" s="34"/>
      <c r="BB230" s="35"/>
      <c r="BC230" s="36"/>
      <c r="BE230" s="34"/>
      <c r="BF230" s="35"/>
      <c r="BG230" s="36"/>
      <c r="BI230" s="34"/>
      <c r="BJ230" s="35"/>
      <c r="BK230" s="36"/>
      <c r="BM230" s="34"/>
      <c r="BN230" s="35"/>
      <c r="BO230" s="36"/>
      <c r="BQ230" s="34"/>
      <c r="BR230" s="35"/>
      <c r="BS230" s="36"/>
      <c r="BU230" s="34"/>
      <c r="BV230" s="35"/>
      <c r="BW230" s="36"/>
      <c r="BY230" s="34"/>
      <c r="BZ230" s="35"/>
      <c r="CA230" s="36"/>
      <c r="CC230" s="34"/>
      <c r="CD230" s="35"/>
      <c r="CE230" s="36"/>
      <c r="CG230" s="34"/>
      <c r="CH230" s="35"/>
      <c r="CI230" s="36"/>
      <c r="CK230" s="34"/>
      <c r="CL230" s="35"/>
      <c r="CM230" s="36"/>
      <c r="CO230" s="34"/>
      <c r="CP230" s="35"/>
      <c r="CQ230" s="36"/>
      <c r="CS230" s="34"/>
      <c r="CT230" s="35"/>
      <c r="CU230" s="36"/>
    </row>
    <row r="231" spans="18:99">
      <c r="R231" s="506"/>
      <c r="S231" s="506"/>
      <c r="T231" s="507">
        <f t="shared" ca="1" si="57"/>
        <v>0</v>
      </c>
      <c r="U231" s="507">
        <f t="shared" ca="1" si="58"/>
        <v>0</v>
      </c>
      <c r="V231" s="507">
        <f t="shared" ca="1" si="59"/>
        <v>0</v>
      </c>
      <c r="W231" s="507">
        <f t="shared" ca="1" si="60"/>
        <v>0</v>
      </c>
      <c r="X231" s="507">
        <f t="shared" ca="1" si="61"/>
        <v>0</v>
      </c>
      <c r="Y231" s="507">
        <f t="shared" ca="1" si="62"/>
        <v>0</v>
      </c>
      <c r="Z231" s="507">
        <f t="shared" ca="1" si="63"/>
        <v>0</v>
      </c>
      <c r="AA231" s="507">
        <f t="shared" ca="1" si="64"/>
        <v>0</v>
      </c>
      <c r="AB231" s="507">
        <f t="shared" ca="1" si="65"/>
        <v>0</v>
      </c>
      <c r="AC231" s="507">
        <f t="shared" ca="1" si="66"/>
        <v>0</v>
      </c>
      <c r="AD231" s="507">
        <f t="shared" ca="1" si="67"/>
        <v>0</v>
      </c>
      <c r="AE231" s="507">
        <f t="shared" ca="1" si="68"/>
        <v>0</v>
      </c>
      <c r="AF231" s="11">
        <f t="shared" ca="1" si="56"/>
        <v>0</v>
      </c>
      <c r="AI231" s="4">
        <v>486</v>
      </c>
      <c r="AJ231" s="5" t="s">
        <v>687</v>
      </c>
      <c r="AK231" s="5" t="s">
        <v>671</v>
      </c>
      <c r="AL231" s="5" t="s">
        <v>688</v>
      </c>
      <c r="AM231" s="5" t="s">
        <v>689</v>
      </c>
      <c r="AN231" s="5" t="s">
        <v>18</v>
      </c>
      <c r="AO231" s="5" t="s">
        <v>16</v>
      </c>
      <c r="AP231" s="5" t="s">
        <v>481</v>
      </c>
      <c r="AQ231" s="5" t="s">
        <v>561</v>
      </c>
      <c r="AR231" s="5" t="s">
        <v>18</v>
      </c>
      <c r="AS231" s="6"/>
      <c r="AU231" s="5"/>
      <c r="AV231" s="5"/>
      <c r="AW231" s="5"/>
      <c r="AX231" s="5"/>
      <c r="AY231" s="5"/>
      <c r="BA231" s="34"/>
      <c r="BB231" s="35"/>
      <c r="BC231" s="36"/>
      <c r="BE231" s="34"/>
      <c r="BF231" s="35"/>
      <c r="BG231" s="36"/>
      <c r="BI231" s="34"/>
      <c r="BJ231" s="35"/>
      <c r="BK231" s="36"/>
      <c r="BM231" s="34"/>
      <c r="BN231" s="35"/>
      <c r="BO231" s="36"/>
      <c r="BQ231" s="34"/>
      <c r="BR231" s="35"/>
      <c r="BS231" s="36"/>
      <c r="BU231" s="34"/>
      <c r="BV231" s="35"/>
      <c r="BW231" s="36"/>
      <c r="BY231" s="34"/>
      <c r="BZ231" s="35"/>
      <c r="CA231" s="36"/>
      <c r="CC231" s="34"/>
      <c r="CD231" s="35"/>
      <c r="CE231" s="36"/>
      <c r="CG231" s="34"/>
      <c r="CH231" s="35"/>
      <c r="CI231" s="36"/>
      <c r="CK231" s="34"/>
      <c r="CL231" s="35"/>
      <c r="CM231" s="36"/>
      <c r="CO231" s="34"/>
      <c r="CP231" s="35"/>
      <c r="CQ231" s="36"/>
      <c r="CS231" s="34"/>
      <c r="CT231" s="35"/>
      <c r="CU231" s="36"/>
    </row>
    <row r="232" spans="18:99">
      <c r="R232" s="506"/>
      <c r="S232" s="506"/>
      <c r="T232" s="507">
        <f t="shared" ca="1" si="57"/>
        <v>0</v>
      </c>
      <c r="U232" s="507">
        <f t="shared" ca="1" si="58"/>
        <v>0</v>
      </c>
      <c r="V232" s="507">
        <f t="shared" ca="1" si="59"/>
        <v>0</v>
      </c>
      <c r="W232" s="507">
        <f t="shared" ca="1" si="60"/>
        <v>0</v>
      </c>
      <c r="X232" s="507">
        <f t="shared" ca="1" si="61"/>
        <v>0</v>
      </c>
      <c r="Y232" s="507">
        <f t="shared" ca="1" si="62"/>
        <v>0</v>
      </c>
      <c r="Z232" s="507">
        <f t="shared" ca="1" si="63"/>
        <v>0</v>
      </c>
      <c r="AA232" s="507">
        <f t="shared" ca="1" si="64"/>
        <v>0</v>
      </c>
      <c r="AB232" s="507">
        <f t="shared" ca="1" si="65"/>
        <v>0</v>
      </c>
      <c r="AC232" s="507">
        <f t="shared" ca="1" si="66"/>
        <v>0</v>
      </c>
      <c r="AD232" s="507">
        <f t="shared" ca="1" si="67"/>
        <v>0</v>
      </c>
      <c r="AE232" s="507">
        <f t="shared" ca="1" si="68"/>
        <v>0</v>
      </c>
      <c r="AF232" s="11">
        <f t="shared" ca="1" si="56"/>
        <v>0</v>
      </c>
      <c r="AI232" s="4">
        <v>488</v>
      </c>
      <c r="AJ232" s="5" t="s">
        <v>690</v>
      </c>
      <c r="AK232" s="5" t="s">
        <v>671</v>
      </c>
      <c r="AL232" s="5" t="s">
        <v>691</v>
      </c>
      <c r="AM232" s="5" t="s">
        <v>692</v>
      </c>
      <c r="AN232" s="5" t="s">
        <v>18</v>
      </c>
      <c r="AO232" s="5" t="s">
        <v>16</v>
      </c>
      <c r="AP232" s="5" t="s">
        <v>481</v>
      </c>
      <c r="AQ232" s="5" t="s">
        <v>561</v>
      </c>
      <c r="AR232" s="5" t="s">
        <v>18</v>
      </c>
      <c r="AS232" s="6"/>
      <c r="AU232" s="5"/>
      <c r="AV232" s="5"/>
      <c r="AW232" s="5"/>
      <c r="AX232" s="5"/>
      <c r="AY232" s="5"/>
      <c r="BA232" s="34"/>
      <c r="BB232" s="35"/>
      <c r="BC232" s="36"/>
      <c r="BE232" s="34"/>
      <c r="BF232" s="35"/>
      <c r="BG232" s="36"/>
      <c r="BI232" s="34"/>
      <c r="BJ232" s="35"/>
      <c r="BK232" s="36"/>
      <c r="BM232" s="34"/>
      <c r="BN232" s="35"/>
      <c r="BO232" s="36"/>
      <c r="BQ232" s="34"/>
      <c r="BR232" s="35"/>
      <c r="BS232" s="36"/>
      <c r="BU232" s="34"/>
      <c r="BV232" s="35"/>
      <c r="BW232" s="36"/>
      <c r="BY232" s="34"/>
      <c r="BZ232" s="35"/>
      <c r="CA232" s="36"/>
      <c r="CC232" s="34"/>
      <c r="CD232" s="35"/>
      <c r="CE232" s="36"/>
      <c r="CG232" s="34"/>
      <c r="CH232" s="35"/>
      <c r="CI232" s="36"/>
      <c r="CK232" s="34"/>
      <c r="CL232" s="35"/>
      <c r="CM232" s="36"/>
      <c r="CO232" s="34"/>
      <c r="CP232" s="35"/>
      <c r="CQ232" s="36"/>
      <c r="CS232" s="34"/>
      <c r="CT232" s="35"/>
      <c r="CU232" s="36"/>
    </row>
    <row r="233" spans="18:99">
      <c r="R233" s="506"/>
      <c r="S233" s="506"/>
      <c r="T233" s="507">
        <f t="shared" ca="1" si="57"/>
        <v>0</v>
      </c>
      <c r="U233" s="507">
        <f t="shared" ca="1" si="58"/>
        <v>0</v>
      </c>
      <c r="V233" s="507">
        <f t="shared" ca="1" si="59"/>
        <v>0</v>
      </c>
      <c r="W233" s="507">
        <f t="shared" ca="1" si="60"/>
        <v>0</v>
      </c>
      <c r="X233" s="507">
        <f t="shared" ca="1" si="61"/>
        <v>0</v>
      </c>
      <c r="Y233" s="507">
        <f t="shared" ca="1" si="62"/>
        <v>0</v>
      </c>
      <c r="Z233" s="507">
        <f t="shared" ca="1" si="63"/>
        <v>0</v>
      </c>
      <c r="AA233" s="507">
        <f t="shared" ca="1" si="64"/>
        <v>0</v>
      </c>
      <c r="AB233" s="507">
        <f t="shared" ca="1" si="65"/>
        <v>0</v>
      </c>
      <c r="AC233" s="507">
        <f t="shared" ca="1" si="66"/>
        <v>0</v>
      </c>
      <c r="AD233" s="507">
        <f t="shared" ca="1" si="67"/>
        <v>0</v>
      </c>
      <c r="AE233" s="507">
        <f t="shared" ca="1" si="68"/>
        <v>0</v>
      </c>
      <c r="AF233" s="11">
        <f t="shared" ca="1" si="56"/>
        <v>0</v>
      </c>
      <c r="AI233" s="4">
        <v>490</v>
      </c>
      <c r="AJ233" s="5" t="s">
        <v>693</v>
      </c>
      <c r="AK233" s="5" t="s">
        <v>671</v>
      </c>
      <c r="AL233" s="5" t="s">
        <v>694</v>
      </c>
      <c r="AM233" s="5" t="s">
        <v>695</v>
      </c>
      <c r="AN233" s="5" t="s">
        <v>18</v>
      </c>
      <c r="AO233" s="5" t="s">
        <v>16</v>
      </c>
      <c r="AP233" s="5" t="s">
        <v>481</v>
      </c>
      <c r="AQ233" s="5" t="s">
        <v>561</v>
      </c>
      <c r="AR233" s="5" t="s">
        <v>18</v>
      </c>
      <c r="AS233" s="6"/>
      <c r="AU233" s="5"/>
      <c r="AV233" s="5"/>
      <c r="AW233" s="5"/>
      <c r="AX233" s="5"/>
      <c r="AY233" s="5"/>
      <c r="BA233" s="34"/>
      <c r="BB233" s="35"/>
      <c r="BC233" s="36"/>
      <c r="BE233" s="34"/>
      <c r="BF233" s="35"/>
      <c r="BG233" s="36"/>
      <c r="BI233" s="34"/>
      <c r="BJ233" s="35"/>
      <c r="BK233" s="36"/>
      <c r="BM233" s="34"/>
      <c r="BN233" s="35"/>
      <c r="BO233" s="36"/>
      <c r="BQ233" s="34"/>
      <c r="BR233" s="35"/>
      <c r="BS233" s="36"/>
      <c r="BU233" s="34"/>
      <c r="BV233" s="35"/>
      <c r="BW233" s="36"/>
      <c r="BY233" s="34"/>
      <c r="BZ233" s="35"/>
      <c r="CA233" s="36"/>
      <c r="CC233" s="34"/>
      <c r="CD233" s="35"/>
      <c r="CE233" s="36"/>
      <c r="CG233" s="34"/>
      <c r="CH233" s="35"/>
      <c r="CI233" s="36"/>
      <c r="CK233" s="34"/>
      <c r="CL233" s="35"/>
      <c r="CM233" s="36"/>
      <c r="CO233" s="34"/>
      <c r="CP233" s="35"/>
      <c r="CQ233" s="36"/>
      <c r="CS233" s="34"/>
      <c r="CT233" s="35"/>
      <c r="CU233" s="36"/>
    </row>
    <row r="234" spans="18:99">
      <c r="R234" s="506"/>
      <c r="S234" s="506"/>
      <c r="T234" s="507">
        <f t="shared" ca="1" si="57"/>
        <v>0</v>
      </c>
      <c r="U234" s="507">
        <f t="shared" ca="1" si="58"/>
        <v>0</v>
      </c>
      <c r="V234" s="507">
        <f t="shared" ca="1" si="59"/>
        <v>0</v>
      </c>
      <c r="W234" s="507">
        <f t="shared" ca="1" si="60"/>
        <v>0</v>
      </c>
      <c r="X234" s="507">
        <f t="shared" ca="1" si="61"/>
        <v>0</v>
      </c>
      <c r="Y234" s="507">
        <f t="shared" ca="1" si="62"/>
        <v>0</v>
      </c>
      <c r="Z234" s="507">
        <f t="shared" ca="1" si="63"/>
        <v>0</v>
      </c>
      <c r="AA234" s="507">
        <f t="shared" ca="1" si="64"/>
        <v>0</v>
      </c>
      <c r="AB234" s="507">
        <f t="shared" ca="1" si="65"/>
        <v>0</v>
      </c>
      <c r="AC234" s="507">
        <f t="shared" ca="1" si="66"/>
        <v>0</v>
      </c>
      <c r="AD234" s="507">
        <f t="shared" ca="1" si="67"/>
        <v>0</v>
      </c>
      <c r="AE234" s="507">
        <f t="shared" ca="1" si="68"/>
        <v>0</v>
      </c>
      <c r="AF234" s="11">
        <f t="shared" ca="1" si="56"/>
        <v>0</v>
      </c>
      <c r="AI234" s="4">
        <v>492</v>
      </c>
      <c r="AJ234" s="5" t="s">
        <v>696</v>
      </c>
      <c r="AK234" s="5" t="s">
        <v>671</v>
      </c>
      <c r="AL234" s="5" t="s">
        <v>697</v>
      </c>
      <c r="AM234" s="5" t="s">
        <v>698</v>
      </c>
      <c r="AN234" s="5" t="s">
        <v>18</v>
      </c>
      <c r="AO234" s="5" t="s">
        <v>16</v>
      </c>
      <c r="AP234" s="5" t="s">
        <v>481</v>
      </c>
      <c r="AQ234" s="5" t="s">
        <v>561</v>
      </c>
      <c r="AR234" s="5" t="s">
        <v>18</v>
      </c>
      <c r="AS234" s="6"/>
      <c r="AU234" s="5"/>
      <c r="AV234" s="5"/>
      <c r="AW234" s="5"/>
      <c r="AX234" s="5"/>
      <c r="AY234" s="5"/>
      <c r="BA234" s="34"/>
      <c r="BB234" s="35"/>
      <c r="BC234" s="36"/>
      <c r="BE234" s="34"/>
      <c r="BF234" s="35"/>
      <c r="BG234" s="36"/>
      <c r="BI234" s="34"/>
      <c r="BJ234" s="35"/>
      <c r="BK234" s="36"/>
      <c r="BM234" s="34"/>
      <c r="BN234" s="35"/>
      <c r="BO234" s="36"/>
      <c r="BQ234" s="34"/>
      <c r="BR234" s="35"/>
      <c r="BS234" s="36"/>
      <c r="BU234" s="34"/>
      <c r="BV234" s="35"/>
      <c r="BW234" s="36"/>
      <c r="BY234" s="34"/>
      <c r="BZ234" s="35"/>
      <c r="CA234" s="36"/>
      <c r="CC234" s="34"/>
      <c r="CD234" s="35"/>
      <c r="CE234" s="36"/>
      <c r="CG234" s="34"/>
      <c r="CH234" s="35"/>
      <c r="CI234" s="36"/>
      <c r="CK234" s="34"/>
      <c r="CL234" s="35"/>
      <c r="CM234" s="36"/>
      <c r="CO234" s="34"/>
      <c r="CP234" s="35"/>
      <c r="CQ234" s="36"/>
      <c r="CS234" s="34"/>
      <c r="CT234" s="35"/>
      <c r="CU234" s="36"/>
    </row>
    <row r="235" spans="18:99">
      <c r="R235" s="506"/>
      <c r="S235" s="506"/>
      <c r="T235" s="507">
        <f t="shared" ca="1" si="57"/>
        <v>0</v>
      </c>
      <c r="U235" s="507">
        <f t="shared" ca="1" si="58"/>
        <v>0</v>
      </c>
      <c r="V235" s="507">
        <f t="shared" ca="1" si="59"/>
        <v>0</v>
      </c>
      <c r="W235" s="507">
        <f t="shared" ca="1" si="60"/>
        <v>0</v>
      </c>
      <c r="X235" s="507">
        <f t="shared" ca="1" si="61"/>
        <v>0</v>
      </c>
      <c r="Y235" s="507">
        <f t="shared" ca="1" si="62"/>
        <v>0</v>
      </c>
      <c r="Z235" s="507">
        <f t="shared" ca="1" si="63"/>
        <v>0</v>
      </c>
      <c r="AA235" s="507">
        <f t="shared" ca="1" si="64"/>
        <v>0</v>
      </c>
      <c r="AB235" s="507">
        <f t="shared" ca="1" si="65"/>
        <v>0</v>
      </c>
      <c r="AC235" s="507">
        <f t="shared" ca="1" si="66"/>
        <v>0</v>
      </c>
      <c r="AD235" s="507">
        <f t="shared" ca="1" si="67"/>
        <v>0</v>
      </c>
      <c r="AE235" s="507">
        <f t="shared" ca="1" si="68"/>
        <v>0</v>
      </c>
      <c r="AF235" s="11">
        <f t="shared" ca="1" si="56"/>
        <v>0</v>
      </c>
      <c r="AI235" s="4">
        <v>494</v>
      </c>
      <c r="AJ235" s="5" t="s">
        <v>699</v>
      </c>
      <c r="AK235" s="5" t="s">
        <v>654</v>
      </c>
      <c r="AL235" s="5" t="s">
        <v>700</v>
      </c>
      <c r="AM235" s="5" t="s">
        <v>701</v>
      </c>
      <c r="AN235" s="5" t="s">
        <v>18</v>
      </c>
      <c r="AO235" s="5" t="s">
        <v>16</v>
      </c>
      <c r="AP235" s="5" t="s">
        <v>481</v>
      </c>
      <c r="AQ235" s="5" t="s">
        <v>561</v>
      </c>
      <c r="AR235" s="5" t="s">
        <v>18</v>
      </c>
      <c r="AS235" s="6"/>
      <c r="AU235" s="5"/>
      <c r="AV235" s="5"/>
      <c r="AW235" s="5"/>
      <c r="AX235" s="5"/>
      <c r="AY235" s="5"/>
      <c r="BA235" s="34"/>
      <c r="BB235" s="35"/>
      <c r="BC235" s="36"/>
      <c r="BE235" s="34"/>
      <c r="BF235" s="35"/>
      <c r="BG235" s="36"/>
      <c r="BI235" s="34"/>
      <c r="BJ235" s="35"/>
      <c r="BK235" s="36"/>
      <c r="BM235" s="34"/>
      <c r="BN235" s="35"/>
      <c r="BO235" s="36"/>
      <c r="BQ235" s="34"/>
      <c r="BR235" s="35"/>
      <c r="BS235" s="36"/>
      <c r="BU235" s="34"/>
      <c r="BV235" s="35"/>
      <c r="BW235" s="36"/>
      <c r="BY235" s="34"/>
      <c r="BZ235" s="35"/>
      <c r="CA235" s="36"/>
      <c r="CC235" s="34"/>
      <c r="CD235" s="35"/>
      <c r="CE235" s="36"/>
      <c r="CG235" s="34"/>
      <c r="CH235" s="35"/>
      <c r="CI235" s="36"/>
      <c r="CK235" s="34"/>
      <c r="CL235" s="35"/>
      <c r="CM235" s="36"/>
      <c r="CO235" s="34"/>
      <c r="CP235" s="35"/>
      <c r="CQ235" s="36"/>
      <c r="CS235" s="34"/>
      <c r="CT235" s="35"/>
      <c r="CU235" s="36"/>
    </row>
    <row r="236" spans="18:99">
      <c r="R236" s="506"/>
      <c r="S236" s="506"/>
      <c r="T236" s="507">
        <f t="shared" ca="1" si="57"/>
        <v>0</v>
      </c>
      <c r="U236" s="507">
        <f t="shared" ca="1" si="58"/>
        <v>0</v>
      </c>
      <c r="V236" s="507">
        <f t="shared" ca="1" si="59"/>
        <v>0</v>
      </c>
      <c r="W236" s="507">
        <f t="shared" ca="1" si="60"/>
        <v>0</v>
      </c>
      <c r="X236" s="507">
        <f t="shared" ca="1" si="61"/>
        <v>0</v>
      </c>
      <c r="Y236" s="507">
        <f t="shared" ca="1" si="62"/>
        <v>0</v>
      </c>
      <c r="Z236" s="507">
        <f t="shared" ca="1" si="63"/>
        <v>0</v>
      </c>
      <c r="AA236" s="507">
        <f t="shared" ca="1" si="64"/>
        <v>0</v>
      </c>
      <c r="AB236" s="507">
        <f t="shared" ca="1" si="65"/>
        <v>0</v>
      </c>
      <c r="AC236" s="507">
        <f t="shared" ca="1" si="66"/>
        <v>0</v>
      </c>
      <c r="AD236" s="507">
        <f t="shared" ca="1" si="67"/>
        <v>0</v>
      </c>
      <c r="AE236" s="507">
        <f t="shared" ca="1" si="68"/>
        <v>0</v>
      </c>
      <c r="AF236" s="11">
        <f t="shared" ca="1" si="56"/>
        <v>0</v>
      </c>
      <c r="AI236" s="4">
        <v>496</v>
      </c>
      <c r="AJ236" s="5" t="s">
        <v>704</v>
      </c>
      <c r="AK236" s="5" t="s">
        <v>702</v>
      </c>
      <c r="AL236" s="5" t="s">
        <v>705</v>
      </c>
      <c r="AM236" s="5" t="s">
        <v>706</v>
      </c>
      <c r="AN236" s="5" t="s">
        <v>18</v>
      </c>
      <c r="AO236" s="5" t="s">
        <v>16</v>
      </c>
      <c r="AP236" s="5" t="s">
        <v>481</v>
      </c>
      <c r="AQ236" s="5" t="s">
        <v>561</v>
      </c>
      <c r="AR236" s="5" t="s">
        <v>18</v>
      </c>
      <c r="AS236" s="6"/>
      <c r="AU236" s="5"/>
      <c r="AV236" s="5"/>
      <c r="AW236" s="5"/>
      <c r="AX236" s="5"/>
      <c r="AY236" s="5"/>
      <c r="BA236" s="34"/>
      <c r="BB236" s="35"/>
      <c r="BC236" s="36"/>
      <c r="BE236" s="34"/>
      <c r="BF236" s="35"/>
      <c r="BG236" s="36"/>
      <c r="BI236" s="34"/>
      <c r="BJ236" s="35"/>
      <c r="BK236" s="36"/>
      <c r="BM236" s="34"/>
      <c r="BN236" s="35"/>
      <c r="BO236" s="36"/>
      <c r="BQ236" s="34"/>
      <c r="BR236" s="35"/>
      <c r="BS236" s="36"/>
      <c r="BU236" s="34"/>
      <c r="BV236" s="35"/>
      <c r="BW236" s="36"/>
      <c r="BY236" s="34"/>
      <c r="BZ236" s="35"/>
      <c r="CA236" s="36"/>
      <c r="CC236" s="34"/>
      <c r="CD236" s="35"/>
      <c r="CE236" s="36"/>
      <c r="CG236" s="34"/>
      <c r="CH236" s="35"/>
      <c r="CI236" s="36"/>
      <c r="CK236" s="34"/>
      <c r="CL236" s="35"/>
      <c r="CM236" s="36"/>
      <c r="CO236" s="34"/>
      <c r="CP236" s="35"/>
      <c r="CQ236" s="36"/>
      <c r="CS236" s="34"/>
      <c r="CT236" s="35"/>
      <c r="CU236" s="36"/>
    </row>
    <row r="237" spans="18:99">
      <c r="R237" s="506"/>
      <c r="S237" s="506"/>
      <c r="T237" s="507">
        <f t="shared" ca="1" si="57"/>
        <v>0</v>
      </c>
      <c r="U237" s="507">
        <f t="shared" ca="1" si="58"/>
        <v>0</v>
      </c>
      <c r="V237" s="507">
        <f t="shared" ca="1" si="59"/>
        <v>0</v>
      </c>
      <c r="W237" s="507">
        <f t="shared" ca="1" si="60"/>
        <v>0</v>
      </c>
      <c r="X237" s="507">
        <f t="shared" ca="1" si="61"/>
        <v>0</v>
      </c>
      <c r="Y237" s="507">
        <f t="shared" ca="1" si="62"/>
        <v>0</v>
      </c>
      <c r="Z237" s="507">
        <f t="shared" ca="1" si="63"/>
        <v>0</v>
      </c>
      <c r="AA237" s="507">
        <f t="shared" ca="1" si="64"/>
        <v>0</v>
      </c>
      <c r="AB237" s="507">
        <f t="shared" ca="1" si="65"/>
        <v>0</v>
      </c>
      <c r="AC237" s="507">
        <f t="shared" ca="1" si="66"/>
        <v>0</v>
      </c>
      <c r="AD237" s="507">
        <f t="shared" ca="1" si="67"/>
        <v>0</v>
      </c>
      <c r="AE237" s="507">
        <f t="shared" ca="1" si="68"/>
        <v>0</v>
      </c>
      <c r="AF237" s="11">
        <f t="shared" ca="1" si="56"/>
        <v>0</v>
      </c>
      <c r="AI237" s="4">
        <v>498</v>
      </c>
      <c r="AJ237" s="5" t="s">
        <v>707</v>
      </c>
      <c r="AK237" s="5" t="s">
        <v>702</v>
      </c>
      <c r="AL237" s="5" t="s">
        <v>708</v>
      </c>
      <c r="AM237" s="5" t="s">
        <v>709</v>
      </c>
      <c r="AN237" s="5" t="s">
        <v>18</v>
      </c>
      <c r="AO237" s="5" t="s">
        <v>16</v>
      </c>
      <c r="AP237" s="5" t="s">
        <v>481</v>
      </c>
      <c r="AQ237" s="5" t="s">
        <v>561</v>
      </c>
      <c r="AR237" s="5" t="s">
        <v>18</v>
      </c>
      <c r="AS237" s="6"/>
      <c r="AU237" s="5"/>
      <c r="AV237" s="5"/>
      <c r="AW237" s="5"/>
      <c r="AX237" s="5"/>
      <c r="AY237" s="5"/>
      <c r="BA237" s="34"/>
      <c r="BB237" s="35"/>
      <c r="BC237" s="36"/>
      <c r="BE237" s="34"/>
      <c r="BF237" s="35"/>
      <c r="BG237" s="36"/>
      <c r="BI237" s="34"/>
      <c r="BJ237" s="35"/>
      <c r="BK237" s="36"/>
      <c r="BM237" s="34"/>
      <c r="BN237" s="35"/>
      <c r="BO237" s="36"/>
      <c r="BQ237" s="34"/>
      <c r="BR237" s="35"/>
      <c r="BS237" s="36"/>
      <c r="BU237" s="34"/>
      <c r="BV237" s="35"/>
      <c r="BW237" s="36"/>
      <c r="BY237" s="34"/>
      <c r="BZ237" s="35"/>
      <c r="CA237" s="36"/>
      <c r="CC237" s="34"/>
      <c r="CD237" s="35"/>
      <c r="CE237" s="36"/>
      <c r="CG237" s="34"/>
      <c r="CH237" s="35"/>
      <c r="CI237" s="36"/>
      <c r="CK237" s="34"/>
      <c r="CL237" s="35"/>
      <c r="CM237" s="36"/>
      <c r="CO237" s="34"/>
      <c r="CP237" s="35"/>
      <c r="CQ237" s="36"/>
      <c r="CS237" s="34"/>
      <c r="CT237" s="35"/>
      <c r="CU237" s="36"/>
    </row>
    <row r="238" spans="18:99">
      <c r="R238" s="506"/>
      <c r="S238" s="506"/>
      <c r="T238" s="507">
        <f t="shared" ca="1" si="57"/>
        <v>0</v>
      </c>
      <c r="U238" s="507">
        <f t="shared" ca="1" si="58"/>
        <v>0</v>
      </c>
      <c r="V238" s="507">
        <f t="shared" ca="1" si="59"/>
        <v>0</v>
      </c>
      <c r="W238" s="507">
        <f t="shared" ca="1" si="60"/>
        <v>0</v>
      </c>
      <c r="X238" s="507">
        <f t="shared" ca="1" si="61"/>
        <v>0</v>
      </c>
      <c r="Y238" s="507">
        <f t="shared" ca="1" si="62"/>
        <v>0</v>
      </c>
      <c r="Z238" s="507">
        <f t="shared" ca="1" si="63"/>
        <v>0</v>
      </c>
      <c r="AA238" s="507">
        <f t="shared" ca="1" si="64"/>
        <v>0</v>
      </c>
      <c r="AB238" s="507">
        <f t="shared" ca="1" si="65"/>
        <v>0</v>
      </c>
      <c r="AC238" s="507">
        <f t="shared" ca="1" si="66"/>
        <v>0</v>
      </c>
      <c r="AD238" s="507">
        <f t="shared" ca="1" si="67"/>
        <v>0</v>
      </c>
      <c r="AE238" s="507">
        <f t="shared" ca="1" si="68"/>
        <v>0</v>
      </c>
      <c r="AF238" s="11">
        <f t="shared" ca="1" si="56"/>
        <v>0</v>
      </c>
      <c r="AI238" s="4">
        <v>500</v>
      </c>
      <c r="AJ238" s="5" t="s">
        <v>710</v>
      </c>
      <c r="AK238" s="5" t="s">
        <v>702</v>
      </c>
      <c r="AL238" s="5" t="s">
        <v>711</v>
      </c>
      <c r="AM238" s="5" t="s">
        <v>712</v>
      </c>
      <c r="AN238" s="5" t="s">
        <v>18</v>
      </c>
      <c r="AO238" s="5" t="s">
        <v>16</v>
      </c>
      <c r="AP238" s="5" t="s">
        <v>481</v>
      </c>
      <c r="AQ238" s="5" t="s">
        <v>561</v>
      </c>
      <c r="AR238" s="5" t="s">
        <v>18</v>
      </c>
      <c r="AS238" s="6"/>
      <c r="AU238" s="5"/>
      <c r="AV238" s="5"/>
      <c r="AW238" s="5"/>
      <c r="AX238" s="5"/>
      <c r="AY238" s="5"/>
      <c r="BA238" s="34"/>
      <c r="BB238" s="35"/>
      <c r="BC238" s="36"/>
      <c r="BE238" s="34"/>
      <c r="BF238" s="35"/>
      <c r="BG238" s="36"/>
      <c r="BI238" s="34"/>
      <c r="BJ238" s="35"/>
      <c r="BK238" s="36"/>
      <c r="BM238" s="34"/>
      <c r="BN238" s="35"/>
      <c r="BO238" s="36"/>
      <c r="BQ238" s="34"/>
      <c r="BR238" s="35"/>
      <c r="BS238" s="36"/>
      <c r="BU238" s="34"/>
      <c r="BV238" s="35"/>
      <c r="BW238" s="36"/>
      <c r="BY238" s="34"/>
      <c r="BZ238" s="35"/>
      <c r="CA238" s="36"/>
      <c r="CC238" s="34"/>
      <c r="CD238" s="35"/>
      <c r="CE238" s="36"/>
      <c r="CG238" s="34"/>
      <c r="CH238" s="35"/>
      <c r="CI238" s="36"/>
      <c r="CK238" s="34"/>
      <c r="CL238" s="35"/>
      <c r="CM238" s="36"/>
      <c r="CO238" s="34"/>
      <c r="CP238" s="35"/>
      <c r="CQ238" s="36"/>
      <c r="CS238" s="34"/>
      <c r="CT238" s="35"/>
      <c r="CU238" s="36"/>
    </row>
    <row r="239" spans="18:99">
      <c r="R239" s="506"/>
      <c r="S239" s="506"/>
      <c r="T239" s="507">
        <f t="shared" ca="1" si="57"/>
        <v>0</v>
      </c>
      <c r="U239" s="507">
        <f t="shared" ca="1" si="58"/>
        <v>0</v>
      </c>
      <c r="V239" s="507">
        <f t="shared" ca="1" si="59"/>
        <v>0</v>
      </c>
      <c r="W239" s="507">
        <f t="shared" ca="1" si="60"/>
        <v>0</v>
      </c>
      <c r="X239" s="507">
        <f t="shared" ca="1" si="61"/>
        <v>0</v>
      </c>
      <c r="Y239" s="507">
        <f t="shared" ca="1" si="62"/>
        <v>0</v>
      </c>
      <c r="Z239" s="507">
        <f t="shared" ca="1" si="63"/>
        <v>0</v>
      </c>
      <c r="AA239" s="507">
        <f t="shared" ca="1" si="64"/>
        <v>0</v>
      </c>
      <c r="AB239" s="507">
        <f t="shared" ca="1" si="65"/>
        <v>0</v>
      </c>
      <c r="AC239" s="507">
        <f t="shared" ca="1" si="66"/>
        <v>0</v>
      </c>
      <c r="AD239" s="507">
        <f t="shared" ca="1" si="67"/>
        <v>0</v>
      </c>
      <c r="AE239" s="507">
        <f t="shared" ca="1" si="68"/>
        <v>0</v>
      </c>
      <c r="AF239" s="11">
        <f t="shared" ca="1" si="56"/>
        <v>0</v>
      </c>
      <c r="AI239" s="4">
        <v>502</v>
      </c>
      <c r="AJ239" s="5" t="s">
        <v>713</v>
      </c>
      <c r="AK239" s="5" t="s">
        <v>702</v>
      </c>
      <c r="AL239" s="5" t="s">
        <v>714</v>
      </c>
      <c r="AM239" s="5" t="s">
        <v>715</v>
      </c>
      <c r="AN239" s="5" t="s">
        <v>18</v>
      </c>
      <c r="AO239" s="5" t="s">
        <v>16</v>
      </c>
      <c r="AP239" s="5" t="s">
        <v>481</v>
      </c>
      <c r="AQ239" s="5" t="s">
        <v>561</v>
      </c>
      <c r="AR239" s="5" t="s">
        <v>18</v>
      </c>
      <c r="AS239" s="6"/>
      <c r="AU239" s="5"/>
      <c r="AV239" s="5"/>
      <c r="AW239" s="5"/>
      <c r="AX239" s="5"/>
      <c r="AY239" s="5"/>
      <c r="BA239" s="34"/>
      <c r="BB239" s="35"/>
      <c r="BC239" s="36"/>
      <c r="BE239" s="34"/>
      <c r="BF239" s="35"/>
      <c r="BG239" s="36"/>
      <c r="BI239" s="34"/>
      <c r="BJ239" s="35"/>
      <c r="BK239" s="36"/>
      <c r="BM239" s="34"/>
      <c r="BN239" s="35"/>
      <c r="BO239" s="36"/>
      <c r="BQ239" s="34"/>
      <c r="BR239" s="35"/>
      <c r="BS239" s="36"/>
      <c r="BU239" s="34"/>
      <c r="BV239" s="35"/>
      <c r="BW239" s="36"/>
      <c r="BY239" s="34"/>
      <c r="BZ239" s="35"/>
      <c r="CA239" s="36"/>
      <c r="CC239" s="34"/>
      <c r="CD239" s="35"/>
      <c r="CE239" s="36"/>
      <c r="CG239" s="34"/>
      <c r="CH239" s="35"/>
      <c r="CI239" s="36"/>
      <c r="CK239" s="34"/>
      <c r="CL239" s="35"/>
      <c r="CM239" s="36"/>
      <c r="CO239" s="34"/>
      <c r="CP239" s="35"/>
      <c r="CQ239" s="36"/>
      <c r="CS239" s="34"/>
      <c r="CT239" s="35"/>
      <c r="CU239" s="36"/>
    </row>
    <row r="240" spans="18:99">
      <c r="R240" s="506"/>
      <c r="S240" s="506"/>
      <c r="T240" s="507">
        <f t="shared" ca="1" si="57"/>
        <v>0</v>
      </c>
      <c r="U240" s="507">
        <f t="shared" ca="1" si="58"/>
        <v>0</v>
      </c>
      <c r="V240" s="507">
        <f t="shared" ca="1" si="59"/>
        <v>0</v>
      </c>
      <c r="W240" s="507">
        <f t="shared" ca="1" si="60"/>
        <v>0</v>
      </c>
      <c r="X240" s="507">
        <f t="shared" ca="1" si="61"/>
        <v>0</v>
      </c>
      <c r="Y240" s="507">
        <f t="shared" ca="1" si="62"/>
        <v>0</v>
      </c>
      <c r="Z240" s="507">
        <f t="shared" ca="1" si="63"/>
        <v>0</v>
      </c>
      <c r="AA240" s="507">
        <f t="shared" ca="1" si="64"/>
        <v>0</v>
      </c>
      <c r="AB240" s="507">
        <f t="shared" ca="1" si="65"/>
        <v>0</v>
      </c>
      <c r="AC240" s="507">
        <f t="shared" ca="1" si="66"/>
        <v>0</v>
      </c>
      <c r="AD240" s="507">
        <f t="shared" ca="1" si="67"/>
        <v>0</v>
      </c>
      <c r="AE240" s="507">
        <f t="shared" ca="1" si="68"/>
        <v>0</v>
      </c>
      <c r="AF240" s="11">
        <f t="shared" ca="1" si="56"/>
        <v>0</v>
      </c>
      <c r="AI240" s="4">
        <v>504</v>
      </c>
      <c r="AJ240" s="5" t="s">
        <v>716</v>
      </c>
      <c r="AK240" s="5" t="s">
        <v>702</v>
      </c>
      <c r="AL240" s="5" t="s">
        <v>717</v>
      </c>
      <c r="AM240" s="5" t="s">
        <v>718</v>
      </c>
      <c r="AN240" s="5" t="s">
        <v>18</v>
      </c>
      <c r="AO240" s="5" t="s">
        <v>16</v>
      </c>
      <c r="AP240" s="5" t="s">
        <v>481</v>
      </c>
      <c r="AQ240" s="5" t="s">
        <v>561</v>
      </c>
      <c r="AR240" s="5" t="s">
        <v>18</v>
      </c>
      <c r="AS240" s="6"/>
      <c r="AU240" s="5"/>
      <c r="AV240" s="5"/>
      <c r="AW240" s="5"/>
      <c r="AX240" s="5"/>
      <c r="AY240" s="5"/>
      <c r="BA240" s="34"/>
      <c r="BB240" s="35"/>
      <c r="BC240" s="36"/>
      <c r="BE240" s="34"/>
      <c r="BF240" s="35"/>
      <c r="BG240" s="36"/>
      <c r="BI240" s="34"/>
      <c r="BJ240" s="35"/>
      <c r="BK240" s="36"/>
      <c r="BM240" s="34"/>
      <c r="BN240" s="35"/>
      <c r="BO240" s="36"/>
      <c r="BQ240" s="34"/>
      <c r="BR240" s="35"/>
      <c r="BS240" s="36"/>
      <c r="BU240" s="34"/>
      <c r="BV240" s="35"/>
      <c r="BW240" s="36"/>
      <c r="BY240" s="34"/>
      <c r="BZ240" s="35"/>
      <c r="CA240" s="36"/>
      <c r="CC240" s="34"/>
      <c r="CD240" s="35"/>
      <c r="CE240" s="36"/>
      <c r="CG240" s="34"/>
      <c r="CH240" s="35"/>
      <c r="CI240" s="36"/>
      <c r="CK240" s="34"/>
      <c r="CL240" s="35"/>
      <c r="CM240" s="36"/>
      <c r="CO240" s="34"/>
      <c r="CP240" s="35"/>
      <c r="CQ240" s="36"/>
      <c r="CS240" s="34"/>
      <c r="CT240" s="35"/>
      <c r="CU240" s="36"/>
    </row>
    <row r="241" spans="18:99">
      <c r="R241" s="506"/>
      <c r="S241" s="506"/>
      <c r="T241" s="507">
        <f t="shared" ca="1" si="57"/>
        <v>0</v>
      </c>
      <c r="U241" s="507">
        <f t="shared" ca="1" si="58"/>
        <v>0</v>
      </c>
      <c r="V241" s="507">
        <f t="shared" ca="1" si="59"/>
        <v>0</v>
      </c>
      <c r="W241" s="507">
        <f t="shared" ca="1" si="60"/>
        <v>0</v>
      </c>
      <c r="X241" s="507">
        <f t="shared" ca="1" si="61"/>
        <v>0</v>
      </c>
      <c r="Y241" s="507">
        <f t="shared" ca="1" si="62"/>
        <v>0</v>
      </c>
      <c r="Z241" s="507">
        <f t="shared" ca="1" si="63"/>
        <v>0</v>
      </c>
      <c r="AA241" s="507">
        <f t="shared" ca="1" si="64"/>
        <v>0</v>
      </c>
      <c r="AB241" s="507">
        <f t="shared" ca="1" si="65"/>
        <v>0</v>
      </c>
      <c r="AC241" s="507">
        <f t="shared" ca="1" si="66"/>
        <v>0</v>
      </c>
      <c r="AD241" s="507">
        <f t="shared" ca="1" si="67"/>
        <v>0</v>
      </c>
      <c r="AE241" s="507">
        <f t="shared" ca="1" si="68"/>
        <v>0</v>
      </c>
      <c r="AF241" s="11">
        <f t="shared" ca="1" si="56"/>
        <v>0</v>
      </c>
      <c r="AI241" s="4">
        <v>506</v>
      </c>
      <c r="AJ241" s="5" t="s">
        <v>719</v>
      </c>
      <c r="AK241" s="5" t="s">
        <v>702</v>
      </c>
      <c r="AL241" s="5" t="s">
        <v>720</v>
      </c>
      <c r="AM241" s="5" t="s">
        <v>721</v>
      </c>
      <c r="AN241" s="5" t="s">
        <v>18</v>
      </c>
      <c r="AO241" s="5" t="s">
        <v>16</v>
      </c>
      <c r="AP241" s="5" t="s">
        <v>481</v>
      </c>
      <c r="AQ241" s="5" t="s">
        <v>561</v>
      </c>
      <c r="AR241" s="5" t="s">
        <v>18</v>
      </c>
      <c r="AS241" s="6"/>
      <c r="AU241" s="5"/>
      <c r="AV241" s="5"/>
      <c r="AW241" s="5"/>
      <c r="AX241" s="5"/>
      <c r="AY241" s="5"/>
      <c r="BA241" s="34"/>
      <c r="BB241" s="35"/>
      <c r="BC241" s="36"/>
      <c r="BE241" s="34"/>
      <c r="BF241" s="35"/>
      <c r="BG241" s="36"/>
      <c r="BI241" s="34"/>
      <c r="BJ241" s="35"/>
      <c r="BK241" s="36"/>
      <c r="BM241" s="34"/>
      <c r="BN241" s="35"/>
      <c r="BO241" s="36"/>
      <c r="BQ241" s="34"/>
      <c r="BR241" s="35"/>
      <c r="BS241" s="36"/>
      <c r="BU241" s="34"/>
      <c r="BV241" s="35"/>
      <c r="BW241" s="36"/>
      <c r="BY241" s="34"/>
      <c r="BZ241" s="35"/>
      <c r="CA241" s="36"/>
      <c r="CC241" s="34"/>
      <c r="CD241" s="35"/>
      <c r="CE241" s="36"/>
      <c r="CG241" s="34"/>
      <c r="CH241" s="35"/>
      <c r="CI241" s="36"/>
      <c r="CK241" s="34"/>
      <c r="CL241" s="35"/>
      <c r="CM241" s="36"/>
      <c r="CO241" s="34"/>
      <c r="CP241" s="35"/>
      <c r="CQ241" s="36"/>
      <c r="CS241" s="34"/>
      <c r="CT241" s="35"/>
      <c r="CU241" s="36"/>
    </row>
    <row r="242" spans="18:99">
      <c r="R242" s="506"/>
      <c r="S242" s="506"/>
      <c r="T242" s="507">
        <f t="shared" ca="1" si="57"/>
        <v>0</v>
      </c>
      <c r="U242" s="507">
        <f t="shared" ca="1" si="58"/>
        <v>0</v>
      </c>
      <c r="V242" s="507">
        <f t="shared" ca="1" si="59"/>
        <v>0</v>
      </c>
      <c r="W242" s="507">
        <f t="shared" ca="1" si="60"/>
        <v>0</v>
      </c>
      <c r="X242" s="507">
        <f t="shared" ca="1" si="61"/>
        <v>0</v>
      </c>
      <c r="Y242" s="507">
        <f t="shared" ca="1" si="62"/>
        <v>0</v>
      </c>
      <c r="Z242" s="507">
        <f t="shared" ca="1" si="63"/>
        <v>0</v>
      </c>
      <c r="AA242" s="507">
        <f t="shared" ca="1" si="64"/>
        <v>0</v>
      </c>
      <c r="AB242" s="507">
        <f t="shared" ca="1" si="65"/>
        <v>0</v>
      </c>
      <c r="AC242" s="507">
        <f t="shared" ca="1" si="66"/>
        <v>0</v>
      </c>
      <c r="AD242" s="507">
        <f t="shared" ca="1" si="67"/>
        <v>0</v>
      </c>
      <c r="AE242" s="507">
        <f t="shared" ca="1" si="68"/>
        <v>0</v>
      </c>
      <c r="AF242" s="11">
        <f t="shared" ca="1" si="56"/>
        <v>0</v>
      </c>
      <c r="AI242" s="4">
        <v>508</v>
      </c>
      <c r="AJ242" s="5" t="s">
        <v>722</v>
      </c>
      <c r="AK242" s="5" t="s">
        <v>702</v>
      </c>
      <c r="AL242" s="5" t="s">
        <v>723</v>
      </c>
      <c r="AM242" s="5" t="s">
        <v>724</v>
      </c>
      <c r="AN242" s="5" t="s">
        <v>18</v>
      </c>
      <c r="AO242" s="5" t="s">
        <v>16</v>
      </c>
      <c r="AP242" s="5" t="s">
        <v>481</v>
      </c>
      <c r="AQ242" s="5" t="s">
        <v>561</v>
      </c>
      <c r="AR242" s="5" t="s">
        <v>18</v>
      </c>
      <c r="AS242" s="6"/>
      <c r="AU242" s="5"/>
      <c r="AV242" s="5"/>
      <c r="AW242" s="5"/>
      <c r="AX242" s="5"/>
      <c r="AY242" s="5"/>
      <c r="BA242" s="34"/>
      <c r="BB242" s="35"/>
      <c r="BC242" s="36"/>
      <c r="BE242" s="34"/>
      <c r="BF242" s="35"/>
      <c r="BG242" s="36"/>
      <c r="BI242" s="34"/>
      <c r="BJ242" s="35"/>
      <c r="BK242" s="36"/>
      <c r="BM242" s="34"/>
      <c r="BN242" s="35"/>
      <c r="BO242" s="36"/>
      <c r="BQ242" s="34"/>
      <c r="BR242" s="35"/>
      <c r="BS242" s="36"/>
      <c r="BU242" s="34"/>
      <c r="BV242" s="35"/>
      <c r="BW242" s="36"/>
      <c r="BY242" s="34"/>
      <c r="BZ242" s="35"/>
      <c r="CA242" s="36"/>
      <c r="CC242" s="34"/>
      <c r="CD242" s="35"/>
      <c r="CE242" s="36"/>
      <c r="CG242" s="34"/>
      <c r="CH242" s="35"/>
      <c r="CI242" s="36"/>
      <c r="CK242" s="34"/>
      <c r="CL242" s="35"/>
      <c r="CM242" s="36"/>
      <c r="CO242" s="34"/>
      <c r="CP242" s="35"/>
      <c r="CQ242" s="36"/>
      <c r="CS242" s="34"/>
      <c r="CT242" s="35"/>
      <c r="CU242" s="36"/>
    </row>
    <row r="243" spans="18:99">
      <c r="R243" s="506"/>
      <c r="S243" s="506"/>
      <c r="T243" s="507">
        <f t="shared" ca="1" si="57"/>
        <v>0</v>
      </c>
      <c r="U243" s="507">
        <f t="shared" ca="1" si="58"/>
        <v>0</v>
      </c>
      <c r="V243" s="507">
        <f t="shared" ca="1" si="59"/>
        <v>0</v>
      </c>
      <c r="W243" s="507">
        <f t="shared" ca="1" si="60"/>
        <v>0</v>
      </c>
      <c r="X243" s="507">
        <f t="shared" ca="1" si="61"/>
        <v>0</v>
      </c>
      <c r="Y243" s="507">
        <f t="shared" ca="1" si="62"/>
        <v>0</v>
      </c>
      <c r="Z243" s="507">
        <f t="shared" ca="1" si="63"/>
        <v>0</v>
      </c>
      <c r="AA243" s="507">
        <f t="shared" ca="1" si="64"/>
        <v>0</v>
      </c>
      <c r="AB243" s="507">
        <f t="shared" ca="1" si="65"/>
        <v>0</v>
      </c>
      <c r="AC243" s="507">
        <f t="shared" ca="1" si="66"/>
        <v>0</v>
      </c>
      <c r="AD243" s="507">
        <f t="shared" ca="1" si="67"/>
        <v>0</v>
      </c>
      <c r="AE243" s="507">
        <f t="shared" ca="1" si="68"/>
        <v>0</v>
      </c>
      <c r="AF243" s="11">
        <f t="shared" ca="1" si="56"/>
        <v>0</v>
      </c>
      <c r="AI243" s="4">
        <v>510</v>
      </c>
      <c r="AJ243" s="5" t="s">
        <v>725</v>
      </c>
      <c r="AK243" s="5" t="s">
        <v>702</v>
      </c>
      <c r="AL243" s="5" t="s">
        <v>726</v>
      </c>
      <c r="AM243" s="5" t="s">
        <v>727</v>
      </c>
      <c r="AN243" s="5" t="s">
        <v>18</v>
      </c>
      <c r="AO243" s="5" t="s">
        <v>16</v>
      </c>
      <c r="AP243" s="5" t="s">
        <v>481</v>
      </c>
      <c r="AQ243" s="5" t="s">
        <v>561</v>
      </c>
      <c r="AR243" s="5" t="s">
        <v>18</v>
      </c>
      <c r="AS243" s="6"/>
      <c r="AU243" s="5"/>
      <c r="AV243" s="5"/>
      <c r="AW243" s="5"/>
      <c r="AX243" s="5"/>
      <c r="AY243" s="5"/>
      <c r="BA243" s="34"/>
      <c r="BB243" s="35"/>
      <c r="BC243" s="36"/>
      <c r="BE243" s="34"/>
      <c r="BF243" s="35"/>
      <c r="BG243" s="36"/>
      <c r="BI243" s="34"/>
      <c r="BJ243" s="35"/>
      <c r="BK243" s="36"/>
      <c r="BM243" s="34"/>
      <c r="BN243" s="35"/>
      <c r="BO243" s="36"/>
      <c r="BQ243" s="34"/>
      <c r="BR243" s="35"/>
      <c r="BS243" s="36"/>
      <c r="BU243" s="34"/>
      <c r="BV243" s="35"/>
      <c r="BW243" s="36"/>
      <c r="BY243" s="34"/>
      <c r="BZ243" s="35"/>
      <c r="CA243" s="36"/>
      <c r="CC243" s="34"/>
      <c r="CD243" s="35"/>
      <c r="CE243" s="36"/>
      <c r="CG243" s="34"/>
      <c r="CH243" s="35"/>
      <c r="CI243" s="36"/>
      <c r="CK243" s="34"/>
      <c r="CL243" s="35"/>
      <c r="CM243" s="36"/>
      <c r="CO243" s="34"/>
      <c r="CP243" s="35"/>
      <c r="CQ243" s="36"/>
      <c r="CS243" s="34"/>
      <c r="CT243" s="35"/>
      <c r="CU243" s="36"/>
    </row>
    <row r="244" spans="18:99">
      <c r="R244" s="506"/>
      <c r="S244" s="506"/>
      <c r="T244" s="507">
        <f t="shared" ca="1" si="57"/>
        <v>0</v>
      </c>
      <c r="U244" s="507">
        <f t="shared" ca="1" si="58"/>
        <v>0</v>
      </c>
      <c r="V244" s="507">
        <f t="shared" ca="1" si="59"/>
        <v>0</v>
      </c>
      <c r="W244" s="507">
        <f t="shared" ca="1" si="60"/>
        <v>0</v>
      </c>
      <c r="X244" s="507">
        <f t="shared" ca="1" si="61"/>
        <v>0</v>
      </c>
      <c r="Y244" s="507">
        <f t="shared" ca="1" si="62"/>
        <v>0</v>
      </c>
      <c r="Z244" s="507">
        <f t="shared" ca="1" si="63"/>
        <v>0</v>
      </c>
      <c r="AA244" s="507">
        <f t="shared" ca="1" si="64"/>
        <v>0</v>
      </c>
      <c r="AB244" s="507">
        <f t="shared" ca="1" si="65"/>
        <v>0</v>
      </c>
      <c r="AC244" s="507">
        <f t="shared" ca="1" si="66"/>
        <v>0</v>
      </c>
      <c r="AD244" s="507">
        <f t="shared" ca="1" si="67"/>
        <v>0</v>
      </c>
      <c r="AE244" s="507">
        <f t="shared" ca="1" si="68"/>
        <v>0</v>
      </c>
      <c r="AF244" s="11">
        <f t="shared" ca="1" si="56"/>
        <v>0</v>
      </c>
      <c r="AI244" s="4">
        <v>512</v>
      </c>
      <c r="AJ244" s="5" t="s">
        <v>728</v>
      </c>
      <c r="AK244" s="5" t="s">
        <v>702</v>
      </c>
      <c r="AL244" s="5" t="s">
        <v>729</v>
      </c>
      <c r="AM244" s="5" t="s">
        <v>730</v>
      </c>
      <c r="AN244" s="5" t="s">
        <v>18</v>
      </c>
      <c r="AO244" s="5" t="s">
        <v>16</v>
      </c>
      <c r="AP244" s="5" t="s">
        <v>481</v>
      </c>
      <c r="AQ244" s="5" t="s">
        <v>561</v>
      </c>
      <c r="AR244" s="5" t="s">
        <v>18</v>
      </c>
      <c r="AS244" s="6"/>
      <c r="AU244" s="5"/>
      <c r="AV244" s="5"/>
      <c r="AW244" s="5"/>
      <c r="AX244" s="5" t="s">
        <v>0</v>
      </c>
      <c r="AY244" s="5"/>
      <c r="BA244" s="34"/>
      <c r="BB244" s="35"/>
      <c r="BC244" s="36"/>
      <c r="BE244" s="34"/>
      <c r="BF244" s="35"/>
      <c r="BG244" s="36"/>
      <c r="BI244" s="34"/>
      <c r="BJ244" s="35"/>
      <c r="BK244" s="36"/>
      <c r="BM244" s="34"/>
      <c r="BN244" s="35"/>
      <c r="BO244" s="36"/>
      <c r="BQ244" s="34"/>
      <c r="BR244" s="35"/>
      <c r="BS244" s="36"/>
      <c r="BU244" s="34"/>
      <c r="BV244" s="35"/>
      <c r="BW244" s="36"/>
      <c r="BY244" s="34"/>
      <c r="BZ244" s="35"/>
      <c r="CA244" s="36"/>
      <c r="CC244" s="34"/>
      <c r="CD244" s="35"/>
      <c r="CE244" s="36"/>
      <c r="CG244" s="34"/>
      <c r="CH244" s="35"/>
      <c r="CI244" s="36"/>
      <c r="CK244" s="34"/>
      <c r="CL244" s="35"/>
      <c r="CM244" s="36"/>
      <c r="CO244" s="34"/>
      <c r="CP244" s="35"/>
      <c r="CQ244" s="36"/>
      <c r="CS244" s="34"/>
      <c r="CT244" s="35"/>
      <c r="CU244" s="36"/>
    </row>
    <row r="245" spans="18:99">
      <c r="R245" s="506"/>
      <c r="S245" s="506"/>
      <c r="T245" s="507">
        <f t="shared" ca="1" si="57"/>
        <v>0</v>
      </c>
      <c r="U245" s="507">
        <f t="shared" ca="1" si="58"/>
        <v>0</v>
      </c>
      <c r="V245" s="507">
        <f t="shared" ca="1" si="59"/>
        <v>0</v>
      </c>
      <c r="W245" s="507">
        <f t="shared" ca="1" si="60"/>
        <v>0</v>
      </c>
      <c r="X245" s="507">
        <f t="shared" ca="1" si="61"/>
        <v>0</v>
      </c>
      <c r="Y245" s="507">
        <f t="shared" ca="1" si="62"/>
        <v>0</v>
      </c>
      <c r="Z245" s="507">
        <f t="shared" ca="1" si="63"/>
        <v>0</v>
      </c>
      <c r="AA245" s="507">
        <f t="shared" ca="1" si="64"/>
        <v>0</v>
      </c>
      <c r="AB245" s="507">
        <f t="shared" ca="1" si="65"/>
        <v>0</v>
      </c>
      <c r="AC245" s="507">
        <f t="shared" ca="1" si="66"/>
        <v>0</v>
      </c>
      <c r="AD245" s="507">
        <f t="shared" ca="1" si="67"/>
        <v>0</v>
      </c>
      <c r="AE245" s="507">
        <f t="shared" ca="1" si="68"/>
        <v>0</v>
      </c>
      <c r="AF245" s="11">
        <f t="shared" ca="1" si="56"/>
        <v>0</v>
      </c>
      <c r="AI245" s="4">
        <v>514</v>
      </c>
      <c r="AJ245" s="5" t="s">
        <v>731</v>
      </c>
      <c r="AK245" s="5" t="s">
        <v>702</v>
      </c>
      <c r="AL245" s="5" t="s">
        <v>732</v>
      </c>
      <c r="AM245" s="5" t="s">
        <v>733</v>
      </c>
      <c r="AN245" s="5" t="s">
        <v>18</v>
      </c>
      <c r="AO245" s="5" t="s">
        <v>16</v>
      </c>
      <c r="AP245" s="5" t="s">
        <v>481</v>
      </c>
      <c r="AQ245" s="5" t="s">
        <v>561</v>
      </c>
      <c r="AR245" s="5" t="s">
        <v>18</v>
      </c>
      <c r="AS245" s="6"/>
      <c r="AU245" s="5"/>
      <c r="AV245" s="5"/>
      <c r="AW245" s="5"/>
      <c r="AX245" s="5"/>
      <c r="AY245" s="5"/>
      <c r="BA245" s="34"/>
      <c r="BB245" s="35"/>
      <c r="BC245" s="36"/>
      <c r="BE245" s="34"/>
      <c r="BF245" s="35"/>
      <c r="BG245" s="36"/>
      <c r="BI245" s="34"/>
      <c r="BJ245" s="35"/>
      <c r="BK245" s="36"/>
      <c r="BM245" s="34"/>
      <c r="BN245" s="35"/>
      <c r="BO245" s="36"/>
      <c r="BQ245" s="34"/>
      <c r="BR245" s="35"/>
      <c r="BS245" s="36"/>
      <c r="BU245" s="34"/>
      <c r="BV245" s="35"/>
      <c r="BW245" s="36"/>
      <c r="BY245" s="34"/>
      <c r="BZ245" s="35"/>
      <c r="CA245" s="36"/>
      <c r="CC245" s="34"/>
      <c r="CD245" s="35"/>
      <c r="CE245" s="36"/>
      <c r="CG245" s="34"/>
      <c r="CH245" s="35"/>
      <c r="CI245" s="36"/>
      <c r="CK245" s="34"/>
      <c r="CL245" s="35"/>
      <c r="CM245" s="36"/>
      <c r="CO245" s="34"/>
      <c r="CP245" s="35"/>
      <c r="CQ245" s="36"/>
      <c r="CS245" s="34"/>
      <c r="CT245" s="35"/>
      <c r="CU245" s="36"/>
    </row>
    <row r="246" spans="18:99">
      <c r="R246" s="506"/>
      <c r="S246" s="506"/>
      <c r="T246" s="507">
        <f t="shared" ca="1" si="57"/>
        <v>0</v>
      </c>
      <c r="U246" s="507">
        <f t="shared" ca="1" si="58"/>
        <v>0</v>
      </c>
      <c r="V246" s="507">
        <f t="shared" ca="1" si="59"/>
        <v>0</v>
      </c>
      <c r="W246" s="507">
        <f t="shared" ca="1" si="60"/>
        <v>0</v>
      </c>
      <c r="X246" s="507">
        <f t="shared" ca="1" si="61"/>
        <v>0</v>
      </c>
      <c r="Y246" s="507">
        <f t="shared" ca="1" si="62"/>
        <v>0</v>
      </c>
      <c r="Z246" s="507">
        <f t="shared" ca="1" si="63"/>
        <v>0</v>
      </c>
      <c r="AA246" s="507">
        <f t="shared" ca="1" si="64"/>
        <v>0</v>
      </c>
      <c r="AB246" s="507">
        <f t="shared" ca="1" si="65"/>
        <v>0</v>
      </c>
      <c r="AC246" s="507">
        <f t="shared" ca="1" si="66"/>
        <v>0</v>
      </c>
      <c r="AD246" s="507">
        <f t="shared" ca="1" si="67"/>
        <v>0</v>
      </c>
      <c r="AE246" s="507">
        <f t="shared" ca="1" si="68"/>
        <v>0</v>
      </c>
      <c r="AF246" s="11">
        <f t="shared" ca="1" si="56"/>
        <v>0</v>
      </c>
      <c r="AI246" s="4">
        <v>516</v>
      </c>
      <c r="AJ246" s="5" t="s">
        <v>734</v>
      </c>
      <c r="AK246" s="5" t="s">
        <v>702</v>
      </c>
      <c r="AL246" s="5" t="s">
        <v>735</v>
      </c>
      <c r="AM246" s="5" t="s">
        <v>736</v>
      </c>
      <c r="AN246" s="5" t="s">
        <v>18</v>
      </c>
      <c r="AO246" s="5" t="s">
        <v>16</v>
      </c>
      <c r="AP246" s="5" t="s">
        <v>481</v>
      </c>
      <c r="AQ246" s="5" t="s">
        <v>561</v>
      </c>
      <c r="AR246" s="5" t="s">
        <v>18</v>
      </c>
      <c r="AS246" s="6"/>
      <c r="AU246" s="5"/>
      <c r="AV246" s="5"/>
      <c r="AW246" s="5"/>
      <c r="AX246" s="5"/>
      <c r="AY246" s="5"/>
      <c r="BA246" s="34"/>
      <c r="BB246" s="35"/>
      <c r="BC246" s="36"/>
      <c r="BE246" s="34"/>
      <c r="BF246" s="35"/>
      <c r="BG246" s="36"/>
      <c r="BI246" s="34"/>
      <c r="BJ246" s="35"/>
      <c r="BK246" s="36"/>
      <c r="BM246" s="34"/>
      <c r="BN246" s="35"/>
      <c r="BO246" s="36"/>
      <c r="BQ246" s="34"/>
      <c r="BR246" s="35"/>
      <c r="BS246" s="36"/>
      <c r="BU246" s="34"/>
      <c r="BV246" s="35"/>
      <c r="BW246" s="36"/>
      <c r="BY246" s="34"/>
      <c r="BZ246" s="35"/>
      <c r="CA246" s="36"/>
      <c r="CC246" s="34"/>
      <c r="CD246" s="35"/>
      <c r="CE246" s="36"/>
      <c r="CG246" s="34"/>
      <c r="CH246" s="35"/>
      <c r="CI246" s="36"/>
      <c r="CK246" s="34"/>
      <c r="CL246" s="35"/>
      <c r="CM246" s="36"/>
      <c r="CO246" s="34"/>
      <c r="CP246" s="35"/>
      <c r="CQ246" s="36"/>
      <c r="CS246" s="34"/>
      <c r="CT246" s="35"/>
      <c r="CU246" s="36"/>
    </row>
    <row r="247" spans="18:99">
      <c r="R247" s="506"/>
      <c r="S247" s="506"/>
      <c r="T247" s="507">
        <f t="shared" ca="1" si="57"/>
        <v>0</v>
      </c>
      <c r="U247" s="507">
        <f t="shared" ca="1" si="58"/>
        <v>0</v>
      </c>
      <c r="V247" s="507">
        <f t="shared" ca="1" si="59"/>
        <v>0</v>
      </c>
      <c r="W247" s="507">
        <f t="shared" ca="1" si="60"/>
        <v>0</v>
      </c>
      <c r="X247" s="507">
        <f t="shared" ca="1" si="61"/>
        <v>0</v>
      </c>
      <c r="Y247" s="507">
        <f t="shared" ca="1" si="62"/>
        <v>0</v>
      </c>
      <c r="Z247" s="507">
        <f t="shared" ca="1" si="63"/>
        <v>0</v>
      </c>
      <c r="AA247" s="507">
        <f t="shared" ca="1" si="64"/>
        <v>0</v>
      </c>
      <c r="AB247" s="507">
        <f t="shared" ca="1" si="65"/>
        <v>0</v>
      </c>
      <c r="AC247" s="507">
        <f t="shared" ca="1" si="66"/>
        <v>0</v>
      </c>
      <c r="AD247" s="507">
        <f t="shared" ca="1" si="67"/>
        <v>0</v>
      </c>
      <c r="AE247" s="507">
        <f t="shared" ca="1" si="68"/>
        <v>0</v>
      </c>
      <c r="AF247" s="11">
        <f t="shared" ca="1" si="56"/>
        <v>0</v>
      </c>
      <c r="AI247" s="4">
        <v>518</v>
      </c>
      <c r="AJ247" s="5" t="s">
        <v>737</v>
      </c>
      <c r="AK247" s="5" t="s">
        <v>702</v>
      </c>
      <c r="AL247" s="5" t="s">
        <v>738</v>
      </c>
      <c r="AM247" s="5" t="s">
        <v>739</v>
      </c>
      <c r="AN247" s="5" t="s">
        <v>18</v>
      </c>
      <c r="AO247" s="5" t="s">
        <v>16</v>
      </c>
      <c r="AP247" s="5" t="s">
        <v>481</v>
      </c>
      <c r="AQ247" s="5" t="s">
        <v>561</v>
      </c>
      <c r="AR247" s="5" t="s">
        <v>18</v>
      </c>
      <c r="AS247" s="6"/>
      <c r="AU247" s="5"/>
      <c r="AV247" s="5"/>
      <c r="AW247" s="5"/>
      <c r="AX247" s="5"/>
      <c r="AY247" s="5"/>
      <c r="BA247" s="34"/>
      <c r="BB247" s="35"/>
      <c r="BC247" s="36"/>
      <c r="BE247" s="34"/>
      <c r="BF247" s="35"/>
      <c r="BG247" s="36"/>
      <c r="BI247" s="34"/>
      <c r="BJ247" s="35"/>
      <c r="BK247" s="36"/>
      <c r="BM247" s="34"/>
      <c r="BN247" s="35"/>
      <c r="BO247" s="36"/>
      <c r="BQ247" s="34"/>
      <c r="BR247" s="35"/>
      <c r="BS247" s="36"/>
      <c r="BU247" s="34"/>
      <c r="BV247" s="35"/>
      <c r="BW247" s="36"/>
      <c r="BY247" s="34"/>
      <c r="BZ247" s="35"/>
      <c r="CA247" s="36"/>
      <c r="CC247" s="34"/>
      <c r="CD247" s="35"/>
      <c r="CE247" s="36"/>
      <c r="CG247" s="34"/>
      <c r="CH247" s="35"/>
      <c r="CI247" s="36"/>
      <c r="CK247" s="34"/>
      <c r="CL247" s="35"/>
      <c r="CM247" s="36"/>
      <c r="CO247" s="34"/>
      <c r="CP247" s="35"/>
      <c r="CQ247" s="36"/>
      <c r="CS247" s="34"/>
      <c r="CT247" s="35"/>
      <c r="CU247" s="36"/>
    </row>
    <row r="248" spans="18:99">
      <c r="R248" s="506"/>
      <c r="S248" s="506"/>
      <c r="T248" s="507">
        <f t="shared" ca="1" si="57"/>
        <v>0</v>
      </c>
      <c r="U248" s="507">
        <f t="shared" ca="1" si="58"/>
        <v>0</v>
      </c>
      <c r="V248" s="507">
        <f t="shared" ca="1" si="59"/>
        <v>0</v>
      </c>
      <c r="W248" s="507">
        <f t="shared" ca="1" si="60"/>
        <v>0</v>
      </c>
      <c r="X248" s="507">
        <f t="shared" ca="1" si="61"/>
        <v>0</v>
      </c>
      <c r="Y248" s="507">
        <f t="shared" ca="1" si="62"/>
        <v>0</v>
      </c>
      <c r="Z248" s="507">
        <f t="shared" ca="1" si="63"/>
        <v>0</v>
      </c>
      <c r="AA248" s="507">
        <f t="shared" ca="1" si="64"/>
        <v>0</v>
      </c>
      <c r="AB248" s="507">
        <f t="shared" ca="1" si="65"/>
        <v>0</v>
      </c>
      <c r="AC248" s="507">
        <f t="shared" ca="1" si="66"/>
        <v>0</v>
      </c>
      <c r="AD248" s="507">
        <f t="shared" ca="1" si="67"/>
        <v>0</v>
      </c>
      <c r="AE248" s="507">
        <f t="shared" ca="1" si="68"/>
        <v>0</v>
      </c>
      <c r="AF248" s="11">
        <f t="shared" ca="1" si="56"/>
        <v>0</v>
      </c>
      <c r="AI248" s="4">
        <v>520</v>
      </c>
      <c r="AJ248" s="5" t="s">
        <v>740</v>
      </c>
      <c r="AK248" s="5" t="s">
        <v>702</v>
      </c>
      <c r="AL248" s="5" t="s">
        <v>741</v>
      </c>
      <c r="AM248" s="5" t="s">
        <v>742</v>
      </c>
      <c r="AN248" s="5" t="s">
        <v>18</v>
      </c>
      <c r="AO248" s="5" t="s">
        <v>16</v>
      </c>
      <c r="AP248" s="5" t="s">
        <v>481</v>
      </c>
      <c r="AQ248" s="5" t="s">
        <v>561</v>
      </c>
      <c r="AR248" s="5" t="s">
        <v>18</v>
      </c>
      <c r="AS248" s="6"/>
      <c r="AU248" s="5"/>
      <c r="AV248" s="5"/>
      <c r="AW248" s="5"/>
      <c r="AX248" s="5"/>
      <c r="AY248" s="5"/>
      <c r="BA248" s="34"/>
      <c r="BB248" s="35"/>
      <c r="BC248" s="36"/>
      <c r="BE248" s="34"/>
      <c r="BF248" s="35"/>
      <c r="BG248" s="36"/>
      <c r="BI248" s="34"/>
      <c r="BJ248" s="35"/>
      <c r="BK248" s="36"/>
      <c r="BM248" s="34"/>
      <c r="BN248" s="35"/>
      <c r="BO248" s="36"/>
      <c r="BQ248" s="34"/>
      <c r="BR248" s="35"/>
      <c r="BS248" s="36"/>
      <c r="BU248" s="34"/>
      <c r="BV248" s="35"/>
      <c r="BW248" s="36"/>
      <c r="BY248" s="34"/>
      <c r="BZ248" s="35"/>
      <c r="CA248" s="36"/>
      <c r="CC248" s="34"/>
      <c r="CD248" s="35"/>
      <c r="CE248" s="36"/>
      <c r="CG248" s="34"/>
      <c r="CH248" s="35"/>
      <c r="CI248" s="36"/>
      <c r="CK248" s="34"/>
      <c r="CL248" s="35"/>
      <c r="CM248" s="36"/>
      <c r="CO248" s="34"/>
      <c r="CP248" s="35"/>
      <c r="CQ248" s="36"/>
      <c r="CS248" s="34"/>
      <c r="CT248" s="35"/>
      <c r="CU248" s="36"/>
    </row>
    <row r="249" spans="18:99">
      <c r="R249" s="506"/>
      <c r="S249" s="506"/>
      <c r="T249" s="507">
        <f t="shared" ca="1" si="57"/>
        <v>0</v>
      </c>
      <c r="U249" s="507">
        <f t="shared" ca="1" si="58"/>
        <v>0</v>
      </c>
      <c r="V249" s="507">
        <f t="shared" ca="1" si="59"/>
        <v>0</v>
      </c>
      <c r="W249" s="507">
        <f t="shared" ca="1" si="60"/>
        <v>0</v>
      </c>
      <c r="X249" s="507">
        <f t="shared" ca="1" si="61"/>
        <v>0</v>
      </c>
      <c r="Y249" s="507">
        <f t="shared" ca="1" si="62"/>
        <v>0</v>
      </c>
      <c r="Z249" s="507">
        <f t="shared" ca="1" si="63"/>
        <v>0</v>
      </c>
      <c r="AA249" s="507">
        <f t="shared" ca="1" si="64"/>
        <v>0</v>
      </c>
      <c r="AB249" s="507">
        <f t="shared" ca="1" si="65"/>
        <v>0</v>
      </c>
      <c r="AC249" s="507">
        <f t="shared" ca="1" si="66"/>
        <v>0</v>
      </c>
      <c r="AD249" s="507">
        <f t="shared" ca="1" si="67"/>
        <v>0</v>
      </c>
      <c r="AE249" s="507">
        <f t="shared" ca="1" si="68"/>
        <v>0</v>
      </c>
      <c r="AF249" s="11">
        <f t="shared" ca="1" si="56"/>
        <v>0</v>
      </c>
      <c r="AI249" s="4">
        <v>522</v>
      </c>
      <c r="AJ249" s="5" t="s">
        <v>743</v>
      </c>
      <c r="AK249" s="5" t="s">
        <v>702</v>
      </c>
      <c r="AL249" s="5" t="s">
        <v>744</v>
      </c>
      <c r="AM249" s="5" t="s">
        <v>745</v>
      </c>
      <c r="AN249" s="5" t="s">
        <v>18</v>
      </c>
      <c r="AO249" s="5" t="s">
        <v>16</v>
      </c>
      <c r="AP249" s="5" t="s">
        <v>481</v>
      </c>
      <c r="AQ249" s="5" t="s">
        <v>561</v>
      </c>
      <c r="AR249" s="5" t="s">
        <v>18</v>
      </c>
      <c r="AS249" s="6"/>
      <c r="AU249" s="5"/>
      <c r="AV249" s="5"/>
      <c r="AW249" s="5"/>
      <c r="AX249" s="5"/>
      <c r="AY249" s="5"/>
      <c r="BA249" s="34"/>
      <c r="BB249" s="35"/>
      <c r="BC249" s="36"/>
      <c r="BE249" s="34"/>
      <c r="BF249" s="35"/>
      <c r="BG249" s="36"/>
      <c r="BI249" s="34"/>
      <c r="BJ249" s="35"/>
      <c r="BK249" s="36"/>
      <c r="BM249" s="34"/>
      <c r="BN249" s="35"/>
      <c r="BO249" s="36"/>
      <c r="BQ249" s="34"/>
      <c r="BR249" s="35"/>
      <c r="BS249" s="36"/>
      <c r="BU249" s="34"/>
      <c r="BV249" s="35"/>
      <c r="BW249" s="36"/>
      <c r="BY249" s="34"/>
      <c r="BZ249" s="35"/>
      <c r="CA249" s="36"/>
      <c r="CC249" s="34"/>
      <c r="CD249" s="35"/>
      <c r="CE249" s="36"/>
      <c r="CG249" s="34"/>
      <c r="CH249" s="35"/>
      <c r="CI249" s="36"/>
      <c r="CK249" s="34"/>
      <c r="CL249" s="35"/>
      <c r="CM249" s="36"/>
      <c r="CO249" s="34"/>
      <c r="CP249" s="35"/>
      <c r="CQ249" s="36"/>
      <c r="CS249" s="34"/>
      <c r="CT249" s="35"/>
      <c r="CU249" s="36"/>
    </row>
    <row r="250" spans="18:99">
      <c r="R250" s="506"/>
      <c r="S250" s="506"/>
      <c r="T250" s="507">
        <f t="shared" ca="1" si="57"/>
        <v>0</v>
      </c>
      <c r="U250" s="507">
        <f t="shared" ca="1" si="58"/>
        <v>0</v>
      </c>
      <c r="V250" s="507">
        <f t="shared" ca="1" si="59"/>
        <v>0</v>
      </c>
      <c r="W250" s="507">
        <f t="shared" ca="1" si="60"/>
        <v>0</v>
      </c>
      <c r="X250" s="507">
        <f t="shared" ca="1" si="61"/>
        <v>0</v>
      </c>
      <c r="Y250" s="507">
        <f t="shared" ca="1" si="62"/>
        <v>0</v>
      </c>
      <c r="Z250" s="507">
        <f t="shared" ca="1" si="63"/>
        <v>0</v>
      </c>
      <c r="AA250" s="507">
        <f t="shared" ca="1" si="64"/>
        <v>0</v>
      </c>
      <c r="AB250" s="507">
        <f t="shared" ca="1" si="65"/>
        <v>0</v>
      </c>
      <c r="AC250" s="507">
        <f t="shared" ca="1" si="66"/>
        <v>0</v>
      </c>
      <c r="AD250" s="507">
        <f t="shared" ca="1" si="67"/>
        <v>0</v>
      </c>
      <c r="AE250" s="507">
        <f t="shared" ca="1" si="68"/>
        <v>0</v>
      </c>
      <c r="AF250" s="11">
        <f t="shared" ca="1" si="56"/>
        <v>0</v>
      </c>
      <c r="AI250" s="4">
        <v>524</v>
      </c>
      <c r="AJ250" s="5" t="s">
        <v>746</v>
      </c>
      <c r="AK250" s="5" t="s">
        <v>702</v>
      </c>
      <c r="AL250" s="5" t="s">
        <v>747</v>
      </c>
      <c r="AM250" s="5" t="s">
        <v>748</v>
      </c>
      <c r="AN250" s="5" t="s">
        <v>18</v>
      </c>
      <c r="AO250" s="5" t="s">
        <v>16</v>
      </c>
      <c r="AP250" s="5" t="s">
        <v>481</v>
      </c>
      <c r="AQ250" s="5" t="s">
        <v>561</v>
      </c>
      <c r="AR250" s="5" t="s">
        <v>18</v>
      </c>
      <c r="AS250" s="6"/>
      <c r="AU250" s="5"/>
      <c r="AV250" s="5"/>
      <c r="AW250" s="5"/>
      <c r="AX250" s="5"/>
      <c r="AY250" s="5"/>
      <c r="BA250" s="13"/>
      <c r="BB250" s="14"/>
      <c r="BC250" s="15"/>
      <c r="BE250" s="13"/>
      <c r="BF250" s="14"/>
      <c r="BG250" s="15"/>
      <c r="BI250" s="13"/>
      <c r="BJ250" s="14"/>
      <c r="BK250" s="15"/>
      <c r="BM250" s="13"/>
      <c r="BN250" s="14"/>
      <c r="BO250" s="15"/>
      <c r="BQ250" s="13"/>
      <c r="BR250" s="14"/>
      <c r="BS250" s="15"/>
      <c r="BU250" s="13"/>
      <c r="BV250" s="14"/>
      <c r="BW250" s="15"/>
      <c r="BY250" s="13"/>
      <c r="BZ250" s="14"/>
      <c r="CA250" s="15"/>
      <c r="CC250" s="13"/>
      <c r="CD250" s="14"/>
      <c r="CE250" s="15"/>
      <c r="CG250" s="13"/>
      <c r="CH250" s="14"/>
      <c r="CI250" s="15"/>
      <c r="CK250" s="13"/>
      <c r="CL250" s="14"/>
      <c r="CM250" s="15"/>
      <c r="CO250" s="13"/>
      <c r="CP250" s="14"/>
      <c r="CQ250" s="15"/>
      <c r="CS250" s="13"/>
      <c r="CT250" s="14"/>
      <c r="CU250" s="15"/>
    </row>
    <row r="251" spans="18:99">
      <c r="R251" s="506"/>
      <c r="S251" s="506"/>
      <c r="T251" s="507">
        <f t="shared" ca="1" si="57"/>
        <v>0</v>
      </c>
      <c r="U251" s="507">
        <f t="shared" ca="1" si="58"/>
        <v>0</v>
      </c>
      <c r="V251" s="507">
        <f t="shared" ca="1" si="59"/>
        <v>0</v>
      </c>
      <c r="W251" s="507">
        <f t="shared" ca="1" si="60"/>
        <v>0</v>
      </c>
      <c r="X251" s="507">
        <f t="shared" ca="1" si="61"/>
        <v>0</v>
      </c>
      <c r="Y251" s="507">
        <f t="shared" ca="1" si="62"/>
        <v>0</v>
      </c>
      <c r="Z251" s="507">
        <f t="shared" ca="1" si="63"/>
        <v>0</v>
      </c>
      <c r="AA251" s="507">
        <f t="shared" ca="1" si="64"/>
        <v>0</v>
      </c>
      <c r="AB251" s="507">
        <f t="shared" ca="1" si="65"/>
        <v>0</v>
      </c>
      <c r="AC251" s="507">
        <f t="shared" ca="1" si="66"/>
        <v>0</v>
      </c>
      <c r="AD251" s="507">
        <f t="shared" ca="1" si="67"/>
        <v>0</v>
      </c>
      <c r="AE251" s="507">
        <f t="shared" ca="1" si="68"/>
        <v>0</v>
      </c>
      <c r="AF251" s="11">
        <f t="shared" ca="1" si="56"/>
        <v>0</v>
      </c>
      <c r="AI251" s="4">
        <v>526</v>
      </c>
      <c r="AJ251" s="5" t="s">
        <v>749</v>
      </c>
      <c r="AK251" s="5" t="s">
        <v>702</v>
      </c>
      <c r="AL251" s="5" t="s">
        <v>750</v>
      </c>
      <c r="AM251" s="5" t="s">
        <v>751</v>
      </c>
      <c r="AN251" s="5" t="s">
        <v>18</v>
      </c>
      <c r="AO251" s="5" t="s">
        <v>16</v>
      </c>
      <c r="AP251" s="5" t="s">
        <v>481</v>
      </c>
      <c r="AQ251" s="5" t="s">
        <v>561</v>
      </c>
      <c r="AR251" s="5" t="s">
        <v>18</v>
      </c>
      <c r="AS251" s="6"/>
      <c r="AU251" s="5"/>
      <c r="AV251" s="5"/>
      <c r="AW251" s="5"/>
      <c r="AX251" s="5"/>
      <c r="AY251" s="5"/>
      <c r="BA251" s="13"/>
      <c r="BB251" s="14"/>
      <c r="BC251" s="15"/>
      <c r="BE251" s="13"/>
      <c r="BF251" s="14"/>
      <c r="BG251" s="15"/>
      <c r="BI251" s="13"/>
      <c r="BJ251" s="14"/>
      <c r="BK251" s="15"/>
      <c r="BM251" s="13"/>
      <c r="BN251" s="14"/>
      <c r="BO251" s="15"/>
      <c r="BQ251" s="13"/>
      <c r="BR251" s="14"/>
      <c r="BS251" s="15"/>
      <c r="BU251" s="13"/>
      <c r="BV251" s="14"/>
      <c r="BW251" s="15"/>
      <c r="BY251" s="13"/>
      <c r="BZ251" s="14"/>
      <c r="CA251" s="15"/>
      <c r="CC251" s="13"/>
      <c r="CD251" s="14"/>
      <c r="CE251" s="15"/>
      <c r="CG251" s="13"/>
      <c r="CH251" s="14"/>
      <c r="CI251" s="15"/>
      <c r="CK251" s="13"/>
      <c r="CL251" s="14"/>
      <c r="CM251" s="15"/>
      <c r="CO251" s="13"/>
      <c r="CP251" s="14"/>
      <c r="CQ251" s="15"/>
      <c r="CS251" s="13"/>
      <c r="CT251" s="14"/>
      <c r="CU251" s="15"/>
    </row>
    <row r="252" spans="18:99">
      <c r="R252" s="506"/>
      <c r="S252" s="506"/>
      <c r="T252" s="507">
        <f t="shared" ca="1" si="57"/>
        <v>0</v>
      </c>
      <c r="U252" s="507">
        <f t="shared" ca="1" si="58"/>
        <v>0</v>
      </c>
      <c r="V252" s="507">
        <f t="shared" ca="1" si="59"/>
        <v>0</v>
      </c>
      <c r="W252" s="507">
        <f t="shared" ca="1" si="60"/>
        <v>0</v>
      </c>
      <c r="X252" s="507">
        <f t="shared" ca="1" si="61"/>
        <v>0</v>
      </c>
      <c r="Y252" s="507">
        <f t="shared" ca="1" si="62"/>
        <v>0</v>
      </c>
      <c r="Z252" s="507">
        <f t="shared" ca="1" si="63"/>
        <v>0</v>
      </c>
      <c r="AA252" s="507">
        <f t="shared" ca="1" si="64"/>
        <v>0</v>
      </c>
      <c r="AB252" s="507">
        <f t="shared" ca="1" si="65"/>
        <v>0</v>
      </c>
      <c r="AC252" s="507">
        <f t="shared" ca="1" si="66"/>
        <v>0</v>
      </c>
      <c r="AD252" s="507">
        <f t="shared" ca="1" si="67"/>
        <v>0</v>
      </c>
      <c r="AE252" s="507">
        <f t="shared" ca="1" si="68"/>
        <v>0</v>
      </c>
      <c r="AF252" s="11">
        <f t="shared" ca="1" si="56"/>
        <v>0</v>
      </c>
      <c r="AI252" s="4">
        <v>528</v>
      </c>
      <c r="AJ252" s="5" t="s">
        <v>754</v>
      </c>
      <c r="AK252" s="5" t="s">
        <v>752</v>
      </c>
      <c r="AL252" s="5" t="s">
        <v>755</v>
      </c>
      <c r="AM252" s="5" t="s">
        <v>756</v>
      </c>
      <c r="AN252" s="5" t="s">
        <v>18</v>
      </c>
      <c r="AO252" s="5" t="s">
        <v>16</v>
      </c>
      <c r="AP252" s="5" t="s">
        <v>481</v>
      </c>
      <c r="AQ252" s="5" t="s">
        <v>561</v>
      </c>
      <c r="AR252" s="5" t="s">
        <v>18</v>
      </c>
      <c r="AS252" s="6"/>
      <c r="AU252" s="5"/>
      <c r="AV252" s="5"/>
      <c r="AW252" s="5"/>
      <c r="AX252" s="5"/>
      <c r="AY252" s="5"/>
      <c r="BA252" s="13"/>
      <c r="BB252" s="14"/>
      <c r="BC252" s="15"/>
      <c r="BE252" s="13"/>
      <c r="BF252" s="14"/>
      <c r="BG252" s="15"/>
      <c r="BI252" s="13"/>
      <c r="BJ252" s="14"/>
      <c r="BK252" s="15"/>
      <c r="BM252" s="13"/>
      <c r="BN252" s="14"/>
      <c r="BO252" s="15"/>
      <c r="BQ252" s="13"/>
      <c r="BR252" s="14"/>
      <c r="BS252" s="15"/>
      <c r="BU252" s="13"/>
      <c r="BV252" s="14"/>
      <c r="BW252" s="15"/>
      <c r="BY252" s="13"/>
      <c r="BZ252" s="14"/>
      <c r="CA252" s="15"/>
      <c r="CC252" s="13"/>
      <c r="CD252" s="14"/>
      <c r="CE252" s="15"/>
      <c r="CG252" s="13"/>
      <c r="CH252" s="14"/>
      <c r="CI252" s="15"/>
      <c r="CK252" s="13"/>
      <c r="CL252" s="14"/>
      <c r="CM252" s="15"/>
      <c r="CO252" s="13"/>
      <c r="CP252" s="14"/>
      <c r="CQ252" s="15"/>
      <c r="CS252" s="13"/>
      <c r="CT252" s="14"/>
      <c r="CU252" s="15"/>
    </row>
    <row r="253" spans="18:99">
      <c r="R253" s="508"/>
      <c r="S253" s="506"/>
      <c r="T253" s="507">
        <f t="shared" ca="1" si="57"/>
        <v>0</v>
      </c>
      <c r="U253" s="507">
        <f t="shared" ca="1" si="58"/>
        <v>0</v>
      </c>
      <c r="V253" s="507">
        <f t="shared" ca="1" si="59"/>
        <v>0</v>
      </c>
      <c r="W253" s="507">
        <f t="shared" ca="1" si="60"/>
        <v>0</v>
      </c>
      <c r="X253" s="507">
        <f t="shared" ca="1" si="61"/>
        <v>0</v>
      </c>
      <c r="Y253" s="507">
        <f t="shared" ca="1" si="62"/>
        <v>0</v>
      </c>
      <c r="Z253" s="507">
        <f t="shared" ca="1" si="63"/>
        <v>0</v>
      </c>
      <c r="AA253" s="507">
        <f t="shared" ca="1" si="64"/>
        <v>0</v>
      </c>
      <c r="AB253" s="507">
        <f t="shared" ca="1" si="65"/>
        <v>0</v>
      </c>
      <c r="AC253" s="507">
        <f t="shared" ca="1" si="66"/>
        <v>0</v>
      </c>
      <c r="AD253" s="507">
        <f t="shared" ca="1" si="67"/>
        <v>0</v>
      </c>
      <c r="AE253" s="507">
        <f t="shared" ca="1" si="68"/>
        <v>0</v>
      </c>
      <c r="AF253" s="11">
        <f t="shared" ca="1" si="56"/>
        <v>0</v>
      </c>
      <c r="AI253" s="4">
        <v>530</v>
      </c>
      <c r="AJ253" s="5" t="s">
        <v>757</v>
      </c>
      <c r="AK253" s="5" t="s">
        <v>752</v>
      </c>
      <c r="AL253" s="5" t="s">
        <v>758</v>
      </c>
      <c r="AM253" s="5" t="s">
        <v>759</v>
      </c>
      <c r="AN253" s="5" t="s">
        <v>18</v>
      </c>
      <c r="AO253" s="5" t="s">
        <v>16</v>
      </c>
      <c r="AP253" s="5" t="s">
        <v>481</v>
      </c>
      <c r="AQ253" s="5" t="s">
        <v>561</v>
      </c>
      <c r="AR253" s="5" t="s">
        <v>18</v>
      </c>
      <c r="AS253" s="6" t="s">
        <v>0</v>
      </c>
      <c r="AU253" s="5"/>
      <c r="AV253" s="5"/>
      <c r="AW253" s="5"/>
      <c r="AX253" s="5"/>
      <c r="AY253" s="5"/>
      <c r="BA253" s="13"/>
      <c r="BB253" s="14"/>
      <c r="BC253" s="15"/>
      <c r="BE253" s="13"/>
      <c r="BF253" s="14"/>
      <c r="BG253" s="15"/>
      <c r="BI253" s="13"/>
      <c r="BJ253" s="14"/>
      <c r="BK253" s="15"/>
      <c r="BM253" s="13"/>
      <c r="BN253" s="14"/>
      <c r="BO253" s="15"/>
      <c r="BQ253" s="13"/>
      <c r="BR253" s="14"/>
      <c r="BS253" s="15"/>
      <c r="BU253" s="13"/>
      <c r="BV253" s="14"/>
      <c r="BW253" s="15"/>
      <c r="BY253" s="13"/>
      <c r="BZ253" s="14"/>
      <c r="CA253" s="15"/>
      <c r="CC253" s="13"/>
      <c r="CD253" s="14"/>
      <c r="CE253" s="15"/>
      <c r="CG253" s="13"/>
      <c r="CH253" s="14"/>
      <c r="CI253" s="15"/>
      <c r="CK253" s="13"/>
      <c r="CL253" s="14"/>
      <c r="CM253" s="15"/>
      <c r="CO253" s="13"/>
      <c r="CP253" s="14"/>
      <c r="CQ253" s="15"/>
      <c r="CS253" s="13"/>
      <c r="CT253" s="14"/>
      <c r="CU253" s="15"/>
    </row>
    <row r="254" spans="18:99">
      <c r="R254" s="508"/>
      <c r="S254" s="506"/>
      <c r="T254" s="507">
        <f t="shared" ca="1" si="57"/>
        <v>0</v>
      </c>
      <c r="U254" s="507">
        <f t="shared" ca="1" si="58"/>
        <v>0</v>
      </c>
      <c r="V254" s="507">
        <f t="shared" ca="1" si="59"/>
        <v>0</v>
      </c>
      <c r="W254" s="507">
        <f t="shared" ca="1" si="60"/>
        <v>0</v>
      </c>
      <c r="X254" s="507">
        <f t="shared" ca="1" si="61"/>
        <v>0</v>
      </c>
      <c r="Y254" s="507">
        <f t="shared" ca="1" si="62"/>
        <v>0</v>
      </c>
      <c r="Z254" s="507">
        <f t="shared" ca="1" si="63"/>
        <v>0</v>
      </c>
      <c r="AA254" s="507">
        <f t="shared" ca="1" si="64"/>
        <v>0</v>
      </c>
      <c r="AB254" s="507">
        <f t="shared" ca="1" si="65"/>
        <v>0</v>
      </c>
      <c r="AC254" s="507">
        <f t="shared" ca="1" si="66"/>
        <v>0</v>
      </c>
      <c r="AD254" s="507">
        <f t="shared" ca="1" si="67"/>
        <v>0</v>
      </c>
      <c r="AE254" s="507">
        <f t="shared" ca="1" si="68"/>
        <v>0</v>
      </c>
      <c r="AF254" s="11">
        <f t="shared" ca="1" si="56"/>
        <v>0</v>
      </c>
      <c r="AI254" s="4">
        <v>532</v>
      </c>
      <c r="AJ254" s="5" t="s">
        <v>760</v>
      </c>
      <c r="AK254" s="5" t="s">
        <v>752</v>
      </c>
      <c r="AL254" s="5" t="s">
        <v>761</v>
      </c>
      <c r="AM254" s="5" t="s">
        <v>762</v>
      </c>
      <c r="AN254" s="5" t="s">
        <v>18</v>
      </c>
      <c r="AO254" s="5" t="s">
        <v>16</v>
      </c>
      <c r="AP254" s="5" t="s">
        <v>481</v>
      </c>
      <c r="AQ254" s="5" t="s">
        <v>561</v>
      </c>
      <c r="AR254" s="5" t="s">
        <v>18</v>
      </c>
      <c r="AS254" s="6"/>
      <c r="AU254" s="5"/>
      <c r="AV254" s="5"/>
      <c r="AW254" s="5"/>
      <c r="AX254" s="5"/>
      <c r="AY254" s="5"/>
      <c r="BA254" s="13"/>
      <c r="BB254" s="14"/>
      <c r="BC254" s="15"/>
      <c r="BE254" s="13"/>
      <c r="BF254" s="14"/>
      <c r="BG254" s="15"/>
      <c r="BI254" s="13"/>
      <c r="BJ254" s="14"/>
      <c r="BK254" s="15"/>
      <c r="BM254" s="13"/>
      <c r="BN254" s="14"/>
      <c r="BO254" s="15"/>
      <c r="BQ254" s="13"/>
      <c r="BR254" s="14"/>
      <c r="BS254" s="15"/>
      <c r="BU254" s="13"/>
      <c r="BV254" s="14"/>
      <c r="BW254" s="15"/>
      <c r="BY254" s="13"/>
      <c r="BZ254" s="14"/>
      <c r="CA254" s="15"/>
      <c r="CC254" s="13"/>
      <c r="CD254" s="14"/>
      <c r="CE254" s="15"/>
      <c r="CG254" s="13"/>
      <c r="CH254" s="14"/>
      <c r="CI254" s="15"/>
      <c r="CK254" s="13"/>
      <c r="CL254" s="14"/>
      <c r="CM254" s="15"/>
      <c r="CO254" s="13"/>
      <c r="CP254" s="14"/>
      <c r="CQ254" s="15"/>
      <c r="CS254" s="13"/>
      <c r="CT254" s="14"/>
      <c r="CU254" s="15"/>
    </row>
    <row r="255" spans="18:99">
      <c r="R255" s="508"/>
      <c r="S255" s="506"/>
      <c r="T255" s="507">
        <f t="shared" ca="1" si="57"/>
        <v>0</v>
      </c>
      <c r="U255" s="507">
        <f t="shared" ca="1" si="58"/>
        <v>0</v>
      </c>
      <c r="V255" s="507">
        <f t="shared" ca="1" si="59"/>
        <v>0</v>
      </c>
      <c r="W255" s="507">
        <f t="shared" ca="1" si="60"/>
        <v>0</v>
      </c>
      <c r="X255" s="507">
        <f t="shared" ca="1" si="61"/>
        <v>0</v>
      </c>
      <c r="Y255" s="507">
        <f t="shared" ca="1" si="62"/>
        <v>0</v>
      </c>
      <c r="Z255" s="507">
        <f t="shared" ca="1" si="63"/>
        <v>0</v>
      </c>
      <c r="AA255" s="507">
        <f t="shared" ca="1" si="64"/>
        <v>0</v>
      </c>
      <c r="AB255" s="507">
        <f t="shared" ca="1" si="65"/>
        <v>0</v>
      </c>
      <c r="AC255" s="507">
        <f t="shared" ca="1" si="66"/>
        <v>0</v>
      </c>
      <c r="AD255" s="507">
        <f t="shared" ca="1" si="67"/>
        <v>0</v>
      </c>
      <c r="AE255" s="507">
        <f t="shared" ca="1" si="68"/>
        <v>0</v>
      </c>
      <c r="AF255" s="11">
        <f t="shared" ca="1" si="56"/>
        <v>0</v>
      </c>
      <c r="AI255" s="4">
        <v>534</v>
      </c>
      <c r="AJ255" s="5" t="s">
        <v>763</v>
      </c>
      <c r="AK255" s="5" t="s">
        <v>752</v>
      </c>
      <c r="AL255" s="5" t="s">
        <v>764</v>
      </c>
      <c r="AM255" s="5" t="s">
        <v>765</v>
      </c>
      <c r="AN255" s="5" t="s">
        <v>18</v>
      </c>
      <c r="AO255" s="5" t="s">
        <v>16</v>
      </c>
      <c r="AP255" s="5" t="s">
        <v>481</v>
      </c>
      <c r="AQ255" s="5" t="s">
        <v>561</v>
      </c>
      <c r="AR255" s="5" t="s">
        <v>18</v>
      </c>
      <c r="AS255" s="6" t="s">
        <v>0</v>
      </c>
      <c r="AU255" s="5"/>
      <c r="AV255" s="5"/>
      <c r="AW255" s="5"/>
      <c r="AX255" s="5"/>
      <c r="AY255" s="5"/>
      <c r="BA255" s="13"/>
      <c r="BB255" s="14"/>
      <c r="BC255" s="15"/>
      <c r="BE255" s="13"/>
      <c r="BF255" s="14"/>
      <c r="BG255" s="15"/>
      <c r="BI255" s="13"/>
      <c r="BJ255" s="14"/>
      <c r="BK255" s="15"/>
      <c r="BM255" s="13"/>
      <c r="BN255" s="14"/>
      <c r="BO255" s="15"/>
      <c r="BQ255" s="13"/>
      <c r="BR255" s="14"/>
      <c r="BS255" s="15"/>
      <c r="BU255" s="13"/>
      <c r="BV255" s="14"/>
      <c r="BW255" s="15"/>
      <c r="BY255" s="13"/>
      <c r="BZ255" s="14"/>
      <c r="CA255" s="15"/>
      <c r="CC255" s="13"/>
      <c r="CD255" s="14"/>
      <c r="CE255" s="15"/>
      <c r="CG255" s="13"/>
      <c r="CH255" s="14"/>
      <c r="CI255" s="15"/>
      <c r="CK255" s="13"/>
      <c r="CL255" s="14"/>
      <c r="CM255" s="15"/>
      <c r="CO255" s="13"/>
      <c r="CP255" s="14"/>
      <c r="CQ255" s="15"/>
      <c r="CS255" s="13"/>
      <c r="CT255" s="14"/>
      <c r="CU255" s="15"/>
    </row>
    <row r="256" spans="18:99">
      <c r="R256" s="508"/>
      <c r="S256" s="506"/>
      <c r="T256" s="507">
        <f t="shared" ca="1" si="57"/>
        <v>0</v>
      </c>
      <c r="U256" s="507">
        <f t="shared" ca="1" si="58"/>
        <v>0</v>
      </c>
      <c r="V256" s="507">
        <f t="shared" ca="1" si="59"/>
        <v>0</v>
      </c>
      <c r="W256" s="507">
        <f t="shared" ca="1" si="60"/>
        <v>0</v>
      </c>
      <c r="X256" s="507">
        <f t="shared" ca="1" si="61"/>
        <v>0</v>
      </c>
      <c r="Y256" s="507">
        <f t="shared" ca="1" si="62"/>
        <v>0</v>
      </c>
      <c r="Z256" s="507">
        <f t="shared" ca="1" si="63"/>
        <v>0</v>
      </c>
      <c r="AA256" s="507">
        <f t="shared" ca="1" si="64"/>
        <v>0</v>
      </c>
      <c r="AB256" s="507">
        <f t="shared" ca="1" si="65"/>
        <v>0</v>
      </c>
      <c r="AC256" s="507">
        <f t="shared" ca="1" si="66"/>
        <v>0</v>
      </c>
      <c r="AD256" s="507">
        <f t="shared" ca="1" si="67"/>
        <v>0</v>
      </c>
      <c r="AE256" s="507">
        <f t="shared" ca="1" si="68"/>
        <v>0</v>
      </c>
      <c r="AF256" s="11">
        <f t="shared" ca="1" si="56"/>
        <v>0</v>
      </c>
      <c r="AI256" s="4">
        <v>536</v>
      </c>
      <c r="AJ256" s="5" t="s">
        <v>766</v>
      </c>
      <c r="AK256" s="5" t="s">
        <v>752</v>
      </c>
      <c r="AL256" s="5" t="s">
        <v>767</v>
      </c>
      <c r="AM256" s="5" t="s">
        <v>768</v>
      </c>
      <c r="AN256" s="5" t="s">
        <v>18</v>
      </c>
      <c r="AO256" s="5" t="s">
        <v>16</v>
      </c>
      <c r="AP256" s="5" t="s">
        <v>481</v>
      </c>
      <c r="AQ256" s="5" t="s">
        <v>561</v>
      </c>
      <c r="AR256" s="5" t="s">
        <v>18</v>
      </c>
      <c r="AS256" s="6"/>
      <c r="AU256" s="5"/>
      <c r="AV256" s="5"/>
      <c r="AW256" s="5"/>
      <c r="AX256" s="5"/>
      <c r="AY256" s="5"/>
      <c r="BA256" s="13"/>
      <c r="BB256" s="14"/>
      <c r="BC256" s="15"/>
      <c r="BE256" s="13"/>
      <c r="BF256" s="14"/>
      <c r="BG256" s="15"/>
      <c r="BI256" s="13"/>
      <c r="BJ256" s="14"/>
      <c r="BK256" s="15"/>
      <c r="BM256" s="13"/>
      <c r="BN256" s="14"/>
      <c r="BO256" s="15"/>
      <c r="BQ256" s="13"/>
      <c r="BR256" s="14"/>
      <c r="BS256" s="15"/>
      <c r="BU256" s="13"/>
      <c r="BV256" s="14"/>
      <c r="BW256" s="15"/>
      <c r="BY256" s="13"/>
      <c r="BZ256" s="14"/>
      <c r="CA256" s="15"/>
      <c r="CC256" s="13"/>
      <c r="CD256" s="14"/>
      <c r="CE256" s="15"/>
      <c r="CG256" s="13"/>
      <c r="CH256" s="14"/>
      <c r="CI256" s="15"/>
      <c r="CK256" s="13"/>
      <c r="CL256" s="14"/>
      <c r="CM256" s="15"/>
      <c r="CO256" s="13"/>
      <c r="CP256" s="14"/>
      <c r="CQ256" s="15"/>
      <c r="CS256" s="13"/>
      <c r="CT256" s="14"/>
      <c r="CU256" s="15"/>
    </row>
    <row r="257" spans="18:99">
      <c r="R257" s="508"/>
      <c r="S257" s="506"/>
      <c r="T257" s="507">
        <f t="shared" ca="1" si="57"/>
        <v>0</v>
      </c>
      <c r="U257" s="507">
        <f t="shared" ca="1" si="58"/>
        <v>0</v>
      </c>
      <c r="V257" s="507">
        <f t="shared" ca="1" si="59"/>
        <v>0</v>
      </c>
      <c r="W257" s="507">
        <f t="shared" ca="1" si="60"/>
        <v>0</v>
      </c>
      <c r="X257" s="507">
        <f t="shared" ca="1" si="61"/>
        <v>0</v>
      </c>
      <c r="Y257" s="507">
        <f t="shared" ca="1" si="62"/>
        <v>0</v>
      </c>
      <c r="Z257" s="507">
        <f t="shared" ca="1" si="63"/>
        <v>0</v>
      </c>
      <c r="AA257" s="507">
        <f t="shared" ca="1" si="64"/>
        <v>0</v>
      </c>
      <c r="AB257" s="507">
        <f t="shared" ca="1" si="65"/>
        <v>0</v>
      </c>
      <c r="AC257" s="507">
        <f t="shared" ca="1" si="66"/>
        <v>0</v>
      </c>
      <c r="AD257" s="507">
        <f t="shared" ca="1" si="67"/>
        <v>0</v>
      </c>
      <c r="AE257" s="507">
        <f t="shared" ca="1" si="68"/>
        <v>0</v>
      </c>
      <c r="AF257" s="11">
        <f t="shared" ca="1" si="56"/>
        <v>0</v>
      </c>
      <c r="AI257" s="4">
        <v>538</v>
      </c>
      <c r="AJ257" s="5" t="s">
        <v>769</v>
      </c>
      <c r="AK257" s="5" t="s">
        <v>752</v>
      </c>
      <c r="AL257" s="5" t="s">
        <v>770</v>
      </c>
      <c r="AM257" s="5" t="s">
        <v>771</v>
      </c>
      <c r="AN257" s="5" t="s">
        <v>18</v>
      </c>
      <c r="AO257" s="5" t="s">
        <v>16</v>
      </c>
      <c r="AP257" s="5" t="s">
        <v>481</v>
      </c>
      <c r="AQ257" s="5" t="s">
        <v>561</v>
      </c>
      <c r="AR257" s="5" t="s">
        <v>18</v>
      </c>
      <c r="AS257" s="6"/>
      <c r="AU257" s="5"/>
      <c r="AV257" s="5"/>
      <c r="AW257" s="5"/>
      <c r="AX257" s="5"/>
      <c r="AY257" s="5"/>
      <c r="BA257" s="13"/>
      <c r="BB257" s="14"/>
      <c r="BC257" s="15"/>
      <c r="BE257" s="13"/>
      <c r="BF257" s="14"/>
      <c r="BG257" s="15"/>
      <c r="BI257" s="13"/>
      <c r="BJ257" s="14"/>
      <c r="BK257" s="15"/>
      <c r="BM257" s="13"/>
      <c r="BN257" s="14"/>
      <c r="BO257" s="15"/>
      <c r="BQ257" s="13"/>
      <c r="BR257" s="14"/>
      <c r="BS257" s="15"/>
      <c r="BU257" s="13"/>
      <c r="BV257" s="14"/>
      <c r="BW257" s="15"/>
      <c r="BY257" s="13"/>
      <c r="BZ257" s="14"/>
      <c r="CA257" s="15"/>
      <c r="CC257" s="13"/>
      <c r="CD257" s="14"/>
      <c r="CE257" s="15"/>
      <c r="CG257" s="13"/>
      <c r="CH257" s="14"/>
      <c r="CI257" s="15"/>
      <c r="CK257" s="13"/>
      <c r="CL257" s="14"/>
      <c r="CM257" s="15"/>
      <c r="CO257" s="13"/>
      <c r="CP257" s="14"/>
      <c r="CQ257" s="15"/>
      <c r="CS257" s="13"/>
      <c r="CT257" s="14"/>
      <c r="CU257" s="15"/>
    </row>
    <row r="258" spans="18:99">
      <c r="R258" s="508"/>
      <c r="S258" s="506"/>
      <c r="T258" s="507">
        <f t="shared" ca="1" si="57"/>
        <v>0</v>
      </c>
      <c r="U258" s="507">
        <f t="shared" ca="1" si="58"/>
        <v>0</v>
      </c>
      <c r="V258" s="507">
        <f t="shared" ca="1" si="59"/>
        <v>0</v>
      </c>
      <c r="W258" s="507">
        <f t="shared" ca="1" si="60"/>
        <v>0</v>
      </c>
      <c r="X258" s="507">
        <f t="shared" ca="1" si="61"/>
        <v>0</v>
      </c>
      <c r="Y258" s="507">
        <f t="shared" ca="1" si="62"/>
        <v>0</v>
      </c>
      <c r="Z258" s="507">
        <f t="shared" ca="1" si="63"/>
        <v>0</v>
      </c>
      <c r="AA258" s="507">
        <f t="shared" ca="1" si="64"/>
        <v>0</v>
      </c>
      <c r="AB258" s="507">
        <f t="shared" ca="1" si="65"/>
        <v>0</v>
      </c>
      <c r="AC258" s="507">
        <f t="shared" ca="1" si="66"/>
        <v>0</v>
      </c>
      <c r="AD258" s="507">
        <f t="shared" ca="1" si="67"/>
        <v>0</v>
      </c>
      <c r="AE258" s="507">
        <f t="shared" ca="1" si="68"/>
        <v>0</v>
      </c>
      <c r="AF258" s="11">
        <f t="shared" ca="1" si="56"/>
        <v>0</v>
      </c>
      <c r="AI258" s="4">
        <v>540</v>
      </c>
      <c r="AJ258" s="5" t="s">
        <v>772</v>
      </c>
      <c r="AK258" s="5" t="s">
        <v>752</v>
      </c>
      <c r="AL258" s="5" t="s">
        <v>773</v>
      </c>
      <c r="AM258" s="5" t="s">
        <v>774</v>
      </c>
      <c r="AN258" s="5" t="s">
        <v>18</v>
      </c>
      <c r="AO258" s="5" t="s">
        <v>16</v>
      </c>
      <c r="AP258" s="5" t="s">
        <v>481</v>
      </c>
      <c r="AQ258" s="5" t="s">
        <v>561</v>
      </c>
      <c r="AR258" s="5" t="s">
        <v>18</v>
      </c>
      <c r="AS258" s="6"/>
      <c r="AU258" s="5"/>
      <c r="AV258" s="5"/>
      <c r="AW258" s="5"/>
      <c r="AX258" s="5"/>
      <c r="AY258" s="5"/>
      <c r="BA258" s="13"/>
      <c r="BB258" s="14"/>
      <c r="BC258" s="15"/>
      <c r="BE258" s="13"/>
      <c r="BF258" s="14"/>
      <c r="BG258" s="15"/>
      <c r="BI258" s="13"/>
      <c r="BJ258" s="14"/>
      <c r="BK258" s="15"/>
      <c r="BM258" s="13"/>
      <c r="BN258" s="14"/>
      <c r="BO258" s="15"/>
      <c r="BQ258" s="13"/>
      <c r="BR258" s="14"/>
      <c r="BS258" s="15"/>
      <c r="BU258" s="13"/>
      <c r="BV258" s="14"/>
      <c r="BW258" s="15"/>
      <c r="BY258" s="13"/>
      <c r="BZ258" s="14"/>
      <c r="CA258" s="15"/>
      <c r="CC258" s="13"/>
      <c r="CD258" s="14"/>
      <c r="CE258" s="15"/>
      <c r="CG258" s="13"/>
      <c r="CH258" s="14"/>
      <c r="CI258" s="15"/>
      <c r="CK258" s="13"/>
      <c r="CL258" s="14"/>
      <c r="CM258" s="15"/>
      <c r="CO258" s="13"/>
      <c r="CP258" s="14"/>
      <c r="CQ258" s="15"/>
      <c r="CS258" s="13"/>
      <c r="CT258" s="14"/>
      <c r="CU258" s="15"/>
    </row>
    <row r="259" spans="18:99">
      <c r="R259" s="508"/>
      <c r="S259" s="506"/>
      <c r="T259" s="507">
        <f t="shared" ca="1" si="57"/>
        <v>0</v>
      </c>
      <c r="U259" s="507">
        <f t="shared" ca="1" si="58"/>
        <v>0</v>
      </c>
      <c r="V259" s="507">
        <f t="shared" ca="1" si="59"/>
        <v>0</v>
      </c>
      <c r="W259" s="507">
        <f t="shared" ca="1" si="60"/>
        <v>0</v>
      </c>
      <c r="X259" s="507">
        <f t="shared" ca="1" si="61"/>
        <v>0</v>
      </c>
      <c r="Y259" s="507">
        <f t="shared" ca="1" si="62"/>
        <v>0</v>
      </c>
      <c r="Z259" s="507">
        <f t="shared" ca="1" si="63"/>
        <v>0</v>
      </c>
      <c r="AA259" s="507">
        <f t="shared" ca="1" si="64"/>
        <v>0</v>
      </c>
      <c r="AB259" s="507">
        <f t="shared" ca="1" si="65"/>
        <v>0</v>
      </c>
      <c r="AC259" s="507">
        <f t="shared" ca="1" si="66"/>
        <v>0</v>
      </c>
      <c r="AD259" s="507">
        <f t="shared" ca="1" si="67"/>
        <v>0</v>
      </c>
      <c r="AE259" s="507">
        <f t="shared" ca="1" si="68"/>
        <v>0</v>
      </c>
      <c r="AF259" s="11">
        <f t="shared" ca="1" si="56"/>
        <v>0</v>
      </c>
      <c r="AI259" s="4">
        <v>542</v>
      </c>
      <c r="AJ259" s="5" t="s">
        <v>775</v>
      </c>
      <c r="AK259" s="5" t="s">
        <v>752</v>
      </c>
      <c r="AL259" s="5" t="s">
        <v>776</v>
      </c>
      <c r="AM259" s="5" t="s">
        <v>777</v>
      </c>
      <c r="AN259" s="5" t="s">
        <v>18</v>
      </c>
      <c r="AO259" s="5" t="s">
        <v>16</v>
      </c>
      <c r="AP259" s="5" t="s">
        <v>481</v>
      </c>
      <c r="AQ259" s="5" t="s">
        <v>561</v>
      </c>
      <c r="AR259" s="5" t="s">
        <v>18</v>
      </c>
      <c r="AS259" s="6"/>
      <c r="AU259" s="5"/>
      <c r="AV259" s="5"/>
      <c r="AW259" s="5"/>
      <c r="AX259" s="5"/>
      <c r="AY259" s="5"/>
      <c r="BA259" s="13"/>
      <c r="BB259" s="14"/>
      <c r="BC259" s="15"/>
      <c r="BE259" s="13"/>
      <c r="BF259" s="14"/>
      <c r="BG259" s="15"/>
      <c r="BI259" s="13"/>
      <c r="BJ259" s="14"/>
      <c r="BK259" s="15"/>
      <c r="BM259" s="13"/>
      <c r="BN259" s="14"/>
      <c r="BO259" s="15"/>
      <c r="BQ259" s="13"/>
      <c r="BR259" s="14"/>
      <c r="BS259" s="15"/>
      <c r="BU259" s="13"/>
      <c r="BV259" s="14"/>
      <c r="BW259" s="15"/>
      <c r="BY259" s="13"/>
      <c r="BZ259" s="14"/>
      <c r="CA259" s="15"/>
      <c r="CC259" s="13"/>
      <c r="CD259" s="14"/>
      <c r="CE259" s="15"/>
      <c r="CG259" s="13"/>
      <c r="CH259" s="14"/>
      <c r="CI259" s="15"/>
      <c r="CK259" s="13"/>
      <c r="CL259" s="14"/>
      <c r="CM259" s="15"/>
      <c r="CO259" s="13"/>
      <c r="CP259" s="14"/>
      <c r="CQ259" s="15"/>
      <c r="CS259" s="13"/>
      <c r="CT259" s="14"/>
      <c r="CU259" s="15"/>
    </row>
    <row r="260" spans="18:99">
      <c r="R260" s="508"/>
      <c r="S260" s="506"/>
      <c r="T260" s="507">
        <f t="shared" ca="1" si="57"/>
        <v>0</v>
      </c>
      <c r="U260" s="507">
        <f t="shared" ca="1" si="58"/>
        <v>0</v>
      </c>
      <c r="V260" s="507">
        <f t="shared" ca="1" si="59"/>
        <v>0</v>
      </c>
      <c r="W260" s="507">
        <f t="shared" ca="1" si="60"/>
        <v>0</v>
      </c>
      <c r="X260" s="507">
        <f t="shared" ca="1" si="61"/>
        <v>0</v>
      </c>
      <c r="Y260" s="507">
        <f t="shared" ca="1" si="62"/>
        <v>0</v>
      </c>
      <c r="Z260" s="507">
        <f t="shared" ca="1" si="63"/>
        <v>0</v>
      </c>
      <c r="AA260" s="507">
        <f t="shared" ca="1" si="64"/>
        <v>0</v>
      </c>
      <c r="AB260" s="507">
        <f t="shared" ca="1" si="65"/>
        <v>0</v>
      </c>
      <c r="AC260" s="507">
        <f t="shared" ca="1" si="66"/>
        <v>0</v>
      </c>
      <c r="AD260" s="507">
        <f t="shared" ca="1" si="67"/>
        <v>0</v>
      </c>
      <c r="AE260" s="507">
        <f t="shared" ca="1" si="68"/>
        <v>0</v>
      </c>
      <c r="AF260" s="11">
        <f t="shared" ca="1" si="56"/>
        <v>0</v>
      </c>
      <c r="AI260" s="4">
        <v>544</v>
      </c>
      <c r="AJ260" s="5" t="s">
        <v>778</v>
      </c>
      <c r="AK260" s="5" t="s">
        <v>752</v>
      </c>
      <c r="AL260" s="5" t="s">
        <v>779</v>
      </c>
      <c r="AM260" s="5" t="s">
        <v>780</v>
      </c>
      <c r="AN260" s="5" t="s">
        <v>18</v>
      </c>
      <c r="AO260" s="5" t="s">
        <v>16</v>
      </c>
      <c r="AP260" s="5" t="s">
        <v>481</v>
      </c>
      <c r="AQ260" s="5" t="s">
        <v>561</v>
      </c>
      <c r="AR260" s="5" t="s">
        <v>18</v>
      </c>
      <c r="AS260" s="6"/>
      <c r="AU260" s="5"/>
      <c r="AV260" s="5"/>
      <c r="AW260" s="5"/>
      <c r="AX260" s="5"/>
      <c r="AY260" s="5"/>
      <c r="BA260" s="13"/>
      <c r="BB260" s="14"/>
      <c r="BC260" s="15"/>
      <c r="BE260" s="13"/>
      <c r="BF260" s="14"/>
      <c r="BG260" s="15"/>
      <c r="BI260" s="13"/>
      <c r="BJ260" s="14"/>
      <c r="BK260" s="15"/>
      <c r="BM260" s="13"/>
      <c r="BN260" s="14"/>
      <c r="BO260" s="15"/>
      <c r="BQ260" s="13"/>
      <c r="BR260" s="14"/>
      <c r="BS260" s="15"/>
      <c r="BU260" s="13"/>
      <c r="BV260" s="14"/>
      <c r="BW260" s="15"/>
      <c r="BY260" s="13"/>
      <c r="BZ260" s="14"/>
      <c r="CA260" s="15"/>
      <c r="CC260" s="13"/>
      <c r="CD260" s="14"/>
      <c r="CE260" s="15"/>
      <c r="CG260" s="13"/>
      <c r="CH260" s="14"/>
      <c r="CI260" s="15"/>
      <c r="CK260" s="13"/>
      <c r="CL260" s="14"/>
      <c r="CM260" s="15"/>
      <c r="CO260" s="13"/>
      <c r="CP260" s="14"/>
      <c r="CQ260" s="15"/>
      <c r="CS260" s="13"/>
      <c r="CT260" s="14"/>
      <c r="CU260" s="15"/>
    </row>
    <row r="261" spans="18:99">
      <c r="R261" s="508"/>
      <c r="S261" s="506"/>
      <c r="T261" s="507">
        <f t="shared" ca="1" si="57"/>
        <v>0</v>
      </c>
      <c r="U261" s="507">
        <f t="shared" ca="1" si="58"/>
        <v>0</v>
      </c>
      <c r="V261" s="507">
        <f t="shared" ca="1" si="59"/>
        <v>0</v>
      </c>
      <c r="W261" s="507">
        <f t="shared" ca="1" si="60"/>
        <v>0</v>
      </c>
      <c r="X261" s="507">
        <f t="shared" ca="1" si="61"/>
        <v>0</v>
      </c>
      <c r="Y261" s="507">
        <f t="shared" ca="1" si="62"/>
        <v>0</v>
      </c>
      <c r="Z261" s="507">
        <f t="shared" ca="1" si="63"/>
        <v>0</v>
      </c>
      <c r="AA261" s="507">
        <f t="shared" ca="1" si="64"/>
        <v>0</v>
      </c>
      <c r="AB261" s="507">
        <f t="shared" ca="1" si="65"/>
        <v>0</v>
      </c>
      <c r="AC261" s="507">
        <f t="shared" ca="1" si="66"/>
        <v>0</v>
      </c>
      <c r="AD261" s="507">
        <f t="shared" ca="1" si="67"/>
        <v>0</v>
      </c>
      <c r="AE261" s="507">
        <f t="shared" ca="1" si="68"/>
        <v>0</v>
      </c>
      <c r="AF261" s="11">
        <f t="shared" ca="1" si="56"/>
        <v>0</v>
      </c>
      <c r="AI261" s="4">
        <v>546</v>
      </c>
      <c r="AJ261" s="5" t="s">
        <v>783</v>
      </c>
      <c r="AK261" s="5" t="s">
        <v>781</v>
      </c>
      <c r="AL261" s="5" t="s">
        <v>784</v>
      </c>
      <c r="AM261" s="5" t="s">
        <v>785</v>
      </c>
      <c r="AN261" s="5" t="s">
        <v>18</v>
      </c>
      <c r="AO261" s="5" t="s">
        <v>16</v>
      </c>
      <c r="AP261" s="5" t="s">
        <v>481</v>
      </c>
      <c r="AQ261" s="5" t="s">
        <v>561</v>
      </c>
      <c r="AR261" s="5" t="s">
        <v>18</v>
      </c>
      <c r="AS261" s="6"/>
      <c r="AU261" s="5"/>
      <c r="AV261" s="5"/>
      <c r="AW261" s="5"/>
      <c r="AX261" s="5"/>
      <c r="AY261" s="5"/>
      <c r="BA261" s="13"/>
      <c r="BB261" s="14"/>
      <c r="BC261" s="15"/>
      <c r="BE261" s="13"/>
      <c r="BF261" s="14"/>
      <c r="BG261" s="15"/>
      <c r="BI261" s="13"/>
      <c r="BJ261" s="14"/>
      <c r="BK261" s="15"/>
      <c r="BM261" s="13"/>
      <c r="BN261" s="14"/>
      <c r="BO261" s="15"/>
      <c r="BQ261" s="13"/>
      <c r="BR261" s="14"/>
      <c r="BS261" s="15"/>
      <c r="BU261" s="13"/>
      <c r="BV261" s="14"/>
      <c r="BW261" s="15"/>
      <c r="BY261" s="13"/>
      <c r="BZ261" s="14"/>
      <c r="CA261" s="15"/>
      <c r="CC261" s="13"/>
      <c r="CD261" s="14"/>
      <c r="CE261" s="15"/>
      <c r="CG261" s="13"/>
      <c r="CH261" s="14"/>
      <c r="CI261" s="15"/>
      <c r="CK261" s="13"/>
      <c r="CL261" s="14"/>
      <c r="CM261" s="15"/>
      <c r="CO261" s="13"/>
      <c r="CP261" s="14"/>
      <c r="CQ261" s="15"/>
      <c r="CS261" s="13"/>
      <c r="CT261" s="14"/>
      <c r="CU261" s="15"/>
    </row>
    <row r="262" spans="18:99">
      <c r="R262" s="508"/>
      <c r="S262" s="506"/>
      <c r="T262" s="507">
        <f t="shared" ca="1" si="57"/>
        <v>0</v>
      </c>
      <c r="U262" s="507">
        <f t="shared" ca="1" si="58"/>
        <v>0</v>
      </c>
      <c r="V262" s="507">
        <f t="shared" ca="1" si="59"/>
        <v>0</v>
      </c>
      <c r="W262" s="507">
        <f t="shared" ca="1" si="60"/>
        <v>0</v>
      </c>
      <c r="X262" s="507">
        <f t="shared" ca="1" si="61"/>
        <v>0</v>
      </c>
      <c r="Y262" s="507">
        <f t="shared" ca="1" si="62"/>
        <v>0</v>
      </c>
      <c r="Z262" s="507">
        <f t="shared" ca="1" si="63"/>
        <v>0</v>
      </c>
      <c r="AA262" s="507">
        <f t="shared" ca="1" si="64"/>
        <v>0</v>
      </c>
      <c r="AB262" s="507">
        <f t="shared" ca="1" si="65"/>
        <v>0</v>
      </c>
      <c r="AC262" s="507">
        <f t="shared" ca="1" si="66"/>
        <v>0</v>
      </c>
      <c r="AD262" s="507">
        <f t="shared" ca="1" si="67"/>
        <v>0</v>
      </c>
      <c r="AE262" s="507">
        <f t="shared" ca="1" si="68"/>
        <v>0</v>
      </c>
      <c r="AF262" s="11">
        <f t="shared" ca="1" si="56"/>
        <v>0</v>
      </c>
      <c r="AI262" s="4">
        <v>548</v>
      </c>
      <c r="AJ262" s="5" t="s">
        <v>786</v>
      </c>
      <c r="AK262" s="5" t="s">
        <v>781</v>
      </c>
      <c r="AL262" s="5" t="s">
        <v>787</v>
      </c>
      <c r="AM262" s="5" t="s">
        <v>788</v>
      </c>
      <c r="AN262" s="5" t="s">
        <v>18</v>
      </c>
      <c r="AO262" s="5" t="s">
        <v>16</v>
      </c>
      <c r="AP262" s="5" t="s">
        <v>481</v>
      </c>
      <c r="AQ262" s="5" t="s">
        <v>561</v>
      </c>
      <c r="AR262" s="5" t="s">
        <v>18</v>
      </c>
      <c r="AS262" s="6"/>
      <c r="AU262" s="5"/>
      <c r="AV262" s="5"/>
      <c r="AW262" s="5"/>
      <c r="AX262" s="5"/>
      <c r="AY262" s="5"/>
      <c r="BA262" s="13"/>
      <c r="BB262" s="14"/>
      <c r="BC262" s="15"/>
      <c r="BE262" s="13"/>
      <c r="BF262" s="14"/>
      <c r="BG262" s="15"/>
      <c r="BI262" s="13"/>
      <c r="BJ262" s="14"/>
      <c r="BK262" s="15"/>
      <c r="BM262" s="13"/>
      <c r="BN262" s="14"/>
      <c r="BO262" s="15"/>
      <c r="BQ262" s="13"/>
      <c r="BR262" s="14"/>
      <c r="BS262" s="15"/>
      <c r="BU262" s="13"/>
      <c r="BV262" s="14"/>
      <c r="BW262" s="15"/>
      <c r="BY262" s="13"/>
      <c r="BZ262" s="14"/>
      <c r="CA262" s="15"/>
      <c r="CC262" s="13"/>
      <c r="CD262" s="14"/>
      <c r="CE262" s="15"/>
      <c r="CG262" s="13"/>
      <c r="CH262" s="14"/>
      <c r="CI262" s="15"/>
      <c r="CK262" s="13"/>
      <c r="CL262" s="14"/>
      <c r="CM262" s="15"/>
      <c r="CO262" s="13"/>
      <c r="CP262" s="14"/>
      <c r="CQ262" s="15"/>
      <c r="CS262" s="13"/>
      <c r="CT262" s="14"/>
      <c r="CU262" s="15"/>
    </row>
    <row r="263" spans="18:99">
      <c r="R263" s="508"/>
      <c r="S263" s="506"/>
      <c r="T263" s="507">
        <f t="shared" ca="1" si="57"/>
        <v>0</v>
      </c>
      <c r="U263" s="507">
        <f t="shared" ca="1" si="58"/>
        <v>0</v>
      </c>
      <c r="V263" s="507">
        <f t="shared" ca="1" si="59"/>
        <v>0</v>
      </c>
      <c r="W263" s="507">
        <f t="shared" ca="1" si="60"/>
        <v>0</v>
      </c>
      <c r="X263" s="507">
        <f t="shared" ca="1" si="61"/>
        <v>0</v>
      </c>
      <c r="Y263" s="507">
        <f t="shared" ca="1" si="62"/>
        <v>0</v>
      </c>
      <c r="Z263" s="507">
        <f t="shared" ca="1" si="63"/>
        <v>0</v>
      </c>
      <c r="AA263" s="507">
        <f t="shared" ca="1" si="64"/>
        <v>0</v>
      </c>
      <c r="AB263" s="507">
        <f t="shared" ca="1" si="65"/>
        <v>0</v>
      </c>
      <c r="AC263" s="507">
        <f t="shared" ca="1" si="66"/>
        <v>0</v>
      </c>
      <c r="AD263" s="507">
        <f t="shared" ca="1" si="67"/>
        <v>0</v>
      </c>
      <c r="AE263" s="507">
        <f t="shared" ca="1" si="68"/>
        <v>0</v>
      </c>
      <c r="AF263" s="11">
        <f t="shared" ca="1" si="56"/>
        <v>0</v>
      </c>
      <c r="AI263" s="4">
        <v>565</v>
      </c>
      <c r="AJ263" s="5" t="s">
        <v>789</v>
      </c>
      <c r="AK263" s="5" t="s">
        <v>781</v>
      </c>
      <c r="AL263" s="5" t="s">
        <v>790</v>
      </c>
      <c r="AM263" s="5" t="s">
        <v>791</v>
      </c>
      <c r="AN263" s="5" t="s">
        <v>18</v>
      </c>
      <c r="AO263" s="5" t="s">
        <v>16</v>
      </c>
      <c r="AP263" s="5" t="s">
        <v>481</v>
      </c>
      <c r="AQ263" s="5" t="s">
        <v>561</v>
      </c>
      <c r="AR263" s="5" t="s">
        <v>18</v>
      </c>
      <c r="AS263" s="6"/>
      <c r="AU263" s="5"/>
      <c r="AV263" s="5"/>
      <c r="AW263" s="5"/>
      <c r="AX263" s="5"/>
      <c r="AY263" s="5"/>
      <c r="BA263" s="13"/>
      <c r="BB263" s="14"/>
      <c r="BC263" s="15"/>
      <c r="BE263" s="13"/>
      <c r="BF263" s="14"/>
      <c r="BG263" s="15"/>
      <c r="BI263" s="13"/>
      <c r="BJ263" s="14"/>
      <c r="BK263" s="15"/>
      <c r="BM263" s="13"/>
      <c r="BN263" s="14"/>
      <c r="BO263" s="15"/>
      <c r="BQ263" s="13"/>
      <c r="BR263" s="14"/>
      <c r="BS263" s="15"/>
      <c r="BU263" s="13"/>
      <c r="BV263" s="14"/>
      <c r="BW263" s="15"/>
      <c r="BY263" s="13"/>
      <c r="BZ263" s="14"/>
      <c r="CA263" s="15"/>
      <c r="CC263" s="13"/>
      <c r="CD263" s="14"/>
      <c r="CE263" s="15"/>
      <c r="CG263" s="13"/>
      <c r="CH263" s="14"/>
      <c r="CI263" s="15"/>
      <c r="CK263" s="13"/>
      <c r="CL263" s="14"/>
      <c r="CM263" s="15"/>
      <c r="CO263" s="13"/>
      <c r="CP263" s="14"/>
      <c r="CQ263" s="15"/>
      <c r="CS263" s="13"/>
      <c r="CT263" s="14"/>
      <c r="CU263" s="15"/>
    </row>
    <row r="264" spans="18:99">
      <c r="R264" s="508"/>
      <c r="S264" s="506"/>
      <c r="T264" s="507">
        <f t="shared" ca="1" si="57"/>
        <v>0</v>
      </c>
      <c r="U264" s="507">
        <f t="shared" ca="1" si="58"/>
        <v>0</v>
      </c>
      <c r="V264" s="507">
        <f t="shared" ca="1" si="59"/>
        <v>0</v>
      </c>
      <c r="W264" s="507">
        <f t="shared" ca="1" si="60"/>
        <v>0</v>
      </c>
      <c r="X264" s="507">
        <f t="shared" ca="1" si="61"/>
        <v>0</v>
      </c>
      <c r="Y264" s="507">
        <f t="shared" ca="1" si="62"/>
        <v>0</v>
      </c>
      <c r="Z264" s="507">
        <f t="shared" ca="1" si="63"/>
        <v>0</v>
      </c>
      <c r="AA264" s="507">
        <f t="shared" ca="1" si="64"/>
        <v>0</v>
      </c>
      <c r="AB264" s="507">
        <f t="shared" ca="1" si="65"/>
        <v>0</v>
      </c>
      <c r="AC264" s="507">
        <f t="shared" ca="1" si="66"/>
        <v>0</v>
      </c>
      <c r="AD264" s="507">
        <f t="shared" ca="1" si="67"/>
        <v>0</v>
      </c>
      <c r="AE264" s="507">
        <f t="shared" ca="1" si="68"/>
        <v>0</v>
      </c>
      <c r="AF264" s="11">
        <f t="shared" ca="1" si="56"/>
        <v>0</v>
      </c>
      <c r="AI264" s="4">
        <v>569</v>
      </c>
      <c r="AJ264" s="5" t="s">
        <v>794</v>
      </c>
      <c r="AK264" s="5" t="s">
        <v>792</v>
      </c>
      <c r="AL264" s="5" t="s">
        <v>795</v>
      </c>
      <c r="AM264" s="5" t="s">
        <v>796</v>
      </c>
      <c r="AN264" s="5" t="s">
        <v>18</v>
      </c>
      <c r="AO264" s="5" t="s">
        <v>16</v>
      </c>
      <c r="AP264" s="5" t="s">
        <v>481</v>
      </c>
      <c r="AQ264" s="5" t="s">
        <v>561</v>
      </c>
      <c r="AR264" s="5" t="s">
        <v>18</v>
      </c>
      <c r="AS264" s="6"/>
      <c r="AU264" s="5"/>
      <c r="AV264" s="5"/>
      <c r="AW264" s="5"/>
      <c r="AX264" s="5"/>
      <c r="AY264" s="5"/>
      <c r="BA264" s="13"/>
      <c r="BB264" s="14"/>
      <c r="BC264" s="15"/>
      <c r="BE264" s="13"/>
      <c r="BF264" s="14"/>
      <c r="BG264" s="15"/>
      <c r="BI264" s="13"/>
      <c r="BJ264" s="14"/>
      <c r="BK264" s="15"/>
      <c r="BM264" s="13"/>
      <c r="BN264" s="14"/>
      <c r="BO264" s="15"/>
      <c r="BQ264" s="13"/>
      <c r="BR264" s="14"/>
      <c r="BS264" s="15"/>
      <c r="BU264" s="13"/>
      <c r="BV264" s="14"/>
      <c r="BW264" s="15"/>
      <c r="BY264" s="13"/>
      <c r="BZ264" s="14"/>
      <c r="CA264" s="15"/>
      <c r="CC264" s="13"/>
      <c r="CD264" s="14"/>
      <c r="CE264" s="15"/>
      <c r="CG264" s="13"/>
      <c r="CH264" s="14"/>
      <c r="CI264" s="15"/>
      <c r="CK264" s="13"/>
      <c r="CL264" s="14"/>
      <c r="CM264" s="15"/>
      <c r="CO264" s="13"/>
      <c r="CP264" s="14"/>
      <c r="CQ264" s="15"/>
      <c r="CS264" s="13"/>
      <c r="CT264" s="14"/>
      <c r="CU264" s="15"/>
    </row>
    <row r="265" spans="18:99">
      <c r="R265" s="508"/>
      <c r="S265" s="506"/>
      <c r="T265" s="507">
        <f t="shared" ca="1" si="57"/>
        <v>0</v>
      </c>
      <c r="U265" s="507">
        <f t="shared" ca="1" si="58"/>
        <v>0</v>
      </c>
      <c r="V265" s="507">
        <f t="shared" ca="1" si="59"/>
        <v>0</v>
      </c>
      <c r="W265" s="507">
        <f t="shared" ca="1" si="60"/>
        <v>0</v>
      </c>
      <c r="X265" s="507">
        <f t="shared" ca="1" si="61"/>
        <v>0</v>
      </c>
      <c r="Y265" s="507">
        <f t="shared" ca="1" si="62"/>
        <v>0</v>
      </c>
      <c r="Z265" s="507">
        <f t="shared" ca="1" si="63"/>
        <v>0</v>
      </c>
      <c r="AA265" s="507">
        <f t="shared" ca="1" si="64"/>
        <v>0</v>
      </c>
      <c r="AB265" s="507">
        <f t="shared" ca="1" si="65"/>
        <v>0</v>
      </c>
      <c r="AC265" s="507">
        <f t="shared" ca="1" si="66"/>
        <v>0</v>
      </c>
      <c r="AD265" s="507">
        <f t="shared" ca="1" si="67"/>
        <v>0</v>
      </c>
      <c r="AE265" s="507">
        <f t="shared" ca="1" si="68"/>
        <v>0</v>
      </c>
      <c r="AF265" s="11">
        <f t="shared" ca="1" si="56"/>
        <v>0</v>
      </c>
      <c r="AI265" s="4">
        <v>571</v>
      </c>
      <c r="AJ265" s="5" t="s">
        <v>797</v>
      </c>
      <c r="AK265" s="5" t="s">
        <v>792</v>
      </c>
      <c r="AL265" s="5" t="s">
        <v>798</v>
      </c>
      <c r="AM265" s="5" t="s">
        <v>799</v>
      </c>
      <c r="AN265" s="5" t="s">
        <v>18</v>
      </c>
      <c r="AO265" s="5" t="s">
        <v>16</v>
      </c>
      <c r="AP265" s="5" t="s">
        <v>481</v>
      </c>
      <c r="AQ265" s="5" t="s">
        <v>561</v>
      </c>
      <c r="AR265" s="5" t="s">
        <v>18</v>
      </c>
      <c r="AS265" s="6"/>
      <c r="AU265" s="5"/>
      <c r="AV265" s="5"/>
      <c r="AW265" s="5"/>
      <c r="AX265" s="5"/>
      <c r="AY265" s="5"/>
      <c r="BA265" s="13"/>
      <c r="BB265" s="14"/>
      <c r="BC265" s="15"/>
      <c r="BE265" s="13"/>
      <c r="BF265" s="14"/>
      <c r="BG265" s="15"/>
      <c r="BI265" s="13"/>
      <c r="BJ265" s="14"/>
      <c r="BK265" s="15"/>
      <c r="BM265" s="13"/>
      <c r="BN265" s="14"/>
      <c r="BO265" s="15"/>
      <c r="BQ265" s="13"/>
      <c r="BR265" s="14"/>
      <c r="BS265" s="15"/>
      <c r="BU265" s="13"/>
      <c r="BV265" s="14"/>
      <c r="BW265" s="15"/>
      <c r="BY265" s="13"/>
      <c r="BZ265" s="14"/>
      <c r="CA265" s="15"/>
      <c r="CC265" s="13"/>
      <c r="CD265" s="14"/>
      <c r="CE265" s="15"/>
      <c r="CG265" s="13"/>
      <c r="CH265" s="14"/>
      <c r="CI265" s="15"/>
      <c r="CK265" s="13"/>
      <c r="CL265" s="14"/>
      <c r="CM265" s="15"/>
      <c r="CO265" s="13"/>
      <c r="CP265" s="14"/>
      <c r="CQ265" s="15"/>
      <c r="CS265" s="13"/>
      <c r="CT265" s="14"/>
      <c r="CU265" s="15"/>
    </row>
    <row r="266" spans="18:99">
      <c r="R266" s="508"/>
      <c r="S266" s="506"/>
      <c r="T266" s="507">
        <f t="shared" ref="T266:T326" ca="1" si="69">SUMIF($BB$7:$BC$297,S266,$BC$7:$BC$297)</f>
        <v>0</v>
      </c>
      <c r="U266" s="507">
        <f t="shared" ca="1" si="58"/>
        <v>0</v>
      </c>
      <c r="V266" s="507">
        <f t="shared" ca="1" si="59"/>
        <v>0</v>
      </c>
      <c r="W266" s="507">
        <f t="shared" ca="1" si="60"/>
        <v>0</v>
      </c>
      <c r="X266" s="507">
        <f t="shared" ca="1" si="61"/>
        <v>0</v>
      </c>
      <c r="Y266" s="507">
        <f t="shared" ca="1" si="62"/>
        <v>0</v>
      </c>
      <c r="Z266" s="507">
        <f t="shared" ca="1" si="63"/>
        <v>0</v>
      </c>
      <c r="AA266" s="507">
        <f t="shared" ca="1" si="64"/>
        <v>0</v>
      </c>
      <c r="AB266" s="507">
        <f t="shared" ca="1" si="65"/>
        <v>0</v>
      </c>
      <c r="AC266" s="507">
        <f t="shared" ca="1" si="66"/>
        <v>0</v>
      </c>
      <c r="AD266" s="507">
        <f t="shared" ca="1" si="67"/>
        <v>0</v>
      </c>
      <c r="AE266" s="507">
        <f t="shared" ca="1" si="68"/>
        <v>0</v>
      </c>
      <c r="AF266" s="11">
        <f ca="1">SUM(T266:AE266)</f>
        <v>0</v>
      </c>
      <c r="AI266" s="4">
        <v>573</v>
      </c>
      <c r="AJ266" s="5" t="s">
        <v>800</v>
      </c>
      <c r="AK266" s="5" t="s">
        <v>792</v>
      </c>
      <c r="AL266" s="5" t="s">
        <v>801</v>
      </c>
      <c r="AM266" s="5" t="s">
        <v>802</v>
      </c>
      <c r="AN266" s="5" t="s">
        <v>18</v>
      </c>
      <c r="AO266" s="5" t="s">
        <v>16</v>
      </c>
      <c r="AP266" s="5" t="s">
        <v>481</v>
      </c>
      <c r="AQ266" s="5" t="s">
        <v>561</v>
      </c>
      <c r="AR266" s="5" t="s">
        <v>18</v>
      </c>
      <c r="AS266" s="6"/>
      <c r="AU266" s="5"/>
      <c r="AV266" s="5"/>
      <c r="AW266" s="5"/>
      <c r="AX266" s="5"/>
      <c r="AY266" s="5"/>
      <c r="BA266" s="13"/>
      <c r="BB266" s="14"/>
      <c r="BC266" s="15"/>
      <c r="BE266" s="13"/>
      <c r="BF266" s="14"/>
      <c r="BG266" s="15"/>
      <c r="BI266" s="13"/>
      <c r="BJ266" s="14"/>
      <c r="BK266" s="15"/>
      <c r="BM266" s="13"/>
      <c r="BN266" s="14"/>
      <c r="BO266" s="15"/>
      <c r="BQ266" s="13"/>
      <c r="BR266" s="14"/>
      <c r="BS266" s="15"/>
      <c r="BU266" s="13"/>
      <c r="BV266" s="14"/>
      <c r="BW266" s="15"/>
      <c r="BY266" s="13"/>
      <c r="BZ266" s="14"/>
      <c r="CA266" s="15"/>
      <c r="CC266" s="13"/>
      <c r="CD266" s="14"/>
      <c r="CE266" s="15"/>
      <c r="CG266" s="13"/>
      <c r="CH266" s="14"/>
      <c r="CI266" s="15"/>
      <c r="CK266" s="13"/>
      <c r="CL266" s="14"/>
      <c r="CM266" s="15"/>
      <c r="CO266" s="13"/>
      <c r="CP266" s="14"/>
      <c r="CQ266" s="15"/>
      <c r="CS266" s="13"/>
      <c r="CT266" s="14"/>
      <c r="CU266" s="15"/>
    </row>
    <row r="267" spans="18:99">
      <c r="R267" s="508"/>
      <c r="S267" s="506"/>
      <c r="T267" s="507">
        <f t="shared" ca="1" si="69"/>
        <v>0</v>
      </c>
      <c r="U267" s="507">
        <f t="shared" ca="1" si="58"/>
        <v>0</v>
      </c>
      <c r="V267" s="507">
        <f t="shared" ca="1" si="59"/>
        <v>0</v>
      </c>
      <c r="W267" s="507">
        <f t="shared" ca="1" si="60"/>
        <v>0</v>
      </c>
      <c r="X267" s="507">
        <f t="shared" ca="1" si="61"/>
        <v>0</v>
      </c>
      <c r="Y267" s="507">
        <f t="shared" ca="1" si="62"/>
        <v>0</v>
      </c>
      <c r="Z267" s="507">
        <f t="shared" ca="1" si="63"/>
        <v>0</v>
      </c>
      <c r="AA267" s="507">
        <f t="shared" ca="1" si="64"/>
        <v>0</v>
      </c>
      <c r="AB267" s="507">
        <f t="shared" ca="1" si="65"/>
        <v>0</v>
      </c>
      <c r="AC267" s="507">
        <f t="shared" ca="1" si="66"/>
        <v>0</v>
      </c>
      <c r="AD267" s="507">
        <f t="shared" ca="1" si="67"/>
        <v>0</v>
      </c>
      <c r="AE267" s="507">
        <f t="shared" ca="1" si="68"/>
        <v>0</v>
      </c>
      <c r="AF267" s="11">
        <f ca="1">SUM(T267:AE267)</f>
        <v>0</v>
      </c>
      <c r="AI267" s="4">
        <v>575</v>
      </c>
      <c r="AJ267" s="5" t="s">
        <v>803</v>
      </c>
      <c r="AK267" s="5" t="s">
        <v>792</v>
      </c>
      <c r="AL267" s="5" t="s">
        <v>804</v>
      </c>
      <c r="AM267" s="5" t="s">
        <v>805</v>
      </c>
      <c r="AN267" s="5" t="s">
        <v>18</v>
      </c>
      <c r="AO267" s="5" t="s">
        <v>16</v>
      </c>
      <c r="AP267" s="5" t="s">
        <v>481</v>
      </c>
      <c r="AQ267" s="5" t="s">
        <v>561</v>
      </c>
      <c r="AR267" s="5" t="s">
        <v>18</v>
      </c>
      <c r="AS267" s="6"/>
      <c r="AU267" s="5"/>
      <c r="AV267" s="5"/>
      <c r="AW267" s="5"/>
      <c r="AX267" s="5"/>
      <c r="AY267" s="5"/>
      <c r="BA267" s="13"/>
      <c r="BB267" s="14"/>
      <c r="BC267" s="15"/>
      <c r="BE267" s="13"/>
      <c r="BF267" s="14"/>
      <c r="BG267" s="15"/>
      <c r="BI267" s="13"/>
      <c r="BJ267" s="14"/>
      <c r="BK267" s="15"/>
      <c r="BM267" s="13"/>
      <c r="BN267" s="14"/>
      <c r="BO267" s="15"/>
      <c r="BQ267" s="13"/>
      <c r="BR267" s="14"/>
      <c r="BS267" s="15"/>
      <c r="BU267" s="13"/>
      <c r="BV267" s="14"/>
      <c r="BW267" s="15"/>
      <c r="BY267" s="13"/>
      <c r="BZ267" s="14"/>
      <c r="CA267" s="15"/>
      <c r="CC267" s="13"/>
      <c r="CD267" s="14"/>
      <c r="CE267" s="15"/>
      <c r="CG267" s="13"/>
      <c r="CH267" s="14"/>
      <c r="CI267" s="15"/>
      <c r="CK267" s="13"/>
      <c r="CL267" s="14"/>
      <c r="CM267" s="15"/>
      <c r="CO267" s="13"/>
      <c r="CP267" s="14"/>
      <c r="CQ267" s="15"/>
      <c r="CS267" s="13"/>
      <c r="CT267" s="14"/>
      <c r="CU267" s="15"/>
    </row>
    <row r="268" spans="18:99">
      <c r="R268" s="508"/>
      <c r="S268" s="506"/>
      <c r="T268" s="507">
        <f t="shared" ca="1" si="69"/>
        <v>0</v>
      </c>
      <c r="U268" s="507">
        <f t="shared" ca="1" si="58"/>
        <v>0</v>
      </c>
      <c r="V268" s="507">
        <f t="shared" ca="1" si="59"/>
        <v>0</v>
      </c>
      <c r="W268" s="507">
        <f t="shared" ca="1" si="60"/>
        <v>0</v>
      </c>
      <c r="X268" s="507">
        <f t="shared" ca="1" si="61"/>
        <v>0</v>
      </c>
      <c r="Y268" s="507">
        <f t="shared" ca="1" si="62"/>
        <v>0</v>
      </c>
      <c r="Z268" s="507">
        <f t="shared" ca="1" si="63"/>
        <v>0</v>
      </c>
      <c r="AA268" s="507">
        <f t="shared" ca="1" si="64"/>
        <v>0</v>
      </c>
      <c r="AB268" s="507">
        <f t="shared" ca="1" si="65"/>
        <v>0</v>
      </c>
      <c r="AC268" s="507">
        <f t="shared" ca="1" si="66"/>
        <v>0</v>
      </c>
      <c r="AD268" s="507">
        <f t="shared" ca="1" si="67"/>
        <v>0</v>
      </c>
      <c r="AE268" s="507">
        <f t="shared" ca="1" si="68"/>
        <v>0</v>
      </c>
      <c r="AF268" s="11">
        <f ca="1">SUM(T268:AE268)</f>
        <v>0</v>
      </c>
      <c r="AI268" s="4">
        <v>577</v>
      </c>
      <c r="AJ268" s="5" t="s">
        <v>806</v>
      </c>
      <c r="AK268" s="5" t="s">
        <v>792</v>
      </c>
      <c r="AL268" s="5" t="s">
        <v>807</v>
      </c>
      <c r="AM268" s="5" t="s">
        <v>796</v>
      </c>
      <c r="AN268" s="5" t="s">
        <v>18</v>
      </c>
      <c r="AO268" s="5" t="s">
        <v>16</v>
      </c>
      <c r="AP268" s="5" t="s">
        <v>481</v>
      </c>
      <c r="AQ268" s="5" t="s">
        <v>557</v>
      </c>
      <c r="AR268" s="5" t="s">
        <v>18</v>
      </c>
      <c r="AS268" s="6"/>
      <c r="AU268" s="5"/>
      <c r="AV268" s="5"/>
      <c r="AW268" s="5"/>
      <c r="AX268" s="5"/>
      <c r="AY268" s="5"/>
      <c r="BA268" s="13"/>
      <c r="BB268" s="14"/>
      <c r="BC268" s="15"/>
      <c r="BE268" s="13"/>
      <c r="BF268" s="14"/>
      <c r="BG268" s="15"/>
      <c r="BI268" s="13"/>
      <c r="BJ268" s="14"/>
      <c r="BK268" s="15"/>
      <c r="BM268" s="13"/>
      <c r="BN268" s="14"/>
      <c r="BO268" s="15"/>
      <c r="BQ268" s="13"/>
      <c r="BR268" s="14"/>
      <c r="BS268" s="15"/>
      <c r="BU268" s="13"/>
      <c r="BV268" s="14"/>
      <c r="BW268" s="15"/>
      <c r="BY268" s="13"/>
      <c r="BZ268" s="14"/>
      <c r="CA268" s="15"/>
      <c r="CC268" s="13"/>
      <c r="CD268" s="14"/>
      <c r="CE268" s="15"/>
      <c r="CG268" s="13"/>
      <c r="CH268" s="14"/>
      <c r="CI268" s="15"/>
      <c r="CK268" s="13"/>
      <c r="CL268" s="14"/>
      <c r="CM268" s="15"/>
      <c r="CO268" s="13"/>
      <c r="CP268" s="14"/>
      <c r="CQ268" s="15"/>
      <c r="CS268" s="13"/>
      <c r="CT268" s="14"/>
      <c r="CU268" s="15"/>
    </row>
    <row r="269" spans="18:99">
      <c r="R269" s="508"/>
      <c r="S269" s="506"/>
      <c r="T269" s="507">
        <f t="shared" ca="1" si="69"/>
        <v>0</v>
      </c>
      <c r="U269" s="507">
        <f t="shared" ref="U269:U326" ca="1" si="70">SUMIF($BF$7:$BG$297,S269,$BG$7:$BG$297)</f>
        <v>0</v>
      </c>
      <c r="V269" s="507">
        <f t="shared" ref="V269:V326" ca="1" si="71">SUMIF($BJ$7:$BK$297,S269,$BK$7:$BK$297)</f>
        <v>0</v>
      </c>
      <c r="W269" s="507">
        <f t="shared" ref="W269:W326" ca="1" si="72">SUMIF($BN$7:$BO$297,S269,$BO$7:$BO$297)</f>
        <v>0</v>
      </c>
      <c r="X269" s="507">
        <f t="shared" ref="X269:X326" ca="1" si="73">SUMIF($BR$7:$BS$297,S269,$BS$7:$BS$297)</f>
        <v>0</v>
      </c>
      <c r="Y269" s="507">
        <f t="shared" ref="Y269:Y326" ca="1" si="74">SUMIF($BV$7:$BW$297,S269,$BW$7:$BW$297)</f>
        <v>0</v>
      </c>
      <c r="Z269" s="507">
        <f t="shared" ref="Z269:Z326" ca="1" si="75">SUMIF($BZ$7:$CA$297,S269,$CA$7:$CA$297)</f>
        <v>0</v>
      </c>
      <c r="AA269" s="507">
        <f t="shared" ref="AA269:AA326" ca="1" si="76">SUMIF($CD$7:$CE$297,S269,$CE$7:$CE$297)</f>
        <v>0</v>
      </c>
      <c r="AB269" s="507">
        <f t="shared" ref="AB269:AB326" ca="1" si="77">SUMIF($CH$7:$CI$297,S269,$CI$7:$CI$297)</f>
        <v>0</v>
      </c>
      <c r="AC269" s="507">
        <f t="shared" ref="AC269:AC326" ca="1" si="78">SUMIF($CL$7:$CM$297,S269,$CM$7:$CM$297)</f>
        <v>0</v>
      </c>
      <c r="AD269" s="507">
        <f t="shared" ref="AD269:AD326" ca="1" si="79">SUMIF($CP$7:$CQ$297,S269,$CQ$7:$CQ$297)</f>
        <v>0</v>
      </c>
      <c r="AE269" s="507">
        <f t="shared" ref="AE269:AE326" ca="1" si="80">SUMIF($CT$7:$CU$297,S269,$CU$7:$CU$297)</f>
        <v>0</v>
      </c>
      <c r="AF269" s="11">
        <f ca="1">SUM(T269:AE269)</f>
        <v>0</v>
      </c>
      <c r="AI269" s="4">
        <v>579</v>
      </c>
      <c r="AJ269" s="5" t="s">
        <v>808</v>
      </c>
      <c r="AK269" s="5" t="s">
        <v>781</v>
      </c>
      <c r="AL269" s="5" t="s">
        <v>809</v>
      </c>
      <c r="AM269" s="5" t="s">
        <v>810</v>
      </c>
      <c r="AN269" s="5" t="s">
        <v>18</v>
      </c>
      <c r="AO269" s="5" t="s">
        <v>16</v>
      </c>
      <c r="AP269" s="5" t="s">
        <v>481</v>
      </c>
      <c r="AQ269" s="5" t="s">
        <v>561</v>
      </c>
      <c r="AR269" s="5" t="s">
        <v>18</v>
      </c>
      <c r="AS269" s="6"/>
      <c r="AU269" s="5"/>
      <c r="AV269" s="5"/>
      <c r="AW269" s="5"/>
      <c r="AX269" s="5"/>
      <c r="AY269" s="5"/>
      <c r="BA269" s="13"/>
      <c r="BB269" s="14"/>
      <c r="BC269" s="15"/>
      <c r="BE269" s="13"/>
      <c r="BF269" s="14"/>
      <c r="BG269" s="15"/>
      <c r="BI269" s="13"/>
      <c r="BJ269" s="14"/>
      <c r="BK269" s="15"/>
      <c r="BM269" s="13"/>
      <c r="BN269" s="14"/>
      <c r="BO269" s="15"/>
      <c r="BQ269" s="13"/>
      <c r="BR269" s="14"/>
      <c r="BS269" s="15"/>
      <c r="BU269" s="13"/>
      <c r="BV269" s="14"/>
      <c r="BW269" s="15"/>
      <c r="BY269" s="13"/>
      <c r="BZ269" s="14"/>
      <c r="CA269" s="15"/>
      <c r="CC269" s="13"/>
      <c r="CD269" s="14"/>
      <c r="CE269" s="15"/>
      <c r="CG269" s="13"/>
      <c r="CH269" s="14"/>
      <c r="CI269" s="15"/>
      <c r="CK269" s="13"/>
      <c r="CL269" s="14"/>
      <c r="CM269" s="15"/>
      <c r="CO269" s="13"/>
      <c r="CP269" s="14"/>
      <c r="CQ269" s="15"/>
      <c r="CS269" s="13"/>
      <c r="CT269" s="14"/>
      <c r="CU269" s="15"/>
    </row>
    <row r="270" spans="18:99">
      <c r="R270" s="508"/>
      <c r="S270" s="506"/>
      <c r="T270" s="507">
        <f t="shared" ca="1" si="69"/>
        <v>0</v>
      </c>
      <c r="U270" s="507">
        <f t="shared" ca="1" si="70"/>
        <v>0</v>
      </c>
      <c r="V270" s="507">
        <f t="shared" ca="1" si="71"/>
        <v>0</v>
      </c>
      <c r="W270" s="507">
        <f t="shared" ca="1" si="72"/>
        <v>0</v>
      </c>
      <c r="X270" s="507">
        <f t="shared" ca="1" si="73"/>
        <v>0</v>
      </c>
      <c r="Y270" s="507">
        <f t="shared" ca="1" si="74"/>
        <v>0</v>
      </c>
      <c r="Z270" s="507">
        <f t="shared" ca="1" si="75"/>
        <v>0</v>
      </c>
      <c r="AA270" s="507">
        <f t="shared" ca="1" si="76"/>
        <v>0</v>
      </c>
      <c r="AB270" s="507">
        <f t="shared" ca="1" si="77"/>
        <v>0</v>
      </c>
      <c r="AC270" s="507">
        <f t="shared" ca="1" si="78"/>
        <v>0</v>
      </c>
      <c r="AD270" s="507">
        <f t="shared" ca="1" si="79"/>
        <v>0</v>
      </c>
      <c r="AE270" s="507">
        <f t="shared" ca="1" si="80"/>
        <v>0</v>
      </c>
      <c r="AF270" s="11">
        <f ca="1">SUM(T270:AE270)</f>
        <v>0</v>
      </c>
      <c r="AI270" s="4">
        <v>581</v>
      </c>
      <c r="AJ270" s="5" t="s">
        <v>811</v>
      </c>
      <c r="AK270" s="5" t="s">
        <v>781</v>
      </c>
      <c r="AL270" s="5" t="s">
        <v>812</v>
      </c>
      <c r="AM270" s="5" t="s">
        <v>813</v>
      </c>
      <c r="AN270" s="5" t="s">
        <v>18</v>
      </c>
      <c r="AO270" s="5" t="s">
        <v>16</v>
      </c>
      <c r="AP270" s="5" t="s">
        <v>481</v>
      </c>
      <c r="AQ270" s="5" t="s">
        <v>561</v>
      </c>
      <c r="AR270" s="5" t="s">
        <v>18</v>
      </c>
      <c r="AS270" s="6"/>
      <c r="AU270" s="5"/>
      <c r="AV270" s="5"/>
      <c r="AW270" s="5"/>
      <c r="AX270" s="5"/>
      <c r="AY270" s="5"/>
      <c r="BA270" s="13"/>
      <c r="BB270" s="14"/>
      <c r="BC270" s="15"/>
      <c r="BE270" s="13"/>
      <c r="BF270" s="14"/>
      <c r="BG270" s="15"/>
      <c r="BI270" s="13"/>
      <c r="BJ270" s="14"/>
      <c r="BK270" s="15"/>
      <c r="BM270" s="13"/>
      <c r="BN270" s="14"/>
      <c r="BO270" s="15"/>
      <c r="BQ270" s="13"/>
      <c r="BR270" s="14"/>
      <c r="BS270" s="15"/>
      <c r="BU270" s="13"/>
      <c r="BV270" s="14"/>
      <c r="BW270" s="15"/>
      <c r="BY270" s="13"/>
      <c r="BZ270" s="14"/>
      <c r="CA270" s="15"/>
      <c r="CC270" s="13"/>
      <c r="CD270" s="14"/>
      <c r="CE270" s="15"/>
      <c r="CG270" s="13"/>
      <c r="CH270" s="14"/>
      <c r="CI270" s="15"/>
      <c r="CK270" s="13"/>
      <c r="CL270" s="14"/>
      <c r="CM270" s="15"/>
      <c r="CO270" s="13"/>
      <c r="CP270" s="14"/>
      <c r="CQ270" s="15"/>
      <c r="CS270" s="13"/>
      <c r="CT270" s="14"/>
      <c r="CU270" s="15"/>
    </row>
    <row r="271" spans="18:99">
      <c r="R271" s="508"/>
      <c r="S271" s="506"/>
      <c r="T271" s="507">
        <f t="shared" ca="1" si="69"/>
        <v>0</v>
      </c>
      <c r="U271" s="507">
        <f t="shared" ca="1" si="70"/>
        <v>0</v>
      </c>
      <c r="V271" s="507">
        <f t="shared" ca="1" si="71"/>
        <v>0</v>
      </c>
      <c r="W271" s="507">
        <f t="shared" ca="1" si="72"/>
        <v>0</v>
      </c>
      <c r="X271" s="507">
        <f t="shared" ca="1" si="73"/>
        <v>0</v>
      </c>
      <c r="Y271" s="507">
        <f t="shared" ca="1" si="74"/>
        <v>0</v>
      </c>
      <c r="Z271" s="507">
        <f t="shared" ca="1" si="75"/>
        <v>0</v>
      </c>
      <c r="AA271" s="507">
        <f t="shared" ca="1" si="76"/>
        <v>0</v>
      </c>
      <c r="AB271" s="507">
        <f t="shared" ca="1" si="77"/>
        <v>0</v>
      </c>
      <c r="AC271" s="507">
        <f t="shared" ca="1" si="78"/>
        <v>0</v>
      </c>
      <c r="AD271" s="507">
        <f t="shared" ca="1" si="79"/>
        <v>0</v>
      </c>
      <c r="AE271" s="507">
        <f t="shared" ca="1" si="80"/>
        <v>0</v>
      </c>
      <c r="AF271" s="11">
        <f t="shared" ref="AF271:AF300" ca="1" si="81">SUM(T271:AE271)</f>
        <v>0</v>
      </c>
      <c r="AI271" s="4">
        <v>583</v>
      </c>
      <c r="AJ271" s="5" t="s">
        <v>816</v>
      </c>
      <c r="AK271" s="5" t="s">
        <v>814</v>
      </c>
      <c r="AL271" s="5" t="s">
        <v>817</v>
      </c>
      <c r="AM271" s="5" t="s">
        <v>818</v>
      </c>
      <c r="AN271" s="5" t="s">
        <v>18</v>
      </c>
      <c r="AO271" s="5" t="s">
        <v>16</v>
      </c>
      <c r="AP271" s="5" t="s">
        <v>481</v>
      </c>
      <c r="AQ271" s="5" t="s">
        <v>561</v>
      </c>
      <c r="AR271" s="5" t="s">
        <v>18</v>
      </c>
      <c r="AS271" s="6"/>
      <c r="AU271" s="5"/>
      <c r="AV271" s="5"/>
      <c r="AW271" s="5"/>
      <c r="AX271" s="5"/>
      <c r="AY271" s="5"/>
      <c r="BA271" s="13"/>
      <c r="BB271" s="14"/>
      <c r="BC271" s="15"/>
      <c r="BE271" s="13"/>
      <c r="BF271" s="14"/>
      <c r="BG271" s="15"/>
      <c r="BI271" s="13"/>
      <c r="BJ271" s="14"/>
      <c r="BK271" s="15"/>
      <c r="BM271" s="13"/>
      <c r="BN271" s="14"/>
      <c r="BO271" s="15"/>
      <c r="BQ271" s="13"/>
      <c r="BR271" s="14"/>
      <c r="BS271" s="15"/>
      <c r="BU271" s="13"/>
      <c r="BV271" s="14"/>
      <c r="BW271" s="15"/>
      <c r="BY271" s="13"/>
      <c r="BZ271" s="14"/>
      <c r="CA271" s="15"/>
      <c r="CC271" s="13"/>
      <c r="CD271" s="14"/>
      <c r="CE271" s="15"/>
      <c r="CG271" s="13"/>
      <c r="CH271" s="14"/>
      <c r="CI271" s="15"/>
      <c r="CK271" s="13"/>
      <c r="CL271" s="14"/>
      <c r="CM271" s="15"/>
      <c r="CO271" s="13"/>
      <c r="CP271" s="14"/>
      <c r="CQ271" s="15"/>
      <c r="CS271" s="13"/>
      <c r="CT271" s="14"/>
      <c r="CU271" s="15"/>
    </row>
    <row r="272" spans="18:99">
      <c r="R272" s="508"/>
      <c r="S272" s="506"/>
      <c r="T272" s="507">
        <f t="shared" ca="1" si="69"/>
        <v>0</v>
      </c>
      <c r="U272" s="507">
        <f t="shared" ca="1" si="70"/>
        <v>0</v>
      </c>
      <c r="V272" s="507">
        <f t="shared" ca="1" si="71"/>
        <v>0</v>
      </c>
      <c r="W272" s="507">
        <f t="shared" ca="1" si="72"/>
        <v>0</v>
      </c>
      <c r="X272" s="507">
        <f t="shared" ca="1" si="73"/>
        <v>0</v>
      </c>
      <c r="Y272" s="507">
        <f t="shared" ca="1" si="74"/>
        <v>0</v>
      </c>
      <c r="Z272" s="507">
        <f t="shared" ca="1" si="75"/>
        <v>0</v>
      </c>
      <c r="AA272" s="507">
        <f t="shared" ca="1" si="76"/>
        <v>0</v>
      </c>
      <c r="AB272" s="507">
        <f t="shared" ca="1" si="77"/>
        <v>0</v>
      </c>
      <c r="AC272" s="507">
        <f t="shared" ca="1" si="78"/>
        <v>0</v>
      </c>
      <c r="AD272" s="507">
        <f t="shared" ca="1" si="79"/>
        <v>0</v>
      </c>
      <c r="AE272" s="507">
        <f t="shared" ca="1" si="80"/>
        <v>0</v>
      </c>
      <c r="AF272" s="11">
        <f t="shared" ca="1" si="81"/>
        <v>0</v>
      </c>
      <c r="AI272" s="4">
        <v>585</v>
      </c>
      <c r="AJ272" s="5" t="s">
        <v>819</v>
      </c>
      <c r="AK272" s="5" t="s">
        <v>814</v>
      </c>
      <c r="AL272" s="5" t="s">
        <v>820</v>
      </c>
      <c r="AM272" s="5" t="s">
        <v>821</v>
      </c>
      <c r="AN272" s="5" t="s">
        <v>18</v>
      </c>
      <c r="AO272" s="5" t="s">
        <v>16</v>
      </c>
      <c r="AP272" s="5" t="s">
        <v>481</v>
      </c>
      <c r="AQ272" s="5" t="s">
        <v>561</v>
      </c>
      <c r="AR272" s="5" t="s">
        <v>18</v>
      </c>
      <c r="AS272" s="6"/>
      <c r="AU272" s="5"/>
      <c r="AV272" s="5"/>
      <c r="AW272" s="5"/>
      <c r="AX272" s="5"/>
      <c r="AY272" s="5"/>
      <c r="BA272" s="13"/>
      <c r="BB272" s="14"/>
      <c r="BC272" s="15"/>
      <c r="BE272" s="13"/>
      <c r="BF272" s="14"/>
      <c r="BG272" s="15"/>
      <c r="BI272" s="13"/>
      <c r="BJ272" s="14"/>
      <c r="BK272" s="15"/>
      <c r="BM272" s="13"/>
      <c r="BN272" s="14"/>
      <c r="BO272" s="15"/>
      <c r="BQ272" s="13"/>
      <c r="BR272" s="14"/>
      <c r="BS272" s="15"/>
      <c r="BU272" s="13"/>
      <c r="BV272" s="14"/>
      <c r="BW272" s="15"/>
      <c r="BY272" s="13"/>
      <c r="BZ272" s="14"/>
      <c r="CA272" s="15"/>
      <c r="CC272" s="13"/>
      <c r="CD272" s="14"/>
      <c r="CE272" s="15"/>
      <c r="CG272" s="13"/>
      <c r="CH272" s="14"/>
      <c r="CI272" s="15"/>
      <c r="CK272" s="13"/>
      <c r="CL272" s="14"/>
      <c r="CM272" s="15"/>
      <c r="CO272" s="13"/>
      <c r="CP272" s="14"/>
      <c r="CQ272" s="15"/>
      <c r="CS272" s="13"/>
      <c r="CT272" s="14"/>
      <c r="CU272" s="15"/>
    </row>
    <row r="273" spans="18:99">
      <c r="R273" s="508"/>
      <c r="S273" s="506"/>
      <c r="T273" s="507">
        <f t="shared" ca="1" si="69"/>
        <v>0</v>
      </c>
      <c r="U273" s="507">
        <f t="shared" ca="1" si="70"/>
        <v>0</v>
      </c>
      <c r="V273" s="507">
        <f t="shared" ca="1" si="71"/>
        <v>0</v>
      </c>
      <c r="W273" s="507">
        <f t="shared" ca="1" si="72"/>
        <v>0</v>
      </c>
      <c r="X273" s="507">
        <f t="shared" ca="1" si="73"/>
        <v>0</v>
      </c>
      <c r="Y273" s="507">
        <f t="shared" ca="1" si="74"/>
        <v>0</v>
      </c>
      <c r="Z273" s="507">
        <f t="shared" ca="1" si="75"/>
        <v>0</v>
      </c>
      <c r="AA273" s="507">
        <f t="shared" ca="1" si="76"/>
        <v>0</v>
      </c>
      <c r="AB273" s="507">
        <f t="shared" ca="1" si="77"/>
        <v>0</v>
      </c>
      <c r="AC273" s="507">
        <f t="shared" ca="1" si="78"/>
        <v>0</v>
      </c>
      <c r="AD273" s="507">
        <f t="shared" ca="1" si="79"/>
        <v>0</v>
      </c>
      <c r="AE273" s="507">
        <f t="shared" ca="1" si="80"/>
        <v>0</v>
      </c>
      <c r="AF273" s="11">
        <f t="shared" ca="1" si="81"/>
        <v>0</v>
      </c>
      <c r="AI273" s="4">
        <v>587</v>
      </c>
      <c r="AJ273" s="5" t="s">
        <v>822</v>
      </c>
      <c r="AK273" s="5" t="s">
        <v>814</v>
      </c>
      <c r="AL273" s="5" t="s">
        <v>823</v>
      </c>
      <c r="AM273" s="5" t="s">
        <v>824</v>
      </c>
      <c r="AN273" s="5" t="s">
        <v>18</v>
      </c>
      <c r="AO273" s="5" t="s">
        <v>16</v>
      </c>
      <c r="AP273" s="5" t="s">
        <v>481</v>
      </c>
      <c r="AQ273" s="5" t="s">
        <v>561</v>
      </c>
      <c r="AR273" s="5" t="s">
        <v>18</v>
      </c>
      <c r="AS273" s="6"/>
      <c r="AU273" s="5"/>
      <c r="AV273" s="5"/>
      <c r="AW273" s="5"/>
      <c r="AX273" s="5"/>
      <c r="AY273" s="5"/>
      <c r="BA273" s="13"/>
      <c r="BB273" s="14"/>
      <c r="BC273" s="15"/>
      <c r="BE273" s="13"/>
      <c r="BF273" s="14"/>
      <c r="BG273" s="15"/>
      <c r="BI273" s="13"/>
      <c r="BJ273" s="14"/>
      <c r="BK273" s="15"/>
      <c r="BM273" s="13"/>
      <c r="BN273" s="14"/>
      <c r="BO273" s="15"/>
      <c r="BQ273" s="13"/>
      <c r="BR273" s="14"/>
      <c r="BS273" s="15"/>
      <c r="BU273" s="13"/>
      <c r="BV273" s="14"/>
      <c r="BW273" s="15"/>
      <c r="BY273" s="13"/>
      <c r="BZ273" s="14"/>
      <c r="CA273" s="15"/>
      <c r="CC273" s="13"/>
      <c r="CD273" s="14"/>
      <c r="CE273" s="15"/>
      <c r="CG273" s="13"/>
      <c r="CH273" s="14"/>
      <c r="CI273" s="15"/>
      <c r="CK273" s="13"/>
      <c r="CL273" s="14"/>
      <c r="CM273" s="15"/>
      <c r="CO273" s="13"/>
      <c r="CP273" s="14"/>
      <c r="CQ273" s="15"/>
      <c r="CS273" s="13"/>
      <c r="CT273" s="14"/>
      <c r="CU273" s="15"/>
    </row>
    <row r="274" spans="18:99">
      <c r="R274" s="508"/>
      <c r="S274" s="506"/>
      <c r="T274" s="507">
        <f t="shared" ca="1" si="69"/>
        <v>0</v>
      </c>
      <c r="U274" s="507">
        <f t="shared" ca="1" si="70"/>
        <v>0</v>
      </c>
      <c r="V274" s="507">
        <f t="shared" ca="1" si="71"/>
        <v>0</v>
      </c>
      <c r="W274" s="507">
        <f t="shared" ca="1" si="72"/>
        <v>0</v>
      </c>
      <c r="X274" s="507">
        <f t="shared" ca="1" si="73"/>
        <v>0</v>
      </c>
      <c r="Y274" s="507">
        <f t="shared" ca="1" si="74"/>
        <v>0</v>
      </c>
      <c r="Z274" s="507">
        <f t="shared" ca="1" si="75"/>
        <v>0</v>
      </c>
      <c r="AA274" s="507">
        <f t="shared" ca="1" si="76"/>
        <v>0</v>
      </c>
      <c r="AB274" s="507">
        <f t="shared" ca="1" si="77"/>
        <v>0</v>
      </c>
      <c r="AC274" s="507">
        <f t="shared" ca="1" si="78"/>
        <v>0</v>
      </c>
      <c r="AD274" s="507">
        <f t="shared" ca="1" si="79"/>
        <v>0</v>
      </c>
      <c r="AE274" s="507">
        <f t="shared" ca="1" si="80"/>
        <v>0</v>
      </c>
      <c r="AF274" s="11">
        <f t="shared" ca="1" si="81"/>
        <v>0</v>
      </c>
      <c r="AI274" s="4">
        <v>589</v>
      </c>
      <c r="AJ274" s="5" t="s">
        <v>825</v>
      </c>
      <c r="AK274" s="5" t="s">
        <v>814</v>
      </c>
      <c r="AL274" s="5" t="s">
        <v>826</v>
      </c>
      <c r="AM274" s="5" t="s">
        <v>827</v>
      </c>
      <c r="AN274" s="5" t="s">
        <v>18</v>
      </c>
      <c r="AO274" s="5" t="s">
        <v>16</v>
      </c>
      <c r="AP274" s="5" t="s">
        <v>481</v>
      </c>
      <c r="AQ274" s="5" t="s">
        <v>561</v>
      </c>
      <c r="AR274" s="5" t="s">
        <v>18</v>
      </c>
      <c r="AS274" s="6"/>
      <c r="AU274" s="5"/>
      <c r="AV274" s="5"/>
      <c r="AW274" s="5"/>
      <c r="AX274" s="5"/>
      <c r="AY274" s="5"/>
      <c r="BA274" s="13"/>
      <c r="BB274" s="14"/>
      <c r="BC274" s="15"/>
      <c r="BE274" s="13"/>
      <c r="BF274" s="14"/>
      <c r="BG274" s="15"/>
      <c r="BI274" s="13"/>
      <c r="BJ274" s="14"/>
      <c r="BK274" s="15"/>
      <c r="BM274" s="13"/>
      <c r="BN274" s="14"/>
      <c r="BO274" s="15"/>
      <c r="BQ274" s="13"/>
      <c r="BR274" s="14"/>
      <c r="BS274" s="15"/>
      <c r="BU274" s="13"/>
      <c r="BV274" s="14"/>
      <c r="BW274" s="15"/>
      <c r="BY274" s="13"/>
      <c r="BZ274" s="14"/>
      <c r="CA274" s="15"/>
      <c r="CC274" s="13"/>
      <c r="CD274" s="14"/>
      <c r="CE274" s="15"/>
      <c r="CG274" s="13"/>
      <c r="CH274" s="14"/>
      <c r="CI274" s="15"/>
      <c r="CK274" s="13"/>
      <c r="CL274" s="14"/>
      <c r="CM274" s="15"/>
      <c r="CO274" s="13"/>
      <c r="CP274" s="14"/>
      <c r="CQ274" s="15"/>
      <c r="CS274" s="13"/>
      <c r="CT274" s="14"/>
      <c r="CU274" s="15"/>
    </row>
    <row r="275" spans="18:99">
      <c r="R275" s="508"/>
      <c r="S275" s="506"/>
      <c r="T275" s="507">
        <f t="shared" ca="1" si="69"/>
        <v>0</v>
      </c>
      <c r="U275" s="507">
        <f t="shared" ca="1" si="70"/>
        <v>0</v>
      </c>
      <c r="V275" s="507">
        <f t="shared" ca="1" si="71"/>
        <v>0</v>
      </c>
      <c r="W275" s="507">
        <f t="shared" ca="1" si="72"/>
        <v>0</v>
      </c>
      <c r="X275" s="507">
        <f t="shared" ca="1" si="73"/>
        <v>0</v>
      </c>
      <c r="Y275" s="507">
        <f t="shared" ca="1" si="74"/>
        <v>0</v>
      </c>
      <c r="Z275" s="507">
        <f t="shared" ca="1" si="75"/>
        <v>0</v>
      </c>
      <c r="AA275" s="507">
        <f t="shared" ca="1" si="76"/>
        <v>0</v>
      </c>
      <c r="AB275" s="507">
        <f t="shared" ca="1" si="77"/>
        <v>0</v>
      </c>
      <c r="AC275" s="507">
        <f t="shared" ca="1" si="78"/>
        <v>0</v>
      </c>
      <c r="AD275" s="507">
        <f t="shared" ca="1" si="79"/>
        <v>0</v>
      </c>
      <c r="AE275" s="507">
        <f t="shared" ca="1" si="80"/>
        <v>0</v>
      </c>
      <c r="AF275" s="11">
        <f t="shared" ca="1" si="81"/>
        <v>0</v>
      </c>
      <c r="AI275" s="4">
        <v>591</v>
      </c>
      <c r="AJ275" s="5" t="s">
        <v>828</v>
      </c>
      <c r="AK275" s="5" t="s">
        <v>814</v>
      </c>
      <c r="AL275" s="5" t="s">
        <v>829</v>
      </c>
      <c r="AM275" s="5" t="s">
        <v>830</v>
      </c>
      <c r="AN275" s="5" t="s">
        <v>18</v>
      </c>
      <c r="AO275" s="5" t="s">
        <v>16</v>
      </c>
      <c r="AP275" s="5" t="s">
        <v>481</v>
      </c>
      <c r="AQ275" s="5" t="s">
        <v>561</v>
      </c>
      <c r="AR275" s="5" t="s">
        <v>18</v>
      </c>
      <c r="AS275" s="6"/>
      <c r="AU275" s="5"/>
      <c r="AV275" s="5"/>
      <c r="AW275" s="5"/>
      <c r="AX275" s="5"/>
      <c r="AY275" s="5"/>
      <c r="BA275" s="13"/>
      <c r="BB275" s="14"/>
      <c r="BC275" s="15"/>
      <c r="BE275" s="13"/>
      <c r="BF275" s="14"/>
      <c r="BG275" s="15"/>
      <c r="BI275" s="13"/>
      <c r="BJ275" s="14"/>
      <c r="BK275" s="15"/>
      <c r="BM275" s="13"/>
      <c r="BN275" s="14"/>
      <c r="BO275" s="15"/>
      <c r="BQ275" s="13"/>
      <c r="BR275" s="14"/>
      <c r="BS275" s="15"/>
      <c r="BU275" s="13"/>
      <c r="BV275" s="14"/>
      <c r="BW275" s="15"/>
      <c r="BY275" s="13"/>
      <c r="BZ275" s="14"/>
      <c r="CA275" s="15"/>
      <c r="CC275" s="13"/>
      <c r="CD275" s="14"/>
      <c r="CE275" s="15"/>
      <c r="CG275" s="13"/>
      <c r="CH275" s="14"/>
      <c r="CI275" s="15"/>
      <c r="CK275" s="13"/>
      <c r="CL275" s="14"/>
      <c r="CM275" s="15"/>
      <c r="CO275" s="13"/>
      <c r="CP275" s="14"/>
      <c r="CQ275" s="15"/>
      <c r="CS275" s="13"/>
      <c r="CT275" s="14"/>
      <c r="CU275" s="15"/>
    </row>
    <row r="276" spans="18:99">
      <c r="R276" s="508"/>
      <c r="S276" s="506"/>
      <c r="T276" s="507">
        <f t="shared" ca="1" si="69"/>
        <v>0</v>
      </c>
      <c r="U276" s="507">
        <f t="shared" ca="1" si="70"/>
        <v>0</v>
      </c>
      <c r="V276" s="507">
        <f t="shared" ca="1" si="71"/>
        <v>0</v>
      </c>
      <c r="W276" s="507">
        <f t="shared" ca="1" si="72"/>
        <v>0</v>
      </c>
      <c r="X276" s="507">
        <f t="shared" ca="1" si="73"/>
        <v>0</v>
      </c>
      <c r="Y276" s="507">
        <f t="shared" ca="1" si="74"/>
        <v>0</v>
      </c>
      <c r="Z276" s="507">
        <f t="shared" ca="1" si="75"/>
        <v>0</v>
      </c>
      <c r="AA276" s="507">
        <f t="shared" ca="1" si="76"/>
        <v>0</v>
      </c>
      <c r="AB276" s="507">
        <f t="shared" ca="1" si="77"/>
        <v>0</v>
      </c>
      <c r="AC276" s="507">
        <f t="shared" ca="1" si="78"/>
        <v>0</v>
      </c>
      <c r="AD276" s="507">
        <f t="shared" ca="1" si="79"/>
        <v>0</v>
      </c>
      <c r="AE276" s="507">
        <f t="shared" ca="1" si="80"/>
        <v>0</v>
      </c>
      <c r="AF276" s="11">
        <f t="shared" ca="1" si="81"/>
        <v>0</v>
      </c>
      <c r="AI276" s="4">
        <v>593</v>
      </c>
      <c r="AJ276" s="5" t="s">
        <v>831</v>
      </c>
      <c r="AK276" s="5" t="s">
        <v>814</v>
      </c>
      <c r="AL276" s="5" t="s">
        <v>832</v>
      </c>
      <c r="AM276" s="5" t="s">
        <v>833</v>
      </c>
      <c r="AN276" s="5" t="s">
        <v>18</v>
      </c>
      <c r="AO276" s="5" t="s">
        <v>16</v>
      </c>
      <c r="AP276" s="5" t="s">
        <v>481</v>
      </c>
      <c r="AQ276" s="5" t="s">
        <v>561</v>
      </c>
      <c r="AR276" s="5" t="s">
        <v>18</v>
      </c>
      <c r="AS276" s="6"/>
      <c r="AU276" s="5"/>
      <c r="AV276" s="5"/>
      <c r="AW276" s="5"/>
      <c r="AX276" s="5"/>
      <c r="AY276" s="5"/>
      <c r="BA276" s="13"/>
      <c r="BB276" s="14"/>
      <c r="BC276" s="15"/>
      <c r="BE276" s="13"/>
      <c r="BF276" s="14"/>
      <c r="BG276" s="15"/>
      <c r="BI276" s="13"/>
      <c r="BJ276" s="14"/>
      <c r="BK276" s="15"/>
      <c r="BM276" s="13"/>
      <c r="BN276" s="14"/>
      <c r="BO276" s="15"/>
      <c r="BQ276" s="13"/>
      <c r="BR276" s="14"/>
      <c r="BS276" s="15"/>
      <c r="BU276" s="13"/>
      <c r="BV276" s="14"/>
      <c r="BW276" s="15"/>
      <c r="BY276" s="13"/>
      <c r="BZ276" s="14"/>
      <c r="CA276" s="15"/>
      <c r="CC276" s="13"/>
      <c r="CD276" s="14"/>
      <c r="CE276" s="15"/>
      <c r="CG276" s="13"/>
      <c r="CH276" s="14"/>
      <c r="CI276" s="15"/>
      <c r="CK276" s="13"/>
      <c r="CL276" s="14"/>
      <c r="CM276" s="15"/>
      <c r="CO276" s="13"/>
      <c r="CP276" s="14"/>
      <c r="CQ276" s="15"/>
      <c r="CS276" s="13"/>
      <c r="CT276" s="14"/>
      <c r="CU276" s="15"/>
    </row>
    <row r="277" spans="18:99">
      <c r="R277" s="508"/>
      <c r="S277" s="506"/>
      <c r="T277" s="507">
        <f t="shared" ca="1" si="69"/>
        <v>0</v>
      </c>
      <c r="U277" s="507">
        <f t="shared" ca="1" si="70"/>
        <v>0</v>
      </c>
      <c r="V277" s="507">
        <f t="shared" ca="1" si="71"/>
        <v>0</v>
      </c>
      <c r="W277" s="507">
        <f t="shared" ca="1" si="72"/>
        <v>0</v>
      </c>
      <c r="X277" s="507">
        <f t="shared" ca="1" si="73"/>
        <v>0</v>
      </c>
      <c r="Y277" s="507">
        <f t="shared" ca="1" si="74"/>
        <v>0</v>
      </c>
      <c r="Z277" s="507">
        <f t="shared" ca="1" si="75"/>
        <v>0</v>
      </c>
      <c r="AA277" s="507">
        <f t="shared" ca="1" si="76"/>
        <v>0</v>
      </c>
      <c r="AB277" s="507">
        <f t="shared" ca="1" si="77"/>
        <v>0</v>
      </c>
      <c r="AC277" s="507">
        <f t="shared" ca="1" si="78"/>
        <v>0</v>
      </c>
      <c r="AD277" s="507">
        <f t="shared" ca="1" si="79"/>
        <v>0</v>
      </c>
      <c r="AE277" s="507">
        <f t="shared" ca="1" si="80"/>
        <v>0</v>
      </c>
      <c r="AF277" s="11">
        <f t="shared" ca="1" si="81"/>
        <v>0</v>
      </c>
      <c r="AI277" s="4">
        <v>595</v>
      </c>
      <c r="AJ277" s="5" t="s">
        <v>839</v>
      </c>
      <c r="AK277" s="5" t="s">
        <v>837</v>
      </c>
      <c r="AL277" s="5" t="s">
        <v>840</v>
      </c>
      <c r="AM277" s="5" t="s">
        <v>824</v>
      </c>
      <c r="AN277" s="5" t="s">
        <v>18</v>
      </c>
      <c r="AO277" s="5" t="s">
        <v>16</v>
      </c>
      <c r="AP277" s="5" t="s">
        <v>481</v>
      </c>
      <c r="AQ277" s="5" t="s">
        <v>561</v>
      </c>
      <c r="AR277" s="5" t="s">
        <v>18</v>
      </c>
      <c r="AS277" s="6"/>
      <c r="AU277" s="5"/>
      <c r="AV277" s="5"/>
      <c r="AW277" s="5"/>
      <c r="AX277" s="5"/>
      <c r="AY277" s="5"/>
      <c r="BA277" s="13"/>
      <c r="BB277" s="14"/>
      <c r="BC277" s="15"/>
      <c r="BE277" s="13"/>
      <c r="BF277" s="14"/>
      <c r="BG277" s="15"/>
      <c r="BI277" s="13"/>
      <c r="BJ277" s="14"/>
      <c r="BK277" s="15"/>
      <c r="BM277" s="13"/>
      <c r="BN277" s="14"/>
      <c r="BO277" s="15"/>
      <c r="BQ277" s="13"/>
      <c r="BR277" s="14"/>
      <c r="BS277" s="15"/>
      <c r="BU277" s="13"/>
      <c r="BV277" s="14"/>
      <c r="BW277" s="15"/>
      <c r="BY277" s="13"/>
      <c r="BZ277" s="14"/>
      <c r="CA277" s="15"/>
      <c r="CC277" s="13"/>
      <c r="CD277" s="14"/>
      <c r="CE277" s="15"/>
      <c r="CG277" s="13"/>
      <c r="CH277" s="14"/>
      <c r="CI277" s="15"/>
      <c r="CK277" s="13"/>
      <c r="CL277" s="14"/>
      <c r="CM277" s="15"/>
      <c r="CO277" s="13"/>
      <c r="CP277" s="14"/>
      <c r="CQ277" s="15"/>
      <c r="CS277" s="13"/>
      <c r="CT277" s="14"/>
      <c r="CU277" s="15"/>
    </row>
    <row r="278" spans="18:99">
      <c r="R278" s="508"/>
      <c r="S278" s="506"/>
      <c r="T278" s="507">
        <f t="shared" ca="1" si="69"/>
        <v>0</v>
      </c>
      <c r="U278" s="507">
        <f t="shared" ca="1" si="70"/>
        <v>0</v>
      </c>
      <c r="V278" s="507">
        <f t="shared" ca="1" si="71"/>
        <v>0</v>
      </c>
      <c r="W278" s="507">
        <f t="shared" ca="1" si="72"/>
        <v>0</v>
      </c>
      <c r="X278" s="507">
        <f t="shared" ca="1" si="73"/>
        <v>0</v>
      </c>
      <c r="Y278" s="507">
        <f t="shared" ca="1" si="74"/>
        <v>0</v>
      </c>
      <c r="Z278" s="507">
        <f t="shared" ca="1" si="75"/>
        <v>0</v>
      </c>
      <c r="AA278" s="507">
        <f t="shared" ca="1" si="76"/>
        <v>0</v>
      </c>
      <c r="AB278" s="507">
        <f t="shared" ca="1" si="77"/>
        <v>0</v>
      </c>
      <c r="AC278" s="507">
        <f t="shared" ca="1" si="78"/>
        <v>0</v>
      </c>
      <c r="AD278" s="507">
        <f t="shared" ca="1" si="79"/>
        <v>0</v>
      </c>
      <c r="AE278" s="507">
        <f t="shared" ca="1" si="80"/>
        <v>0</v>
      </c>
      <c r="AF278" s="11">
        <f t="shared" ca="1" si="81"/>
        <v>0</v>
      </c>
      <c r="AI278" s="4">
        <v>597</v>
      </c>
      <c r="AJ278" s="5" t="s">
        <v>843</v>
      </c>
      <c r="AK278" s="5" t="s">
        <v>841</v>
      </c>
      <c r="AL278" s="5" t="s">
        <v>844</v>
      </c>
      <c r="AM278" s="5" t="s">
        <v>0</v>
      </c>
      <c r="AN278" s="5" t="s">
        <v>18</v>
      </c>
      <c r="AO278" s="5" t="s">
        <v>16</v>
      </c>
      <c r="AP278" s="5" t="s">
        <v>481</v>
      </c>
      <c r="AQ278" s="5" t="s">
        <v>561</v>
      </c>
      <c r="AR278" s="5" t="s">
        <v>18</v>
      </c>
      <c r="AS278" s="6"/>
      <c r="AU278" s="5"/>
      <c r="AV278" s="5"/>
      <c r="AW278" s="5"/>
      <c r="AX278" s="5"/>
      <c r="AY278" s="5"/>
      <c r="BA278" s="13"/>
      <c r="BB278" s="14"/>
      <c r="BC278" s="15"/>
      <c r="BE278" s="13"/>
      <c r="BF278" s="14"/>
      <c r="BG278" s="15"/>
      <c r="BI278" s="13"/>
      <c r="BJ278" s="14"/>
      <c r="BK278" s="15"/>
      <c r="BM278" s="13"/>
      <c r="BN278" s="14"/>
      <c r="BO278" s="15"/>
      <c r="BQ278" s="13"/>
      <c r="BR278" s="14"/>
      <c r="BS278" s="15"/>
      <c r="BU278" s="13"/>
      <c r="BV278" s="14"/>
      <c r="BW278" s="15"/>
      <c r="BY278" s="13"/>
      <c r="BZ278" s="14"/>
      <c r="CA278" s="15"/>
      <c r="CC278" s="13"/>
      <c r="CD278" s="14"/>
      <c r="CE278" s="15"/>
      <c r="CG278" s="13"/>
      <c r="CH278" s="14"/>
      <c r="CI278" s="15"/>
      <c r="CK278" s="13"/>
      <c r="CL278" s="14"/>
      <c r="CM278" s="15"/>
      <c r="CO278" s="13"/>
      <c r="CP278" s="14"/>
      <c r="CQ278" s="15"/>
      <c r="CS278" s="13"/>
      <c r="CT278" s="14"/>
      <c r="CU278" s="15"/>
    </row>
    <row r="279" spans="18:99">
      <c r="R279" s="508"/>
      <c r="S279" s="506"/>
      <c r="T279" s="507">
        <f t="shared" ca="1" si="69"/>
        <v>0</v>
      </c>
      <c r="U279" s="507">
        <f t="shared" ca="1" si="70"/>
        <v>0</v>
      </c>
      <c r="V279" s="507">
        <f t="shared" ca="1" si="71"/>
        <v>0</v>
      </c>
      <c r="W279" s="507">
        <f t="shared" ca="1" si="72"/>
        <v>0</v>
      </c>
      <c r="X279" s="507">
        <f t="shared" ca="1" si="73"/>
        <v>0</v>
      </c>
      <c r="Y279" s="507">
        <f t="shared" ca="1" si="74"/>
        <v>0</v>
      </c>
      <c r="Z279" s="507">
        <f t="shared" ca="1" si="75"/>
        <v>0</v>
      </c>
      <c r="AA279" s="507">
        <f t="shared" ca="1" si="76"/>
        <v>0</v>
      </c>
      <c r="AB279" s="507">
        <f t="shared" ca="1" si="77"/>
        <v>0</v>
      </c>
      <c r="AC279" s="507">
        <f t="shared" ca="1" si="78"/>
        <v>0</v>
      </c>
      <c r="AD279" s="507">
        <f t="shared" ca="1" si="79"/>
        <v>0</v>
      </c>
      <c r="AE279" s="507">
        <f t="shared" ca="1" si="80"/>
        <v>0</v>
      </c>
      <c r="AF279" s="11">
        <f t="shared" ca="1" si="81"/>
        <v>0</v>
      </c>
      <c r="AI279" s="4">
        <v>599</v>
      </c>
      <c r="AJ279" s="5" t="s">
        <v>847</v>
      </c>
      <c r="AK279" s="5" t="s">
        <v>845</v>
      </c>
      <c r="AL279" s="5" t="s">
        <v>848</v>
      </c>
      <c r="AM279" s="5" t="s">
        <v>0</v>
      </c>
      <c r="AN279" s="5" t="s">
        <v>18</v>
      </c>
      <c r="AO279" s="5" t="s">
        <v>16</v>
      </c>
      <c r="AP279" s="5" t="s">
        <v>481</v>
      </c>
      <c r="AQ279" s="5" t="s">
        <v>561</v>
      </c>
      <c r="AR279" s="5" t="s">
        <v>18</v>
      </c>
      <c r="AS279" s="6"/>
      <c r="AU279" s="5"/>
      <c r="AV279" s="5"/>
      <c r="AW279" s="5"/>
      <c r="AX279" s="5"/>
      <c r="AY279" s="5"/>
      <c r="BA279" s="13"/>
      <c r="BB279" s="14"/>
      <c r="BC279" s="15"/>
      <c r="BE279" s="13"/>
      <c r="BF279" s="14"/>
      <c r="BG279" s="15"/>
      <c r="BI279" s="13"/>
      <c r="BJ279" s="14"/>
      <c r="BK279" s="15"/>
      <c r="BM279" s="13"/>
      <c r="BN279" s="14"/>
      <c r="BO279" s="15"/>
      <c r="BQ279" s="13"/>
      <c r="BR279" s="14"/>
      <c r="BS279" s="15"/>
      <c r="BU279" s="13"/>
      <c r="BV279" s="14"/>
      <c r="BW279" s="15"/>
      <c r="BY279" s="13"/>
      <c r="BZ279" s="14"/>
      <c r="CA279" s="15"/>
      <c r="CC279" s="13"/>
      <c r="CD279" s="14"/>
      <c r="CE279" s="15"/>
      <c r="CG279" s="13"/>
      <c r="CH279" s="14"/>
      <c r="CI279" s="15"/>
      <c r="CK279" s="13"/>
      <c r="CL279" s="14"/>
      <c r="CM279" s="15"/>
      <c r="CO279" s="13"/>
      <c r="CP279" s="14"/>
      <c r="CQ279" s="15"/>
      <c r="CS279" s="13"/>
      <c r="CT279" s="14"/>
      <c r="CU279" s="15"/>
    </row>
    <row r="280" spans="18:99">
      <c r="R280" s="508"/>
      <c r="S280" s="506"/>
      <c r="T280" s="507">
        <f t="shared" ca="1" si="69"/>
        <v>0</v>
      </c>
      <c r="U280" s="507">
        <f t="shared" ca="1" si="70"/>
        <v>0</v>
      </c>
      <c r="V280" s="507">
        <f t="shared" ca="1" si="71"/>
        <v>0</v>
      </c>
      <c r="W280" s="507">
        <f t="shared" ca="1" si="72"/>
        <v>0</v>
      </c>
      <c r="X280" s="507">
        <f t="shared" ca="1" si="73"/>
        <v>0</v>
      </c>
      <c r="Y280" s="507">
        <f t="shared" ca="1" si="74"/>
        <v>0</v>
      </c>
      <c r="Z280" s="507">
        <f t="shared" ca="1" si="75"/>
        <v>0</v>
      </c>
      <c r="AA280" s="507">
        <f t="shared" ca="1" si="76"/>
        <v>0</v>
      </c>
      <c r="AB280" s="507">
        <f t="shared" ca="1" si="77"/>
        <v>0</v>
      </c>
      <c r="AC280" s="507">
        <f t="shared" ca="1" si="78"/>
        <v>0</v>
      </c>
      <c r="AD280" s="507">
        <f t="shared" ca="1" si="79"/>
        <v>0</v>
      </c>
      <c r="AE280" s="507">
        <f t="shared" ca="1" si="80"/>
        <v>0</v>
      </c>
      <c r="AF280" s="11">
        <f t="shared" ca="1" si="81"/>
        <v>0</v>
      </c>
      <c r="AI280" s="4">
        <v>601</v>
      </c>
      <c r="AJ280" s="5" t="s">
        <v>857</v>
      </c>
      <c r="AK280" s="5" t="s">
        <v>854</v>
      </c>
      <c r="AL280" s="5" t="s">
        <v>858</v>
      </c>
      <c r="AM280" s="5" t="s">
        <v>859</v>
      </c>
      <c r="AN280" s="5" t="s">
        <v>18</v>
      </c>
      <c r="AO280" s="5" t="s">
        <v>16</v>
      </c>
      <c r="AP280" s="5" t="s">
        <v>481</v>
      </c>
      <c r="AQ280" s="5" t="s">
        <v>561</v>
      </c>
      <c r="AR280" s="5" t="s">
        <v>18</v>
      </c>
      <c r="AS280" s="6"/>
      <c r="AU280" s="5"/>
      <c r="AV280" s="5"/>
      <c r="AW280" s="5"/>
      <c r="AX280" s="5"/>
      <c r="AY280" s="5"/>
      <c r="BA280" s="13"/>
      <c r="BB280" s="14"/>
      <c r="BC280" s="15"/>
      <c r="BE280" s="13"/>
      <c r="BF280" s="14"/>
      <c r="BG280" s="15"/>
      <c r="BI280" s="13"/>
      <c r="BJ280" s="14"/>
      <c r="BK280" s="15"/>
      <c r="BM280" s="13"/>
      <c r="BN280" s="14"/>
      <c r="BO280" s="15"/>
      <c r="BQ280" s="13"/>
      <c r="BR280" s="14"/>
      <c r="BS280" s="15"/>
      <c r="BU280" s="13"/>
      <c r="BV280" s="14"/>
      <c r="BW280" s="15"/>
      <c r="BY280" s="13"/>
      <c r="BZ280" s="14"/>
      <c r="CA280" s="15"/>
      <c r="CC280" s="13"/>
      <c r="CD280" s="14"/>
      <c r="CE280" s="15"/>
      <c r="CG280" s="13"/>
      <c r="CH280" s="14"/>
      <c r="CI280" s="15"/>
      <c r="CK280" s="13"/>
      <c r="CL280" s="14"/>
      <c r="CM280" s="15"/>
      <c r="CO280" s="13"/>
      <c r="CP280" s="14"/>
      <c r="CQ280" s="15"/>
      <c r="CS280" s="13"/>
      <c r="CT280" s="14"/>
      <c r="CU280" s="15"/>
    </row>
    <row r="281" spans="18:99">
      <c r="R281" s="508"/>
      <c r="S281" s="506"/>
      <c r="T281" s="507">
        <f t="shared" ca="1" si="69"/>
        <v>0</v>
      </c>
      <c r="U281" s="507">
        <f t="shared" ca="1" si="70"/>
        <v>0</v>
      </c>
      <c r="V281" s="507">
        <f t="shared" ca="1" si="71"/>
        <v>0</v>
      </c>
      <c r="W281" s="507">
        <f t="shared" ca="1" si="72"/>
        <v>0</v>
      </c>
      <c r="X281" s="507">
        <f t="shared" ca="1" si="73"/>
        <v>0</v>
      </c>
      <c r="Y281" s="507">
        <f t="shared" ca="1" si="74"/>
        <v>0</v>
      </c>
      <c r="Z281" s="507">
        <f t="shared" ca="1" si="75"/>
        <v>0</v>
      </c>
      <c r="AA281" s="507">
        <f t="shared" ca="1" si="76"/>
        <v>0</v>
      </c>
      <c r="AB281" s="507">
        <f t="shared" ca="1" si="77"/>
        <v>0</v>
      </c>
      <c r="AC281" s="507">
        <f t="shared" ca="1" si="78"/>
        <v>0</v>
      </c>
      <c r="AD281" s="507">
        <f t="shared" ca="1" si="79"/>
        <v>0</v>
      </c>
      <c r="AE281" s="507">
        <f t="shared" ca="1" si="80"/>
        <v>0</v>
      </c>
      <c r="AF281" s="11">
        <f t="shared" ca="1" si="81"/>
        <v>0</v>
      </c>
      <c r="AI281" s="4">
        <v>603</v>
      </c>
      <c r="AJ281" s="5" t="s">
        <v>860</v>
      </c>
      <c r="AK281" s="5" t="s">
        <v>854</v>
      </c>
      <c r="AL281" s="5" t="s">
        <v>861</v>
      </c>
      <c r="AM281" s="5" t="s">
        <v>862</v>
      </c>
      <c r="AN281" s="5" t="s">
        <v>18</v>
      </c>
      <c r="AO281" s="5" t="s">
        <v>16</v>
      </c>
      <c r="AP281" s="5" t="s">
        <v>481</v>
      </c>
      <c r="AQ281" s="5" t="s">
        <v>561</v>
      </c>
      <c r="AR281" s="5" t="s">
        <v>18</v>
      </c>
      <c r="AS281" s="6"/>
      <c r="AU281" s="5"/>
      <c r="AV281" s="5"/>
      <c r="AW281" s="5"/>
      <c r="AX281" s="5"/>
      <c r="AY281" s="5"/>
      <c r="BA281" s="13"/>
      <c r="BB281" s="14"/>
      <c r="BC281" s="15"/>
      <c r="BE281" s="13"/>
      <c r="BF281" s="14"/>
      <c r="BG281" s="15"/>
      <c r="BI281" s="13"/>
      <c r="BJ281" s="14"/>
      <c r="BK281" s="15"/>
      <c r="BM281" s="13"/>
      <c r="BN281" s="14"/>
      <c r="BO281" s="15"/>
      <c r="BQ281" s="13"/>
      <c r="BR281" s="14"/>
      <c r="BS281" s="15"/>
      <c r="BU281" s="13"/>
      <c r="BV281" s="14"/>
      <c r="BW281" s="15"/>
      <c r="BY281" s="13"/>
      <c r="BZ281" s="14"/>
      <c r="CA281" s="15"/>
      <c r="CC281" s="13"/>
      <c r="CD281" s="14"/>
      <c r="CE281" s="15"/>
      <c r="CG281" s="13"/>
      <c r="CH281" s="14"/>
      <c r="CI281" s="15"/>
      <c r="CK281" s="13"/>
      <c r="CL281" s="14"/>
      <c r="CM281" s="15"/>
      <c r="CO281" s="13"/>
      <c r="CP281" s="14"/>
      <c r="CQ281" s="15"/>
      <c r="CS281" s="13"/>
      <c r="CT281" s="14"/>
      <c r="CU281" s="15"/>
    </row>
    <row r="282" spans="18:99">
      <c r="R282" s="508"/>
      <c r="S282" s="506"/>
      <c r="T282" s="507">
        <f t="shared" ca="1" si="69"/>
        <v>0</v>
      </c>
      <c r="U282" s="507">
        <f t="shared" ca="1" si="70"/>
        <v>0</v>
      </c>
      <c r="V282" s="507">
        <f t="shared" ca="1" si="71"/>
        <v>0</v>
      </c>
      <c r="W282" s="507">
        <f t="shared" ca="1" si="72"/>
        <v>0</v>
      </c>
      <c r="X282" s="507">
        <f t="shared" ca="1" si="73"/>
        <v>0</v>
      </c>
      <c r="Y282" s="507">
        <f t="shared" ca="1" si="74"/>
        <v>0</v>
      </c>
      <c r="Z282" s="507">
        <f t="shared" ca="1" si="75"/>
        <v>0</v>
      </c>
      <c r="AA282" s="507">
        <f t="shared" ca="1" si="76"/>
        <v>0</v>
      </c>
      <c r="AB282" s="507">
        <f t="shared" ca="1" si="77"/>
        <v>0</v>
      </c>
      <c r="AC282" s="507">
        <f t="shared" ca="1" si="78"/>
        <v>0</v>
      </c>
      <c r="AD282" s="507">
        <f t="shared" ca="1" si="79"/>
        <v>0</v>
      </c>
      <c r="AE282" s="507">
        <f t="shared" ca="1" si="80"/>
        <v>0</v>
      </c>
      <c r="AF282" s="11">
        <f t="shared" ca="1" si="81"/>
        <v>0</v>
      </c>
      <c r="AI282" s="4">
        <v>605</v>
      </c>
      <c r="AJ282" s="5" t="s">
        <v>866</v>
      </c>
      <c r="AK282" s="5" t="s">
        <v>865</v>
      </c>
      <c r="AL282" s="5" t="s">
        <v>867</v>
      </c>
      <c r="AM282" s="5" t="s">
        <v>868</v>
      </c>
      <c r="AN282" s="5" t="s">
        <v>18</v>
      </c>
      <c r="AO282" s="5" t="s">
        <v>16</v>
      </c>
      <c r="AP282" s="5" t="s">
        <v>481</v>
      </c>
      <c r="AQ282" s="5" t="s">
        <v>561</v>
      </c>
      <c r="AR282" s="5" t="s">
        <v>18</v>
      </c>
      <c r="AS282" s="6"/>
      <c r="AU282" s="5"/>
      <c r="AV282" s="5"/>
      <c r="AW282" s="5"/>
      <c r="AX282" s="5"/>
      <c r="AY282" s="5"/>
      <c r="BA282" s="13"/>
      <c r="BB282" s="14"/>
      <c r="BC282" s="15"/>
      <c r="BE282" s="13"/>
      <c r="BF282" s="14"/>
      <c r="BG282" s="15"/>
      <c r="BI282" s="13"/>
      <c r="BJ282" s="14"/>
      <c r="BK282" s="15"/>
      <c r="BM282" s="13"/>
      <c r="BN282" s="14"/>
      <c r="BO282" s="15"/>
      <c r="BQ282" s="13"/>
      <c r="BR282" s="14"/>
      <c r="BS282" s="15"/>
      <c r="BU282" s="13"/>
      <c r="BV282" s="14"/>
      <c r="BW282" s="15"/>
      <c r="BY282" s="13"/>
      <c r="BZ282" s="14"/>
      <c r="CA282" s="15"/>
      <c r="CC282" s="13"/>
      <c r="CD282" s="14"/>
      <c r="CE282" s="15"/>
      <c r="CG282" s="13"/>
      <c r="CH282" s="14"/>
      <c r="CI282" s="15"/>
      <c r="CK282" s="13"/>
      <c r="CL282" s="14"/>
      <c r="CM282" s="15"/>
      <c r="CO282" s="13"/>
      <c r="CP282" s="14"/>
      <c r="CQ282" s="15"/>
      <c r="CS282" s="13"/>
      <c r="CT282" s="14"/>
      <c r="CU282" s="15"/>
    </row>
    <row r="283" spans="18:99">
      <c r="R283" s="508"/>
      <c r="S283" s="506"/>
      <c r="T283" s="507">
        <f t="shared" ca="1" si="69"/>
        <v>0</v>
      </c>
      <c r="U283" s="507">
        <f t="shared" ca="1" si="70"/>
        <v>0</v>
      </c>
      <c r="V283" s="507">
        <f t="shared" ca="1" si="71"/>
        <v>0</v>
      </c>
      <c r="W283" s="507">
        <f t="shared" ca="1" si="72"/>
        <v>0</v>
      </c>
      <c r="X283" s="507">
        <f t="shared" ca="1" si="73"/>
        <v>0</v>
      </c>
      <c r="Y283" s="507">
        <f t="shared" ca="1" si="74"/>
        <v>0</v>
      </c>
      <c r="Z283" s="507">
        <f t="shared" ca="1" si="75"/>
        <v>0</v>
      </c>
      <c r="AA283" s="507">
        <f t="shared" ca="1" si="76"/>
        <v>0</v>
      </c>
      <c r="AB283" s="507">
        <f t="shared" ca="1" si="77"/>
        <v>0</v>
      </c>
      <c r="AC283" s="507">
        <f t="shared" ca="1" si="78"/>
        <v>0</v>
      </c>
      <c r="AD283" s="507">
        <f t="shared" ca="1" si="79"/>
        <v>0</v>
      </c>
      <c r="AE283" s="507">
        <f t="shared" ca="1" si="80"/>
        <v>0</v>
      </c>
      <c r="AF283" s="11">
        <f t="shared" ca="1" si="81"/>
        <v>0</v>
      </c>
      <c r="AI283" s="4">
        <v>607</v>
      </c>
      <c r="AJ283" s="5" t="s">
        <v>869</v>
      </c>
      <c r="AK283" s="5" t="s">
        <v>865</v>
      </c>
      <c r="AL283" s="5" t="s">
        <v>870</v>
      </c>
      <c r="AM283" s="5" t="s">
        <v>871</v>
      </c>
      <c r="AN283" s="5" t="s">
        <v>18</v>
      </c>
      <c r="AO283" s="5" t="s">
        <v>16</v>
      </c>
      <c r="AP283" s="5" t="s">
        <v>481</v>
      </c>
      <c r="AQ283" s="5" t="s">
        <v>561</v>
      </c>
      <c r="AR283" s="5" t="s">
        <v>18</v>
      </c>
      <c r="AS283" s="6"/>
      <c r="AU283" s="5"/>
      <c r="AV283" s="5"/>
      <c r="AW283" s="5"/>
      <c r="AX283" s="5"/>
      <c r="AY283" s="5"/>
      <c r="BA283" s="13"/>
      <c r="BB283" s="14"/>
      <c r="BC283" s="15"/>
      <c r="BE283" s="13"/>
      <c r="BF283" s="14"/>
      <c r="BG283" s="15"/>
      <c r="BI283" s="13"/>
      <c r="BJ283" s="14"/>
      <c r="BK283" s="15"/>
      <c r="BM283" s="13"/>
      <c r="BN283" s="14"/>
      <c r="BO283" s="15"/>
      <c r="BQ283" s="13"/>
      <c r="BR283" s="14"/>
      <c r="BS283" s="15"/>
      <c r="BU283" s="13"/>
      <c r="BV283" s="14"/>
      <c r="BW283" s="15"/>
      <c r="BY283" s="13"/>
      <c r="BZ283" s="14"/>
      <c r="CA283" s="15"/>
      <c r="CC283" s="13"/>
      <c r="CD283" s="14"/>
      <c r="CE283" s="15"/>
      <c r="CG283" s="13"/>
      <c r="CH283" s="14"/>
      <c r="CI283" s="15"/>
      <c r="CK283" s="13"/>
      <c r="CL283" s="14"/>
      <c r="CM283" s="15"/>
      <c r="CO283" s="13"/>
      <c r="CP283" s="14"/>
      <c r="CQ283" s="15"/>
      <c r="CS283" s="13"/>
      <c r="CT283" s="14"/>
      <c r="CU283" s="15"/>
    </row>
    <row r="284" spans="18:99">
      <c r="R284" s="508"/>
      <c r="S284" s="506"/>
      <c r="T284" s="507">
        <f t="shared" ca="1" si="69"/>
        <v>0</v>
      </c>
      <c r="U284" s="507">
        <f t="shared" ca="1" si="70"/>
        <v>0</v>
      </c>
      <c r="V284" s="507">
        <f t="shared" ca="1" si="71"/>
        <v>0</v>
      </c>
      <c r="W284" s="507">
        <f t="shared" ca="1" si="72"/>
        <v>0</v>
      </c>
      <c r="X284" s="507">
        <f t="shared" ca="1" si="73"/>
        <v>0</v>
      </c>
      <c r="Y284" s="507">
        <f t="shared" ca="1" si="74"/>
        <v>0</v>
      </c>
      <c r="Z284" s="507">
        <f t="shared" ca="1" si="75"/>
        <v>0</v>
      </c>
      <c r="AA284" s="507">
        <f t="shared" ca="1" si="76"/>
        <v>0</v>
      </c>
      <c r="AB284" s="507">
        <f t="shared" ca="1" si="77"/>
        <v>0</v>
      </c>
      <c r="AC284" s="507">
        <f t="shared" ca="1" si="78"/>
        <v>0</v>
      </c>
      <c r="AD284" s="507">
        <f t="shared" ca="1" si="79"/>
        <v>0</v>
      </c>
      <c r="AE284" s="507">
        <f t="shared" ca="1" si="80"/>
        <v>0</v>
      </c>
      <c r="AF284" s="11">
        <f t="shared" ca="1" si="81"/>
        <v>0</v>
      </c>
      <c r="AI284" s="4">
        <v>609</v>
      </c>
      <c r="AJ284" s="5" t="s">
        <v>876</v>
      </c>
      <c r="AK284" s="5" t="s">
        <v>874</v>
      </c>
      <c r="AL284" s="5" t="s">
        <v>877</v>
      </c>
      <c r="AM284" s="5" t="s">
        <v>0</v>
      </c>
      <c r="AN284" s="5" t="s">
        <v>18</v>
      </c>
      <c r="AO284" s="5" t="s">
        <v>16</v>
      </c>
      <c r="AP284" s="5" t="s">
        <v>17</v>
      </c>
      <c r="AQ284" s="5" t="s">
        <v>873</v>
      </c>
      <c r="AR284" s="5" t="s">
        <v>18</v>
      </c>
      <c r="AS284" s="6"/>
      <c r="AU284" s="5"/>
      <c r="AV284" s="5"/>
      <c r="AW284" s="5"/>
      <c r="AX284" s="5"/>
      <c r="AY284" s="5"/>
      <c r="BA284" s="13"/>
      <c r="BB284" s="14"/>
      <c r="BC284" s="15"/>
      <c r="BE284" s="13"/>
      <c r="BF284" s="14"/>
      <c r="BG284" s="15"/>
      <c r="BI284" s="13"/>
      <c r="BJ284" s="14"/>
      <c r="BK284" s="15"/>
      <c r="BM284" s="13"/>
      <c r="BN284" s="14"/>
      <c r="BO284" s="15"/>
      <c r="BQ284" s="13"/>
      <c r="BR284" s="14"/>
      <c r="BS284" s="15"/>
      <c r="BU284" s="13"/>
      <c r="BV284" s="14"/>
      <c r="BW284" s="15"/>
      <c r="BY284" s="13"/>
      <c r="BZ284" s="14"/>
      <c r="CA284" s="15"/>
      <c r="CC284" s="13"/>
      <c r="CD284" s="14"/>
      <c r="CE284" s="15"/>
      <c r="CG284" s="13"/>
      <c r="CH284" s="14"/>
      <c r="CI284" s="15"/>
      <c r="CK284" s="13"/>
      <c r="CL284" s="14"/>
      <c r="CM284" s="15"/>
      <c r="CO284" s="13"/>
      <c r="CP284" s="14"/>
      <c r="CQ284" s="15"/>
      <c r="CS284" s="13"/>
      <c r="CT284" s="14"/>
      <c r="CU284" s="15"/>
    </row>
    <row r="285" spans="18:99">
      <c r="R285" s="508"/>
      <c r="S285" s="506"/>
      <c r="T285" s="507">
        <f t="shared" ca="1" si="69"/>
        <v>0</v>
      </c>
      <c r="U285" s="507">
        <f t="shared" ca="1" si="70"/>
        <v>0</v>
      </c>
      <c r="V285" s="507">
        <f t="shared" ca="1" si="71"/>
        <v>0</v>
      </c>
      <c r="W285" s="507">
        <f t="shared" ca="1" si="72"/>
        <v>0</v>
      </c>
      <c r="X285" s="507">
        <f t="shared" ca="1" si="73"/>
        <v>0</v>
      </c>
      <c r="Y285" s="507">
        <f t="shared" ca="1" si="74"/>
        <v>0</v>
      </c>
      <c r="Z285" s="507">
        <f t="shared" ca="1" si="75"/>
        <v>0</v>
      </c>
      <c r="AA285" s="507">
        <f t="shared" ca="1" si="76"/>
        <v>0</v>
      </c>
      <c r="AB285" s="507">
        <f t="shared" ca="1" si="77"/>
        <v>0</v>
      </c>
      <c r="AC285" s="507">
        <f t="shared" ca="1" si="78"/>
        <v>0</v>
      </c>
      <c r="AD285" s="507">
        <f t="shared" ca="1" si="79"/>
        <v>0</v>
      </c>
      <c r="AE285" s="507">
        <f t="shared" ca="1" si="80"/>
        <v>0</v>
      </c>
      <c r="AF285" s="11">
        <f t="shared" ca="1" si="81"/>
        <v>0</v>
      </c>
      <c r="AI285" s="4">
        <v>611</v>
      </c>
      <c r="AJ285" s="5" t="s">
        <v>880</v>
      </c>
      <c r="AK285" s="5" t="s">
        <v>878</v>
      </c>
      <c r="AL285" s="5" t="s">
        <v>881</v>
      </c>
      <c r="AM285" s="5" t="s">
        <v>0</v>
      </c>
      <c r="AN285" s="5" t="s">
        <v>18</v>
      </c>
      <c r="AO285" s="5" t="s">
        <v>16</v>
      </c>
      <c r="AP285" s="5" t="s">
        <v>17</v>
      </c>
      <c r="AQ285" s="5" t="s">
        <v>873</v>
      </c>
      <c r="AR285" s="5" t="s">
        <v>18</v>
      </c>
      <c r="AS285" s="6"/>
      <c r="AU285" s="5"/>
      <c r="AV285" s="5"/>
      <c r="AW285" s="5"/>
      <c r="AX285" s="5"/>
      <c r="AY285" s="5"/>
      <c r="BA285" s="13"/>
      <c r="BB285" s="14"/>
      <c r="BC285" s="15"/>
      <c r="BE285" s="13"/>
      <c r="BF285" s="14"/>
      <c r="BG285" s="15"/>
      <c r="BI285" s="13"/>
      <c r="BJ285" s="14"/>
      <c r="BK285" s="15"/>
      <c r="BM285" s="13"/>
      <c r="BN285" s="14"/>
      <c r="BO285" s="15"/>
      <c r="BQ285" s="13"/>
      <c r="BR285" s="14"/>
      <c r="BS285" s="15"/>
      <c r="BU285" s="13"/>
      <c r="BV285" s="14"/>
      <c r="BW285" s="15"/>
      <c r="BY285" s="13"/>
      <c r="BZ285" s="14"/>
      <c r="CA285" s="15"/>
      <c r="CC285" s="13"/>
      <c r="CD285" s="14"/>
      <c r="CE285" s="15"/>
      <c r="CG285" s="13"/>
      <c r="CH285" s="14"/>
      <c r="CI285" s="15"/>
      <c r="CK285" s="13"/>
      <c r="CL285" s="14"/>
      <c r="CM285" s="15"/>
      <c r="CO285" s="13"/>
      <c r="CP285" s="14"/>
      <c r="CQ285" s="15"/>
      <c r="CS285" s="13"/>
      <c r="CT285" s="14"/>
      <c r="CU285" s="15"/>
    </row>
    <row r="286" spans="18:99" ht="15.75" thickBot="1">
      <c r="R286" s="508"/>
      <c r="S286" s="506"/>
      <c r="T286" s="507">
        <f t="shared" ca="1" si="69"/>
        <v>0</v>
      </c>
      <c r="U286" s="507">
        <f t="shared" ca="1" si="70"/>
        <v>0</v>
      </c>
      <c r="V286" s="507">
        <f t="shared" ca="1" si="71"/>
        <v>0</v>
      </c>
      <c r="W286" s="507">
        <f t="shared" ca="1" si="72"/>
        <v>0</v>
      </c>
      <c r="X286" s="507">
        <f t="shared" ca="1" si="73"/>
        <v>0</v>
      </c>
      <c r="Y286" s="507">
        <f t="shared" ca="1" si="74"/>
        <v>0</v>
      </c>
      <c r="Z286" s="507">
        <f t="shared" ca="1" si="75"/>
        <v>0</v>
      </c>
      <c r="AA286" s="507">
        <f t="shared" ca="1" si="76"/>
        <v>0</v>
      </c>
      <c r="AB286" s="507">
        <f t="shared" ca="1" si="77"/>
        <v>0</v>
      </c>
      <c r="AC286" s="507">
        <f t="shared" ca="1" si="78"/>
        <v>0</v>
      </c>
      <c r="AD286" s="507">
        <f t="shared" ca="1" si="79"/>
        <v>0</v>
      </c>
      <c r="AE286" s="507">
        <f t="shared" ca="1" si="80"/>
        <v>0</v>
      </c>
      <c r="AF286" s="11">
        <f t="shared" ca="1" si="81"/>
        <v>0</v>
      </c>
      <c r="AI286" s="4">
        <v>613</v>
      </c>
      <c r="AJ286" s="5" t="s">
        <v>884</v>
      </c>
      <c r="AK286" s="5" t="s">
        <v>882</v>
      </c>
      <c r="AL286" s="5" t="s">
        <v>885</v>
      </c>
      <c r="AM286" s="5" t="s">
        <v>0</v>
      </c>
      <c r="AN286" s="5" t="s">
        <v>18</v>
      </c>
      <c r="AO286" s="5" t="s">
        <v>16</v>
      </c>
      <c r="AP286" s="5" t="s">
        <v>17</v>
      </c>
      <c r="AQ286" s="5" t="s">
        <v>873</v>
      </c>
      <c r="AR286" s="5" t="s">
        <v>18</v>
      </c>
      <c r="AS286" s="6"/>
      <c r="AU286" s="8"/>
      <c r="AV286" s="8"/>
      <c r="AW286" s="8"/>
      <c r="AX286" s="8"/>
      <c r="AY286" s="5"/>
      <c r="BA286" s="13"/>
      <c r="BB286" s="14"/>
      <c r="BC286" s="15"/>
      <c r="BE286" s="13"/>
      <c r="BF286" s="14"/>
      <c r="BG286" s="15"/>
      <c r="BI286" s="13"/>
      <c r="BJ286" s="14"/>
      <c r="BK286" s="15"/>
      <c r="BM286" s="13"/>
      <c r="BN286" s="14"/>
      <c r="BO286" s="15"/>
      <c r="BQ286" s="13"/>
      <c r="BR286" s="14"/>
      <c r="BS286" s="15"/>
      <c r="BU286" s="13"/>
      <c r="BV286" s="14"/>
      <c r="BW286" s="15"/>
      <c r="BY286" s="13"/>
      <c r="BZ286" s="14"/>
      <c r="CA286" s="15"/>
      <c r="CC286" s="13"/>
      <c r="CD286" s="14"/>
      <c r="CE286" s="15"/>
      <c r="CG286" s="13"/>
      <c r="CH286" s="14"/>
      <c r="CI286" s="15"/>
      <c r="CK286" s="13"/>
      <c r="CL286" s="14"/>
      <c r="CM286" s="15"/>
      <c r="CO286" s="13"/>
      <c r="CP286" s="14"/>
      <c r="CQ286" s="15"/>
      <c r="CS286" s="13"/>
      <c r="CT286" s="14"/>
      <c r="CU286" s="15"/>
    </row>
    <row r="287" spans="18:99">
      <c r="R287" s="508"/>
      <c r="S287" s="506"/>
      <c r="T287" s="507">
        <f t="shared" ca="1" si="69"/>
        <v>0</v>
      </c>
      <c r="U287" s="507">
        <f t="shared" ca="1" si="70"/>
        <v>0</v>
      </c>
      <c r="V287" s="507">
        <f t="shared" ca="1" si="71"/>
        <v>0</v>
      </c>
      <c r="W287" s="507">
        <f t="shared" ca="1" si="72"/>
        <v>0</v>
      </c>
      <c r="X287" s="507">
        <f t="shared" ca="1" si="73"/>
        <v>0</v>
      </c>
      <c r="Y287" s="507">
        <f t="shared" ca="1" si="74"/>
        <v>0</v>
      </c>
      <c r="Z287" s="507">
        <f t="shared" ca="1" si="75"/>
        <v>0</v>
      </c>
      <c r="AA287" s="507">
        <f t="shared" ca="1" si="76"/>
        <v>0</v>
      </c>
      <c r="AB287" s="507">
        <f t="shared" ca="1" si="77"/>
        <v>0</v>
      </c>
      <c r="AC287" s="507">
        <f t="shared" ca="1" si="78"/>
        <v>0</v>
      </c>
      <c r="AD287" s="507">
        <f t="shared" ca="1" si="79"/>
        <v>0</v>
      </c>
      <c r="AE287" s="507">
        <f t="shared" ca="1" si="80"/>
        <v>0</v>
      </c>
      <c r="AF287" s="11">
        <f t="shared" ca="1" si="81"/>
        <v>0</v>
      </c>
      <c r="AI287" s="4">
        <v>615</v>
      </c>
      <c r="AJ287" s="5" t="s">
        <v>888</v>
      </c>
      <c r="AK287" s="5" t="s">
        <v>873</v>
      </c>
      <c r="AL287" s="5" t="s">
        <v>889</v>
      </c>
      <c r="AM287" s="5" t="s">
        <v>0</v>
      </c>
      <c r="AN287" s="5" t="s">
        <v>18</v>
      </c>
      <c r="AO287" s="5" t="s">
        <v>16</v>
      </c>
      <c r="AP287" s="5" t="s">
        <v>17</v>
      </c>
      <c r="AQ287" s="5" t="s">
        <v>887</v>
      </c>
      <c r="AR287" s="5" t="s">
        <v>18</v>
      </c>
      <c r="AS287" s="6"/>
      <c r="BA287" s="13"/>
      <c r="BB287" s="14"/>
      <c r="BC287" s="15"/>
      <c r="BE287" s="13"/>
      <c r="BF287" s="14"/>
      <c r="BG287" s="15"/>
      <c r="BI287" s="13"/>
      <c r="BJ287" s="14"/>
      <c r="BK287" s="15"/>
      <c r="BM287" s="13"/>
      <c r="BN287" s="14"/>
      <c r="BO287" s="15"/>
      <c r="BQ287" s="13"/>
      <c r="BR287" s="14"/>
      <c r="BS287" s="15"/>
      <c r="BU287" s="13"/>
      <c r="BV287" s="14"/>
      <c r="BW287" s="15"/>
      <c r="BY287" s="13"/>
      <c r="BZ287" s="14"/>
      <c r="CA287" s="15"/>
      <c r="CC287" s="13"/>
      <c r="CD287" s="14"/>
      <c r="CE287" s="15"/>
      <c r="CG287" s="13"/>
      <c r="CH287" s="14"/>
      <c r="CI287" s="15"/>
      <c r="CK287" s="13"/>
      <c r="CL287" s="14"/>
      <c r="CM287" s="15"/>
      <c r="CO287" s="13"/>
      <c r="CP287" s="14"/>
      <c r="CQ287" s="15"/>
      <c r="CS287" s="13"/>
      <c r="CT287" s="14"/>
      <c r="CU287" s="15"/>
    </row>
    <row r="288" spans="18:99">
      <c r="R288" s="508"/>
      <c r="S288" s="506"/>
      <c r="T288" s="507">
        <f t="shared" ca="1" si="69"/>
        <v>0</v>
      </c>
      <c r="U288" s="507">
        <f t="shared" ca="1" si="70"/>
        <v>0</v>
      </c>
      <c r="V288" s="507">
        <f t="shared" ca="1" si="71"/>
        <v>0</v>
      </c>
      <c r="W288" s="507">
        <f t="shared" ca="1" si="72"/>
        <v>0</v>
      </c>
      <c r="X288" s="507">
        <f t="shared" ca="1" si="73"/>
        <v>0</v>
      </c>
      <c r="Y288" s="507">
        <f t="shared" ca="1" si="74"/>
        <v>0</v>
      </c>
      <c r="Z288" s="507">
        <f t="shared" ca="1" si="75"/>
        <v>0</v>
      </c>
      <c r="AA288" s="507">
        <f t="shared" ca="1" si="76"/>
        <v>0</v>
      </c>
      <c r="AB288" s="507">
        <f t="shared" ca="1" si="77"/>
        <v>0</v>
      </c>
      <c r="AC288" s="507">
        <f t="shared" ca="1" si="78"/>
        <v>0</v>
      </c>
      <c r="AD288" s="507">
        <f t="shared" ca="1" si="79"/>
        <v>0</v>
      </c>
      <c r="AE288" s="507">
        <f t="shared" ca="1" si="80"/>
        <v>0</v>
      </c>
      <c r="AF288" s="11">
        <f t="shared" ca="1" si="81"/>
        <v>0</v>
      </c>
      <c r="AI288" s="4">
        <v>617</v>
      </c>
      <c r="AJ288" s="5" t="s">
        <v>890</v>
      </c>
      <c r="AK288" s="5" t="s">
        <v>873</v>
      </c>
      <c r="AL288" s="5" t="s">
        <v>891</v>
      </c>
      <c r="AM288" s="5" t="s">
        <v>0</v>
      </c>
      <c r="AN288" s="5" t="s">
        <v>18</v>
      </c>
      <c r="AO288" s="5" t="s">
        <v>12</v>
      </c>
      <c r="AP288" s="5" t="s">
        <v>17</v>
      </c>
      <c r="AQ288" s="5" t="s">
        <v>887</v>
      </c>
      <c r="AR288" s="5" t="s">
        <v>18</v>
      </c>
      <c r="AS288" s="6" t="s">
        <v>0</v>
      </c>
      <c r="BA288" s="13"/>
      <c r="BB288" s="14"/>
      <c r="BC288" s="15"/>
      <c r="BE288" s="13"/>
      <c r="BF288" s="14"/>
      <c r="BG288" s="15"/>
      <c r="BI288" s="13"/>
      <c r="BJ288" s="14"/>
      <c r="BK288" s="15"/>
      <c r="BM288" s="13"/>
      <c r="BN288" s="14"/>
      <c r="BO288" s="15"/>
      <c r="BQ288" s="13"/>
      <c r="BR288" s="14"/>
      <c r="BS288" s="15"/>
      <c r="BU288" s="13"/>
      <c r="BV288" s="14"/>
      <c r="BW288" s="15"/>
      <c r="BY288" s="13"/>
      <c r="BZ288" s="14"/>
      <c r="CA288" s="15"/>
      <c r="CC288" s="13"/>
      <c r="CD288" s="14"/>
      <c r="CE288" s="15"/>
      <c r="CG288" s="13"/>
      <c r="CH288" s="14"/>
      <c r="CI288" s="15"/>
      <c r="CK288" s="13"/>
      <c r="CL288" s="14"/>
      <c r="CM288" s="15"/>
      <c r="CO288" s="13"/>
      <c r="CP288" s="14"/>
      <c r="CQ288" s="15"/>
      <c r="CS288" s="13"/>
      <c r="CT288" s="14"/>
      <c r="CU288" s="15"/>
    </row>
    <row r="289" spans="18:99" ht="15.75" thickBot="1">
      <c r="R289" s="508"/>
      <c r="S289" s="506"/>
      <c r="T289" s="507">
        <f t="shared" ca="1" si="69"/>
        <v>0</v>
      </c>
      <c r="U289" s="507">
        <f t="shared" ca="1" si="70"/>
        <v>0</v>
      </c>
      <c r="V289" s="507">
        <f t="shared" ca="1" si="71"/>
        <v>0</v>
      </c>
      <c r="W289" s="507">
        <f t="shared" ca="1" si="72"/>
        <v>0</v>
      </c>
      <c r="X289" s="507">
        <f t="shared" ca="1" si="73"/>
        <v>0</v>
      </c>
      <c r="Y289" s="507">
        <f t="shared" ca="1" si="74"/>
        <v>0</v>
      </c>
      <c r="Z289" s="507">
        <f t="shared" ca="1" si="75"/>
        <v>0</v>
      </c>
      <c r="AA289" s="507">
        <f t="shared" ca="1" si="76"/>
        <v>0</v>
      </c>
      <c r="AB289" s="507">
        <f t="shared" ca="1" si="77"/>
        <v>0</v>
      </c>
      <c r="AC289" s="507">
        <f t="shared" ca="1" si="78"/>
        <v>0</v>
      </c>
      <c r="AD289" s="507">
        <f t="shared" ca="1" si="79"/>
        <v>0</v>
      </c>
      <c r="AE289" s="507">
        <f t="shared" ca="1" si="80"/>
        <v>0</v>
      </c>
      <c r="AF289" s="11">
        <f t="shared" ca="1" si="81"/>
        <v>0</v>
      </c>
      <c r="AI289" s="7"/>
      <c r="AJ289" s="8"/>
      <c r="AK289" s="8"/>
      <c r="AL289" s="8"/>
      <c r="AM289" s="8"/>
      <c r="AN289" s="8"/>
      <c r="AO289" s="8"/>
      <c r="AP289" s="8"/>
      <c r="AQ289" s="8"/>
      <c r="AR289" s="8"/>
      <c r="AS289" s="9"/>
      <c r="BA289" s="13"/>
      <c r="BB289" s="14"/>
      <c r="BC289" s="15"/>
      <c r="BE289" s="13"/>
      <c r="BF289" s="14"/>
      <c r="BG289" s="15"/>
      <c r="BI289" s="13"/>
      <c r="BJ289" s="14"/>
      <c r="BK289" s="15"/>
      <c r="BM289" s="13"/>
      <c r="BN289" s="14"/>
      <c r="BO289" s="15"/>
      <c r="BQ289" s="13"/>
      <c r="BR289" s="14"/>
      <c r="BS289" s="15"/>
      <c r="BU289" s="13"/>
      <c r="BV289" s="14"/>
      <c r="BW289" s="15"/>
      <c r="BY289" s="13"/>
      <c r="BZ289" s="14"/>
      <c r="CA289" s="15"/>
      <c r="CC289" s="13"/>
      <c r="CD289" s="14"/>
      <c r="CE289" s="15"/>
      <c r="CG289" s="13"/>
      <c r="CH289" s="14"/>
      <c r="CI289" s="15"/>
      <c r="CK289" s="13"/>
      <c r="CL289" s="14"/>
      <c r="CM289" s="15"/>
      <c r="CO289" s="13"/>
      <c r="CP289" s="14"/>
      <c r="CQ289" s="15"/>
      <c r="CS289" s="13"/>
      <c r="CT289" s="14"/>
      <c r="CU289" s="15"/>
    </row>
    <row r="290" spans="18:99">
      <c r="R290" s="508"/>
      <c r="S290" s="506"/>
      <c r="T290" s="507">
        <f t="shared" ca="1" si="69"/>
        <v>0</v>
      </c>
      <c r="U290" s="507">
        <f t="shared" ca="1" si="70"/>
        <v>0</v>
      </c>
      <c r="V290" s="507">
        <f t="shared" ca="1" si="71"/>
        <v>0</v>
      </c>
      <c r="W290" s="507">
        <f t="shared" ca="1" si="72"/>
        <v>0</v>
      </c>
      <c r="X290" s="507">
        <f t="shared" ca="1" si="73"/>
        <v>0</v>
      </c>
      <c r="Y290" s="507">
        <f t="shared" ca="1" si="74"/>
        <v>0</v>
      </c>
      <c r="Z290" s="507">
        <f t="shared" ca="1" si="75"/>
        <v>0</v>
      </c>
      <c r="AA290" s="507">
        <f t="shared" ca="1" si="76"/>
        <v>0</v>
      </c>
      <c r="AB290" s="507">
        <f t="shared" ca="1" si="77"/>
        <v>0</v>
      </c>
      <c r="AC290" s="507">
        <f t="shared" ca="1" si="78"/>
        <v>0</v>
      </c>
      <c r="AD290" s="507">
        <f t="shared" ca="1" si="79"/>
        <v>0</v>
      </c>
      <c r="AE290" s="507">
        <f t="shared" ca="1" si="80"/>
        <v>0</v>
      </c>
      <c r="AF290" s="11">
        <f t="shared" ca="1" si="81"/>
        <v>0</v>
      </c>
      <c r="BA290" s="13"/>
      <c r="BB290" s="14"/>
      <c r="BC290" s="15"/>
      <c r="BE290" s="13"/>
      <c r="BF290" s="14"/>
      <c r="BG290" s="15"/>
      <c r="BI290" s="13"/>
      <c r="BJ290" s="14"/>
      <c r="BK290" s="15"/>
      <c r="BM290" s="13"/>
      <c r="BN290" s="14"/>
      <c r="BO290" s="15"/>
      <c r="BQ290" s="13"/>
      <c r="BR290" s="14"/>
      <c r="BS290" s="15"/>
      <c r="BU290" s="13"/>
      <c r="BV290" s="14"/>
      <c r="BW290" s="15"/>
      <c r="BY290" s="13"/>
      <c r="BZ290" s="14"/>
      <c r="CA290" s="15"/>
      <c r="CC290" s="13"/>
      <c r="CD290" s="14"/>
      <c r="CE290" s="15"/>
      <c r="CG290" s="13"/>
      <c r="CH290" s="14"/>
      <c r="CI290" s="15"/>
      <c r="CK290" s="13"/>
      <c r="CL290" s="14"/>
      <c r="CM290" s="15"/>
      <c r="CO290" s="13"/>
      <c r="CP290" s="14"/>
      <c r="CQ290" s="15"/>
      <c r="CS290" s="13"/>
      <c r="CT290" s="14"/>
      <c r="CU290" s="15"/>
    </row>
    <row r="291" spans="18:99">
      <c r="R291" s="508"/>
      <c r="S291" s="506"/>
      <c r="T291" s="507">
        <f t="shared" ca="1" si="69"/>
        <v>0</v>
      </c>
      <c r="U291" s="507">
        <f t="shared" ca="1" si="70"/>
        <v>0</v>
      </c>
      <c r="V291" s="507">
        <f t="shared" ca="1" si="71"/>
        <v>0</v>
      </c>
      <c r="W291" s="507">
        <f t="shared" ca="1" si="72"/>
        <v>0</v>
      </c>
      <c r="X291" s="507">
        <f t="shared" ca="1" si="73"/>
        <v>0</v>
      </c>
      <c r="Y291" s="507">
        <f t="shared" ca="1" si="74"/>
        <v>0</v>
      </c>
      <c r="Z291" s="507">
        <f t="shared" ca="1" si="75"/>
        <v>0</v>
      </c>
      <c r="AA291" s="507">
        <f t="shared" ca="1" si="76"/>
        <v>0</v>
      </c>
      <c r="AB291" s="507">
        <f t="shared" ca="1" si="77"/>
        <v>0</v>
      </c>
      <c r="AC291" s="507">
        <f t="shared" ca="1" si="78"/>
        <v>0</v>
      </c>
      <c r="AD291" s="507">
        <f t="shared" ca="1" si="79"/>
        <v>0</v>
      </c>
      <c r="AE291" s="507">
        <f t="shared" ca="1" si="80"/>
        <v>0</v>
      </c>
      <c r="AF291" s="11">
        <f t="shared" ca="1" si="81"/>
        <v>0</v>
      </c>
      <c r="BA291" s="13"/>
      <c r="BB291" s="14"/>
      <c r="BC291" s="15"/>
      <c r="BE291" s="13"/>
      <c r="BF291" s="14"/>
      <c r="BG291" s="15"/>
      <c r="BI291" s="13"/>
      <c r="BJ291" s="14"/>
      <c r="BK291" s="15"/>
      <c r="BM291" s="13"/>
      <c r="BN291" s="14"/>
      <c r="BO291" s="15"/>
      <c r="BQ291" s="13"/>
      <c r="BR291" s="14"/>
      <c r="BS291" s="15"/>
      <c r="BU291" s="13"/>
      <c r="BV291" s="14"/>
      <c r="BW291" s="15"/>
      <c r="BY291" s="13"/>
      <c r="BZ291" s="14"/>
      <c r="CA291" s="15"/>
      <c r="CC291" s="13"/>
      <c r="CD291" s="14"/>
      <c r="CE291" s="15"/>
      <c r="CG291" s="13"/>
      <c r="CH291" s="14"/>
      <c r="CI291" s="15"/>
      <c r="CK291" s="13"/>
      <c r="CL291" s="14"/>
      <c r="CM291" s="15"/>
      <c r="CO291" s="13"/>
      <c r="CP291" s="14"/>
      <c r="CQ291" s="15"/>
      <c r="CS291" s="13"/>
      <c r="CT291" s="14"/>
      <c r="CU291" s="15"/>
    </row>
    <row r="292" spans="18:99">
      <c r="R292" s="508"/>
      <c r="S292" s="506"/>
      <c r="T292" s="507">
        <f t="shared" ca="1" si="69"/>
        <v>0</v>
      </c>
      <c r="U292" s="507">
        <f t="shared" ca="1" si="70"/>
        <v>0</v>
      </c>
      <c r="V292" s="507">
        <f t="shared" ca="1" si="71"/>
        <v>0</v>
      </c>
      <c r="W292" s="507">
        <f t="shared" ca="1" si="72"/>
        <v>0</v>
      </c>
      <c r="X292" s="507">
        <f t="shared" ca="1" si="73"/>
        <v>0</v>
      </c>
      <c r="Y292" s="507">
        <f t="shared" ca="1" si="74"/>
        <v>0</v>
      </c>
      <c r="Z292" s="507">
        <f t="shared" ca="1" si="75"/>
        <v>0</v>
      </c>
      <c r="AA292" s="507">
        <f t="shared" ca="1" si="76"/>
        <v>0</v>
      </c>
      <c r="AB292" s="507">
        <f t="shared" ca="1" si="77"/>
        <v>0</v>
      </c>
      <c r="AC292" s="507">
        <f t="shared" ca="1" si="78"/>
        <v>0</v>
      </c>
      <c r="AD292" s="507">
        <f t="shared" ca="1" si="79"/>
        <v>0</v>
      </c>
      <c r="AE292" s="507">
        <f t="shared" ca="1" si="80"/>
        <v>0</v>
      </c>
      <c r="AF292" s="11">
        <f t="shared" ca="1" si="81"/>
        <v>0</v>
      </c>
      <c r="BA292" s="13"/>
      <c r="BB292" s="14"/>
      <c r="BC292" s="15"/>
      <c r="BE292" s="13"/>
      <c r="BF292" s="14"/>
      <c r="BG292" s="15"/>
      <c r="BI292" s="13"/>
      <c r="BJ292" s="14"/>
      <c r="BK292" s="15"/>
      <c r="BM292" s="13"/>
      <c r="BN292" s="14"/>
      <c r="BO292" s="15"/>
      <c r="BQ292" s="13"/>
      <c r="BR292" s="14"/>
      <c r="BS292" s="15"/>
      <c r="BU292" s="13"/>
      <c r="BV292" s="14"/>
      <c r="BW292" s="15"/>
      <c r="BY292" s="13"/>
      <c r="BZ292" s="14"/>
      <c r="CA292" s="15"/>
      <c r="CC292" s="13"/>
      <c r="CD292" s="14"/>
      <c r="CE292" s="15"/>
      <c r="CG292" s="13"/>
      <c r="CH292" s="14"/>
      <c r="CI292" s="15"/>
      <c r="CK292" s="13"/>
      <c r="CL292" s="14"/>
      <c r="CM292" s="15"/>
      <c r="CO292" s="13"/>
      <c r="CP292" s="14"/>
      <c r="CQ292" s="15"/>
      <c r="CS292" s="13"/>
      <c r="CT292" s="14"/>
      <c r="CU292" s="15"/>
    </row>
    <row r="293" spans="18:99">
      <c r="R293" s="508"/>
      <c r="S293" s="506"/>
      <c r="T293" s="507">
        <f t="shared" ca="1" si="69"/>
        <v>0</v>
      </c>
      <c r="U293" s="507">
        <f t="shared" ca="1" si="70"/>
        <v>0</v>
      </c>
      <c r="V293" s="507">
        <f t="shared" ca="1" si="71"/>
        <v>0</v>
      </c>
      <c r="W293" s="507">
        <f t="shared" ca="1" si="72"/>
        <v>0</v>
      </c>
      <c r="X293" s="507">
        <f t="shared" ca="1" si="73"/>
        <v>0</v>
      </c>
      <c r="Y293" s="507">
        <f t="shared" ca="1" si="74"/>
        <v>0</v>
      </c>
      <c r="Z293" s="507">
        <f t="shared" ca="1" si="75"/>
        <v>0</v>
      </c>
      <c r="AA293" s="507">
        <f t="shared" ca="1" si="76"/>
        <v>0</v>
      </c>
      <c r="AB293" s="507">
        <f t="shared" ca="1" si="77"/>
        <v>0</v>
      </c>
      <c r="AC293" s="507">
        <f t="shared" ca="1" si="78"/>
        <v>0</v>
      </c>
      <c r="AD293" s="507">
        <f t="shared" ca="1" si="79"/>
        <v>0</v>
      </c>
      <c r="AE293" s="507">
        <f t="shared" ca="1" si="80"/>
        <v>0</v>
      </c>
      <c r="AF293" s="11">
        <f t="shared" ca="1" si="81"/>
        <v>0</v>
      </c>
      <c r="BA293" s="13"/>
      <c r="BB293" s="14"/>
      <c r="BC293" s="15"/>
      <c r="BE293" s="13"/>
      <c r="BF293" s="14"/>
      <c r="BG293" s="15"/>
      <c r="BI293" s="13"/>
      <c r="BJ293" s="14"/>
      <c r="BK293" s="15"/>
      <c r="BM293" s="13"/>
      <c r="BN293" s="14"/>
      <c r="BO293" s="15"/>
      <c r="BQ293" s="13"/>
      <c r="BR293" s="14"/>
      <c r="BS293" s="15"/>
      <c r="BU293" s="13"/>
      <c r="BV293" s="14"/>
      <c r="BW293" s="15"/>
      <c r="BY293" s="13"/>
      <c r="BZ293" s="14"/>
      <c r="CA293" s="15"/>
      <c r="CC293" s="13"/>
      <c r="CD293" s="14"/>
      <c r="CE293" s="15"/>
      <c r="CG293" s="13"/>
      <c r="CH293" s="14"/>
      <c r="CI293" s="15"/>
      <c r="CK293" s="13"/>
      <c r="CL293" s="14"/>
      <c r="CM293" s="15"/>
      <c r="CO293" s="13"/>
      <c r="CP293" s="14"/>
      <c r="CQ293" s="15"/>
      <c r="CS293" s="13"/>
      <c r="CT293" s="14"/>
      <c r="CU293" s="15"/>
    </row>
    <row r="294" spans="18:99">
      <c r="R294" s="508"/>
      <c r="S294" s="506"/>
      <c r="T294" s="507">
        <f t="shared" ca="1" si="69"/>
        <v>0</v>
      </c>
      <c r="U294" s="507">
        <f t="shared" ca="1" si="70"/>
        <v>0</v>
      </c>
      <c r="V294" s="507">
        <f t="shared" ca="1" si="71"/>
        <v>0</v>
      </c>
      <c r="W294" s="507">
        <f t="shared" ca="1" si="72"/>
        <v>0</v>
      </c>
      <c r="X294" s="507">
        <f t="shared" ca="1" si="73"/>
        <v>0</v>
      </c>
      <c r="Y294" s="507">
        <f t="shared" ca="1" si="74"/>
        <v>0</v>
      </c>
      <c r="Z294" s="507">
        <f t="shared" ca="1" si="75"/>
        <v>0</v>
      </c>
      <c r="AA294" s="507">
        <f t="shared" ca="1" si="76"/>
        <v>0</v>
      </c>
      <c r="AB294" s="507">
        <f t="shared" ca="1" si="77"/>
        <v>0</v>
      </c>
      <c r="AC294" s="507">
        <f t="shared" ca="1" si="78"/>
        <v>0</v>
      </c>
      <c r="AD294" s="507">
        <f t="shared" ca="1" si="79"/>
        <v>0</v>
      </c>
      <c r="AE294" s="507">
        <f t="shared" ca="1" si="80"/>
        <v>0</v>
      </c>
      <c r="AF294" s="11">
        <f t="shared" ca="1" si="81"/>
        <v>0</v>
      </c>
      <c r="BA294" s="13"/>
      <c r="BB294" s="14"/>
      <c r="BC294" s="15"/>
      <c r="BE294" s="13"/>
      <c r="BF294" s="14"/>
      <c r="BG294" s="15"/>
      <c r="BI294" s="13"/>
      <c r="BJ294" s="14"/>
      <c r="BK294" s="15"/>
      <c r="BM294" s="13"/>
      <c r="BN294" s="14"/>
      <c r="BO294" s="15"/>
      <c r="BQ294" s="13"/>
      <c r="BR294" s="14"/>
      <c r="BS294" s="15"/>
      <c r="BU294" s="13"/>
      <c r="BV294" s="14"/>
      <c r="BW294" s="15"/>
      <c r="BY294" s="13"/>
      <c r="BZ294" s="14"/>
      <c r="CA294" s="15"/>
      <c r="CC294" s="13"/>
      <c r="CD294" s="14"/>
      <c r="CE294" s="15"/>
      <c r="CG294" s="13"/>
      <c r="CH294" s="14"/>
      <c r="CI294" s="15"/>
      <c r="CK294" s="13"/>
      <c r="CL294" s="14"/>
      <c r="CM294" s="15"/>
      <c r="CO294" s="13"/>
      <c r="CP294" s="14"/>
      <c r="CQ294" s="15"/>
      <c r="CS294" s="13"/>
      <c r="CT294" s="14"/>
      <c r="CU294" s="15"/>
    </row>
    <row r="295" spans="18:99">
      <c r="R295" s="508"/>
      <c r="S295" s="506"/>
      <c r="T295" s="507">
        <f t="shared" ca="1" si="69"/>
        <v>0</v>
      </c>
      <c r="U295" s="507">
        <f t="shared" ca="1" si="70"/>
        <v>0</v>
      </c>
      <c r="V295" s="507">
        <f t="shared" ca="1" si="71"/>
        <v>0</v>
      </c>
      <c r="W295" s="507">
        <f t="shared" ca="1" si="72"/>
        <v>0</v>
      </c>
      <c r="X295" s="507">
        <f t="shared" ca="1" si="73"/>
        <v>0</v>
      </c>
      <c r="Y295" s="507">
        <f t="shared" ca="1" si="74"/>
        <v>0</v>
      </c>
      <c r="Z295" s="507">
        <f t="shared" ca="1" si="75"/>
        <v>0</v>
      </c>
      <c r="AA295" s="507">
        <f t="shared" ca="1" si="76"/>
        <v>0</v>
      </c>
      <c r="AB295" s="507">
        <f t="shared" ca="1" si="77"/>
        <v>0</v>
      </c>
      <c r="AC295" s="507">
        <f t="shared" ca="1" si="78"/>
        <v>0</v>
      </c>
      <c r="AD295" s="507">
        <f t="shared" ca="1" si="79"/>
        <v>0</v>
      </c>
      <c r="AE295" s="507">
        <f t="shared" ca="1" si="80"/>
        <v>0</v>
      </c>
      <c r="AF295" s="11">
        <f t="shared" ca="1" si="81"/>
        <v>0</v>
      </c>
      <c r="BA295" s="13"/>
      <c r="BB295" s="14"/>
      <c r="BC295" s="15"/>
      <c r="BE295" s="13"/>
      <c r="BF295" s="14"/>
      <c r="BG295" s="15"/>
      <c r="BI295" s="13"/>
      <c r="BJ295" s="14"/>
      <c r="BK295" s="15"/>
      <c r="BM295" s="13"/>
      <c r="BN295" s="14"/>
      <c r="BO295" s="15"/>
      <c r="BQ295" s="13"/>
      <c r="BR295" s="14"/>
      <c r="BS295" s="15"/>
      <c r="BU295" s="13"/>
      <c r="BV295" s="14"/>
      <c r="BW295" s="15"/>
      <c r="BY295" s="13"/>
      <c r="BZ295" s="14"/>
      <c r="CA295" s="15"/>
      <c r="CC295" s="13"/>
      <c r="CD295" s="14"/>
      <c r="CE295" s="15"/>
      <c r="CG295" s="13"/>
      <c r="CH295" s="14"/>
      <c r="CI295" s="15"/>
      <c r="CK295" s="13"/>
      <c r="CL295" s="14"/>
      <c r="CM295" s="15"/>
      <c r="CO295" s="13"/>
      <c r="CP295" s="14"/>
      <c r="CQ295" s="15"/>
      <c r="CS295" s="13"/>
      <c r="CT295" s="14"/>
      <c r="CU295" s="15"/>
    </row>
    <row r="296" spans="18:99">
      <c r="R296" s="508"/>
      <c r="S296" s="506"/>
      <c r="T296" s="507">
        <f t="shared" ca="1" si="69"/>
        <v>0</v>
      </c>
      <c r="U296" s="507">
        <f t="shared" ca="1" si="70"/>
        <v>0</v>
      </c>
      <c r="V296" s="507">
        <f t="shared" ca="1" si="71"/>
        <v>0</v>
      </c>
      <c r="W296" s="507">
        <f t="shared" ca="1" si="72"/>
        <v>0</v>
      </c>
      <c r="X296" s="507">
        <f t="shared" ca="1" si="73"/>
        <v>0</v>
      </c>
      <c r="Y296" s="507">
        <f t="shared" ca="1" si="74"/>
        <v>0</v>
      </c>
      <c r="Z296" s="507">
        <f t="shared" ca="1" si="75"/>
        <v>0</v>
      </c>
      <c r="AA296" s="507">
        <f t="shared" ca="1" si="76"/>
        <v>0</v>
      </c>
      <c r="AB296" s="507">
        <f t="shared" ca="1" si="77"/>
        <v>0</v>
      </c>
      <c r="AC296" s="507">
        <f t="shared" ca="1" si="78"/>
        <v>0</v>
      </c>
      <c r="AD296" s="507">
        <f t="shared" ca="1" si="79"/>
        <v>0</v>
      </c>
      <c r="AE296" s="507">
        <f t="shared" ca="1" si="80"/>
        <v>0</v>
      </c>
      <c r="AF296" s="11">
        <f t="shared" ca="1" si="81"/>
        <v>0</v>
      </c>
      <c r="BA296" s="13"/>
      <c r="BB296" s="14"/>
      <c r="BC296" s="15"/>
      <c r="BE296" s="13"/>
      <c r="BF296" s="14"/>
      <c r="BG296" s="15"/>
      <c r="BI296" s="13"/>
      <c r="BJ296" s="14"/>
      <c r="BK296" s="15"/>
      <c r="BM296" s="13"/>
      <c r="BN296" s="14"/>
      <c r="BO296" s="15"/>
      <c r="BQ296" s="13"/>
      <c r="BR296" s="14"/>
      <c r="BS296" s="15"/>
      <c r="BU296" s="13"/>
      <c r="BV296" s="14"/>
      <c r="BW296" s="15"/>
      <c r="BY296" s="13"/>
      <c r="BZ296" s="14"/>
      <c r="CA296" s="15"/>
      <c r="CC296" s="13"/>
      <c r="CD296" s="14"/>
      <c r="CE296" s="15"/>
      <c r="CG296" s="13"/>
      <c r="CH296" s="14"/>
      <c r="CI296" s="15"/>
      <c r="CK296" s="13"/>
      <c r="CL296" s="14"/>
      <c r="CM296" s="15"/>
      <c r="CO296" s="13"/>
      <c r="CP296" s="14"/>
      <c r="CQ296" s="15"/>
      <c r="CS296" s="13"/>
      <c r="CT296" s="14"/>
      <c r="CU296" s="15"/>
    </row>
    <row r="297" spans="18:99" ht="15.75" thickBot="1">
      <c r="R297" s="508"/>
      <c r="S297" s="506"/>
      <c r="T297" s="507">
        <f t="shared" ca="1" si="69"/>
        <v>0</v>
      </c>
      <c r="U297" s="507">
        <f t="shared" ca="1" si="70"/>
        <v>0</v>
      </c>
      <c r="V297" s="507">
        <f t="shared" ca="1" si="71"/>
        <v>0</v>
      </c>
      <c r="W297" s="507">
        <f t="shared" ca="1" si="72"/>
        <v>0</v>
      </c>
      <c r="X297" s="507">
        <f t="shared" ca="1" si="73"/>
        <v>0</v>
      </c>
      <c r="Y297" s="507">
        <f t="shared" ca="1" si="74"/>
        <v>0</v>
      </c>
      <c r="Z297" s="507">
        <f t="shared" ca="1" si="75"/>
        <v>0</v>
      </c>
      <c r="AA297" s="507">
        <f t="shared" ca="1" si="76"/>
        <v>0</v>
      </c>
      <c r="AB297" s="507">
        <f t="shared" ca="1" si="77"/>
        <v>0</v>
      </c>
      <c r="AC297" s="507">
        <f t="shared" ca="1" si="78"/>
        <v>0</v>
      </c>
      <c r="AD297" s="507">
        <f t="shared" ca="1" si="79"/>
        <v>0</v>
      </c>
      <c r="AE297" s="507">
        <f t="shared" ca="1" si="80"/>
        <v>0</v>
      </c>
      <c r="AF297" s="11">
        <f t="shared" ca="1" si="81"/>
        <v>0</v>
      </c>
      <c r="BA297" s="16"/>
      <c r="BB297" s="17"/>
      <c r="BC297" s="18"/>
      <c r="BE297" s="16"/>
      <c r="BF297" s="17"/>
      <c r="BG297" s="18"/>
      <c r="BI297" s="16"/>
      <c r="BJ297" s="17"/>
      <c r="BK297" s="18"/>
      <c r="BM297" s="16"/>
      <c r="BN297" s="17"/>
      <c r="BO297" s="18"/>
      <c r="BQ297" s="16"/>
      <c r="BR297" s="17"/>
      <c r="BS297" s="18"/>
      <c r="BU297" s="16"/>
      <c r="BV297" s="17"/>
      <c r="BW297" s="18"/>
      <c r="BY297" s="16"/>
      <c r="BZ297" s="17"/>
      <c r="CA297" s="18"/>
      <c r="CC297" s="16"/>
      <c r="CD297" s="17"/>
      <c r="CE297" s="18"/>
      <c r="CG297" s="16"/>
      <c r="CH297" s="17"/>
      <c r="CI297" s="18"/>
      <c r="CK297" s="16"/>
      <c r="CL297" s="17"/>
      <c r="CM297" s="18"/>
      <c r="CO297" s="16"/>
      <c r="CP297" s="17"/>
      <c r="CQ297" s="18"/>
      <c r="CS297" s="16"/>
      <c r="CT297" s="17"/>
      <c r="CU297" s="18"/>
    </row>
    <row r="298" spans="18:99">
      <c r="R298" s="508"/>
      <c r="S298" s="506"/>
      <c r="T298" s="507">
        <f t="shared" ca="1" si="69"/>
        <v>0</v>
      </c>
      <c r="U298" s="507">
        <f t="shared" ca="1" si="70"/>
        <v>0</v>
      </c>
      <c r="V298" s="507">
        <f t="shared" ca="1" si="71"/>
        <v>0</v>
      </c>
      <c r="W298" s="507">
        <f t="shared" ca="1" si="72"/>
        <v>0</v>
      </c>
      <c r="X298" s="507">
        <f t="shared" ca="1" si="73"/>
        <v>0</v>
      </c>
      <c r="Y298" s="507">
        <f t="shared" ca="1" si="74"/>
        <v>0</v>
      </c>
      <c r="Z298" s="507">
        <f t="shared" ca="1" si="75"/>
        <v>0</v>
      </c>
      <c r="AA298" s="507">
        <f t="shared" ca="1" si="76"/>
        <v>0</v>
      </c>
      <c r="AB298" s="507">
        <f t="shared" ca="1" si="77"/>
        <v>0</v>
      </c>
      <c r="AC298" s="507">
        <f t="shared" ca="1" si="78"/>
        <v>0</v>
      </c>
      <c r="AD298" s="507">
        <f t="shared" ca="1" si="79"/>
        <v>0</v>
      </c>
      <c r="AE298" s="507">
        <f t="shared" ca="1" si="80"/>
        <v>0</v>
      </c>
      <c r="AF298" s="11">
        <f t="shared" ca="1" si="81"/>
        <v>0</v>
      </c>
    </row>
    <row r="299" spans="18:99">
      <c r="R299" s="508"/>
      <c r="S299" s="506"/>
      <c r="T299" s="507">
        <f t="shared" ca="1" si="69"/>
        <v>0</v>
      </c>
      <c r="U299" s="507">
        <f t="shared" ca="1" si="70"/>
        <v>0</v>
      </c>
      <c r="V299" s="507">
        <f t="shared" ca="1" si="71"/>
        <v>0</v>
      </c>
      <c r="W299" s="507">
        <f t="shared" ca="1" si="72"/>
        <v>0</v>
      </c>
      <c r="X299" s="507">
        <f t="shared" ca="1" si="73"/>
        <v>0</v>
      </c>
      <c r="Y299" s="507">
        <f t="shared" ca="1" si="74"/>
        <v>0</v>
      </c>
      <c r="Z299" s="507">
        <f t="shared" ca="1" si="75"/>
        <v>0</v>
      </c>
      <c r="AA299" s="507">
        <f t="shared" ca="1" si="76"/>
        <v>0</v>
      </c>
      <c r="AB299" s="507">
        <f t="shared" ca="1" si="77"/>
        <v>0</v>
      </c>
      <c r="AC299" s="507">
        <f t="shared" ca="1" si="78"/>
        <v>0</v>
      </c>
      <c r="AD299" s="507">
        <f t="shared" ca="1" si="79"/>
        <v>0</v>
      </c>
      <c r="AE299" s="507">
        <f t="shared" ca="1" si="80"/>
        <v>0</v>
      </c>
      <c r="AF299" s="11">
        <f t="shared" ca="1" si="81"/>
        <v>0</v>
      </c>
    </row>
    <row r="300" spans="18:99">
      <c r="R300" s="508"/>
      <c r="S300" s="506"/>
      <c r="T300" s="507">
        <f t="shared" ca="1" si="69"/>
        <v>0</v>
      </c>
      <c r="U300" s="507">
        <f t="shared" ca="1" si="70"/>
        <v>0</v>
      </c>
      <c r="V300" s="507">
        <f t="shared" ca="1" si="71"/>
        <v>0</v>
      </c>
      <c r="W300" s="507">
        <f t="shared" ca="1" si="72"/>
        <v>0</v>
      </c>
      <c r="X300" s="507">
        <f t="shared" ca="1" si="73"/>
        <v>0</v>
      </c>
      <c r="Y300" s="507">
        <f t="shared" ca="1" si="74"/>
        <v>0</v>
      </c>
      <c r="Z300" s="507">
        <f t="shared" ca="1" si="75"/>
        <v>0</v>
      </c>
      <c r="AA300" s="507">
        <f t="shared" ca="1" si="76"/>
        <v>0</v>
      </c>
      <c r="AB300" s="507">
        <f t="shared" ca="1" si="77"/>
        <v>0</v>
      </c>
      <c r="AC300" s="507">
        <f t="shared" ca="1" si="78"/>
        <v>0</v>
      </c>
      <c r="AD300" s="507">
        <f t="shared" ca="1" si="79"/>
        <v>0</v>
      </c>
      <c r="AE300" s="507">
        <f t="shared" ca="1" si="80"/>
        <v>0</v>
      </c>
      <c r="AF300" s="11">
        <f t="shared" ca="1" si="81"/>
        <v>0</v>
      </c>
      <c r="AI300">
        <v>83</v>
      </c>
      <c r="AJ300" t="s">
        <v>88</v>
      </c>
      <c r="AK300" t="s">
        <v>69</v>
      </c>
      <c r="AO300" t="s">
        <v>89</v>
      </c>
      <c r="AS300" t="s">
        <v>0</v>
      </c>
    </row>
    <row r="301" spans="18:99">
      <c r="S301" s="508"/>
      <c r="T301" s="507">
        <f t="shared" ca="1" si="69"/>
        <v>0</v>
      </c>
      <c r="U301" s="507">
        <f t="shared" ca="1" si="70"/>
        <v>0</v>
      </c>
      <c r="V301" s="507">
        <f t="shared" ca="1" si="71"/>
        <v>0</v>
      </c>
      <c r="W301" s="507">
        <f t="shared" ca="1" si="72"/>
        <v>0</v>
      </c>
      <c r="X301" s="507">
        <f t="shared" ca="1" si="73"/>
        <v>0</v>
      </c>
      <c r="Y301" s="507">
        <f t="shared" ca="1" si="74"/>
        <v>0</v>
      </c>
      <c r="Z301" s="507">
        <f t="shared" ca="1" si="75"/>
        <v>0</v>
      </c>
      <c r="AA301" s="507">
        <f t="shared" ca="1" si="76"/>
        <v>0</v>
      </c>
      <c r="AB301" s="507">
        <f t="shared" ca="1" si="77"/>
        <v>0</v>
      </c>
      <c r="AC301" s="507">
        <f t="shared" ca="1" si="78"/>
        <v>0</v>
      </c>
      <c r="AD301" s="507">
        <f t="shared" ca="1" si="79"/>
        <v>0</v>
      </c>
      <c r="AE301" s="507">
        <f t="shared" ca="1" si="80"/>
        <v>0</v>
      </c>
      <c r="AI301">
        <v>95</v>
      </c>
      <c r="AJ301" t="s">
        <v>100</v>
      </c>
      <c r="AK301" t="s">
        <v>69</v>
      </c>
      <c r="AO301" t="s">
        <v>101</v>
      </c>
      <c r="AS301" t="s">
        <v>0</v>
      </c>
    </row>
    <row r="302" spans="18:99">
      <c r="S302" s="508"/>
      <c r="T302" s="507">
        <f t="shared" ca="1" si="69"/>
        <v>0</v>
      </c>
      <c r="U302" s="507">
        <f t="shared" ca="1" si="70"/>
        <v>0</v>
      </c>
      <c r="V302" s="507">
        <f t="shared" ca="1" si="71"/>
        <v>0</v>
      </c>
      <c r="W302" s="507">
        <f t="shared" ca="1" si="72"/>
        <v>0</v>
      </c>
      <c r="X302" s="507">
        <f t="shared" ca="1" si="73"/>
        <v>0</v>
      </c>
      <c r="Y302" s="507">
        <f t="shared" ca="1" si="74"/>
        <v>0</v>
      </c>
      <c r="Z302" s="507">
        <f t="shared" ca="1" si="75"/>
        <v>0</v>
      </c>
      <c r="AA302" s="507">
        <f t="shared" ca="1" si="76"/>
        <v>0</v>
      </c>
      <c r="AB302" s="507">
        <f t="shared" ca="1" si="77"/>
        <v>0</v>
      </c>
      <c r="AC302" s="507">
        <f t="shared" ca="1" si="78"/>
        <v>0</v>
      </c>
      <c r="AD302" s="507">
        <f t="shared" ca="1" si="79"/>
        <v>0</v>
      </c>
      <c r="AE302" s="507">
        <f t="shared" ca="1" si="80"/>
        <v>0</v>
      </c>
      <c r="AI302">
        <v>107</v>
      </c>
      <c r="AJ302" t="s">
        <v>112</v>
      </c>
      <c r="AK302" t="s">
        <v>69</v>
      </c>
      <c r="AO302" t="s">
        <v>113</v>
      </c>
      <c r="AS302" t="s">
        <v>0</v>
      </c>
    </row>
    <row r="303" spans="18:99">
      <c r="S303" s="508"/>
      <c r="T303" s="507">
        <f t="shared" ca="1" si="69"/>
        <v>0</v>
      </c>
      <c r="U303" s="507">
        <f t="shared" ca="1" si="70"/>
        <v>0</v>
      </c>
      <c r="V303" s="507">
        <f t="shared" ca="1" si="71"/>
        <v>0</v>
      </c>
      <c r="W303" s="507">
        <f t="shared" ca="1" si="72"/>
        <v>0</v>
      </c>
      <c r="X303" s="507">
        <f t="shared" ca="1" si="73"/>
        <v>0</v>
      </c>
      <c r="Y303" s="507">
        <f t="shared" ca="1" si="74"/>
        <v>0</v>
      </c>
      <c r="Z303" s="507">
        <f t="shared" ca="1" si="75"/>
        <v>0</v>
      </c>
      <c r="AA303" s="507">
        <f t="shared" ca="1" si="76"/>
        <v>0</v>
      </c>
      <c r="AB303" s="507">
        <f t="shared" ca="1" si="77"/>
        <v>0</v>
      </c>
      <c r="AC303" s="507">
        <f t="shared" ca="1" si="78"/>
        <v>0</v>
      </c>
      <c r="AD303" s="507">
        <f t="shared" ca="1" si="79"/>
        <v>0</v>
      </c>
      <c r="AE303" s="507">
        <f t="shared" ca="1" si="80"/>
        <v>0</v>
      </c>
      <c r="AI303">
        <v>111</v>
      </c>
      <c r="AJ303" t="s">
        <v>116</v>
      </c>
      <c r="AK303" t="s">
        <v>19</v>
      </c>
      <c r="AO303" t="s">
        <v>117</v>
      </c>
      <c r="AS303" t="s">
        <v>0</v>
      </c>
    </row>
    <row r="304" spans="18:99">
      <c r="S304" s="508"/>
      <c r="T304" s="507">
        <f t="shared" ca="1" si="69"/>
        <v>0</v>
      </c>
      <c r="U304" s="507">
        <f t="shared" ca="1" si="70"/>
        <v>0</v>
      </c>
      <c r="V304" s="507">
        <f t="shared" ca="1" si="71"/>
        <v>0</v>
      </c>
      <c r="W304" s="507">
        <f t="shared" ca="1" si="72"/>
        <v>0</v>
      </c>
      <c r="X304" s="507">
        <f t="shared" ca="1" si="73"/>
        <v>0</v>
      </c>
      <c r="Y304" s="507">
        <f t="shared" ca="1" si="74"/>
        <v>0</v>
      </c>
      <c r="Z304" s="507">
        <f t="shared" ca="1" si="75"/>
        <v>0</v>
      </c>
      <c r="AA304" s="507">
        <f t="shared" ca="1" si="76"/>
        <v>0</v>
      </c>
      <c r="AB304" s="507">
        <f t="shared" ca="1" si="77"/>
        <v>0</v>
      </c>
      <c r="AC304" s="507">
        <f t="shared" ca="1" si="78"/>
        <v>0</v>
      </c>
      <c r="AD304" s="507">
        <f t="shared" ca="1" si="79"/>
        <v>0</v>
      </c>
      <c r="AE304" s="507">
        <f t="shared" ca="1" si="80"/>
        <v>0</v>
      </c>
      <c r="AI304">
        <v>121</v>
      </c>
      <c r="AJ304" t="s">
        <v>126</v>
      </c>
      <c r="AK304" t="s">
        <v>3</v>
      </c>
      <c r="AO304" t="s">
        <v>127</v>
      </c>
      <c r="AS304" t="s">
        <v>0</v>
      </c>
    </row>
    <row r="305" spans="19:45">
      <c r="S305" s="508"/>
      <c r="T305" s="507">
        <f t="shared" ca="1" si="69"/>
        <v>0</v>
      </c>
      <c r="U305" s="507">
        <f t="shared" ca="1" si="70"/>
        <v>0</v>
      </c>
      <c r="V305" s="507">
        <f t="shared" ca="1" si="71"/>
        <v>0</v>
      </c>
      <c r="W305" s="507">
        <f t="shared" ca="1" si="72"/>
        <v>0</v>
      </c>
      <c r="X305" s="507">
        <f t="shared" ca="1" si="73"/>
        <v>0</v>
      </c>
      <c r="Y305" s="507">
        <f t="shared" ca="1" si="74"/>
        <v>0</v>
      </c>
      <c r="Z305" s="507">
        <f t="shared" ca="1" si="75"/>
        <v>0</v>
      </c>
      <c r="AA305" s="507">
        <f t="shared" ca="1" si="76"/>
        <v>0</v>
      </c>
      <c r="AB305" s="507">
        <f t="shared" ca="1" si="77"/>
        <v>0</v>
      </c>
      <c r="AC305" s="507">
        <f t="shared" ca="1" si="78"/>
        <v>0</v>
      </c>
      <c r="AD305" s="507">
        <f t="shared" ca="1" si="79"/>
        <v>0</v>
      </c>
      <c r="AE305" s="507">
        <f t="shared" ca="1" si="80"/>
        <v>0</v>
      </c>
      <c r="AI305">
        <v>123</v>
      </c>
      <c r="AJ305" t="s">
        <v>128</v>
      </c>
      <c r="AK305" t="s">
        <v>126</v>
      </c>
      <c r="AO305" t="s">
        <v>129</v>
      </c>
      <c r="AS305" t="s">
        <v>0</v>
      </c>
    </row>
    <row r="306" spans="19:45">
      <c r="S306" s="508"/>
      <c r="T306" s="507">
        <f t="shared" ca="1" si="69"/>
        <v>0</v>
      </c>
      <c r="U306" s="507">
        <f t="shared" ca="1" si="70"/>
        <v>0</v>
      </c>
      <c r="V306" s="507">
        <f t="shared" ca="1" si="71"/>
        <v>0</v>
      </c>
      <c r="W306" s="507">
        <f t="shared" ca="1" si="72"/>
        <v>0</v>
      </c>
      <c r="X306" s="507">
        <f t="shared" ca="1" si="73"/>
        <v>0</v>
      </c>
      <c r="Y306" s="507">
        <f t="shared" ca="1" si="74"/>
        <v>0</v>
      </c>
      <c r="Z306" s="507">
        <f t="shared" ca="1" si="75"/>
        <v>0</v>
      </c>
      <c r="AA306" s="507">
        <f t="shared" ca="1" si="76"/>
        <v>0</v>
      </c>
      <c r="AB306" s="507">
        <f t="shared" ca="1" si="77"/>
        <v>0</v>
      </c>
      <c r="AC306" s="507">
        <f t="shared" ca="1" si="78"/>
        <v>0</v>
      </c>
      <c r="AD306" s="507">
        <f t="shared" ca="1" si="79"/>
        <v>0</v>
      </c>
      <c r="AE306" s="507">
        <f t="shared" ca="1" si="80"/>
        <v>0</v>
      </c>
      <c r="AI306">
        <v>125</v>
      </c>
      <c r="AJ306" t="s">
        <v>130</v>
      </c>
      <c r="AK306" t="s">
        <v>128</v>
      </c>
      <c r="AO306" t="s">
        <v>131</v>
      </c>
      <c r="AS306" t="s">
        <v>0</v>
      </c>
    </row>
    <row r="307" spans="19:45">
      <c r="S307" s="508"/>
      <c r="T307" s="507">
        <f t="shared" ca="1" si="69"/>
        <v>0</v>
      </c>
      <c r="U307" s="507">
        <f t="shared" ca="1" si="70"/>
        <v>0</v>
      </c>
      <c r="V307" s="507">
        <f t="shared" ca="1" si="71"/>
        <v>0</v>
      </c>
      <c r="W307" s="507">
        <f t="shared" ca="1" si="72"/>
        <v>0</v>
      </c>
      <c r="X307" s="507">
        <f t="shared" ca="1" si="73"/>
        <v>0</v>
      </c>
      <c r="Y307" s="507">
        <f t="shared" ca="1" si="74"/>
        <v>0</v>
      </c>
      <c r="Z307" s="507">
        <f t="shared" ca="1" si="75"/>
        <v>0</v>
      </c>
      <c r="AA307" s="507">
        <f t="shared" ca="1" si="76"/>
        <v>0</v>
      </c>
      <c r="AB307" s="507">
        <f t="shared" ca="1" si="77"/>
        <v>0</v>
      </c>
      <c r="AC307" s="507">
        <f t="shared" ca="1" si="78"/>
        <v>0</v>
      </c>
      <c r="AD307" s="507">
        <f t="shared" ca="1" si="79"/>
        <v>0</v>
      </c>
      <c r="AE307" s="507">
        <f t="shared" ca="1" si="80"/>
        <v>0</v>
      </c>
      <c r="AI307">
        <v>162</v>
      </c>
      <c r="AJ307" t="s">
        <v>161</v>
      </c>
      <c r="AK307" t="s">
        <v>128</v>
      </c>
      <c r="AO307" t="s">
        <v>162</v>
      </c>
      <c r="AS307" t="s">
        <v>0</v>
      </c>
    </row>
    <row r="308" spans="19:45">
      <c r="S308" s="508"/>
      <c r="T308" s="507">
        <f t="shared" ca="1" si="69"/>
        <v>0</v>
      </c>
      <c r="U308" s="507">
        <f t="shared" ca="1" si="70"/>
        <v>0</v>
      </c>
      <c r="V308" s="507">
        <f t="shared" ca="1" si="71"/>
        <v>0</v>
      </c>
      <c r="W308" s="507">
        <f t="shared" ca="1" si="72"/>
        <v>0</v>
      </c>
      <c r="X308" s="507">
        <f t="shared" ca="1" si="73"/>
        <v>0</v>
      </c>
      <c r="Y308" s="507">
        <f t="shared" ca="1" si="74"/>
        <v>0</v>
      </c>
      <c r="Z308" s="507">
        <f t="shared" ca="1" si="75"/>
        <v>0</v>
      </c>
      <c r="AA308" s="507">
        <f t="shared" ca="1" si="76"/>
        <v>0</v>
      </c>
      <c r="AB308" s="507">
        <f t="shared" ca="1" si="77"/>
        <v>0</v>
      </c>
      <c r="AC308" s="507">
        <f t="shared" ca="1" si="78"/>
        <v>0</v>
      </c>
      <c r="AD308" s="507">
        <f t="shared" ca="1" si="79"/>
        <v>0</v>
      </c>
      <c r="AE308" s="507">
        <f t="shared" ca="1" si="80"/>
        <v>0</v>
      </c>
      <c r="AI308">
        <v>170</v>
      </c>
      <c r="AJ308" t="s">
        <v>172</v>
      </c>
      <c r="AK308" t="s">
        <v>128</v>
      </c>
      <c r="AO308" t="s">
        <v>173</v>
      </c>
      <c r="AS308" t="s">
        <v>0</v>
      </c>
    </row>
    <row r="309" spans="19:45">
      <c r="S309" s="508"/>
      <c r="T309" s="507">
        <f t="shared" ca="1" si="69"/>
        <v>0</v>
      </c>
      <c r="U309" s="507">
        <f t="shared" ca="1" si="70"/>
        <v>0</v>
      </c>
      <c r="V309" s="507">
        <f t="shared" ca="1" si="71"/>
        <v>0</v>
      </c>
      <c r="W309" s="507">
        <f t="shared" ca="1" si="72"/>
        <v>0</v>
      </c>
      <c r="X309" s="507">
        <f t="shared" ca="1" si="73"/>
        <v>0</v>
      </c>
      <c r="Y309" s="507">
        <f t="shared" ca="1" si="74"/>
        <v>0</v>
      </c>
      <c r="Z309" s="507">
        <f t="shared" ca="1" si="75"/>
        <v>0</v>
      </c>
      <c r="AA309" s="507">
        <f t="shared" ca="1" si="76"/>
        <v>0</v>
      </c>
      <c r="AB309" s="507">
        <f t="shared" ca="1" si="77"/>
        <v>0</v>
      </c>
      <c r="AC309" s="507">
        <f t="shared" ca="1" si="78"/>
        <v>0</v>
      </c>
      <c r="AD309" s="507">
        <f t="shared" ca="1" si="79"/>
        <v>0</v>
      </c>
      <c r="AE309" s="507">
        <f t="shared" ca="1" si="80"/>
        <v>0</v>
      </c>
      <c r="AI309">
        <v>180</v>
      </c>
      <c r="AJ309" t="s">
        <v>186</v>
      </c>
      <c r="AK309" t="s">
        <v>128</v>
      </c>
      <c r="AO309" t="s">
        <v>187</v>
      </c>
      <c r="AS309" t="s">
        <v>0</v>
      </c>
    </row>
    <row r="310" spans="19:45">
      <c r="S310" s="508"/>
      <c r="T310" s="507">
        <f t="shared" ca="1" si="69"/>
        <v>0</v>
      </c>
      <c r="U310" s="507">
        <f t="shared" ca="1" si="70"/>
        <v>0</v>
      </c>
      <c r="V310" s="507">
        <f t="shared" ca="1" si="71"/>
        <v>0</v>
      </c>
      <c r="W310" s="507">
        <f t="shared" ca="1" si="72"/>
        <v>0</v>
      </c>
      <c r="X310" s="507">
        <f t="shared" ca="1" si="73"/>
        <v>0</v>
      </c>
      <c r="Y310" s="507">
        <f t="shared" ca="1" si="74"/>
        <v>0</v>
      </c>
      <c r="Z310" s="507">
        <f t="shared" ca="1" si="75"/>
        <v>0</v>
      </c>
      <c r="AA310" s="507">
        <f t="shared" ca="1" si="76"/>
        <v>0</v>
      </c>
      <c r="AB310" s="507">
        <f t="shared" ca="1" si="77"/>
        <v>0</v>
      </c>
      <c r="AC310" s="507">
        <f t="shared" ca="1" si="78"/>
        <v>0</v>
      </c>
      <c r="AD310" s="507">
        <f t="shared" ca="1" si="79"/>
        <v>0</v>
      </c>
      <c r="AE310" s="507">
        <f t="shared" ca="1" si="80"/>
        <v>0</v>
      </c>
      <c r="AI310">
        <v>184</v>
      </c>
      <c r="AJ310" t="s">
        <v>191</v>
      </c>
      <c r="AK310" t="s">
        <v>128</v>
      </c>
      <c r="AO310" t="s">
        <v>192</v>
      </c>
      <c r="AS310" t="s">
        <v>0</v>
      </c>
    </row>
    <row r="311" spans="19:45">
      <c r="S311" s="508"/>
      <c r="T311" s="507">
        <f t="shared" ca="1" si="69"/>
        <v>0</v>
      </c>
      <c r="U311" s="507">
        <f t="shared" ca="1" si="70"/>
        <v>0</v>
      </c>
      <c r="V311" s="507">
        <f t="shared" ca="1" si="71"/>
        <v>0</v>
      </c>
      <c r="W311" s="507">
        <f t="shared" ca="1" si="72"/>
        <v>0</v>
      </c>
      <c r="X311" s="507">
        <f t="shared" ca="1" si="73"/>
        <v>0</v>
      </c>
      <c r="Y311" s="507">
        <f t="shared" ca="1" si="74"/>
        <v>0</v>
      </c>
      <c r="Z311" s="507">
        <f t="shared" ca="1" si="75"/>
        <v>0</v>
      </c>
      <c r="AA311" s="507">
        <f t="shared" ca="1" si="76"/>
        <v>0</v>
      </c>
      <c r="AB311" s="507">
        <f t="shared" ca="1" si="77"/>
        <v>0</v>
      </c>
      <c r="AC311" s="507">
        <f t="shared" ca="1" si="78"/>
        <v>0</v>
      </c>
      <c r="AD311" s="507">
        <f t="shared" ca="1" si="79"/>
        <v>0</v>
      </c>
      <c r="AE311" s="507">
        <f t="shared" ca="1" si="80"/>
        <v>0</v>
      </c>
      <c r="AI311">
        <v>190</v>
      </c>
      <c r="AJ311" t="s">
        <v>199</v>
      </c>
      <c r="AK311" t="s">
        <v>128</v>
      </c>
      <c r="AO311" t="s">
        <v>200</v>
      </c>
      <c r="AS311" t="s">
        <v>0</v>
      </c>
    </row>
    <row r="312" spans="19:45">
      <c r="S312" s="508"/>
      <c r="T312" s="507">
        <f t="shared" ca="1" si="69"/>
        <v>0</v>
      </c>
      <c r="U312" s="507">
        <f t="shared" ca="1" si="70"/>
        <v>0</v>
      </c>
      <c r="V312" s="507">
        <f t="shared" ca="1" si="71"/>
        <v>0</v>
      </c>
      <c r="W312" s="507">
        <f t="shared" ca="1" si="72"/>
        <v>0</v>
      </c>
      <c r="X312" s="507">
        <f t="shared" ca="1" si="73"/>
        <v>0</v>
      </c>
      <c r="Y312" s="507">
        <f t="shared" ca="1" si="74"/>
        <v>0</v>
      </c>
      <c r="Z312" s="507">
        <f t="shared" ca="1" si="75"/>
        <v>0</v>
      </c>
      <c r="AA312" s="507">
        <f t="shared" ca="1" si="76"/>
        <v>0</v>
      </c>
      <c r="AB312" s="507">
        <f t="shared" ca="1" si="77"/>
        <v>0</v>
      </c>
      <c r="AC312" s="507">
        <f t="shared" ca="1" si="78"/>
        <v>0</v>
      </c>
      <c r="AD312" s="507">
        <f t="shared" ca="1" si="79"/>
        <v>0</v>
      </c>
      <c r="AE312" s="507">
        <f t="shared" ca="1" si="80"/>
        <v>0</v>
      </c>
      <c r="AI312">
        <v>194</v>
      </c>
      <c r="AJ312" t="s">
        <v>203</v>
      </c>
      <c r="AK312" t="s">
        <v>126</v>
      </c>
      <c r="AO312" t="s">
        <v>204</v>
      </c>
      <c r="AS312" t="s">
        <v>0</v>
      </c>
    </row>
    <row r="313" spans="19:45">
      <c r="S313" s="508"/>
      <c r="T313" s="507">
        <f t="shared" ca="1" si="69"/>
        <v>0</v>
      </c>
      <c r="U313" s="507">
        <f t="shared" ca="1" si="70"/>
        <v>0</v>
      </c>
      <c r="V313" s="507">
        <f t="shared" ca="1" si="71"/>
        <v>0</v>
      </c>
      <c r="W313" s="507">
        <f t="shared" ca="1" si="72"/>
        <v>0</v>
      </c>
      <c r="X313" s="507">
        <f t="shared" ca="1" si="73"/>
        <v>0</v>
      </c>
      <c r="Y313" s="507">
        <f t="shared" ca="1" si="74"/>
        <v>0</v>
      </c>
      <c r="Z313" s="507">
        <f t="shared" ca="1" si="75"/>
        <v>0</v>
      </c>
      <c r="AA313" s="507">
        <f t="shared" ca="1" si="76"/>
        <v>0</v>
      </c>
      <c r="AB313" s="507">
        <f t="shared" ca="1" si="77"/>
        <v>0</v>
      </c>
      <c r="AC313" s="507">
        <f t="shared" ca="1" si="78"/>
        <v>0</v>
      </c>
      <c r="AD313" s="507">
        <f t="shared" ca="1" si="79"/>
        <v>0</v>
      </c>
      <c r="AE313" s="507">
        <f t="shared" ca="1" si="80"/>
        <v>0</v>
      </c>
      <c r="AI313">
        <v>196</v>
      </c>
      <c r="AJ313" t="s">
        <v>205</v>
      </c>
      <c r="AK313" t="s">
        <v>203</v>
      </c>
      <c r="AO313" t="s">
        <v>206</v>
      </c>
      <c r="AS313" t="s">
        <v>0</v>
      </c>
    </row>
    <row r="314" spans="19:45">
      <c r="S314" s="508"/>
      <c r="T314" s="507">
        <f t="shared" ca="1" si="69"/>
        <v>0</v>
      </c>
      <c r="U314" s="507">
        <f t="shared" ca="1" si="70"/>
        <v>0</v>
      </c>
      <c r="V314" s="507">
        <f t="shared" ca="1" si="71"/>
        <v>0</v>
      </c>
      <c r="W314" s="507">
        <f t="shared" ca="1" si="72"/>
        <v>0</v>
      </c>
      <c r="X314" s="507">
        <f t="shared" ca="1" si="73"/>
        <v>0</v>
      </c>
      <c r="Y314" s="507">
        <f t="shared" ca="1" si="74"/>
        <v>0</v>
      </c>
      <c r="Z314" s="507">
        <f t="shared" ca="1" si="75"/>
        <v>0</v>
      </c>
      <c r="AA314" s="507">
        <f t="shared" ca="1" si="76"/>
        <v>0</v>
      </c>
      <c r="AB314" s="507">
        <f t="shared" ca="1" si="77"/>
        <v>0</v>
      </c>
      <c r="AC314" s="507">
        <f t="shared" ca="1" si="78"/>
        <v>0</v>
      </c>
      <c r="AD314" s="507">
        <f t="shared" ca="1" si="79"/>
        <v>0</v>
      </c>
      <c r="AE314" s="507">
        <f t="shared" ca="1" si="80"/>
        <v>0</v>
      </c>
      <c r="AI314">
        <v>200</v>
      </c>
      <c r="AJ314" t="s">
        <v>210</v>
      </c>
      <c r="AK314" t="s">
        <v>203</v>
      </c>
      <c r="AO314" t="s">
        <v>211</v>
      </c>
      <c r="AS314" t="s">
        <v>0</v>
      </c>
    </row>
    <row r="315" spans="19:45">
      <c r="S315" s="508"/>
      <c r="T315" s="507">
        <f t="shared" ca="1" si="69"/>
        <v>0</v>
      </c>
      <c r="U315" s="507">
        <f t="shared" ca="1" si="70"/>
        <v>0</v>
      </c>
      <c r="V315" s="507">
        <f t="shared" ca="1" si="71"/>
        <v>0</v>
      </c>
      <c r="W315" s="507">
        <f t="shared" ca="1" si="72"/>
        <v>0</v>
      </c>
      <c r="X315" s="507">
        <f t="shared" ca="1" si="73"/>
        <v>0</v>
      </c>
      <c r="Y315" s="507">
        <f t="shared" ca="1" si="74"/>
        <v>0</v>
      </c>
      <c r="Z315" s="507">
        <f t="shared" ca="1" si="75"/>
        <v>0</v>
      </c>
      <c r="AA315" s="507">
        <f t="shared" ca="1" si="76"/>
        <v>0</v>
      </c>
      <c r="AB315" s="507">
        <f t="shared" ca="1" si="77"/>
        <v>0</v>
      </c>
      <c r="AC315" s="507">
        <f t="shared" ca="1" si="78"/>
        <v>0</v>
      </c>
      <c r="AD315" s="507">
        <f t="shared" ca="1" si="79"/>
        <v>0</v>
      </c>
      <c r="AE315" s="507">
        <f t="shared" ca="1" si="80"/>
        <v>0</v>
      </c>
      <c r="AI315">
        <v>204</v>
      </c>
      <c r="AJ315" t="s">
        <v>214</v>
      </c>
      <c r="AK315" t="s">
        <v>126</v>
      </c>
      <c r="AO315" t="s">
        <v>215</v>
      </c>
      <c r="AS315" t="s">
        <v>0</v>
      </c>
    </row>
    <row r="316" spans="19:45">
      <c r="S316" s="508"/>
      <c r="T316" s="507">
        <f t="shared" ca="1" si="69"/>
        <v>0</v>
      </c>
      <c r="U316" s="507">
        <f t="shared" ca="1" si="70"/>
        <v>0</v>
      </c>
      <c r="V316" s="507">
        <f t="shared" ca="1" si="71"/>
        <v>0</v>
      </c>
      <c r="W316" s="507">
        <f t="shared" ca="1" si="72"/>
        <v>0</v>
      </c>
      <c r="X316" s="507">
        <f t="shared" ca="1" si="73"/>
        <v>0</v>
      </c>
      <c r="Y316" s="507">
        <f t="shared" ca="1" si="74"/>
        <v>0</v>
      </c>
      <c r="Z316" s="507">
        <f t="shared" ca="1" si="75"/>
        <v>0</v>
      </c>
      <c r="AA316" s="507">
        <f t="shared" ca="1" si="76"/>
        <v>0</v>
      </c>
      <c r="AB316" s="507">
        <f t="shared" ca="1" si="77"/>
        <v>0</v>
      </c>
      <c r="AC316" s="507">
        <f t="shared" ca="1" si="78"/>
        <v>0</v>
      </c>
      <c r="AD316" s="507">
        <f t="shared" ca="1" si="79"/>
        <v>0</v>
      </c>
      <c r="AE316" s="507">
        <f t="shared" ca="1" si="80"/>
        <v>0</v>
      </c>
      <c r="AI316">
        <v>206</v>
      </c>
      <c r="AJ316" t="s">
        <v>216</v>
      </c>
      <c r="AK316" t="s">
        <v>214</v>
      </c>
      <c r="AO316" t="s">
        <v>111</v>
      </c>
      <c r="AS316" t="s">
        <v>0</v>
      </c>
    </row>
    <row r="317" spans="19:45">
      <c r="S317" s="508"/>
      <c r="T317" s="507">
        <f t="shared" ca="1" si="69"/>
        <v>0</v>
      </c>
      <c r="U317" s="507">
        <f t="shared" ca="1" si="70"/>
        <v>0</v>
      </c>
      <c r="V317" s="507">
        <f t="shared" ca="1" si="71"/>
        <v>0</v>
      </c>
      <c r="W317" s="507">
        <f t="shared" ca="1" si="72"/>
        <v>0</v>
      </c>
      <c r="X317" s="507">
        <f t="shared" ca="1" si="73"/>
        <v>0</v>
      </c>
      <c r="Y317" s="507">
        <f t="shared" ca="1" si="74"/>
        <v>0</v>
      </c>
      <c r="Z317" s="507">
        <f t="shared" ca="1" si="75"/>
        <v>0</v>
      </c>
      <c r="AA317" s="507">
        <f t="shared" ca="1" si="76"/>
        <v>0</v>
      </c>
      <c r="AB317" s="507">
        <f t="shared" ca="1" si="77"/>
        <v>0</v>
      </c>
      <c r="AC317" s="507">
        <f t="shared" ca="1" si="78"/>
        <v>0</v>
      </c>
      <c r="AD317" s="507">
        <f t="shared" ca="1" si="79"/>
        <v>0</v>
      </c>
      <c r="AE317" s="507">
        <f t="shared" ca="1" si="80"/>
        <v>0</v>
      </c>
      <c r="AI317">
        <v>210</v>
      </c>
      <c r="AJ317" t="s">
        <v>220</v>
      </c>
      <c r="AK317" t="s">
        <v>214</v>
      </c>
      <c r="AO317" t="s">
        <v>221</v>
      </c>
      <c r="AS317" t="s">
        <v>0</v>
      </c>
    </row>
    <row r="318" spans="19:45">
      <c r="S318" s="508"/>
      <c r="T318" s="507">
        <f t="shared" ca="1" si="69"/>
        <v>0</v>
      </c>
      <c r="U318" s="507">
        <f t="shared" ca="1" si="70"/>
        <v>0</v>
      </c>
      <c r="V318" s="507">
        <f t="shared" ca="1" si="71"/>
        <v>0</v>
      </c>
      <c r="W318" s="507">
        <f t="shared" ca="1" si="72"/>
        <v>0</v>
      </c>
      <c r="X318" s="507">
        <f t="shared" ca="1" si="73"/>
        <v>0</v>
      </c>
      <c r="Y318" s="507">
        <f t="shared" ca="1" si="74"/>
        <v>0</v>
      </c>
      <c r="Z318" s="507">
        <f t="shared" ca="1" si="75"/>
        <v>0</v>
      </c>
      <c r="AA318" s="507">
        <f t="shared" ca="1" si="76"/>
        <v>0</v>
      </c>
      <c r="AB318" s="507">
        <f t="shared" ca="1" si="77"/>
        <v>0</v>
      </c>
      <c r="AC318" s="507">
        <f t="shared" ca="1" si="78"/>
        <v>0</v>
      </c>
      <c r="AD318" s="507">
        <f t="shared" ca="1" si="79"/>
        <v>0</v>
      </c>
      <c r="AE318" s="507">
        <f t="shared" ca="1" si="80"/>
        <v>0</v>
      </c>
      <c r="AI318">
        <v>216</v>
      </c>
      <c r="AJ318" t="s">
        <v>225</v>
      </c>
      <c r="AK318" t="s">
        <v>139</v>
      </c>
      <c r="AO318" t="s">
        <v>226</v>
      </c>
      <c r="AS318" t="s">
        <v>0</v>
      </c>
    </row>
    <row r="319" spans="19:45">
      <c r="S319" s="508"/>
      <c r="T319" s="507">
        <f t="shared" ca="1" si="69"/>
        <v>0</v>
      </c>
      <c r="U319" s="507">
        <f t="shared" ca="1" si="70"/>
        <v>0</v>
      </c>
      <c r="V319" s="507">
        <f t="shared" ca="1" si="71"/>
        <v>0</v>
      </c>
      <c r="W319" s="507">
        <f t="shared" ca="1" si="72"/>
        <v>0</v>
      </c>
      <c r="X319" s="507">
        <f t="shared" ca="1" si="73"/>
        <v>0</v>
      </c>
      <c r="Y319" s="507">
        <f t="shared" ca="1" si="74"/>
        <v>0</v>
      </c>
      <c r="Z319" s="507">
        <f t="shared" ca="1" si="75"/>
        <v>0</v>
      </c>
      <c r="AA319" s="507">
        <f t="shared" ca="1" si="76"/>
        <v>0</v>
      </c>
      <c r="AB319" s="507">
        <f t="shared" ca="1" si="77"/>
        <v>0</v>
      </c>
      <c r="AC319" s="507">
        <f t="shared" ca="1" si="78"/>
        <v>0</v>
      </c>
      <c r="AD319" s="507">
        <f t="shared" ca="1" si="79"/>
        <v>0</v>
      </c>
      <c r="AE319" s="507">
        <f t="shared" ca="1" si="80"/>
        <v>0</v>
      </c>
      <c r="AI319">
        <v>220</v>
      </c>
      <c r="AJ319" t="s">
        <v>229</v>
      </c>
      <c r="AK319" t="s">
        <v>225</v>
      </c>
      <c r="AO319" t="s">
        <v>230</v>
      </c>
      <c r="AS319" t="s">
        <v>0</v>
      </c>
    </row>
    <row r="320" spans="19:45">
      <c r="S320" s="508"/>
      <c r="T320" s="507">
        <f t="shared" ca="1" si="69"/>
        <v>0</v>
      </c>
      <c r="U320" s="507">
        <f t="shared" ca="1" si="70"/>
        <v>0</v>
      </c>
      <c r="V320" s="507">
        <f t="shared" ca="1" si="71"/>
        <v>0</v>
      </c>
      <c r="W320" s="507">
        <f t="shared" ca="1" si="72"/>
        <v>0</v>
      </c>
      <c r="X320" s="507">
        <f t="shared" ca="1" si="73"/>
        <v>0</v>
      </c>
      <c r="Y320" s="507">
        <f t="shared" ca="1" si="74"/>
        <v>0</v>
      </c>
      <c r="Z320" s="507">
        <f t="shared" ca="1" si="75"/>
        <v>0</v>
      </c>
      <c r="AA320" s="507">
        <f t="shared" ca="1" si="76"/>
        <v>0</v>
      </c>
      <c r="AB320" s="507">
        <f t="shared" ca="1" si="77"/>
        <v>0</v>
      </c>
      <c r="AC320" s="507">
        <f t="shared" ca="1" si="78"/>
        <v>0</v>
      </c>
      <c r="AD320" s="507">
        <f t="shared" ca="1" si="79"/>
        <v>0</v>
      </c>
      <c r="AE320" s="507">
        <f t="shared" ca="1" si="80"/>
        <v>0</v>
      </c>
      <c r="AI320">
        <v>222</v>
      </c>
      <c r="AJ320" t="s">
        <v>231</v>
      </c>
      <c r="AK320" t="s">
        <v>229</v>
      </c>
      <c r="AO320" t="s">
        <v>232</v>
      </c>
      <c r="AS320" t="s">
        <v>0</v>
      </c>
    </row>
    <row r="321" spans="19:45">
      <c r="S321" s="508"/>
      <c r="T321" s="507">
        <f t="shared" ca="1" si="69"/>
        <v>0</v>
      </c>
      <c r="U321" s="507">
        <f t="shared" ca="1" si="70"/>
        <v>0</v>
      </c>
      <c r="V321" s="507">
        <f t="shared" ca="1" si="71"/>
        <v>0</v>
      </c>
      <c r="W321" s="507">
        <f t="shared" ca="1" si="72"/>
        <v>0</v>
      </c>
      <c r="X321" s="507">
        <f t="shared" ca="1" si="73"/>
        <v>0</v>
      </c>
      <c r="Y321" s="507">
        <f t="shared" ca="1" si="74"/>
        <v>0</v>
      </c>
      <c r="Z321" s="507">
        <f t="shared" ca="1" si="75"/>
        <v>0</v>
      </c>
      <c r="AA321" s="507">
        <f t="shared" ca="1" si="76"/>
        <v>0</v>
      </c>
      <c r="AB321" s="507">
        <f t="shared" ca="1" si="77"/>
        <v>0</v>
      </c>
      <c r="AC321" s="507">
        <f t="shared" ca="1" si="78"/>
        <v>0</v>
      </c>
      <c r="AD321" s="507">
        <f t="shared" ca="1" si="79"/>
        <v>0</v>
      </c>
      <c r="AE321" s="507">
        <f t="shared" ca="1" si="80"/>
        <v>0</v>
      </c>
      <c r="AI321">
        <v>226</v>
      </c>
      <c r="AJ321" t="s">
        <v>235</v>
      </c>
      <c r="AK321" t="s">
        <v>231</v>
      </c>
      <c r="AO321" t="s">
        <v>236</v>
      </c>
      <c r="AS321" t="s">
        <v>0</v>
      </c>
    </row>
    <row r="322" spans="19:45">
      <c r="S322" s="508"/>
      <c r="T322" s="507">
        <f t="shared" ca="1" si="69"/>
        <v>0</v>
      </c>
      <c r="U322" s="507">
        <f t="shared" ca="1" si="70"/>
        <v>0</v>
      </c>
      <c r="V322" s="507">
        <f t="shared" ca="1" si="71"/>
        <v>0</v>
      </c>
      <c r="W322" s="507">
        <f t="shared" ca="1" si="72"/>
        <v>0</v>
      </c>
      <c r="X322" s="507">
        <f t="shared" ca="1" si="73"/>
        <v>0</v>
      </c>
      <c r="Y322" s="507">
        <f t="shared" ca="1" si="74"/>
        <v>0</v>
      </c>
      <c r="Z322" s="507">
        <f t="shared" ca="1" si="75"/>
        <v>0</v>
      </c>
      <c r="AA322" s="507">
        <f t="shared" ca="1" si="76"/>
        <v>0</v>
      </c>
      <c r="AB322" s="507">
        <f t="shared" ca="1" si="77"/>
        <v>0</v>
      </c>
      <c r="AC322" s="507">
        <f t="shared" ca="1" si="78"/>
        <v>0</v>
      </c>
      <c r="AD322" s="507">
        <f t="shared" ca="1" si="79"/>
        <v>0</v>
      </c>
      <c r="AE322" s="507">
        <f t="shared" ca="1" si="80"/>
        <v>0</v>
      </c>
      <c r="AI322">
        <v>242</v>
      </c>
      <c r="AJ322" t="s">
        <v>250</v>
      </c>
      <c r="AK322" t="s">
        <v>229</v>
      </c>
      <c r="AO322" t="s">
        <v>251</v>
      </c>
      <c r="AS322" t="s">
        <v>0</v>
      </c>
    </row>
    <row r="323" spans="19:45">
      <c r="S323" s="508"/>
      <c r="T323" s="507">
        <f t="shared" ca="1" si="69"/>
        <v>0</v>
      </c>
      <c r="U323" s="507">
        <f t="shared" ca="1" si="70"/>
        <v>0</v>
      </c>
      <c r="V323" s="507">
        <f t="shared" ca="1" si="71"/>
        <v>0</v>
      </c>
      <c r="W323" s="507">
        <f t="shared" ca="1" si="72"/>
        <v>0</v>
      </c>
      <c r="X323" s="507">
        <f t="shared" ca="1" si="73"/>
        <v>0</v>
      </c>
      <c r="Y323" s="507">
        <f t="shared" ca="1" si="74"/>
        <v>0</v>
      </c>
      <c r="Z323" s="507">
        <f t="shared" ca="1" si="75"/>
        <v>0</v>
      </c>
      <c r="AA323" s="507">
        <f t="shared" ca="1" si="76"/>
        <v>0</v>
      </c>
      <c r="AB323" s="507">
        <f t="shared" ca="1" si="77"/>
        <v>0</v>
      </c>
      <c r="AC323" s="507">
        <f t="shared" ca="1" si="78"/>
        <v>0</v>
      </c>
      <c r="AD323" s="507">
        <f t="shared" ca="1" si="79"/>
        <v>0</v>
      </c>
      <c r="AE323" s="507">
        <f t="shared" ca="1" si="80"/>
        <v>0</v>
      </c>
      <c r="AI323">
        <v>258</v>
      </c>
      <c r="AJ323" t="s">
        <v>266</v>
      </c>
      <c r="AK323" t="s">
        <v>229</v>
      </c>
      <c r="AO323" t="s">
        <v>267</v>
      </c>
      <c r="AS323" t="s">
        <v>0</v>
      </c>
    </row>
    <row r="324" spans="19:45">
      <c r="S324" s="508"/>
      <c r="T324" s="507">
        <f t="shared" ca="1" si="69"/>
        <v>0</v>
      </c>
      <c r="U324" s="507">
        <f t="shared" ca="1" si="70"/>
        <v>0</v>
      </c>
      <c r="V324" s="507">
        <f t="shared" ca="1" si="71"/>
        <v>0</v>
      </c>
      <c r="W324" s="507">
        <f t="shared" ca="1" si="72"/>
        <v>0</v>
      </c>
      <c r="X324" s="507">
        <f t="shared" ca="1" si="73"/>
        <v>0</v>
      </c>
      <c r="Y324" s="507">
        <f t="shared" ca="1" si="74"/>
        <v>0</v>
      </c>
      <c r="Z324" s="507">
        <f t="shared" ca="1" si="75"/>
        <v>0</v>
      </c>
      <c r="AA324" s="507">
        <f t="shared" ca="1" si="76"/>
        <v>0</v>
      </c>
      <c r="AB324" s="507">
        <f t="shared" ca="1" si="77"/>
        <v>0</v>
      </c>
      <c r="AC324" s="507">
        <f t="shared" ca="1" si="78"/>
        <v>0</v>
      </c>
      <c r="AD324" s="507">
        <f t="shared" ca="1" si="79"/>
        <v>0</v>
      </c>
      <c r="AE324" s="507">
        <f t="shared" ca="1" si="80"/>
        <v>0</v>
      </c>
      <c r="AI324">
        <v>272</v>
      </c>
      <c r="AJ324" t="s">
        <v>280</v>
      </c>
      <c r="AK324" t="s">
        <v>229</v>
      </c>
      <c r="AO324" t="s">
        <v>281</v>
      </c>
      <c r="AS324" t="s">
        <v>0</v>
      </c>
    </row>
    <row r="325" spans="19:45">
      <c r="S325" s="508"/>
      <c r="T325" s="507">
        <f t="shared" ca="1" si="69"/>
        <v>0</v>
      </c>
      <c r="U325" s="507">
        <f t="shared" ca="1" si="70"/>
        <v>0</v>
      </c>
      <c r="V325" s="507">
        <f t="shared" ca="1" si="71"/>
        <v>0</v>
      </c>
      <c r="W325" s="507">
        <f t="shared" ca="1" si="72"/>
        <v>0</v>
      </c>
      <c r="X325" s="507">
        <f t="shared" ca="1" si="73"/>
        <v>0</v>
      </c>
      <c r="Y325" s="507">
        <f t="shared" ca="1" si="74"/>
        <v>0</v>
      </c>
      <c r="Z325" s="507">
        <f t="shared" ca="1" si="75"/>
        <v>0</v>
      </c>
      <c r="AA325" s="507">
        <f t="shared" ca="1" si="76"/>
        <v>0</v>
      </c>
      <c r="AB325" s="507">
        <f t="shared" ca="1" si="77"/>
        <v>0</v>
      </c>
      <c r="AC325" s="507">
        <f t="shared" ca="1" si="78"/>
        <v>0</v>
      </c>
      <c r="AD325" s="507">
        <f t="shared" ca="1" si="79"/>
        <v>0</v>
      </c>
      <c r="AE325" s="507">
        <f t="shared" ca="1" si="80"/>
        <v>0</v>
      </c>
      <c r="AI325">
        <v>274</v>
      </c>
      <c r="AJ325" t="s">
        <v>282</v>
      </c>
      <c r="AK325" t="s">
        <v>280</v>
      </c>
      <c r="AO325" t="s">
        <v>283</v>
      </c>
      <c r="AS325" t="s">
        <v>0</v>
      </c>
    </row>
    <row r="326" spans="19:45">
      <c r="S326" s="508"/>
      <c r="T326" s="507">
        <f t="shared" ca="1" si="69"/>
        <v>0</v>
      </c>
      <c r="U326" s="507">
        <f t="shared" ca="1" si="70"/>
        <v>0</v>
      </c>
      <c r="V326" s="507">
        <f t="shared" ca="1" si="71"/>
        <v>0</v>
      </c>
      <c r="W326" s="507">
        <f t="shared" ca="1" si="72"/>
        <v>0</v>
      </c>
      <c r="X326" s="507">
        <f t="shared" ca="1" si="73"/>
        <v>0</v>
      </c>
      <c r="Y326" s="507">
        <f t="shared" ca="1" si="74"/>
        <v>0</v>
      </c>
      <c r="Z326" s="507">
        <f t="shared" ca="1" si="75"/>
        <v>0</v>
      </c>
      <c r="AA326" s="507">
        <f t="shared" ca="1" si="76"/>
        <v>0</v>
      </c>
      <c r="AB326" s="507">
        <f t="shared" ca="1" si="77"/>
        <v>0</v>
      </c>
      <c r="AC326" s="507">
        <f t="shared" ca="1" si="78"/>
        <v>0</v>
      </c>
      <c r="AD326" s="507">
        <f t="shared" ca="1" si="79"/>
        <v>0</v>
      </c>
      <c r="AE326" s="507">
        <f t="shared" ca="1" si="80"/>
        <v>0</v>
      </c>
      <c r="AI326">
        <v>305</v>
      </c>
      <c r="AJ326" t="s">
        <v>296</v>
      </c>
      <c r="AK326" t="s">
        <v>280</v>
      </c>
      <c r="AO326" t="s">
        <v>297</v>
      </c>
      <c r="AS326" t="s">
        <v>0</v>
      </c>
    </row>
    <row r="327" spans="19:45">
      <c r="AI327">
        <v>313</v>
      </c>
      <c r="AJ327" t="s">
        <v>303</v>
      </c>
      <c r="AK327" t="s">
        <v>229</v>
      </c>
      <c r="AO327" t="s">
        <v>304</v>
      </c>
      <c r="AS327" t="s">
        <v>0</v>
      </c>
    </row>
    <row r="328" spans="19:45">
      <c r="AI328">
        <v>321</v>
      </c>
      <c r="AJ328" t="s">
        <v>311</v>
      </c>
      <c r="AK328" t="s">
        <v>229</v>
      </c>
      <c r="AO328" t="s">
        <v>312</v>
      </c>
      <c r="AS328" t="s">
        <v>0</v>
      </c>
    </row>
    <row r="329" spans="19:45">
      <c r="AI329">
        <v>331</v>
      </c>
      <c r="AJ329" t="s">
        <v>321</v>
      </c>
      <c r="AK329" t="s">
        <v>229</v>
      </c>
      <c r="AO329" t="s">
        <v>322</v>
      </c>
      <c r="AS329" t="s">
        <v>0</v>
      </c>
    </row>
    <row r="330" spans="19:45">
      <c r="AI330">
        <v>359</v>
      </c>
      <c r="AJ330" t="s">
        <v>349</v>
      </c>
      <c r="AK330" t="s">
        <v>225</v>
      </c>
      <c r="AO330" t="s">
        <v>350</v>
      </c>
      <c r="AS330" t="s">
        <v>0</v>
      </c>
    </row>
    <row r="331" spans="19:45">
      <c r="AI331">
        <v>361</v>
      </c>
      <c r="AJ331" t="s">
        <v>351</v>
      </c>
      <c r="AK331" t="s">
        <v>349</v>
      </c>
      <c r="AO331" t="s">
        <v>352</v>
      </c>
      <c r="AS331" t="s">
        <v>0</v>
      </c>
    </row>
    <row r="332" spans="19:45">
      <c r="AI332">
        <v>363</v>
      </c>
      <c r="AJ332" t="s">
        <v>353</v>
      </c>
      <c r="AK332" t="s">
        <v>351</v>
      </c>
      <c r="AO332" t="s">
        <v>354</v>
      </c>
      <c r="AS332" t="s">
        <v>0</v>
      </c>
    </row>
    <row r="333" spans="19:45">
      <c r="AI333">
        <v>383</v>
      </c>
      <c r="AJ333" t="s">
        <v>373</v>
      </c>
      <c r="AK333" t="s">
        <v>225</v>
      </c>
      <c r="AO333" t="s">
        <v>374</v>
      </c>
      <c r="AS333" t="s">
        <v>0</v>
      </c>
    </row>
    <row r="334" spans="19:45">
      <c r="AI334">
        <v>395</v>
      </c>
      <c r="AJ334" t="s">
        <v>385</v>
      </c>
      <c r="AK334" t="s">
        <v>225</v>
      </c>
      <c r="AO334" t="s">
        <v>386</v>
      </c>
      <c r="AS334" t="s">
        <v>0</v>
      </c>
    </row>
    <row r="335" spans="19:45">
      <c r="AI335">
        <v>397</v>
      </c>
      <c r="AJ335" t="s">
        <v>387</v>
      </c>
      <c r="AK335" t="s">
        <v>385</v>
      </c>
      <c r="AO335" t="s">
        <v>388</v>
      </c>
      <c r="AS335" t="s">
        <v>0</v>
      </c>
    </row>
    <row r="336" spans="19:45">
      <c r="AI336">
        <v>401</v>
      </c>
      <c r="AJ336" t="s">
        <v>391</v>
      </c>
      <c r="AK336" t="s">
        <v>139</v>
      </c>
      <c r="AO336" t="s">
        <v>392</v>
      </c>
      <c r="AS336" t="s">
        <v>0</v>
      </c>
    </row>
    <row r="337" spans="35:45">
      <c r="AI337">
        <v>415</v>
      </c>
      <c r="AJ337" t="s">
        <v>405</v>
      </c>
      <c r="AK337" t="s">
        <v>391</v>
      </c>
      <c r="AO337" t="s">
        <v>406</v>
      </c>
      <c r="AS337" t="s">
        <v>0</v>
      </c>
    </row>
    <row r="338" spans="35:45">
      <c r="AI338">
        <v>444</v>
      </c>
      <c r="AJ338" t="s">
        <v>418</v>
      </c>
      <c r="AK338" t="s">
        <v>391</v>
      </c>
      <c r="AO338" t="s">
        <v>419</v>
      </c>
      <c r="AS338" t="s">
        <v>0</v>
      </c>
    </row>
    <row r="339" spans="35:45">
      <c r="AI339">
        <v>446</v>
      </c>
      <c r="AJ339" t="s">
        <v>420</v>
      </c>
      <c r="AK339" t="s">
        <v>418</v>
      </c>
      <c r="AO339" t="s">
        <v>421</v>
      </c>
      <c r="AS339" t="s">
        <v>0</v>
      </c>
    </row>
    <row r="340" spans="35:45">
      <c r="AI340">
        <v>456</v>
      </c>
      <c r="AJ340" t="s">
        <v>429</v>
      </c>
      <c r="AK340" t="s">
        <v>284</v>
      </c>
      <c r="AO340" t="s">
        <v>430</v>
      </c>
      <c r="AS340" t="s">
        <v>0</v>
      </c>
    </row>
    <row r="341" spans="35:45">
      <c r="AI341">
        <v>460</v>
      </c>
      <c r="AJ341" t="s">
        <v>433</v>
      </c>
      <c r="AK341" t="s">
        <v>284</v>
      </c>
      <c r="AO341" t="s">
        <v>434</v>
      </c>
      <c r="AS341" t="s">
        <v>0</v>
      </c>
    </row>
    <row r="342" spans="35:45">
      <c r="AI342">
        <v>466</v>
      </c>
      <c r="AJ342" t="s">
        <v>439</v>
      </c>
      <c r="AK342" t="s">
        <v>433</v>
      </c>
      <c r="AO342" t="s">
        <v>440</v>
      </c>
      <c r="AS342" t="s">
        <v>0</v>
      </c>
    </row>
    <row r="343" spans="35:45">
      <c r="AI343">
        <v>468</v>
      </c>
      <c r="AJ343" t="s">
        <v>441</v>
      </c>
      <c r="AK343" t="s">
        <v>439</v>
      </c>
      <c r="AO343" t="s">
        <v>442</v>
      </c>
      <c r="AS343" t="s">
        <v>0</v>
      </c>
    </row>
    <row r="344" spans="35:45">
      <c r="AI344">
        <v>484</v>
      </c>
      <c r="AJ344" t="s">
        <v>463</v>
      </c>
      <c r="AK344" t="s">
        <v>439</v>
      </c>
      <c r="AO344" t="s">
        <v>464</v>
      </c>
      <c r="AS344" t="s">
        <v>0</v>
      </c>
    </row>
    <row r="345" spans="35:45">
      <c r="AI345">
        <v>492</v>
      </c>
      <c r="AJ345" t="s">
        <v>474</v>
      </c>
      <c r="AK345" t="s">
        <v>433</v>
      </c>
      <c r="AO345" t="s">
        <v>475</v>
      </c>
      <c r="AS345" t="s">
        <v>0</v>
      </c>
    </row>
    <row r="346" spans="35:45">
      <c r="AI346">
        <v>500</v>
      </c>
      <c r="AJ346" t="s">
        <v>482</v>
      </c>
      <c r="AK346" t="s">
        <v>411</v>
      </c>
      <c r="AO346" t="s">
        <v>483</v>
      </c>
      <c r="AS346" t="s">
        <v>0</v>
      </c>
    </row>
    <row r="347" spans="35:45">
      <c r="AI347">
        <v>502</v>
      </c>
      <c r="AJ347" t="s">
        <v>484</v>
      </c>
      <c r="AK347" t="s">
        <v>482</v>
      </c>
      <c r="AO347" t="s">
        <v>485</v>
      </c>
      <c r="AS347" t="s">
        <v>0</v>
      </c>
    </row>
    <row r="348" spans="35:45">
      <c r="AI348">
        <v>504</v>
      </c>
      <c r="AJ348" t="s">
        <v>486</v>
      </c>
      <c r="AK348" t="s">
        <v>484</v>
      </c>
      <c r="AO348" t="s">
        <v>487</v>
      </c>
      <c r="AS348" t="s">
        <v>0</v>
      </c>
    </row>
    <row r="349" spans="35:45">
      <c r="AI349">
        <v>512</v>
      </c>
      <c r="AJ349" t="s">
        <v>496</v>
      </c>
      <c r="AK349" t="s">
        <v>484</v>
      </c>
      <c r="AO349" t="s">
        <v>497</v>
      </c>
      <c r="AS349" t="s">
        <v>0</v>
      </c>
    </row>
    <row r="350" spans="35:45">
      <c r="AI350">
        <v>522</v>
      </c>
      <c r="AJ350" t="s">
        <v>507</v>
      </c>
      <c r="AK350" t="s">
        <v>482</v>
      </c>
      <c r="AO350" t="s">
        <v>508</v>
      </c>
      <c r="AS350" t="s">
        <v>500</v>
      </c>
    </row>
    <row r="351" spans="35:45">
      <c r="AI351">
        <v>540</v>
      </c>
      <c r="AJ351" t="s">
        <v>525</v>
      </c>
      <c r="AK351" t="s">
        <v>482</v>
      </c>
      <c r="AO351" t="s">
        <v>526</v>
      </c>
      <c r="AS351" t="s">
        <v>0</v>
      </c>
    </row>
    <row r="352" spans="35:45">
      <c r="AI352">
        <v>542</v>
      </c>
      <c r="AJ352" t="s">
        <v>527</v>
      </c>
      <c r="AK352" t="s">
        <v>525</v>
      </c>
      <c r="AO352" t="s">
        <v>528</v>
      </c>
      <c r="AS352" t="s">
        <v>0</v>
      </c>
    </row>
    <row r="353" spans="35:45">
      <c r="AI353">
        <v>556</v>
      </c>
      <c r="AJ353" t="s">
        <v>547</v>
      </c>
      <c r="AK353" t="s">
        <v>482</v>
      </c>
      <c r="AO353" t="s">
        <v>548</v>
      </c>
      <c r="AS353" t="s">
        <v>0</v>
      </c>
    </row>
    <row r="354" spans="35:45">
      <c r="AI354">
        <v>558</v>
      </c>
      <c r="AJ354" t="s">
        <v>549</v>
      </c>
      <c r="AK354" t="s">
        <v>547</v>
      </c>
      <c r="AO354" t="s">
        <v>550</v>
      </c>
      <c r="AS354" t="s">
        <v>0</v>
      </c>
    </row>
    <row r="355" spans="35:45">
      <c r="AI355">
        <v>587</v>
      </c>
      <c r="AJ355" t="s">
        <v>562</v>
      </c>
      <c r="AK355" t="s">
        <v>557</v>
      </c>
      <c r="AO355" t="s">
        <v>563</v>
      </c>
      <c r="AS355" t="s">
        <v>0</v>
      </c>
    </row>
    <row r="356" spans="35:45">
      <c r="AI356">
        <v>589</v>
      </c>
      <c r="AJ356" t="s">
        <v>564</v>
      </c>
      <c r="AK356" t="s">
        <v>562</v>
      </c>
      <c r="AO356" t="s">
        <v>565</v>
      </c>
      <c r="AS356" t="s">
        <v>0</v>
      </c>
    </row>
    <row r="357" spans="35:45">
      <c r="AI357">
        <v>591</v>
      </c>
      <c r="AJ357" t="s">
        <v>566</v>
      </c>
      <c r="AK357" t="s">
        <v>564</v>
      </c>
      <c r="AO357" t="s">
        <v>567</v>
      </c>
      <c r="AS357" t="s">
        <v>0</v>
      </c>
    </row>
    <row r="358" spans="35:45">
      <c r="AI358">
        <v>599</v>
      </c>
      <c r="AJ358" t="s">
        <v>577</v>
      </c>
      <c r="AK358" t="s">
        <v>564</v>
      </c>
      <c r="AO358" t="s">
        <v>578</v>
      </c>
      <c r="AS358" t="s">
        <v>0</v>
      </c>
    </row>
    <row r="359" spans="35:45">
      <c r="AI359">
        <v>615</v>
      </c>
      <c r="AJ359" t="s">
        <v>600</v>
      </c>
      <c r="AK359" t="s">
        <v>564</v>
      </c>
      <c r="AO359" t="s">
        <v>601</v>
      </c>
      <c r="AS359" t="s">
        <v>0</v>
      </c>
    </row>
    <row r="360" spans="35:45">
      <c r="AI360">
        <v>625</v>
      </c>
      <c r="AJ360" t="s">
        <v>614</v>
      </c>
      <c r="AK360" t="s">
        <v>564</v>
      </c>
      <c r="AO360" t="s">
        <v>615</v>
      </c>
      <c r="AS360" t="s">
        <v>0</v>
      </c>
    </row>
    <row r="361" spans="35:45">
      <c r="AI361">
        <v>635</v>
      </c>
      <c r="AJ361" t="s">
        <v>627</v>
      </c>
      <c r="AK361" t="s">
        <v>564</v>
      </c>
      <c r="AO361" t="s">
        <v>628</v>
      </c>
      <c r="AS361" t="s">
        <v>0</v>
      </c>
    </row>
    <row r="362" spans="35:45">
      <c r="AI362">
        <v>643</v>
      </c>
      <c r="AJ362" t="s">
        <v>638</v>
      </c>
      <c r="AK362" t="s">
        <v>564</v>
      </c>
      <c r="AO362" t="s">
        <v>639</v>
      </c>
      <c r="AS362" t="s">
        <v>0</v>
      </c>
    </row>
    <row r="363" spans="35:45">
      <c r="AI363">
        <v>653</v>
      </c>
      <c r="AJ363" t="s">
        <v>652</v>
      </c>
      <c r="AK363" t="s">
        <v>562</v>
      </c>
      <c r="AO363" t="s">
        <v>653</v>
      </c>
      <c r="AS363" t="s">
        <v>0</v>
      </c>
    </row>
    <row r="364" spans="35:45">
      <c r="AI364">
        <v>655</v>
      </c>
      <c r="AJ364" t="s">
        <v>654</v>
      </c>
      <c r="AK364" t="s">
        <v>652</v>
      </c>
      <c r="AO364" t="s">
        <v>655</v>
      </c>
      <c r="AS364" t="s">
        <v>0</v>
      </c>
    </row>
    <row r="365" spans="35:45">
      <c r="AI365">
        <v>667</v>
      </c>
      <c r="AJ365" t="s">
        <v>671</v>
      </c>
      <c r="AK365" t="s">
        <v>654</v>
      </c>
      <c r="AO365" t="s">
        <v>672</v>
      </c>
      <c r="AS365" t="s">
        <v>0</v>
      </c>
    </row>
    <row r="366" spans="35:45">
      <c r="AI366">
        <v>689</v>
      </c>
      <c r="AJ366" t="s">
        <v>702</v>
      </c>
      <c r="AK366" t="s">
        <v>654</v>
      </c>
      <c r="AO366" t="s">
        <v>703</v>
      </c>
      <c r="AS366" t="s">
        <v>0</v>
      </c>
    </row>
    <row r="367" spans="35:45">
      <c r="AI367">
        <v>740</v>
      </c>
      <c r="AJ367" t="s">
        <v>752</v>
      </c>
      <c r="AK367" t="s">
        <v>654</v>
      </c>
      <c r="AO367" t="s">
        <v>753</v>
      </c>
      <c r="AS367" t="s">
        <v>0</v>
      </c>
    </row>
    <row r="368" spans="35:45">
      <c r="AI368">
        <v>760</v>
      </c>
      <c r="AJ368" t="s">
        <v>781</v>
      </c>
      <c r="AK368" t="s">
        <v>652</v>
      </c>
      <c r="AO368" t="s">
        <v>782</v>
      </c>
      <c r="AS368" t="s">
        <v>0</v>
      </c>
    </row>
    <row r="369" spans="35:50">
      <c r="AI369">
        <v>768</v>
      </c>
      <c r="AJ369" t="s">
        <v>792</v>
      </c>
      <c r="AK369" t="s">
        <v>781</v>
      </c>
      <c r="AO369" t="s">
        <v>793</v>
      </c>
      <c r="AS369" t="s">
        <v>0</v>
      </c>
    </row>
    <row r="370" spans="35:50">
      <c r="AI370">
        <v>784</v>
      </c>
      <c r="AJ370" t="s">
        <v>814</v>
      </c>
      <c r="AK370" t="s">
        <v>781</v>
      </c>
      <c r="AO370" t="s">
        <v>815</v>
      </c>
      <c r="AS370" t="s">
        <v>0</v>
      </c>
    </row>
    <row r="372" spans="35:50">
      <c r="AI372">
        <v>798</v>
      </c>
      <c r="AJ372" t="s">
        <v>834</v>
      </c>
      <c r="AK372" t="s">
        <v>781</v>
      </c>
      <c r="AO372" t="s">
        <v>835</v>
      </c>
      <c r="AS372" t="s">
        <v>836</v>
      </c>
    </row>
    <row r="373" spans="35:50">
      <c r="AI373">
        <v>800</v>
      </c>
      <c r="AJ373" t="s">
        <v>837</v>
      </c>
      <c r="AK373" t="s">
        <v>781</v>
      </c>
      <c r="AO373" t="s">
        <v>838</v>
      </c>
      <c r="AS373" t="s">
        <v>0</v>
      </c>
    </row>
    <row r="374" spans="35:50">
      <c r="AI374">
        <v>804</v>
      </c>
      <c r="AJ374" t="s">
        <v>841</v>
      </c>
      <c r="AK374" t="s">
        <v>562</v>
      </c>
      <c r="AO374" t="s">
        <v>842</v>
      </c>
      <c r="AS374" t="s">
        <v>0</v>
      </c>
    </row>
    <row r="375" spans="35:50">
      <c r="AI375">
        <v>808</v>
      </c>
      <c r="AJ375" t="s">
        <v>845</v>
      </c>
      <c r="AK375" t="s">
        <v>562</v>
      </c>
      <c r="AO375" t="s">
        <v>846</v>
      </c>
      <c r="AS375" t="s">
        <v>0</v>
      </c>
    </row>
    <row r="376" spans="35:50">
      <c r="AI376">
        <v>812</v>
      </c>
      <c r="AJ376" t="s">
        <v>849</v>
      </c>
      <c r="AK376" t="s">
        <v>557</v>
      </c>
      <c r="AO376" t="s">
        <v>850</v>
      </c>
      <c r="AS376" t="s">
        <v>0</v>
      </c>
    </row>
    <row r="377" spans="35:50">
      <c r="AI377">
        <v>814</v>
      </c>
      <c r="AJ377" t="s">
        <v>851</v>
      </c>
      <c r="AK377" t="s">
        <v>849</v>
      </c>
      <c r="AO377" t="s">
        <v>852</v>
      </c>
      <c r="AS377" t="s">
        <v>853</v>
      </c>
    </row>
    <row r="378" spans="35:50">
      <c r="AI378">
        <v>816</v>
      </c>
      <c r="AJ378" t="s">
        <v>854</v>
      </c>
      <c r="AK378" t="s">
        <v>851</v>
      </c>
      <c r="AO378" t="s">
        <v>855</v>
      </c>
      <c r="AS378" t="s">
        <v>856</v>
      </c>
    </row>
    <row r="379" spans="35:50">
      <c r="AI379">
        <v>822</v>
      </c>
      <c r="AJ379" t="s">
        <v>863</v>
      </c>
      <c r="AK379" t="s">
        <v>557</v>
      </c>
      <c r="AO379" t="s">
        <v>864</v>
      </c>
      <c r="AS379" t="s">
        <v>0</v>
      </c>
    </row>
    <row r="380" spans="35:50">
      <c r="AI380">
        <v>824</v>
      </c>
      <c r="AJ380" t="s">
        <v>865</v>
      </c>
      <c r="AK380" t="s">
        <v>863</v>
      </c>
      <c r="AO380" t="s">
        <v>864</v>
      </c>
      <c r="AS380" t="s">
        <v>0</v>
      </c>
    </row>
    <row r="381" spans="35:50">
      <c r="AI381">
        <v>832</v>
      </c>
      <c r="AJ381" t="s">
        <v>874</v>
      </c>
      <c r="AK381" t="s">
        <v>561</v>
      </c>
      <c r="AO381" t="s">
        <v>875</v>
      </c>
      <c r="AS381" t="s">
        <v>0</v>
      </c>
    </row>
    <row r="382" spans="35:50">
      <c r="AI382">
        <v>836</v>
      </c>
      <c r="AJ382" t="s">
        <v>878</v>
      </c>
      <c r="AK382" t="s">
        <v>561</v>
      </c>
      <c r="AO382" t="s">
        <v>879</v>
      </c>
      <c r="AS382" t="s">
        <v>0</v>
      </c>
    </row>
    <row r="383" spans="35:50">
      <c r="AI383">
        <v>840</v>
      </c>
      <c r="AJ383" t="s">
        <v>882</v>
      </c>
      <c r="AK383" t="s">
        <v>561</v>
      </c>
      <c r="AO383" t="s">
        <v>883</v>
      </c>
      <c r="AS383" t="s">
        <v>0</v>
      </c>
    </row>
    <row r="384" spans="35:50">
      <c r="AI384">
        <v>1</v>
      </c>
      <c r="AJ384" t="s">
        <v>3</v>
      </c>
      <c r="AK384" t="s">
        <v>0</v>
      </c>
      <c r="AN384" t="s">
        <v>0</v>
      </c>
      <c r="AO384" t="s">
        <v>15</v>
      </c>
      <c r="AR384" t="s">
        <v>0</v>
      </c>
      <c r="AS384" t="s">
        <v>0</v>
      </c>
      <c r="AX384" t="s">
        <v>0</v>
      </c>
    </row>
    <row r="385" spans="35:45">
      <c r="AI385">
        <v>214</v>
      </c>
      <c r="AJ385" t="s">
        <v>139</v>
      </c>
      <c r="AK385" t="s">
        <v>0</v>
      </c>
      <c r="AO385" t="s">
        <v>224</v>
      </c>
      <c r="AS385" t="s">
        <v>0</v>
      </c>
    </row>
    <row r="386" spans="35:45">
      <c r="AI386">
        <v>454</v>
      </c>
      <c r="AJ386" t="s">
        <v>284</v>
      </c>
      <c r="AK386" t="s">
        <v>0</v>
      </c>
      <c r="AO386" t="s">
        <v>428</v>
      </c>
      <c r="AS386" t="s">
        <v>0</v>
      </c>
    </row>
    <row r="387" spans="35:45">
      <c r="AI387">
        <v>498</v>
      </c>
      <c r="AJ387" t="s">
        <v>411</v>
      </c>
      <c r="AK387" t="s">
        <v>0</v>
      </c>
      <c r="AO387" t="s">
        <v>480</v>
      </c>
      <c r="AS387" t="s">
        <v>0</v>
      </c>
    </row>
    <row r="388" spans="35:45">
      <c r="AI388">
        <v>585</v>
      </c>
      <c r="AJ388" t="s">
        <v>557</v>
      </c>
      <c r="AK388" t="s">
        <v>0</v>
      </c>
      <c r="AO388" t="s">
        <v>560</v>
      </c>
      <c r="AS388" t="s">
        <v>0</v>
      </c>
    </row>
    <row r="389" spans="35:45">
      <c r="AI389">
        <v>830</v>
      </c>
      <c r="AJ389" t="s">
        <v>561</v>
      </c>
      <c r="AK389" t="s">
        <v>0</v>
      </c>
      <c r="AO389" t="s">
        <v>872</v>
      </c>
      <c r="AS389" t="s">
        <v>0</v>
      </c>
    </row>
    <row r="390" spans="35:45">
      <c r="AI390">
        <v>844</v>
      </c>
      <c r="AJ390" t="s">
        <v>873</v>
      </c>
      <c r="AK390" t="s">
        <v>0</v>
      </c>
      <c r="AO390" t="s">
        <v>886</v>
      </c>
      <c r="AS390" t="s">
        <v>0</v>
      </c>
    </row>
    <row r="391" spans="35:45">
      <c r="AJ391" t="s">
        <v>138</v>
      </c>
    </row>
    <row r="392" spans="35:45">
      <c r="AJ392" t="s">
        <v>0</v>
      </c>
    </row>
  </sheetData>
  <mergeCells count="17">
    <mergeCell ref="CG1:CI1"/>
    <mergeCell ref="E42:I42"/>
    <mergeCell ref="I72:K72"/>
    <mergeCell ref="R1:T1"/>
    <mergeCell ref="BA1:BC1"/>
    <mergeCell ref="BE1:BG1"/>
    <mergeCell ref="BI1:BK1"/>
    <mergeCell ref="A147:B147"/>
    <mergeCell ref="A148:B148"/>
    <mergeCell ref="CK1:CM1"/>
    <mergeCell ref="CO1:CQ1"/>
    <mergeCell ref="CS1:CU1"/>
    <mergeCell ref="BM1:BO1"/>
    <mergeCell ref="BQ1:BS1"/>
    <mergeCell ref="BU1:BW1"/>
    <mergeCell ref="BY1:CA1"/>
    <mergeCell ref="CC1:CE1"/>
  </mergeCells>
  <conditionalFormatting sqref="B18:B22 B1:B5">
    <cfRule type="duplicateValues" dxfId="44" priority="18" stopIfTrue="1"/>
  </conditionalFormatting>
  <conditionalFormatting sqref="BB3:BB7 BB9:BB297">
    <cfRule type="duplicateValues" dxfId="43" priority="15" stopIfTrue="1"/>
  </conditionalFormatting>
  <conditionalFormatting sqref="BF3:BF7 BF12:BF297">
    <cfRule type="duplicateValues" dxfId="42" priority="14" stopIfTrue="1"/>
  </conditionalFormatting>
  <conditionalFormatting sqref="BJ3:BJ10 BJ13:BJ297">
    <cfRule type="duplicateValues" dxfId="41" priority="13" stopIfTrue="1"/>
  </conditionalFormatting>
  <conditionalFormatting sqref="BN3:BN297">
    <cfRule type="duplicateValues" dxfId="40" priority="12" stopIfTrue="1"/>
  </conditionalFormatting>
  <conditionalFormatting sqref="BR3:BR297">
    <cfRule type="duplicateValues" dxfId="39" priority="11" stopIfTrue="1"/>
  </conditionalFormatting>
  <conditionalFormatting sqref="BV3:BV7 BV12:BV297">
    <cfRule type="duplicateValues" dxfId="38" priority="10" stopIfTrue="1"/>
  </conditionalFormatting>
  <conditionalFormatting sqref="BZ3:BZ297">
    <cfRule type="duplicateValues" dxfId="37" priority="9" stopIfTrue="1"/>
  </conditionalFormatting>
  <conditionalFormatting sqref="CD3:CD297">
    <cfRule type="duplicateValues" dxfId="36" priority="8" stopIfTrue="1"/>
  </conditionalFormatting>
  <conditionalFormatting sqref="CH3:CH7 CH13:CH297">
    <cfRule type="duplicateValues" dxfId="35" priority="7" stopIfTrue="1"/>
  </conditionalFormatting>
  <conditionalFormatting sqref="CL3:CL79 CL84:CL297">
    <cfRule type="duplicateValues" dxfId="34" priority="6" stopIfTrue="1"/>
  </conditionalFormatting>
  <conditionalFormatting sqref="CP3:CP7 CP10:CP297">
    <cfRule type="duplicateValues" dxfId="33" priority="5" stopIfTrue="1"/>
  </conditionalFormatting>
  <conditionalFormatting sqref="CT3:CT297">
    <cfRule type="duplicateValues" dxfId="32" priority="4" stopIfTrue="1"/>
  </conditionalFormatting>
  <conditionalFormatting sqref="S3:S6">
    <cfRule type="duplicateValues" dxfId="31" priority="3" stopIfTrue="1"/>
  </conditionalFormatting>
  <conditionalFormatting sqref="S1:S1048576">
    <cfRule type="duplicateValues" dxfId="30" priority="1" stopIfTrue="1"/>
    <cfRule type="duplicateValues" dxfId="29" priority="2" stopIfTrue="1"/>
  </conditionalFormatting>
  <dataValidations count="2">
    <dataValidation type="list" allowBlank="1" showInputMessage="1" showErrorMessage="1" sqref="BJ7 BB7 BF7 CT7 CP7 CL7 CH7 CD7 BZ7 BV7 BR7 BN7">
      <formula1>$AI$7:$AI$286</formula1>
    </dataValidation>
    <dataValidation type="list" allowBlank="1" showInputMessage="1" showErrorMessage="1" sqref="CH13:CH109 BV12:BV109 BB9:BB109 BJ8:BJ10 BR8:BR109 BJ13:BJ109 BZ8:BZ109 CD8:CD109 BN8:BN109 CP10:CP109 CL84:CL109 CT8:CT109 CL8:CL79 BF12:BF109">
      <formula1>$AF$7:$AF$289</formula1>
    </dataValidation>
  </dataValidations>
  <pageMargins left="0.7" right="0.7" top="0.75" bottom="0.75" header="0.3" footer="0.3"/>
  <pageSetup paperSize="9" orientation="portrait" horizontalDpi="360" verticalDpi="36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W967"/>
  <sheetViews>
    <sheetView topLeftCell="A302" zoomScale="110" zoomScaleNormal="110" zoomScalePageLayoutView="106" workbookViewId="0">
      <pane ySplit="5625" topLeftCell="A641" activePane="bottomLeft"/>
      <selection activeCell="D300" sqref="D300"/>
      <selection pane="bottomLeft" activeCell="G651" sqref="G651"/>
    </sheetView>
  </sheetViews>
  <sheetFormatPr baseColWidth="10" defaultColWidth="9.140625" defaultRowHeight="15"/>
  <cols>
    <col min="1" max="1" width="2.5703125" style="334" customWidth="1"/>
    <col min="2" max="2" width="20.85546875" style="334" customWidth="1"/>
    <col min="3" max="3" width="10.85546875" style="334" customWidth="1"/>
    <col min="4" max="4" width="8.85546875" style="334" customWidth="1"/>
    <col min="5" max="5" width="19.7109375" style="334" customWidth="1"/>
    <col min="6" max="6" width="2.85546875" style="334" customWidth="1"/>
    <col min="7" max="7" width="15.7109375" style="334" customWidth="1"/>
    <col min="8" max="8" width="3.7109375" style="334" customWidth="1"/>
    <col min="9" max="9" width="15" style="334" customWidth="1"/>
    <col min="10" max="10" width="2.140625" style="334" customWidth="1"/>
    <col min="11" max="11" width="13" style="334" hidden="1" customWidth="1"/>
    <col min="12" max="12" width="14.85546875" style="334" hidden="1" customWidth="1"/>
    <col min="13" max="13" width="11.42578125" style="334" hidden="1" customWidth="1"/>
    <col min="14" max="14" width="0" style="334" hidden="1" customWidth="1"/>
    <col min="15" max="15" width="14.42578125" style="675" customWidth="1"/>
    <col min="16" max="16" width="16.5703125" style="334" customWidth="1"/>
    <col min="17" max="17" width="13.7109375" style="675" customWidth="1"/>
    <col min="18" max="18" width="15" style="334" customWidth="1"/>
    <col min="19" max="16384" width="9.140625" style="334"/>
  </cols>
  <sheetData>
    <row r="2" spans="1:9" ht="18.75">
      <c r="A2" s="1835" t="s">
        <v>916</v>
      </c>
      <c r="B2" s="1835"/>
      <c r="C2" s="1835"/>
      <c r="D2" s="1835"/>
      <c r="E2" s="1835"/>
      <c r="F2" s="1835"/>
      <c r="G2" s="1835"/>
      <c r="H2" s="1835"/>
      <c r="I2" s="1835"/>
    </row>
    <row r="3" spans="1:9" ht="20.25">
      <c r="A3" s="1834" t="s">
        <v>899</v>
      </c>
      <c r="B3" s="1834"/>
      <c r="C3" s="1834"/>
      <c r="D3" s="1834"/>
      <c r="E3" s="1834"/>
      <c r="F3" s="1834"/>
      <c r="G3" s="1834"/>
      <c r="H3" s="1834"/>
      <c r="I3" s="1834"/>
    </row>
    <row r="12" spans="1:9" ht="20.25">
      <c r="A12" s="668"/>
      <c r="B12" s="668"/>
      <c r="C12" s="668"/>
      <c r="D12" s="668"/>
      <c r="E12" s="668"/>
      <c r="F12" s="668"/>
      <c r="G12" s="668"/>
      <c r="H12" s="668"/>
      <c r="I12" s="668"/>
    </row>
    <row r="13" spans="1:9" ht="20.25">
      <c r="A13" s="668"/>
      <c r="B13" s="668"/>
      <c r="C13" s="668"/>
      <c r="D13" s="668"/>
      <c r="E13" s="668"/>
      <c r="F13" s="668"/>
      <c r="G13" s="668"/>
      <c r="H13" s="668"/>
      <c r="I13" s="668"/>
    </row>
    <row r="14" spans="1:9" ht="20.25">
      <c r="A14" s="668"/>
      <c r="B14" s="668"/>
      <c r="C14" s="668"/>
      <c r="D14" s="668"/>
      <c r="E14" s="668"/>
      <c r="F14" s="668"/>
      <c r="G14" s="668"/>
      <c r="H14" s="668"/>
      <c r="I14" s="668"/>
    </row>
    <row r="15" spans="1:9" ht="20.25">
      <c r="A15" s="668"/>
      <c r="B15" s="668"/>
      <c r="C15" s="668"/>
      <c r="D15" s="668"/>
      <c r="E15" s="668"/>
      <c r="F15" s="668"/>
      <c r="G15" s="668"/>
      <c r="H15" s="668"/>
      <c r="I15" s="668"/>
    </row>
    <row r="16" spans="1:9" ht="20.25">
      <c r="A16" s="666"/>
      <c r="B16" s="666"/>
      <c r="C16" s="666"/>
      <c r="D16" s="666"/>
      <c r="E16" s="666"/>
      <c r="F16" s="666"/>
      <c r="G16" s="666"/>
      <c r="H16" s="666"/>
      <c r="I16" s="666"/>
    </row>
    <row r="17" spans="1:9" ht="46.5" customHeight="1">
      <c r="A17" s="1873" t="s">
        <v>1583</v>
      </c>
      <c r="B17" s="1873"/>
      <c r="C17" s="1873"/>
      <c r="D17" s="1873"/>
      <c r="E17" s="1873"/>
      <c r="F17" s="1873"/>
      <c r="G17" s="1873"/>
      <c r="H17" s="1873"/>
      <c r="I17" s="1873"/>
    </row>
    <row r="18" spans="1:9" ht="20.25">
      <c r="A18" s="666"/>
      <c r="B18" s="666"/>
      <c r="C18" s="666"/>
      <c r="D18" s="666"/>
      <c r="E18" s="666"/>
      <c r="F18" s="666"/>
      <c r="G18" s="666"/>
      <c r="H18" s="666"/>
      <c r="I18" s="666"/>
    </row>
    <row r="19" spans="1:9" ht="20.25">
      <c r="A19" s="666"/>
      <c r="B19" s="666"/>
      <c r="C19" s="666"/>
      <c r="D19" s="666"/>
      <c r="E19" s="666"/>
      <c r="F19" s="666"/>
      <c r="G19" s="666"/>
      <c r="H19" s="666"/>
      <c r="I19" s="666"/>
    </row>
    <row r="20" spans="1:9" ht="20.25">
      <c r="A20" s="666"/>
      <c r="B20" s="666"/>
      <c r="C20" s="666"/>
      <c r="D20" s="666"/>
      <c r="E20" s="666"/>
      <c r="F20" s="666"/>
      <c r="G20" s="666"/>
      <c r="H20" s="666"/>
      <c r="I20" s="666"/>
    </row>
    <row r="21" spans="1:9" ht="20.25">
      <c r="A21" s="666"/>
      <c r="B21" s="666"/>
      <c r="C21" s="666"/>
      <c r="D21" s="666"/>
      <c r="E21" s="666"/>
      <c r="F21" s="666"/>
      <c r="G21" s="666"/>
      <c r="H21" s="666"/>
      <c r="I21" s="666"/>
    </row>
    <row r="22" spans="1:9" ht="20.25">
      <c r="A22" s="666"/>
      <c r="B22" s="666"/>
      <c r="C22" s="666"/>
      <c r="D22" s="666"/>
      <c r="E22" s="666"/>
      <c r="F22" s="666"/>
      <c r="G22" s="666"/>
      <c r="H22" s="666"/>
      <c r="I22" s="666"/>
    </row>
    <row r="23" spans="1:9" ht="20.25">
      <c r="A23" s="666"/>
      <c r="B23" s="666"/>
      <c r="C23" s="666"/>
      <c r="D23" s="666"/>
      <c r="E23" s="666"/>
      <c r="F23" s="666"/>
      <c r="G23" s="666"/>
      <c r="H23" s="666"/>
      <c r="I23" s="666"/>
    </row>
    <row r="24" spans="1:9" ht="44.25" customHeight="1">
      <c r="A24" s="1873" t="s">
        <v>2767</v>
      </c>
      <c r="B24" s="1873"/>
      <c r="C24" s="1873"/>
      <c r="D24" s="1873"/>
      <c r="E24" s="1873"/>
      <c r="F24" s="1873"/>
      <c r="G24" s="1873"/>
      <c r="H24" s="1873"/>
      <c r="I24" s="1873"/>
    </row>
    <row r="25" spans="1:9" ht="20.25">
      <c r="A25" s="1874"/>
      <c r="B25" s="1874"/>
      <c r="C25" s="1874"/>
      <c r="D25" s="1874"/>
      <c r="E25" s="1874"/>
      <c r="F25" s="1874"/>
      <c r="G25" s="1874"/>
      <c r="H25" s="1874"/>
      <c r="I25" s="1874"/>
    </row>
    <row r="26" spans="1:9" ht="20.25">
      <c r="A26" s="666"/>
      <c r="B26" s="666"/>
      <c r="C26" s="666"/>
      <c r="D26" s="666"/>
      <c r="E26" s="666"/>
      <c r="F26" s="666"/>
      <c r="G26" s="666"/>
      <c r="H26" s="666"/>
      <c r="I26" s="666"/>
    </row>
    <row r="44" spans="1:9" ht="33.75" customHeight="1">
      <c r="A44" s="1871" t="str">
        <f>+A2</f>
        <v>CORPORACION DEL ACUEDUCTO Y ALCANTARILLADO DE MOCA</v>
      </c>
      <c r="B44" s="1871"/>
      <c r="C44" s="1871"/>
      <c r="D44" s="1871"/>
      <c r="E44" s="1871"/>
      <c r="F44" s="1871"/>
      <c r="G44" s="1871"/>
      <c r="H44" s="1871"/>
      <c r="I44" s="1871"/>
    </row>
    <row r="45" spans="1:9" ht="18.75">
      <c r="A45" s="1871" t="str">
        <f>+A3</f>
        <v>CORAAMOCA</v>
      </c>
      <c r="B45" s="1871"/>
      <c r="C45" s="1871"/>
      <c r="D45" s="1871"/>
      <c r="E45" s="1871"/>
      <c r="F45" s="1871"/>
      <c r="G45" s="1871"/>
      <c r="H45" s="1871"/>
      <c r="I45" s="1871"/>
    </row>
    <row r="47" spans="1:9" ht="39" customHeight="1">
      <c r="A47" s="1873" t="str">
        <f>+A17</f>
        <v>Informe de Auditoria Interna a los Estados de Ejecucion Presupuestaria y Estados Financieros</v>
      </c>
      <c r="B47" s="1873"/>
      <c r="C47" s="1873"/>
      <c r="D47" s="1873"/>
      <c r="E47" s="1873"/>
      <c r="F47" s="1873"/>
      <c r="G47" s="1873"/>
      <c r="H47" s="1873"/>
      <c r="I47" s="1873"/>
    </row>
    <row r="49" spans="1:9">
      <c r="A49" s="1865" t="s">
        <v>1865</v>
      </c>
      <c r="B49" s="1865"/>
      <c r="C49" s="1865"/>
      <c r="D49" s="1865"/>
      <c r="E49" s="1865"/>
      <c r="F49" s="1865"/>
      <c r="G49" s="1865"/>
      <c r="H49" s="1865"/>
      <c r="I49" s="1865"/>
    </row>
    <row r="51" spans="1:9">
      <c r="A51" s="672" t="s">
        <v>1867</v>
      </c>
      <c r="B51" s="672"/>
      <c r="C51" s="672"/>
      <c r="D51" s="672"/>
      <c r="E51" s="672"/>
      <c r="F51" s="672"/>
      <c r="G51" s="672"/>
      <c r="H51" s="672"/>
      <c r="I51" s="754" t="s">
        <v>1866</v>
      </c>
    </row>
    <row r="53" spans="1:9">
      <c r="A53" s="334" t="s">
        <v>1868</v>
      </c>
      <c r="B53" s="334" t="s">
        <v>1869</v>
      </c>
    </row>
    <row r="54" spans="1:9">
      <c r="B54" s="334" t="s">
        <v>1870</v>
      </c>
      <c r="I54" s="334">
        <v>4</v>
      </c>
    </row>
    <row r="55" spans="1:9">
      <c r="B55" s="334" t="s">
        <v>1871</v>
      </c>
      <c r="I55" s="334">
        <v>4</v>
      </c>
    </row>
    <row r="56" spans="1:9">
      <c r="B56" s="334" t="s">
        <v>1872</v>
      </c>
      <c r="I56" s="334">
        <v>4</v>
      </c>
    </row>
    <row r="57" spans="1:9">
      <c r="B57" s="334" t="s">
        <v>1873</v>
      </c>
      <c r="I57" s="334">
        <v>4</v>
      </c>
    </row>
    <row r="58" spans="1:9">
      <c r="B58" s="334" t="s">
        <v>1874</v>
      </c>
      <c r="I58" s="334">
        <v>5</v>
      </c>
    </row>
    <row r="59" spans="1:9">
      <c r="B59" s="334" t="s">
        <v>1875</v>
      </c>
      <c r="I59" s="334">
        <v>5</v>
      </c>
    </row>
    <row r="60" spans="1:9">
      <c r="B60" s="334" t="s">
        <v>1876</v>
      </c>
      <c r="I60" s="334">
        <v>5</v>
      </c>
    </row>
    <row r="62" spans="1:9">
      <c r="A62" s="334" t="s">
        <v>1877</v>
      </c>
      <c r="B62" s="334" t="s">
        <v>1878</v>
      </c>
      <c r="I62" s="334">
        <v>6</v>
      </c>
    </row>
    <row r="64" spans="1:9">
      <c r="A64" s="334" t="s">
        <v>1879</v>
      </c>
      <c r="B64" s="334" t="s">
        <v>1880</v>
      </c>
      <c r="I64" s="334">
        <v>8</v>
      </c>
    </row>
    <row r="66" spans="1:9">
      <c r="A66" s="334" t="s">
        <v>1881</v>
      </c>
      <c r="B66" s="334" t="s">
        <v>1882</v>
      </c>
      <c r="I66" s="334">
        <v>18</v>
      </c>
    </row>
    <row r="68" spans="1:9">
      <c r="A68" s="334" t="s">
        <v>1883</v>
      </c>
      <c r="B68" s="334" t="s">
        <v>1884</v>
      </c>
      <c r="I68" s="334">
        <v>19</v>
      </c>
    </row>
    <row r="70" spans="1:9">
      <c r="A70" s="334" t="s">
        <v>1885</v>
      </c>
      <c r="B70" s="334" t="s">
        <v>1886</v>
      </c>
      <c r="I70" s="334">
        <v>19</v>
      </c>
    </row>
    <row r="72" spans="1:9">
      <c r="B72" s="334" t="s">
        <v>1887</v>
      </c>
      <c r="I72" s="334">
        <v>20</v>
      </c>
    </row>
    <row r="93" spans="1:9" ht="45" customHeight="1">
      <c r="A93" s="1873" t="str">
        <f>+A17</f>
        <v>Informe de Auditoria Interna a los Estados de Ejecucion Presupuestaria y Estados Financieros</v>
      </c>
      <c r="B93" s="1873"/>
      <c r="C93" s="1873"/>
      <c r="D93" s="1873"/>
      <c r="E93" s="1873"/>
      <c r="F93" s="1873"/>
      <c r="G93" s="1873"/>
      <c r="H93" s="1873"/>
      <c r="I93" s="1873"/>
    </row>
    <row r="98" spans="1:9">
      <c r="A98" s="1865" t="s">
        <v>1584</v>
      </c>
      <c r="B98" s="1865"/>
      <c r="C98" s="1865"/>
      <c r="D98" s="1865"/>
      <c r="E98" s="1865"/>
      <c r="F98" s="1865"/>
      <c r="G98" s="1865"/>
      <c r="H98" s="1865"/>
      <c r="I98" s="1865"/>
    </row>
    <row r="99" spans="1:9">
      <c r="A99" s="1863"/>
      <c r="B99" s="1863"/>
      <c r="C99" s="1863"/>
      <c r="D99" s="1863"/>
      <c r="E99" s="1863"/>
      <c r="F99" s="1863"/>
      <c r="G99" s="1863"/>
      <c r="H99" s="1863"/>
      <c r="I99" s="1863"/>
    </row>
    <row r="101" spans="1:9" ht="24" customHeight="1">
      <c r="A101" s="1872" t="s">
        <v>1602</v>
      </c>
      <c r="B101" s="1872"/>
      <c r="C101" s="1872"/>
      <c r="D101" s="1872"/>
      <c r="E101" s="1872"/>
      <c r="F101" s="670"/>
      <c r="G101" s="334" t="s">
        <v>1585</v>
      </c>
    </row>
    <row r="102" spans="1:9" ht="24" customHeight="1">
      <c r="A102" s="1872" t="s">
        <v>1603</v>
      </c>
      <c r="B102" s="1872"/>
      <c r="C102" s="1872"/>
      <c r="D102" s="1872"/>
      <c r="E102" s="1872"/>
      <c r="F102" s="670"/>
      <c r="G102" s="669" t="s">
        <v>899</v>
      </c>
      <c r="H102" s="669"/>
      <c r="I102" s="669"/>
    </row>
    <row r="103" spans="1:9" ht="24" customHeight="1">
      <c r="A103" s="1872" t="s">
        <v>1604</v>
      </c>
      <c r="B103" s="1872"/>
      <c r="C103" s="1872"/>
      <c r="D103" s="1872"/>
      <c r="E103" s="1872"/>
      <c r="F103" s="670"/>
      <c r="G103" s="334" t="s">
        <v>1586</v>
      </c>
    </row>
    <row r="104" spans="1:9" ht="24" customHeight="1">
      <c r="A104" s="1872" t="s">
        <v>1605</v>
      </c>
      <c r="B104" s="1872"/>
      <c r="C104" s="1872"/>
      <c r="D104" s="1872"/>
      <c r="E104" s="1872"/>
      <c r="F104" s="670"/>
      <c r="G104" s="334" t="s">
        <v>1587</v>
      </c>
    </row>
    <row r="105" spans="1:9" ht="24" customHeight="1">
      <c r="A105" s="1872" t="s">
        <v>1595</v>
      </c>
      <c r="B105" s="1872"/>
      <c r="C105" s="1872"/>
      <c r="D105" s="1872"/>
      <c r="E105" s="1872"/>
      <c r="F105" s="670"/>
      <c r="G105" s="334" t="s">
        <v>1588</v>
      </c>
    </row>
    <row r="106" spans="1:9" ht="24" customHeight="1">
      <c r="A106" s="1872" t="s">
        <v>1598</v>
      </c>
      <c r="B106" s="1872"/>
      <c r="C106" s="1872"/>
      <c r="D106" s="1872"/>
      <c r="E106" s="1872"/>
      <c r="F106" s="670"/>
      <c r="G106" s="334" t="s">
        <v>1589</v>
      </c>
    </row>
    <row r="107" spans="1:9" ht="24" customHeight="1">
      <c r="A107" s="1872" t="s">
        <v>1599</v>
      </c>
      <c r="B107" s="1872"/>
      <c r="C107" s="1872"/>
      <c r="D107" s="1872"/>
      <c r="E107" s="1872"/>
      <c r="F107" s="670"/>
      <c r="G107" s="334" t="s">
        <v>1590</v>
      </c>
    </row>
    <row r="108" spans="1:9" ht="24" customHeight="1">
      <c r="A108" s="1872" t="s">
        <v>1600</v>
      </c>
      <c r="B108" s="1872"/>
      <c r="C108" s="1872"/>
      <c r="D108" s="1872"/>
      <c r="E108" s="1872"/>
      <c r="F108" s="670"/>
      <c r="G108" s="334" t="s">
        <v>1591</v>
      </c>
    </row>
    <row r="109" spans="1:9" ht="24" customHeight="1">
      <c r="A109" s="1872" t="s">
        <v>1596</v>
      </c>
      <c r="B109" s="1872"/>
      <c r="C109" s="1872"/>
      <c r="D109" s="1872"/>
      <c r="E109" s="1872"/>
      <c r="F109" s="670"/>
      <c r="G109" s="334" t="s">
        <v>1592</v>
      </c>
    </row>
    <row r="110" spans="1:9" ht="24" customHeight="1">
      <c r="A110" s="1872" t="s">
        <v>1601</v>
      </c>
      <c r="B110" s="1872"/>
      <c r="C110" s="1872"/>
      <c r="D110" s="1872"/>
      <c r="E110" s="1872"/>
      <c r="F110" s="670"/>
      <c r="G110" s="334" t="s">
        <v>1593</v>
      </c>
    </row>
    <row r="111" spans="1:9" ht="24" customHeight="1">
      <c r="A111" s="1872" t="s">
        <v>1597</v>
      </c>
      <c r="B111" s="1872"/>
      <c r="C111" s="1872"/>
      <c r="D111" s="1872"/>
      <c r="E111" s="1872"/>
      <c r="F111" s="670"/>
      <c r="G111" s="334" t="s">
        <v>1594</v>
      </c>
    </row>
    <row r="112" spans="1:9" ht="24" customHeight="1"/>
    <row r="130" spans="1:23" ht="35.25" customHeight="1">
      <c r="A130" s="1873" t="str">
        <f>+A93</f>
        <v>Informe de Auditoria Interna a los Estados de Ejecucion Presupuestaria y Estados Financieros</v>
      </c>
      <c r="B130" s="1873"/>
      <c r="C130" s="1873"/>
      <c r="D130" s="1873"/>
      <c r="E130" s="1873"/>
      <c r="F130" s="1873"/>
      <c r="G130" s="1873"/>
      <c r="H130" s="1873"/>
      <c r="I130" s="1873"/>
    </row>
    <row r="133" spans="1:23" s="672" customFormat="1" ht="14.25">
      <c r="A133" s="672" t="s">
        <v>1606</v>
      </c>
      <c r="O133" s="674"/>
      <c r="Q133" s="674"/>
    </row>
    <row r="134" spans="1:23" s="672" customFormat="1" ht="14.25">
      <c r="B134" s="672" t="s">
        <v>1607</v>
      </c>
      <c r="O134" s="674"/>
      <c r="Q134" s="674"/>
    </row>
    <row r="135" spans="1:23" ht="51" customHeight="1">
      <c r="A135" s="1864" t="s">
        <v>2766</v>
      </c>
      <c r="B135" s="1864"/>
      <c r="C135" s="1864"/>
      <c r="D135" s="1864"/>
      <c r="E135" s="1864"/>
      <c r="F135" s="1864"/>
      <c r="G135" s="1864"/>
      <c r="H135" s="1864"/>
      <c r="I135" s="1864"/>
    </row>
    <row r="137" spans="1:23" s="672" customFormat="1" ht="14.25">
      <c r="B137" s="672" t="s">
        <v>1608</v>
      </c>
      <c r="O137" s="674"/>
      <c r="Q137" s="674"/>
    </row>
    <row r="138" spans="1:23" s="672" customFormat="1" ht="14.25">
      <c r="B138" s="672" t="s">
        <v>1609</v>
      </c>
      <c r="O138" s="674"/>
      <c r="Q138" s="674"/>
    </row>
    <row r="139" spans="1:23" s="670" customFormat="1" ht="84" customHeight="1">
      <c r="A139" s="1864" t="s">
        <v>1610</v>
      </c>
      <c r="B139" s="1864"/>
      <c r="C139" s="1864"/>
      <c r="D139" s="1864"/>
      <c r="E139" s="1864"/>
      <c r="F139" s="1864"/>
      <c r="G139" s="1864"/>
      <c r="H139" s="1864"/>
      <c r="I139" s="1864"/>
      <c r="O139" s="899"/>
      <c r="P139" s="806"/>
      <c r="Q139" s="899"/>
      <c r="R139" s="806"/>
      <c r="S139" s="806"/>
      <c r="T139" s="806"/>
      <c r="U139" s="806"/>
      <c r="V139" s="806"/>
      <c r="W139" s="806"/>
    </row>
    <row r="141" spans="1:23">
      <c r="B141" s="672" t="s">
        <v>1612</v>
      </c>
    </row>
    <row r="142" spans="1:23" ht="99" customHeight="1">
      <c r="A142" s="1864" t="s">
        <v>1611</v>
      </c>
      <c r="B142" s="1864"/>
      <c r="C142" s="1864"/>
      <c r="D142" s="1864"/>
      <c r="E142" s="1864"/>
      <c r="F142" s="1864"/>
      <c r="G142" s="1864"/>
      <c r="H142" s="1864"/>
      <c r="I142" s="1864"/>
    </row>
    <row r="144" spans="1:23" s="672" customFormat="1" ht="14.25">
      <c r="B144" s="672" t="s">
        <v>1613</v>
      </c>
      <c r="O144" s="674"/>
      <c r="Q144" s="674"/>
    </row>
    <row r="145" spans="1:17" ht="54" customHeight="1">
      <c r="A145" s="1864" t="s">
        <v>2765</v>
      </c>
      <c r="B145" s="1864"/>
      <c r="C145" s="1864"/>
      <c r="D145" s="1864"/>
      <c r="E145" s="1864"/>
      <c r="F145" s="1864"/>
      <c r="G145" s="1864"/>
      <c r="H145" s="1864"/>
      <c r="I145" s="1864"/>
    </row>
    <row r="146" spans="1:17" ht="39.75" customHeight="1">
      <c r="A146" s="1864" t="s">
        <v>1614</v>
      </c>
      <c r="B146" s="1864"/>
      <c r="C146" s="1864"/>
      <c r="D146" s="1864"/>
      <c r="E146" s="1864"/>
      <c r="F146" s="1864"/>
      <c r="G146" s="1864"/>
      <c r="H146" s="1864"/>
      <c r="I146" s="1864"/>
    </row>
    <row r="147" spans="1:17" ht="181.5" customHeight="1">
      <c r="A147" s="1864" t="s">
        <v>1615</v>
      </c>
      <c r="B147" s="1864"/>
      <c r="C147" s="1864"/>
      <c r="D147" s="1864"/>
      <c r="E147" s="1864"/>
      <c r="F147" s="1864"/>
      <c r="G147" s="1864"/>
      <c r="H147" s="1864"/>
      <c r="I147" s="1864"/>
    </row>
    <row r="148" spans="1:17" ht="24.75" customHeight="1"/>
    <row r="149" spans="1:17" s="672" customFormat="1" ht="14.25">
      <c r="B149" s="1870" t="s">
        <v>1616</v>
      </c>
      <c r="C149" s="1870"/>
      <c r="D149" s="1870"/>
      <c r="E149" s="1870"/>
      <c r="F149" s="1870"/>
      <c r="G149" s="1870"/>
      <c r="H149" s="1870"/>
      <c r="I149" s="1870"/>
      <c r="O149" s="674"/>
      <c r="Q149" s="674"/>
    </row>
    <row r="150" spans="1:17" ht="23.25" customHeight="1">
      <c r="A150" s="1864" t="s">
        <v>1617</v>
      </c>
      <c r="B150" s="1864"/>
      <c r="C150" s="1864"/>
      <c r="D150" s="1864"/>
      <c r="E150" s="1864"/>
      <c r="F150" s="1864"/>
      <c r="G150" s="1864"/>
      <c r="H150" s="1864"/>
      <c r="I150" s="1864"/>
    </row>
    <row r="152" spans="1:17">
      <c r="B152" s="1864" t="s">
        <v>1618</v>
      </c>
      <c r="C152" s="1864"/>
      <c r="D152" s="1864"/>
      <c r="E152" s="1864"/>
      <c r="F152" s="1864"/>
      <c r="G152" s="1864"/>
      <c r="H152" s="1864"/>
      <c r="I152" s="1864"/>
    </row>
    <row r="153" spans="1:17" ht="36" customHeight="1">
      <c r="B153" s="1864" t="s">
        <v>1619</v>
      </c>
      <c r="C153" s="1864"/>
      <c r="D153" s="1864"/>
      <c r="E153" s="1864"/>
      <c r="F153" s="1864"/>
      <c r="G153" s="1864"/>
      <c r="H153" s="1864"/>
      <c r="I153" s="1864"/>
    </row>
    <row r="154" spans="1:17">
      <c r="B154" s="1864" t="s">
        <v>1620</v>
      </c>
      <c r="C154" s="1864"/>
      <c r="D154" s="1864"/>
      <c r="E154" s="1864"/>
      <c r="F154" s="1864"/>
      <c r="G154" s="1864"/>
      <c r="H154" s="1864"/>
      <c r="I154" s="1864"/>
    </row>
    <row r="155" spans="1:17">
      <c r="B155" s="1864"/>
      <c r="C155" s="1864"/>
      <c r="D155" s="1864"/>
      <c r="E155" s="1864"/>
      <c r="F155" s="1864"/>
      <c r="G155" s="1864"/>
      <c r="H155" s="1864"/>
      <c r="I155" s="1864"/>
    </row>
    <row r="156" spans="1:17">
      <c r="B156" s="1870" t="s">
        <v>1982</v>
      </c>
      <c r="C156" s="1870"/>
      <c r="D156" s="1870"/>
      <c r="E156" s="1870"/>
      <c r="F156" s="1870"/>
      <c r="G156" s="1870"/>
      <c r="H156" s="1870"/>
      <c r="I156" s="1870"/>
    </row>
    <row r="157" spans="1:17" ht="39.75" customHeight="1">
      <c r="A157" s="1864" t="s">
        <v>1621</v>
      </c>
      <c r="B157" s="1864"/>
      <c r="C157" s="1864"/>
      <c r="D157" s="1864"/>
      <c r="E157" s="1864"/>
      <c r="F157" s="1864"/>
      <c r="G157" s="1864"/>
      <c r="H157" s="1864"/>
      <c r="I157" s="1864"/>
    </row>
    <row r="159" spans="1:17" ht="34.5" customHeight="1">
      <c r="B159" s="1864" t="s">
        <v>1622</v>
      </c>
      <c r="C159" s="1864"/>
      <c r="D159" s="1864"/>
      <c r="E159" s="1864"/>
      <c r="F159" s="1864"/>
      <c r="G159" s="1864"/>
      <c r="H159" s="1864"/>
      <c r="I159" s="1864"/>
    </row>
    <row r="160" spans="1:17" ht="54.75" customHeight="1">
      <c r="B160" s="1864" t="s">
        <v>1959</v>
      </c>
      <c r="C160" s="1864"/>
      <c r="D160" s="1864"/>
      <c r="E160" s="1864"/>
      <c r="F160" s="1864"/>
      <c r="G160" s="1864"/>
      <c r="H160" s="1864"/>
      <c r="I160" s="1864"/>
    </row>
    <row r="161" spans="1:9" ht="35.25" customHeight="1">
      <c r="B161" s="1864" t="s">
        <v>1623</v>
      </c>
      <c r="C161" s="1864"/>
      <c r="D161" s="1864"/>
      <c r="E161" s="1864"/>
      <c r="F161" s="1864"/>
      <c r="G161" s="1864"/>
      <c r="H161" s="1864"/>
      <c r="I161" s="1864"/>
    </row>
    <row r="162" spans="1:9">
      <c r="B162" s="1864"/>
      <c r="C162" s="1864"/>
      <c r="D162" s="1864"/>
      <c r="E162" s="1864"/>
      <c r="F162" s="1864"/>
      <c r="G162" s="1864"/>
      <c r="H162" s="1864"/>
      <c r="I162" s="1864"/>
    </row>
    <row r="163" spans="1:9">
      <c r="B163" s="1870" t="s">
        <v>1983</v>
      </c>
      <c r="C163" s="1870"/>
      <c r="D163" s="1870"/>
      <c r="E163" s="1870"/>
      <c r="F163" s="1870"/>
      <c r="G163" s="1870"/>
      <c r="H163" s="1870"/>
      <c r="I163" s="1870"/>
    </row>
    <row r="165" spans="1:9">
      <c r="A165" s="1864" t="s">
        <v>1624</v>
      </c>
      <c r="B165" s="1864"/>
      <c r="C165" s="1864"/>
      <c r="D165" s="1864"/>
      <c r="E165" s="1864"/>
      <c r="F165" s="1864"/>
      <c r="G165" s="1864"/>
      <c r="H165" s="1864"/>
      <c r="I165" s="1864"/>
    </row>
    <row r="167" spans="1:9">
      <c r="B167" s="672" t="s">
        <v>1625</v>
      </c>
      <c r="E167" s="334" t="s">
        <v>1628</v>
      </c>
    </row>
    <row r="168" spans="1:9">
      <c r="B168" s="672" t="s">
        <v>1626</v>
      </c>
      <c r="E168" s="334" t="s">
        <v>1629</v>
      </c>
    </row>
    <row r="169" spans="1:9">
      <c r="B169" s="672" t="s">
        <v>1627</v>
      </c>
      <c r="E169" s="334" t="s">
        <v>1630</v>
      </c>
    </row>
    <row r="171" spans="1:9">
      <c r="A171" s="334" t="s">
        <v>1631</v>
      </c>
    </row>
    <row r="174" spans="1:9">
      <c r="B174" s="1870" t="s">
        <v>1984</v>
      </c>
      <c r="C174" s="1870"/>
      <c r="D174" s="1870"/>
      <c r="E174" s="1870"/>
      <c r="F174" s="1870"/>
      <c r="G174" s="1870"/>
      <c r="H174" s="1870"/>
      <c r="I174" s="1870"/>
    </row>
    <row r="176" spans="1:9" ht="54" customHeight="1">
      <c r="A176" s="1864" t="s">
        <v>1632</v>
      </c>
      <c r="B176" s="1864"/>
      <c r="C176" s="1864"/>
      <c r="D176" s="1864"/>
      <c r="E176" s="1864"/>
      <c r="F176" s="1864"/>
      <c r="G176" s="1864"/>
      <c r="H176" s="1864"/>
      <c r="I176" s="1864"/>
    </row>
    <row r="205" spans="1:18" s="672" customFormat="1" ht="14.25">
      <c r="A205" s="672" t="s">
        <v>1633</v>
      </c>
      <c r="O205" s="674"/>
      <c r="Q205" s="674"/>
    </row>
    <row r="206" spans="1:18" s="672" customFormat="1" ht="14.25">
      <c r="O206" s="674"/>
      <c r="Q206" s="674"/>
    </row>
    <row r="207" spans="1:18" s="672" customFormat="1" ht="14.25">
      <c r="O207" s="674"/>
      <c r="Q207" s="674"/>
    </row>
    <row r="208" spans="1:18">
      <c r="A208" s="757" t="s">
        <v>1897</v>
      </c>
      <c r="B208" s="672"/>
      <c r="O208" s="1856"/>
      <c r="P208" s="1856"/>
      <c r="Q208" s="1856"/>
      <c r="R208"/>
    </row>
    <row r="209" spans="1:18" ht="70.5" customHeight="1">
      <c r="A209" s="1866" t="s">
        <v>2763</v>
      </c>
      <c r="B209" s="1866"/>
      <c r="C209" s="1866"/>
      <c r="D209" s="1866"/>
      <c r="E209" s="1866"/>
      <c r="F209" s="1866"/>
      <c r="G209" s="1866"/>
      <c r="H209" s="1866"/>
      <c r="I209" s="1866"/>
      <c r="O209" s="1853"/>
      <c r="P209" s="1853"/>
      <c r="Q209" s="1853"/>
      <c r="R209" s="1853"/>
    </row>
    <row r="210" spans="1:18" ht="30" customHeight="1">
      <c r="A210" s="1869" t="s">
        <v>1975</v>
      </c>
      <c r="B210" s="1869"/>
      <c r="C210" s="1869"/>
      <c r="D210" s="1869"/>
      <c r="E210" s="1869"/>
      <c r="F210" s="1869"/>
      <c r="G210" s="1869"/>
      <c r="H210" s="1869"/>
      <c r="I210" s="1869"/>
      <c r="O210" s="1855"/>
      <c r="P210" s="1855"/>
      <c r="Q210" s="1855"/>
      <c r="R210" s="1855"/>
    </row>
    <row r="211" spans="1:18" ht="142.5" customHeight="1">
      <c r="A211" s="1868" t="s">
        <v>2762</v>
      </c>
      <c r="B211" s="1868"/>
      <c r="C211" s="1868"/>
      <c r="D211" s="1868"/>
      <c r="E211" s="1868"/>
      <c r="F211" s="1868"/>
      <c r="G211" s="1868"/>
      <c r="H211" s="1868"/>
      <c r="I211" s="1868"/>
      <c r="O211" s="1857"/>
      <c r="P211" s="1857"/>
      <c r="Q211" s="1857"/>
      <c r="R211" s="1857"/>
    </row>
    <row r="212" spans="1:18" ht="30" customHeight="1">
      <c r="A212" s="1860" t="s">
        <v>1902</v>
      </c>
      <c r="B212" s="1860"/>
      <c r="C212" s="1860"/>
      <c r="D212" s="1860"/>
      <c r="E212" s="1860"/>
      <c r="F212" s="1860"/>
      <c r="G212" s="1860"/>
      <c r="H212" s="1860"/>
      <c r="I212" s="1860"/>
      <c r="O212" s="1855"/>
      <c r="P212" s="1855"/>
      <c r="Q212" s="1855"/>
      <c r="R212" s="1855"/>
    </row>
    <row r="213" spans="1:18" ht="116.25" customHeight="1">
      <c r="A213" s="1868" t="s">
        <v>1900</v>
      </c>
      <c r="B213" s="1868"/>
      <c r="C213" s="1868"/>
      <c r="D213" s="1868"/>
      <c r="E213" s="1868"/>
      <c r="F213" s="1868"/>
      <c r="G213" s="1868"/>
      <c r="H213" s="1868"/>
      <c r="I213" s="1868"/>
      <c r="O213" s="1857"/>
      <c r="P213" s="1857"/>
      <c r="Q213" s="1857"/>
      <c r="R213" s="1857"/>
    </row>
    <row r="214" spans="1:18" ht="171" customHeight="1">
      <c r="A214" s="1866" t="s">
        <v>1901</v>
      </c>
      <c r="B214" s="1866"/>
      <c r="C214" s="1866"/>
      <c r="D214" s="1866"/>
      <c r="E214" s="1866"/>
      <c r="F214" s="1866"/>
      <c r="G214" s="1866"/>
      <c r="H214" s="1866"/>
      <c r="I214" s="1866"/>
      <c r="O214" s="1853"/>
      <c r="P214" s="1853"/>
      <c r="Q214" s="1853"/>
      <c r="R214" s="1853"/>
    </row>
    <row r="215" spans="1:18" ht="41.25" customHeight="1">
      <c r="A215" s="1859" t="s">
        <v>1960</v>
      </c>
      <c r="B215" s="1859"/>
      <c r="C215" s="1859"/>
      <c r="D215" s="1859"/>
      <c r="E215" s="1859"/>
      <c r="F215" s="1859"/>
      <c r="G215" s="1859"/>
      <c r="H215" s="1859"/>
      <c r="I215" s="1859"/>
      <c r="O215" s="1853"/>
      <c r="P215" s="1853"/>
      <c r="Q215" s="1853"/>
      <c r="R215" s="1853"/>
    </row>
    <row r="216" spans="1:18" ht="38.25" customHeight="1">
      <c r="A216" s="1860" t="s">
        <v>1961</v>
      </c>
      <c r="B216" s="1860"/>
      <c r="C216" s="1860"/>
      <c r="D216" s="1860"/>
      <c r="E216" s="1860"/>
      <c r="F216" s="1860"/>
      <c r="G216" s="1860"/>
      <c r="H216" s="1860"/>
      <c r="I216" s="1860"/>
      <c r="O216" s="1855"/>
      <c r="P216" s="1855"/>
      <c r="Q216" s="1855"/>
      <c r="R216" s="1855"/>
    </row>
    <row r="217" spans="1:18" ht="56.25" customHeight="1">
      <c r="A217" s="1859" t="s">
        <v>2761</v>
      </c>
      <c r="B217" s="1859"/>
      <c r="C217" s="1859"/>
      <c r="D217" s="1859"/>
      <c r="E217" s="1859"/>
      <c r="F217" s="1859"/>
      <c r="G217" s="1859"/>
      <c r="H217" s="1859"/>
      <c r="I217" s="1859"/>
      <c r="O217" s="1853"/>
      <c r="P217" s="1853"/>
      <c r="Q217" s="1853"/>
      <c r="R217" s="1853"/>
    </row>
    <row r="218" spans="1:18" ht="70.5" customHeight="1">
      <c r="A218" s="1859" t="s">
        <v>1963</v>
      </c>
      <c r="B218" s="1859"/>
      <c r="C218" s="1859"/>
      <c r="D218" s="1859"/>
      <c r="E218" s="1859"/>
      <c r="F218" s="1859"/>
      <c r="G218" s="1859"/>
      <c r="H218" s="1859"/>
      <c r="I218" s="1859"/>
      <c r="O218" s="1853"/>
      <c r="P218" s="1853"/>
      <c r="Q218" s="1853"/>
      <c r="R218" s="1853"/>
    </row>
    <row r="219" spans="1:18" ht="24.75" customHeight="1">
      <c r="A219" s="1190"/>
      <c r="B219" s="1190"/>
      <c r="C219" s="1190"/>
      <c r="D219" s="1190"/>
      <c r="E219" s="1190"/>
      <c r="F219" s="1190"/>
      <c r="G219" s="1190"/>
      <c r="H219" s="1190"/>
      <c r="I219" s="1190"/>
      <c r="O219" s="1273"/>
      <c r="P219" s="1191"/>
      <c r="Q219" s="1191"/>
      <c r="R219" s="1191"/>
    </row>
    <row r="220" spans="1:18">
      <c r="A220" s="756"/>
      <c r="O220" s="11"/>
      <c r="P220"/>
      <c r="Q220" s="11"/>
      <c r="R220"/>
    </row>
    <row r="221" spans="1:18">
      <c r="A221" s="756"/>
      <c r="O221" s="11"/>
      <c r="P221"/>
      <c r="Q221" s="11"/>
      <c r="R221"/>
    </row>
    <row r="222" spans="1:18" ht="15" customHeight="1">
      <c r="A222" s="1860" t="s">
        <v>1962</v>
      </c>
      <c r="B222" s="1860"/>
      <c r="C222" s="1860"/>
      <c r="D222" s="1860"/>
      <c r="E222" s="1860"/>
      <c r="F222" s="1860"/>
      <c r="G222" s="1860"/>
      <c r="H222" s="1860"/>
      <c r="I222" s="1860"/>
      <c r="O222" s="1855"/>
      <c r="P222" s="1855"/>
      <c r="Q222" s="1855"/>
      <c r="R222" s="1855"/>
    </row>
    <row r="223" spans="1:18" ht="98.25" customHeight="1">
      <c r="A223" s="1867" t="s">
        <v>2760</v>
      </c>
      <c r="B223" s="1867"/>
      <c r="C223" s="1867"/>
      <c r="D223" s="1867"/>
      <c r="E223" s="1867"/>
      <c r="F223" s="1867"/>
      <c r="G223" s="1867"/>
      <c r="H223" s="1867"/>
      <c r="I223" s="1867"/>
      <c r="O223" s="1853"/>
      <c r="P223" s="1853"/>
      <c r="Q223" s="1853"/>
      <c r="R223" s="1853"/>
    </row>
    <row r="224" spans="1:18">
      <c r="O224" s="11"/>
      <c r="P224"/>
      <c r="Q224" s="11"/>
      <c r="R224"/>
    </row>
    <row r="225" spans="1:18">
      <c r="A225" s="334" t="s">
        <v>2764</v>
      </c>
      <c r="O225" s="1854"/>
      <c r="P225" s="1854"/>
      <c r="Q225" s="11"/>
      <c r="R225"/>
    </row>
    <row r="226" spans="1:18">
      <c r="A226" s="334" t="s">
        <v>1898</v>
      </c>
      <c r="O226" s="1854"/>
      <c r="P226" s="1854"/>
      <c r="Q226" s="11"/>
      <c r="R226"/>
    </row>
    <row r="227" spans="1:18">
      <c r="A227" s="334" t="s">
        <v>1903</v>
      </c>
      <c r="O227" s="1854"/>
      <c r="P227" s="1854"/>
      <c r="Q227" s="11"/>
      <c r="R227"/>
    </row>
    <row r="232" spans="1:18">
      <c r="A232" s="334" t="s">
        <v>1899</v>
      </c>
    </row>
    <row r="233" spans="1:18">
      <c r="A233" s="334" t="s">
        <v>1893</v>
      </c>
    </row>
    <row r="276" spans="1:17">
      <c r="A276" s="672" t="s">
        <v>1634</v>
      </c>
    </row>
    <row r="278" spans="1:17" ht="35.25" customHeight="1">
      <c r="A278" s="1864" t="s">
        <v>1635</v>
      </c>
      <c r="B278" s="1864"/>
      <c r="C278" s="1864"/>
      <c r="D278" s="1864"/>
      <c r="E278" s="1864"/>
      <c r="F278" s="1864"/>
      <c r="G278" s="1864"/>
      <c r="H278" s="1864"/>
      <c r="I278" s="1864"/>
    </row>
    <row r="281" spans="1:17">
      <c r="A281" s="1865" t="str">
        <f>+A2</f>
        <v>CORPORACION DEL ACUEDUCTO Y ALCANTARILLADO DE MOCA</v>
      </c>
      <c r="B281" s="1865"/>
      <c r="C281" s="1865"/>
      <c r="D281" s="1865"/>
      <c r="E281" s="1865"/>
      <c r="F281" s="1865"/>
      <c r="G281" s="1865"/>
      <c r="H281" s="1865"/>
      <c r="I281" s="1865"/>
    </row>
    <row r="282" spans="1:17">
      <c r="A282" s="1863" t="s">
        <v>1636</v>
      </c>
      <c r="B282" s="1863"/>
      <c r="C282" s="1863"/>
      <c r="D282" s="1863"/>
      <c r="E282" s="1863"/>
      <c r="F282" s="1863"/>
      <c r="G282" s="1863"/>
      <c r="H282" s="1863"/>
      <c r="I282" s="1863"/>
    </row>
    <row r="283" spans="1:17">
      <c r="A283" s="1863" t="str">
        <f>+MID(BALANZA!B2,1,50)</f>
        <v>Del Ejercicio terminado el  31 de marzo de 2026  y</v>
      </c>
      <c r="B283" s="1863"/>
      <c r="C283" s="1863"/>
      <c r="D283" s="1863"/>
      <c r="E283" s="1863"/>
      <c r="F283" s="1863"/>
      <c r="G283" s="1863"/>
      <c r="H283" s="1863"/>
      <c r="I283" s="1863"/>
    </row>
    <row r="284" spans="1:17">
      <c r="A284" s="1863" t="s">
        <v>1637</v>
      </c>
      <c r="B284" s="1863"/>
      <c r="C284" s="1863"/>
      <c r="D284" s="1863"/>
      <c r="E284" s="1863"/>
      <c r="F284" s="1863"/>
      <c r="G284" s="1863"/>
      <c r="H284" s="1863"/>
      <c r="I284" s="1863"/>
    </row>
    <row r="286" spans="1:17" s="665" customFormat="1" ht="28.5">
      <c r="B286" s="665" t="s">
        <v>1645</v>
      </c>
      <c r="D286" s="665" t="s">
        <v>1638</v>
      </c>
      <c r="E286" s="665" t="s">
        <v>1639</v>
      </c>
      <c r="G286" s="665" t="s">
        <v>1640</v>
      </c>
      <c r="I286" s="673" t="s">
        <v>1641</v>
      </c>
      <c r="O286" s="900"/>
      <c r="Q286" s="900"/>
    </row>
    <row r="287" spans="1:17" s="672" customFormat="1" ht="14.25">
      <c r="A287" s="672" t="s">
        <v>1392</v>
      </c>
      <c r="E287" s="677"/>
      <c r="F287" s="676"/>
      <c r="G287" s="676"/>
      <c r="H287" s="676"/>
      <c r="I287" s="676"/>
      <c r="O287" s="674"/>
      <c r="Q287" s="674"/>
    </row>
    <row r="288" spans="1:17" s="672" customFormat="1" ht="14.25">
      <c r="B288" s="672" t="s">
        <v>1642</v>
      </c>
      <c r="E288" s="677"/>
      <c r="F288" s="677"/>
      <c r="G288" s="677"/>
      <c r="H288" s="677"/>
      <c r="I288" s="677"/>
      <c r="O288" s="674"/>
      <c r="Q288" s="674"/>
    </row>
    <row r="289" spans="1:17">
      <c r="B289" s="334" t="s">
        <v>1643</v>
      </c>
      <c r="C289" s="1249"/>
      <c r="E289" s="678">
        <v>51195285</v>
      </c>
      <c r="F289" s="678"/>
      <c r="G289" s="678">
        <f>+DE!C18</f>
        <v>11979501</v>
      </c>
      <c r="H289" s="678"/>
      <c r="I289" s="678">
        <f>+E289-G289</f>
        <v>39215784</v>
      </c>
      <c r="O289" s="675">
        <f>SUM(G289:G290)</f>
        <v>25865457</v>
      </c>
      <c r="P289" s="1350">
        <f>+E292-B307</f>
        <v>14773126.069999993</v>
      </c>
    </row>
    <row r="290" spans="1:17">
      <c r="B290" s="334" t="s">
        <v>1643</v>
      </c>
      <c r="C290" s="334" t="s">
        <v>2238</v>
      </c>
      <c r="E290" s="678">
        <v>55543832</v>
      </c>
      <c r="F290" s="678"/>
      <c r="G290" s="678">
        <f>+DE!C20</f>
        <v>13885956</v>
      </c>
      <c r="H290" s="678"/>
      <c r="I290" s="678"/>
      <c r="O290" s="675">
        <f>SUM(E289:E290)</f>
        <v>106739117</v>
      </c>
      <c r="P290" s="1350"/>
    </row>
    <row r="291" spans="1:17">
      <c r="B291" s="334" t="s">
        <v>1644</v>
      </c>
      <c r="E291" s="679">
        <v>100470000</v>
      </c>
      <c r="F291" s="678"/>
      <c r="G291" s="679">
        <f>+DE!C19</f>
        <v>0</v>
      </c>
      <c r="H291" s="678"/>
      <c r="I291" s="679">
        <f>+E291-G291</f>
        <v>100470000</v>
      </c>
      <c r="O291" s="675">
        <f>+O289-O290</f>
        <v>-80873660</v>
      </c>
      <c r="P291" s="1350"/>
    </row>
    <row r="292" spans="1:17">
      <c r="B292" s="672" t="s">
        <v>1647</v>
      </c>
      <c r="C292" s="1673">
        <f>+G292-ERF!B12</f>
        <v>0</v>
      </c>
      <c r="D292" s="672"/>
      <c r="E292" s="677">
        <f>SUM(E289:E291)</f>
        <v>207209117</v>
      </c>
      <c r="F292" s="677"/>
      <c r="G292" s="677">
        <f>SUM(G289:G291)</f>
        <v>25865457</v>
      </c>
      <c r="H292" s="677"/>
      <c r="I292" s="677">
        <f>SUM(I289:I291)</f>
        <v>139685784</v>
      </c>
      <c r="P292" s="1350"/>
    </row>
    <row r="293" spans="1:17">
      <c r="E293" s="678"/>
      <c r="F293" s="678"/>
      <c r="G293" s="678"/>
      <c r="H293" s="678"/>
      <c r="I293" s="678"/>
    </row>
    <row r="294" spans="1:17" s="672" customFormat="1" ht="14.25">
      <c r="A294" s="672" t="s">
        <v>957</v>
      </c>
      <c r="E294" s="679"/>
      <c r="F294" s="677"/>
      <c r="G294" s="677"/>
      <c r="H294" s="677"/>
      <c r="I294" s="677"/>
      <c r="O294" s="674"/>
      <c r="P294" s="674"/>
      <c r="Q294" s="674"/>
    </row>
    <row r="295" spans="1:17" ht="37.5" customHeight="1">
      <c r="B295" s="1864" t="s">
        <v>1646</v>
      </c>
      <c r="C295" s="1864"/>
      <c r="D295" s="1864"/>
      <c r="E295" s="679">
        <v>239995000</v>
      </c>
      <c r="F295" s="678"/>
      <c r="G295" s="679">
        <f>SUM('BALANZA G'!C137:C147)</f>
        <v>45032091.25</v>
      </c>
      <c r="H295" s="678"/>
      <c r="I295" s="679">
        <f>+E295-G295</f>
        <v>194962908.75</v>
      </c>
    </row>
    <row r="296" spans="1:17">
      <c r="B296" s="672" t="s">
        <v>1648</v>
      </c>
      <c r="C296" s="1673">
        <f>+G295-ERF!B11</f>
        <v>0</v>
      </c>
      <c r="D296" s="672"/>
      <c r="E296" s="677">
        <f>SUM(E295)</f>
        <v>239995000</v>
      </c>
      <c r="F296" s="677"/>
      <c r="G296" s="677">
        <f>SUM(G295)</f>
        <v>45032091.25</v>
      </c>
      <c r="H296" s="677"/>
      <c r="I296" s="677">
        <f>SUM(I295)</f>
        <v>194962908.75</v>
      </c>
    </row>
    <row r="297" spans="1:17">
      <c r="E297" s="678"/>
      <c r="F297" s="678"/>
      <c r="G297" s="678"/>
      <c r="H297" s="678"/>
      <c r="I297" s="678"/>
    </row>
    <row r="298" spans="1:17">
      <c r="A298" s="672" t="s">
        <v>1649</v>
      </c>
      <c r="E298" s="678"/>
      <c r="F298" s="678"/>
      <c r="G298" s="678"/>
      <c r="H298" s="678"/>
      <c r="I298" s="678"/>
    </row>
    <row r="299" spans="1:17">
      <c r="B299" s="334" t="s">
        <v>1650</v>
      </c>
      <c r="E299" s="679"/>
      <c r="F299" s="678"/>
      <c r="G299" s="679">
        <f>-IF(DE!C14&lt;=0,DE!C14,0)</f>
        <v>0</v>
      </c>
      <c r="H299" s="678"/>
      <c r="I299" s="678">
        <f>+E299-G299</f>
        <v>0</v>
      </c>
    </row>
    <row r="300" spans="1:17" s="672" customFormat="1" ht="14.25">
      <c r="B300" s="672" t="s">
        <v>1651</v>
      </c>
      <c r="E300" s="677">
        <f>SUM(E299)</f>
        <v>0</v>
      </c>
      <c r="F300" s="677"/>
      <c r="G300" s="677">
        <f>SUM(G299)</f>
        <v>0</v>
      </c>
      <c r="H300" s="677"/>
      <c r="I300" s="677">
        <f>SUM(I299)</f>
        <v>0</v>
      </c>
      <c r="O300" s="674"/>
      <c r="P300" s="672" t="s">
        <v>4028</v>
      </c>
      <c r="Q300" s="674"/>
    </row>
    <row r="301" spans="1:17">
      <c r="E301" s="678"/>
      <c r="F301" s="678"/>
      <c r="G301" s="678"/>
      <c r="H301" s="678"/>
      <c r="I301" s="678"/>
    </row>
    <row r="302" spans="1:17">
      <c r="A302" s="672" t="s">
        <v>1652</v>
      </c>
      <c r="E302" s="678"/>
      <c r="F302" s="678"/>
      <c r="G302" s="678"/>
      <c r="H302" s="678"/>
      <c r="I302" s="678"/>
    </row>
    <row r="303" spans="1:17" ht="30.75" customHeight="1">
      <c r="B303" s="1864" t="s">
        <v>1653</v>
      </c>
      <c r="C303" s="1864"/>
      <c r="D303" s="1864"/>
      <c r="E303" s="679"/>
      <c r="F303" s="678"/>
      <c r="G303" s="679">
        <f>IF(DE!C17&gt;=0,DE!C17,0)</f>
        <v>2985078.6789999995</v>
      </c>
      <c r="H303" s="678"/>
      <c r="I303" s="678">
        <f>+E303-G303</f>
        <v>-2985078.6789999995</v>
      </c>
    </row>
    <row r="304" spans="1:17">
      <c r="A304" s="672"/>
      <c r="B304" s="672" t="s">
        <v>1651</v>
      </c>
      <c r="E304" s="677">
        <f>SUM(E303)</f>
        <v>0</v>
      </c>
      <c r="F304" s="677"/>
      <c r="G304" s="677">
        <f>SUM(G303)</f>
        <v>2985078.6789999995</v>
      </c>
      <c r="H304" s="677"/>
      <c r="I304" s="677">
        <f>SUM(I303)</f>
        <v>-2985078.6789999995</v>
      </c>
    </row>
    <row r="305" spans="1:18">
      <c r="E305" s="678"/>
      <c r="F305" s="678"/>
      <c r="G305" s="678"/>
      <c r="H305" s="678"/>
      <c r="I305" s="678"/>
    </row>
    <row r="306" spans="1:18" s="672" customFormat="1" thickBot="1">
      <c r="B306" s="672" t="s">
        <v>1654</v>
      </c>
      <c r="E306" s="680">
        <f>+E304+E300+E296+E292</f>
        <v>447204117</v>
      </c>
      <c r="F306" s="677"/>
      <c r="G306" s="680">
        <f>+G296+G292</f>
        <v>70897548.25</v>
      </c>
      <c r="H306" s="677"/>
      <c r="I306" s="680">
        <f>+I304+I300+I296+I292</f>
        <v>331663614.07099998</v>
      </c>
      <c r="K306" s="750">
        <f>+G306-RESULTADO!C15</f>
        <v>0</v>
      </c>
      <c r="O306" s="674">
        <f>+G296+G300-'EEP2'!D13</f>
        <v>-25865457</v>
      </c>
      <c r="Q306" s="674"/>
    </row>
    <row r="307" spans="1:18" ht="15.75" thickTop="1">
      <c r="B307" s="1350">
        <v>192435990.93000001</v>
      </c>
      <c r="C307" s="824">
        <f>+G306-ERF!B14</f>
        <v>0</v>
      </c>
      <c r="E307" s="678"/>
      <c r="F307" s="678"/>
      <c r="G307" s="678"/>
      <c r="H307" s="678"/>
      <c r="I307" s="678"/>
    </row>
    <row r="308" spans="1:18">
      <c r="A308" s="672" t="s">
        <v>1655</v>
      </c>
      <c r="E308" s="678"/>
      <c r="F308" s="678"/>
      <c r="G308" s="678"/>
      <c r="H308" s="678"/>
      <c r="I308" s="678"/>
    </row>
    <row r="309" spans="1:18">
      <c r="B309" s="334" t="s">
        <v>1656</v>
      </c>
      <c r="C309" s="808">
        <f ca="1">+G309-ERF!B17</f>
        <v>0</v>
      </c>
      <c r="D309" s="667">
        <v>2.1</v>
      </c>
      <c r="E309" s="678">
        <v>204549270.67055419</v>
      </c>
      <c r="F309" s="678"/>
      <c r="G309" s="678">
        <f ca="1">+G543</f>
        <v>46820324.450000003</v>
      </c>
      <c r="H309" s="678"/>
      <c r="I309" s="678">
        <f ca="1">+E309-G309</f>
        <v>157728946.22055417</v>
      </c>
      <c r="L309" s="675">
        <f>+RESULTADO!C19</f>
        <v>45229508.960000001</v>
      </c>
      <c r="M309" s="675">
        <f ca="1">+G309-L309</f>
        <v>1590815.4900000021</v>
      </c>
      <c r="O309" s="755"/>
      <c r="P309" s="920"/>
      <c r="Q309" s="755">
        <v>188231270.90000001</v>
      </c>
      <c r="R309" s="1350">
        <f ca="1">+G309-Q309</f>
        <v>-141410946.44999999</v>
      </c>
    </row>
    <row r="310" spans="1:18">
      <c r="B310" s="334" t="s">
        <v>1657</v>
      </c>
      <c r="C310" s="808">
        <f ca="1">+G310-ERF!B22-ERF!B23+'ES F '!C16-'ES F '!B16</f>
        <v>1.4551915228366852E-9</v>
      </c>
      <c r="D310" s="667">
        <v>2.2000000000000002</v>
      </c>
      <c r="E310" s="678">
        <v>90366752.590000004</v>
      </c>
      <c r="F310" s="678"/>
      <c r="G310" s="678">
        <f ca="1">+G617</f>
        <v>19066058.669999998</v>
      </c>
      <c r="H310" s="678"/>
      <c r="I310" s="678">
        <f ca="1">+E310-G310</f>
        <v>71300693.920000002</v>
      </c>
      <c r="L310" s="675">
        <f>+RESULTADO!C20</f>
        <v>3790069.9000000004</v>
      </c>
      <c r="M310" s="675">
        <f ca="1">+G310-L310</f>
        <v>15275988.769999998</v>
      </c>
      <c r="O310" s="755"/>
      <c r="P310" s="755"/>
      <c r="Q310" s="755">
        <v>65039281.960000001</v>
      </c>
      <c r="R310" s="1350">
        <f ca="1">+G310-Q310</f>
        <v>-45973223.290000007</v>
      </c>
    </row>
    <row r="311" spans="1:18">
      <c r="B311" s="334" t="s">
        <v>1658</v>
      </c>
      <c r="C311" s="808">
        <f ca="1">+G311-ERF!B19+'ES F '!C15-'ES F '!B15</f>
        <v>0</v>
      </c>
      <c r="D311" s="667">
        <v>2.2999999999999998</v>
      </c>
      <c r="E311" s="678">
        <v>50343875</v>
      </c>
      <c r="F311" s="678"/>
      <c r="G311" s="678">
        <f ca="1">+G683</f>
        <v>3050722.9899999993</v>
      </c>
      <c r="H311" s="678"/>
      <c r="I311" s="678">
        <f ca="1">+E311-G311</f>
        <v>47293152.009999998</v>
      </c>
      <c r="L311" s="675">
        <f>+RESULTADO!C21</f>
        <v>2300170.5699999998</v>
      </c>
      <c r="M311" s="675">
        <f ca="1">+G311-L311</f>
        <v>750552.41999999946</v>
      </c>
      <c r="O311" s="755">
        <f ca="1">+G311-ERF!B19</f>
        <v>-1543061.7400000012</v>
      </c>
      <c r="P311" s="755">
        <f ca="1">+G311-'25A'!C133</f>
        <v>92622.949999999255</v>
      </c>
      <c r="Q311" s="755">
        <v>39489772.049999997</v>
      </c>
      <c r="R311" s="1350">
        <f ca="1">+G311-Q311</f>
        <v>-36439049.059999995</v>
      </c>
    </row>
    <row r="312" spans="1:18">
      <c r="B312" s="334" t="s">
        <v>1659</v>
      </c>
      <c r="C312" s="808">
        <f ca="1">+G312-ERF!B18</f>
        <v>0</v>
      </c>
      <c r="D312" s="667">
        <v>2.4</v>
      </c>
      <c r="E312" s="678">
        <v>0</v>
      </c>
      <c r="F312" s="678"/>
      <c r="G312" s="678">
        <f ca="1">+G694</f>
        <v>0</v>
      </c>
      <c r="H312" s="678"/>
      <c r="I312" s="678">
        <f ca="1">+E312-G312</f>
        <v>0</v>
      </c>
      <c r="L312" s="675">
        <f>+RESULTADO!C22</f>
        <v>0</v>
      </c>
      <c r="M312" s="675">
        <f ca="1">+G312-L312</f>
        <v>0</v>
      </c>
      <c r="O312" s="1235"/>
      <c r="P312" s="755">
        <f ca="1">+G314-'25A'!C180</f>
        <v>0</v>
      </c>
      <c r="Q312" s="755"/>
      <c r="R312" s="1350">
        <f ca="1">+G312-Q312</f>
        <v>0</v>
      </c>
    </row>
    <row r="313" spans="1:18">
      <c r="B313" s="334" t="s">
        <v>4170</v>
      </c>
      <c r="C313" s="808">
        <f ca="1">+'ES F '!B27-'ES F '!C27-G313-G314</f>
        <v>1.862645149230957E-7</v>
      </c>
      <c r="D313" s="1798">
        <v>2.6</v>
      </c>
      <c r="E313" s="678">
        <v>1474218.74</v>
      </c>
      <c r="F313" s="678"/>
      <c r="G313" s="678">
        <f ca="1">+G717-G314</f>
        <v>-52140</v>
      </c>
      <c r="H313" s="678"/>
      <c r="I313" s="678"/>
      <c r="L313" s="675"/>
      <c r="M313" s="675"/>
      <c r="O313" s="1235"/>
      <c r="P313" s="755"/>
      <c r="Q313" s="755"/>
      <c r="R313" s="1350"/>
    </row>
    <row r="314" spans="1:18">
      <c r="B314" s="334" t="s">
        <v>4171</v>
      </c>
      <c r="D314" s="1798">
        <v>2.67</v>
      </c>
      <c r="E314" s="678">
        <v>100470000</v>
      </c>
      <c r="F314" s="678"/>
      <c r="G314" s="678">
        <f ca="1">+G714</f>
        <v>5541311.1799999997</v>
      </c>
      <c r="H314" s="678"/>
      <c r="I314" s="678">
        <f ca="1">+E314-G314</f>
        <v>94928688.819999993</v>
      </c>
      <c r="L314" s="675">
        <f>+RESULTADO!C23</f>
        <v>0</v>
      </c>
      <c r="M314" s="675">
        <f ca="1">+G314-L314</f>
        <v>5541311.1799999997</v>
      </c>
      <c r="O314" s="957">
        <f>+nota12!K28+nota12!K29</f>
        <v>394455129.78000003</v>
      </c>
      <c r="P314" s="755">
        <f ca="1">+C313+nota12!K29</f>
        <v>1.8661376088857651E-7</v>
      </c>
      <c r="Q314" s="755">
        <v>7263898.4199999999</v>
      </c>
      <c r="R314" s="1350">
        <f ca="1">+G314-Q314</f>
        <v>-1722587.2400000002</v>
      </c>
    </row>
    <row r="315" spans="1:18">
      <c r="B315" s="334" t="s">
        <v>1661</v>
      </c>
      <c r="C315" s="1274">
        <f ca="1">SUM(C309:C313)</f>
        <v>1.8771970644593239E-7</v>
      </c>
      <c r="E315" s="681">
        <f>SUM(E309:E314)</f>
        <v>447204117.0005542</v>
      </c>
      <c r="F315" s="678"/>
      <c r="G315" s="681">
        <f ca="1">SUM(G309:G314)</f>
        <v>74426277.289999992</v>
      </c>
      <c r="H315" s="678"/>
      <c r="I315" s="681">
        <f ca="1">SUM(I309:I314)</f>
        <v>371251480.97055417</v>
      </c>
      <c r="K315" s="675">
        <f ca="1">+G315-RESULTADO!C25</f>
        <v>23106527.859999992</v>
      </c>
      <c r="L315" s="675">
        <f>SUM(L309:L314)</f>
        <v>51319749.43</v>
      </c>
      <c r="M315" s="675">
        <f ca="1">SUM(M309:M314)</f>
        <v>23158667.859999996</v>
      </c>
      <c r="O315" s="957">
        <f ca="1">+G315-ERF!B24</f>
        <v>3731119.8099999875</v>
      </c>
      <c r="P315" s="920"/>
      <c r="Q315" s="755">
        <f>SUM(Q309:Q314)</f>
        <v>300024223.33000004</v>
      </c>
      <c r="R315" s="755">
        <f ca="1">SUM(R309:R314)</f>
        <v>-225545806.04000002</v>
      </c>
    </row>
    <row r="316" spans="1:18">
      <c r="C316" s="1249">
        <f ca="1">+C313+ERF!B20</f>
        <v>52140.000000186614</v>
      </c>
      <c r="E316" s="748"/>
      <c r="F316" s="678"/>
      <c r="G316" s="748"/>
      <c r="H316" s="678"/>
      <c r="I316" s="748"/>
      <c r="O316" s="957"/>
      <c r="P316" s="920"/>
    </row>
    <row r="317" spans="1:18" s="672" customFormat="1" thickBot="1">
      <c r="B317" s="672" t="s">
        <v>1662</v>
      </c>
      <c r="E317" s="680">
        <f>+E306-E315</f>
        <v>-5.5420398712158203E-4</v>
      </c>
      <c r="F317" s="677"/>
      <c r="G317" s="680">
        <f ca="1">+G306-G315</f>
        <v>-3528729.0399999917</v>
      </c>
      <c r="H317" s="677"/>
      <c r="I317" s="680">
        <f ca="1">+I306-I315</f>
        <v>-39587866.899554193</v>
      </c>
      <c r="O317" s="1341">
        <f ca="1">G317-ERF!B35</f>
        <v>-3731119.8099999875</v>
      </c>
      <c r="P317" s="921"/>
      <c r="Q317" s="922"/>
    </row>
    <row r="318" spans="1:18" ht="15.75" thickTop="1">
      <c r="B318" s="675">
        <f ca="1">+C313+B319+'Notas NF'!C589</f>
        <v>52140.000000186614</v>
      </c>
      <c r="C318" s="1480">
        <f ca="1">+C311+C310</f>
        <v>1.4551915228366852E-9</v>
      </c>
      <c r="E318" s="678"/>
      <c r="F318" s="678"/>
      <c r="G318" s="678"/>
      <c r="H318" s="678"/>
      <c r="I318" s="678"/>
      <c r="O318" s="957">
        <f>+nota12!K29</f>
        <v>3.4924596548080444E-10</v>
      </c>
    </row>
    <row r="319" spans="1:18">
      <c r="B319" s="1249">
        <f>+nota12!K29</f>
        <v>3.4924596548080444E-10</v>
      </c>
      <c r="E319" s="675"/>
      <c r="F319" s="675"/>
      <c r="G319" s="755"/>
      <c r="H319" s="675"/>
      <c r="I319" s="675"/>
      <c r="O319" s="957">
        <f ca="1">+O317-O318</f>
        <v>-3731119.8099999879</v>
      </c>
    </row>
    <row r="320" spans="1:18">
      <c r="C320" s="675"/>
      <c r="E320" s="675"/>
      <c r="F320" s="675"/>
      <c r="G320" s="957">
        <f ca="1">+G315-G314-ERF!B24</f>
        <v>-1810191.3700000197</v>
      </c>
      <c r="H320" s="675"/>
      <c r="I320" s="675"/>
      <c r="O320" s="750"/>
    </row>
    <row r="321" spans="1:17">
      <c r="B321" s="1350">
        <v>31846144.98</v>
      </c>
      <c r="E321" s="675"/>
      <c r="F321" s="675"/>
      <c r="G321" s="957">
        <f ca="1">+G320-C310-C311</f>
        <v>-1810191.3700000211</v>
      </c>
      <c r="H321" s="675"/>
      <c r="I321" s="675"/>
      <c r="O321" s="675">
        <f ca="1">+G321-'EEP2'!D31</f>
        <v>-8.8475644588470459E-9</v>
      </c>
    </row>
    <row r="322" spans="1:17">
      <c r="B322" s="1350">
        <v>236299734</v>
      </c>
      <c r="E322" s="675"/>
      <c r="F322" s="675"/>
      <c r="G322" s="755"/>
      <c r="H322" s="675"/>
      <c r="I322" s="675"/>
    </row>
    <row r="323" spans="1:17">
      <c r="B323" s="1350">
        <f>SUM(B321:B322)</f>
        <v>268145878.97999999</v>
      </c>
      <c r="E323" s="675"/>
      <c r="F323" s="675"/>
      <c r="G323" s="755"/>
      <c r="H323" s="675"/>
      <c r="I323" s="675"/>
    </row>
    <row r="324" spans="1:17">
      <c r="E324" s="675"/>
      <c r="F324" s="675"/>
      <c r="G324" s="755"/>
      <c r="H324" s="675"/>
      <c r="I324" s="675"/>
    </row>
    <row r="325" spans="1:17">
      <c r="E325" s="675"/>
      <c r="F325" s="675"/>
      <c r="G325" s="755"/>
      <c r="H325" s="675"/>
      <c r="I325" s="675"/>
    </row>
    <row r="326" spans="1:17">
      <c r="E326" s="675"/>
      <c r="F326" s="675"/>
      <c r="G326" s="755"/>
      <c r="H326" s="675"/>
      <c r="I326" s="675"/>
    </row>
    <row r="327" spans="1:17">
      <c r="E327" s="675"/>
      <c r="F327" s="675"/>
      <c r="G327" s="755"/>
      <c r="H327" s="675"/>
      <c r="I327" s="675"/>
    </row>
    <row r="328" spans="1:17">
      <c r="E328" s="675"/>
      <c r="F328" s="675"/>
      <c r="G328" s="755"/>
      <c r="H328" s="675"/>
      <c r="I328" s="675"/>
    </row>
    <row r="329" spans="1:17">
      <c r="E329" s="675"/>
      <c r="F329" s="675"/>
      <c r="G329" s="755"/>
      <c r="H329" s="675"/>
      <c r="I329" s="675"/>
    </row>
    <row r="330" spans="1:17">
      <c r="E330" s="675"/>
      <c r="F330" s="675"/>
      <c r="G330" s="755"/>
      <c r="H330" s="675"/>
      <c r="I330" s="675"/>
    </row>
    <row r="331" spans="1:17">
      <c r="E331" s="675"/>
      <c r="F331" s="675"/>
      <c r="G331" s="755"/>
      <c r="H331" s="675"/>
      <c r="I331" s="675"/>
    </row>
    <row r="332" spans="1:17" customFormat="1" ht="31.5" customHeight="1">
      <c r="A332" s="697" t="s">
        <v>1823</v>
      </c>
      <c r="B332" s="1861" t="s">
        <v>1032</v>
      </c>
      <c r="C332" s="1861"/>
      <c r="D332" s="1861"/>
      <c r="E332" s="1861"/>
      <c r="F332" s="1861"/>
      <c r="G332" s="1861"/>
      <c r="H332" s="1861"/>
      <c r="I332" s="1861"/>
      <c r="O332" s="11"/>
      <c r="Q332" s="11"/>
    </row>
    <row r="333" spans="1:17" customFormat="1" ht="28.5" customHeight="1">
      <c r="B333" s="1862" t="s">
        <v>1824</v>
      </c>
      <c r="C333" s="1862"/>
      <c r="D333" s="1862"/>
      <c r="E333" s="1862"/>
      <c r="F333" s="1862"/>
      <c r="G333" s="1862"/>
      <c r="H333" s="1862"/>
      <c r="I333" s="1862"/>
      <c r="O333" s="11"/>
      <c r="Q333" s="11"/>
    </row>
    <row r="334" spans="1:17" customFormat="1" ht="81" customHeight="1">
      <c r="B334" s="1858" t="s">
        <v>1251</v>
      </c>
      <c r="C334" s="1858"/>
      <c r="D334" s="1858"/>
      <c r="E334" s="1858"/>
      <c r="F334" s="1858"/>
      <c r="G334" s="1858"/>
      <c r="H334" s="1858"/>
      <c r="I334" s="1858"/>
      <c r="O334" s="11"/>
      <c r="Q334" s="11"/>
    </row>
    <row r="335" spans="1:17" customFormat="1">
      <c r="B335" s="693"/>
      <c r="C335" s="21"/>
      <c r="D335" s="21"/>
      <c r="E335" s="334"/>
      <c r="F335" s="21"/>
      <c r="G335" s="21"/>
      <c r="H335" s="21"/>
      <c r="I335" s="21"/>
      <c r="O335" s="11"/>
      <c r="Q335" s="11"/>
    </row>
    <row r="336" spans="1:17" customFormat="1" ht="67.5" customHeight="1">
      <c r="B336" s="1858" t="s">
        <v>1964</v>
      </c>
      <c r="C336" s="1858"/>
      <c r="D336" s="1858"/>
      <c r="E336" s="1858"/>
      <c r="F336" s="1858"/>
      <c r="G336" s="1858"/>
      <c r="H336" s="1858"/>
      <c r="I336" s="1858"/>
      <c r="O336" s="11"/>
      <c r="Q336" s="11"/>
    </row>
    <row r="337" spans="2:17" customFormat="1">
      <c r="B337" s="156"/>
      <c r="C337" s="21"/>
      <c r="D337" s="21"/>
      <c r="E337" s="334"/>
      <c r="F337" s="21"/>
      <c r="G337" s="21"/>
      <c r="H337" s="21"/>
      <c r="I337" s="21"/>
      <c r="O337" s="11"/>
      <c r="Q337" s="11"/>
    </row>
    <row r="338" spans="2:17" customFormat="1" ht="44.25" customHeight="1">
      <c r="B338" s="1878" t="s">
        <v>1253</v>
      </c>
      <c r="C338" s="1878"/>
      <c r="D338" s="1878"/>
      <c r="E338" s="1878"/>
      <c r="F338" s="1878"/>
      <c r="G338" s="1878"/>
      <c r="H338" s="1878"/>
      <c r="I338" s="1878"/>
      <c r="O338" s="11"/>
      <c r="Q338" s="11"/>
    </row>
    <row r="339" spans="2:17" customFormat="1">
      <c r="B339" s="156"/>
      <c r="C339" s="21"/>
      <c r="D339" s="21"/>
      <c r="E339" s="334"/>
      <c r="F339" s="21"/>
      <c r="G339" s="21"/>
      <c r="H339" s="21"/>
      <c r="I339" s="21"/>
      <c r="O339" s="11"/>
      <c r="Q339" s="11"/>
    </row>
    <row r="340" spans="2:17" customFormat="1" ht="25.5" customHeight="1">
      <c r="B340" s="1861" t="s">
        <v>1036</v>
      </c>
      <c r="C340" s="1861"/>
      <c r="D340" s="1861"/>
      <c r="E340" s="1861"/>
      <c r="F340" s="1861"/>
      <c r="G340" s="1861"/>
      <c r="H340" s="1861"/>
      <c r="I340" s="1861"/>
      <c r="O340" s="11"/>
      <c r="Q340" s="11"/>
    </row>
    <row r="341" spans="2:17" customFormat="1">
      <c r="B341" s="149"/>
      <c r="C341" s="21"/>
      <c r="D341" s="21"/>
      <c r="E341" s="334"/>
      <c r="F341" s="21"/>
      <c r="G341" s="21"/>
      <c r="H341" s="21"/>
      <c r="I341" s="21"/>
      <c r="O341" s="11"/>
      <c r="Q341" s="11"/>
    </row>
    <row r="342" spans="2:17" customFormat="1" ht="46.5" customHeight="1">
      <c r="B342" s="1858" t="s">
        <v>1254</v>
      </c>
      <c r="C342" s="1858"/>
      <c r="D342" s="1858"/>
      <c r="E342" s="1858"/>
      <c r="F342" s="1858"/>
      <c r="G342" s="1858"/>
      <c r="H342" s="1858"/>
      <c r="I342" s="1858"/>
      <c r="O342" s="11"/>
      <c r="Q342" s="11"/>
    </row>
    <row r="343" spans="2:17" customFormat="1">
      <c r="B343" s="690"/>
      <c r="C343" s="21"/>
      <c r="D343" s="21"/>
      <c r="E343" s="334"/>
      <c r="F343" s="21"/>
      <c r="G343" s="21"/>
      <c r="H343" s="21"/>
      <c r="I343" s="21"/>
      <c r="O343" s="11"/>
      <c r="Q343" s="11"/>
    </row>
    <row r="344" spans="2:17" customFormat="1">
      <c r="B344" s="690"/>
      <c r="C344" s="21"/>
      <c r="D344" s="21"/>
      <c r="E344" s="334"/>
      <c r="F344" s="21"/>
      <c r="G344" s="21"/>
      <c r="H344" s="21"/>
      <c r="I344" s="21"/>
      <c r="O344" s="11"/>
      <c r="Q344" s="11"/>
    </row>
    <row r="345" spans="2:17" customFormat="1" ht="23.25" customHeight="1">
      <c r="B345" s="1861" t="s">
        <v>1037</v>
      </c>
      <c r="C345" s="1861"/>
      <c r="D345" s="1861"/>
      <c r="E345" s="1861"/>
      <c r="F345" s="1861"/>
      <c r="G345" s="1861"/>
      <c r="H345" s="1861"/>
      <c r="I345" s="1861"/>
      <c r="O345" s="11"/>
      <c r="Q345" s="11"/>
    </row>
    <row r="346" spans="2:17" customFormat="1">
      <c r="B346" s="149"/>
      <c r="C346" s="21"/>
      <c r="D346" s="21"/>
      <c r="E346" s="334"/>
      <c r="F346" s="21"/>
      <c r="G346" s="21"/>
      <c r="H346" s="21"/>
      <c r="I346" s="21"/>
      <c r="O346" s="11"/>
      <c r="Q346" s="11"/>
    </row>
    <row r="347" spans="2:17" customFormat="1" ht="74.25" customHeight="1">
      <c r="B347" s="1858" t="s">
        <v>1815</v>
      </c>
      <c r="C347" s="1858"/>
      <c r="D347" s="1858"/>
      <c r="E347" s="1858"/>
      <c r="F347" s="1858"/>
      <c r="G347" s="1858"/>
      <c r="H347" s="1858"/>
      <c r="I347" s="1858"/>
      <c r="O347" s="11"/>
      <c r="Q347" s="11"/>
    </row>
    <row r="348" spans="2:17" customFormat="1">
      <c r="B348" s="694"/>
      <c r="C348" s="21"/>
      <c r="D348" s="21"/>
      <c r="E348" s="334"/>
      <c r="F348" s="21"/>
      <c r="G348" s="21"/>
      <c r="H348" s="21"/>
      <c r="I348" s="21"/>
      <c r="O348" s="11"/>
      <c r="Q348" s="11"/>
    </row>
    <row r="349" spans="2:17" customFormat="1">
      <c r="B349" s="156" t="s">
        <v>1038</v>
      </c>
      <c r="C349" s="21"/>
      <c r="D349" s="21"/>
      <c r="E349" s="334"/>
      <c r="F349" s="21"/>
      <c r="G349" s="21"/>
      <c r="H349" s="21"/>
      <c r="I349" s="21"/>
      <c r="O349" s="11"/>
      <c r="Q349" s="11"/>
    </row>
    <row r="350" spans="2:17" customFormat="1" ht="21" customHeight="1">
      <c r="B350" s="1861" t="s">
        <v>1039</v>
      </c>
      <c r="C350" s="1861"/>
      <c r="D350" s="1861"/>
      <c r="E350" s="1861"/>
      <c r="F350" s="21"/>
      <c r="G350" s="21"/>
      <c r="H350" s="21"/>
      <c r="I350" s="21"/>
      <c r="O350" s="11"/>
      <c r="Q350" s="11"/>
    </row>
    <row r="351" spans="2:17" customFormat="1">
      <c r="B351" s="690"/>
      <c r="C351" s="21"/>
      <c r="D351" s="21"/>
      <c r="E351" s="334"/>
      <c r="F351" s="21"/>
      <c r="G351" s="21"/>
      <c r="H351" s="21"/>
      <c r="I351" s="21"/>
      <c r="O351" s="11"/>
      <c r="Q351" s="11"/>
    </row>
    <row r="352" spans="2:17" customFormat="1" ht="88.5" customHeight="1">
      <c r="B352" s="1858" t="s">
        <v>1256</v>
      </c>
      <c r="C352" s="1858"/>
      <c r="D352" s="1858"/>
      <c r="E352" s="1858"/>
      <c r="F352" s="1858"/>
      <c r="G352" s="1858"/>
      <c r="H352" s="1858"/>
      <c r="I352" s="1858"/>
      <c r="O352" s="11"/>
      <c r="Q352" s="11"/>
    </row>
    <row r="353" spans="2:17" customFormat="1">
      <c r="B353" s="156"/>
      <c r="C353" s="21"/>
      <c r="D353" s="21"/>
      <c r="E353" s="334"/>
      <c r="F353" s="21"/>
      <c r="G353" s="21"/>
      <c r="H353" s="21"/>
      <c r="I353" s="21"/>
      <c r="O353" s="11"/>
      <c r="Q353" s="11"/>
    </row>
    <row r="354" spans="2:17" customFormat="1" ht="61.5" customHeight="1">
      <c r="B354" s="1858" t="s">
        <v>1257</v>
      </c>
      <c r="C354" s="1858"/>
      <c r="D354" s="1858"/>
      <c r="E354" s="1858"/>
      <c r="F354" s="1858"/>
      <c r="G354" s="1858"/>
      <c r="H354" s="1858"/>
      <c r="I354" s="1858"/>
      <c r="O354" s="11"/>
      <c r="Q354" s="11"/>
    </row>
    <row r="355" spans="2:17" customFormat="1">
      <c r="B355" s="149"/>
      <c r="C355" s="21"/>
      <c r="D355" s="21"/>
      <c r="E355" s="334"/>
      <c r="F355" s="21"/>
      <c r="G355" s="21"/>
      <c r="H355" s="21"/>
      <c r="I355" s="21"/>
      <c r="O355" s="11"/>
      <c r="Q355" s="11"/>
    </row>
    <row r="356" spans="2:17" customFormat="1">
      <c r="B356" s="690"/>
      <c r="C356" s="21"/>
      <c r="D356" s="21"/>
      <c r="E356" s="334"/>
      <c r="F356" s="21"/>
      <c r="G356" s="21"/>
      <c r="H356" s="21"/>
      <c r="I356" s="21"/>
      <c r="O356" s="11"/>
      <c r="Q356" s="11"/>
    </row>
    <row r="357" spans="2:17" customFormat="1">
      <c r="B357" s="149" t="s">
        <v>1040</v>
      </c>
      <c r="C357" s="21"/>
      <c r="D357" s="21"/>
      <c r="E357" s="334"/>
      <c r="F357" s="21"/>
      <c r="G357" s="21"/>
      <c r="H357" s="21"/>
      <c r="I357" s="21"/>
      <c r="O357" s="11"/>
      <c r="Q357" s="11"/>
    </row>
    <row r="358" spans="2:17" customFormat="1" ht="63.75" customHeight="1">
      <c r="B358" s="1858" t="s">
        <v>1965</v>
      </c>
      <c r="C358" s="1858"/>
      <c r="D358" s="1858"/>
      <c r="E358" s="1858"/>
      <c r="F358" s="1858"/>
      <c r="G358" s="1858"/>
      <c r="H358" s="1858"/>
      <c r="I358" s="1858"/>
      <c r="O358" s="11"/>
      <c r="Q358" s="11"/>
    </row>
    <row r="359" spans="2:17" customFormat="1">
      <c r="B359" s="156"/>
      <c r="C359" s="21"/>
      <c r="D359" s="21"/>
      <c r="E359" s="334"/>
      <c r="F359" s="21"/>
      <c r="G359" s="21"/>
      <c r="H359" s="21"/>
      <c r="I359" s="21"/>
      <c r="O359" s="11"/>
      <c r="Q359" s="11"/>
    </row>
    <row r="360" spans="2:17" customFormat="1">
      <c r="B360" s="156"/>
      <c r="C360" s="21"/>
      <c r="D360" s="21"/>
      <c r="E360" s="334"/>
      <c r="F360" s="21"/>
      <c r="G360" s="21"/>
      <c r="H360" s="21"/>
      <c r="I360" s="21"/>
      <c r="O360" s="11"/>
      <c r="Q360" s="11"/>
    </row>
    <row r="361" spans="2:17" customFormat="1" ht="28.5" customHeight="1">
      <c r="B361" s="1861" t="s">
        <v>1041</v>
      </c>
      <c r="C361" s="1861"/>
      <c r="D361" s="1861"/>
      <c r="E361" s="1861"/>
      <c r="F361" s="1861"/>
      <c r="G361" s="1861"/>
      <c r="H361" s="1861"/>
      <c r="I361" s="1861"/>
      <c r="O361" s="11"/>
      <c r="Q361" s="11"/>
    </row>
    <row r="362" spans="2:17" customFormat="1" ht="68.25" customHeight="1">
      <c r="B362" s="1858" t="s">
        <v>1259</v>
      </c>
      <c r="C362" s="1858"/>
      <c r="D362" s="1858"/>
      <c r="E362" s="1858"/>
      <c r="F362" s="1858"/>
      <c r="G362" s="1858"/>
      <c r="H362" s="1858"/>
      <c r="I362" s="1858"/>
      <c r="O362" s="11"/>
      <c r="Q362" s="11"/>
    </row>
    <row r="363" spans="2:17" customFormat="1">
      <c r="B363" s="156"/>
      <c r="C363" s="21"/>
      <c r="D363" s="21"/>
      <c r="E363" s="334"/>
      <c r="F363" s="21"/>
      <c r="G363" s="21"/>
      <c r="H363" s="21"/>
      <c r="I363" s="21"/>
      <c r="O363" s="11"/>
      <c r="Q363" s="11"/>
    </row>
    <row r="364" spans="2:17" customFormat="1">
      <c r="B364" s="156"/>
      <c r="C364" s="21"/>
      <c r="D364" s="21"/>
      <c r="E364" s="334"/>
      <c r="F364" s="21"/>
      <c r="G364" s="21"/>
      <c r="H364" s="21"/>
      <c r="I364" s="21"/>
      <c r="O364" s="11"/>
      <c r="Q364" s="11"/>
    </row>
    <row r="365" spans="2:17" customFormat="1">
      <c r="B365" s="149" t="s">
        <v>1042</v>
      </c>
      <c r="C365" s="21"/>
      <c r="D365" s="21"/>
      <c r="E365" s="334"/>
      <c r="F365" s="21"/>
      <c r="G365" s="21"/>
      <c r="H365" s="21"/>
      <c r="I365" s="21"/>
      <c r="O365" s="11"/>
      <c r="Q365" s="11"/>
    </row>
    <row r="366" spans="2:17" customFormat="1" ht="99.75" customHeight="1">
      <c r="B366" s="1858" t="s">
        <v>1966</v>
      </c>
      <c r="C366" s="1858"/>
      <c r="D366" s="1858"/>
      <c r="E366" s="1858"/>
      <c r="F366" s="1858"/>
      <c r="G366" s="1858"/>
      <c r="H366" s="1858"/>
      <c r="I366" s="1858"/>
      <c r="O366" s="11"/>
      <c r="Q366" s="11"/>
    </row>
    <row r="367" spans="2:17" customFormat="1">
      <c r="B367" s="156"/>
      <c r="C367" s="21"/>
      <c r="D367" s="21"/>
      <c r="E367" s="334"/>
      <c r="F367" s="21"/>
      <c r="G367" s="21"/>
      <c r="H367" s="21"/>
      <c r="I367" s="21"/>
      <c r="O367" s="11"/>
      <c r="Q367" s="11"/>
    </row>
    <row r="368" spans="2:17" customFormat="1" ht="51" customHeight="1">
      <c r="B368" s="1858" t="s">
        <v>1043</v>
      </c>
      <c r="C368" s="1858"/>
      <c r="D368" s="1858"/>
      <c r="E368" s="1858"/>
      <c r="F368" s="1858"/>
      <c r="G368" s="1858"/>
      <c r="H368" s="1858"/>
      <c r="I368" s="1858"/>
      <c r="O368" s="11"/>
      <c r="Q368" s="11"/>
    </row>
    <row r="369" spans="2:17" customFormat="1">
      <c r="B369" s="156"/>
      <c r="C369" s="21"/>
      <c r="D369" s="21"/>
      <c r="E369" s="334"/>
      <c r="F369" s="21"/>
      <c r="G369" s="21"/>
      <c r="H369" s="21"/>
      <c r="I369" s="21"/>
      <c r="O369" s="11"/>
      <c r="Q369" s="11"/>
    </row>
    <row r="370" spans="2:17" customFormat="1">
      <c r="B370" s="156" t="s">
        <v>1022</v>
      </c>
      <c r="C370" s="21"/>
      <c r="D370" s="21"/>
      <c r="E370" s="334"/>
      <c r="F370" s="21"/>
      <c r="G370" s="21"/>
      <c r="H370" s="21"/>
      <c r="I370" s="21"/>
      <c r="O370" s="11"/>
      <c r="Q370" s="11"/>
    </row>
    <row r="371" spans="2:17" customFormat="1">
      <c r="B371" s="149" t="s">
        <v>1044</v>
      </c>
      <c r="C371" s="21"/>
      <c r="D371" s="21"/>
      <c r="E371" s="334"/>
      <c r="F371" s="21"/>
      <c r="G371" s="21"/>
      <c r="H371" s="21"/>
      <c r="I371" s="21"/>
      <c r="O371" s="11"/>
      <c r="Q371" s="11"/>
    </row>
    <row r="372" spans="2:17" customFormat="1" ht="60.75" customHeight="1">
      <c r="B372" s="1858" t="s">
        <v>1816</v>
      </c>
      <c r="C372" s="1858"/>
      <c r="D372" s="1858"/>
      <c r="E372" s="1858"/>
      <c r="F372" s="1858"/>
      <c r="G372" s="1858"/>
      <c r="H372" s="1858"/>
      <c r="I372" s="1858"/>
      <c r="O372" s="11"/>
      <c r="Q372" s="11"/>
    </row>
    <row r="373" spans="2:17" customFormat="1" ht="23.25" customHeight="1">
      <c r="B373" s="671"/>
      <c r="C373" s="671"/>
      <c r="D373" s="671"/>
      <c r="E373" s="671"/>
      <c r="F373" s="21"/>
      <c r="G373" s="21"/>
      <c r="H373" s="21"/>
      <c r="I373" s="21"/>
      <c r="O373" s="11"/>
      <c r="Q373" s="11"/>
    </row>
    <row r="374" spans="2:17" customFormat="1" ht="39" customHeight="1">
      <c r="B374" s="694"/>
      <c r="C374" s="21"/>
      <c r="D374" s="21"/>
      <c r="E374" s="334"/>
      <c r="F374" s="21"/>
      <c r="G374" s="21"/>
      <c r="H374" s="21"/>
      <c r="I374" s="21"/>
      <c r="O374" s="11"/>
      <c r="Q374" s="11"/>
    </row>
    <row r="375" spans="2:17" customFormat="1" ht="32.25" customHeight="1">
      <c r="B375" s="1861" t="s">
        <v>1046</v>
      </c>
      <c r="C375" s="1861"/>
      <c r="D375" s="1861"/>
      <c r="E375" s="1861"/>
      <c r="F375" s="1861"/>
      <c r="G375" s="1861"/>
      <c r="H375" s="1861"/>
      <c r="I375" s="1861"/>
      <c r="O375" s="11"/>
      <c r="Q375" s="11"/>
    </row>
    <row r="376" spans="2:17" customFormat="1" ht="78.75" customHeight="1">
      <c r="B376" s="1858" t="s">
        <v>1261</v>
      </c>
      <c r="C376" s="1858"/>
      <c r="D376" s="1858"/>
      <c r="E376" s="1858"/>
      <c r="F376" s="1858"/>
      <c r="G376" s="1858"/>
      <c r="H376" s="1858"/>
      <c r="I376" s="1858"/>
      <c r="O376" s="11"/>
      <c r="Q376" s="11"/>
    </row>
    <row r="377" spans="2:17" customFormat="1">
      <c r="B377" s="156"/>
      <c r="C377" s="21"/>
      <c r="D377" s="21"/>
      <c r="E377" s="334"/>
      <c r="F377" s="21"/>
      <c r="G377" s="21"/>
      <c r="H377" s="21"/>
      <c r="I377" s="21"/>
      <c r="O377" s="11"/>
      <c r="Q377" s="11"/>
    </row>
    <row r="378" spans="2:17" customFormat="1">
      <c r="B378" s="149" t="s">
        <v>1047</v>
      </c>
      <c r="C378" s="21"/>
      <c r="D378" s="21"/>
      <c r="E378" s="334"/>
      <c r="F378" s="21"/>
      <c r="G378" s="21"/>
      <c r="H378" s="21"/>
      <c r="I378" s="21"/>
      <c r="O378" s="11"/>
      <c r="Q378" s="11"/>
    </row>
    <row r="379" spans="2:17" customFormat="1" ht="51.75" customHeight="1">
      <c r="B379" s="1878" t="s">
        <v>1967</v>
      </c>
      <c r="C379" s="1878"/>
      <c r="D379" s="1878"/>
      <c r="E379" s="1878"/>
      <c r="F379" s="1878"/>
      <c r="G379" s="1878"/>
      <c r="H379" s="1878"/>
      <c r="I379" s="1878"/>
      <c r="O379" s="11"/>
      <c r="Q379" s="11"/>
    </row>
    <row r="380" spans="2:17" customFormat="1">
      <c r="B380" s="695"/>
      <c r="C380" s="21"/>
      <c r="D380" s="21"/>
      <c r="E380" s="334"/>
      <c r="F380" s="21"/>
      <c r="G380" s="21"/>
      <c r="H380" s="21"/>
      <c r="I380" s="21"/>
      <c r="O380" s="11"/>
      <c r="Q380" s="11"/>
    </row>
    <row r="381" spans="2:17" customFormat="1">
      <c r="B381" s="1861" t="s">
        <v>1048</v>
      </c>
      <c r="C381" s="1861"/>
      <c r="D381" s="1861"/>
      <c r="E381" s="1861"/>
      <c r="F381" s="1861"/>
      <c r="G381" s="1861"/>
      <c r="H381" s="1861"/>
      <c r="I381" s="1861"/>
      <c r="O381" s="11"/>
      <c r="Q381" s="11"/>
    </row>
    <row r="382" spans="2:17" customFormat="1" ht="51.75" customHeight="1">
      <c r="B382" s="1878" t="s">
        <v>1049</v>
      </c>
      <c r="C382" s="1878"/>
      <c r="D382" s="1878"/>
      <c r="E382" s="1878"/>
      <c r="F382" s="1878"/>
      <c r="G382" s="1878"/>
      <c r="H382" s="1878"/>
      <c r="I382" s="1878"/>
      <c r="O382" s="11"/>
      <c r="Q382" s="11"/>
    </row>
    <row r="383" spans="2:17" customFormat="1">
      <c r="B383" s="695"/>
      <c r="C383" s="21"/>
      <c r="D383" s="21"/>
      <c r="E383" s="334"/>
      <c r="F383" s="21"/>
      <c r="G383" s="21"/>
      <c r="H383" s="21"/>
      <c r="I383" s="21"/>
      <c r="O383" s="11"/>
      <c r="Q383" s="11"/>
    </row>
    <row r="384" spans="2:17" customFormat="1" ht="28.5" customHeight="1">
      <c r="B384" s="1861" t="s">
        <v>1050</v>
      </c>
      <c r="C384" s="1861"/>
      <c r="D384" s="1861"/>
      <c r="E384" s="1861"/>
      <c r="F384" s="1861"/>
      <c r="G384" s="1861"/>
      <c r="H384" s="1861"/>
      <c r="I384" s="1861"/>
      <c r="O384" s="11"/>
      <c r="Q384" s="11"/>
    </row>
    <row r="385" spans="2:17" customFormat="1" ht="74.25" customHeight="1">
      <c r="B385" s="1878" t="s">
        <v>1263</v>
      </c>
      <c r="C385" s="1878"/>
      <c r="D385" s="1878"/>
      <c r="E385" s="1878"/>
      <c r="F385" s="1878"/>
      <c r="G385" s="1878"/>
      <c r="H385" s="1878"/>
      <c r="I385" s="1878"/>
      <c r="O385" s="11"/>
      <c r="Q385" s="11"/>
    </row>
    <row r="386" spans="2:17" customFormat="1">
      <c r="B386" s="149"/>
      <c r="C386" s="21"/>
      <c r="D386" s="21"/>
      <c r="E386" s="334"/>
      <c r="F386" s="21"/>
      <c r="G386" s="21"/>
      <c r="H386" s="21"/>
      <c r="I386" s="21"/>
      <c r="O386" s="11"/>
      <c r="Q386" s="11"/>
    </row>
    <row r="387" spans="2:17" customFormat="1">
      <c r="B387" s="149" t="s">
        <v>1051</v>
      </c>
      <c r="C387" s="21"/>
      <c r="D387" s="21"/>
      <c r="E387" s="334"/>
      <c r="F387" s="21"/>
      <c r="G387" s="21"/>
      <c r="H387" s="21"/>
      <c r="I387" s="21"/>
      <c r="O387" s="11"/>
      <c r="Q387" s="11"/>
    </row>
    <row r="388" spans="2:17" customFormat="1" ht="108.75" customHeight="1">
      <c r="B388" s="1878" t="s">
        <v>1817</v>
      </c>
      <c r="C388" s="1878"/>
      <c r="D388" s="1878"/>
      <c r="E388" s="1878"/>
      <c r="F388" s="1878"/>
      <c r="G388" s="1878"/>
      <c r="H388" s="1878"/>
      <c r="I388" s="1878"/>
      <c r="O388" s="11"/>
      <c r="Q388" s="11"/>
    </row>
    <row r="389" spans="2:17" customFormat="1" ht="21" customHeight="1">
      <c r="B389" s="696"/>
      <c r="C389" s="696"/>
      <c r="D389" s="696"/>
      <c r="E389" s="696"/>
      <c r="F389" s="21"/>
      <c r="G389" s="21"/>
      <c r="H389" s="21"/>
      <c r="I389" s="21"/>
      <c r="O389" s="11"/>
      <c r="Q389" s="11"/>
    </row>
    <row r="390" spans="2:17" customFormat="1" ht="21" customHeight="1">
      <c r="B390" s="690"/>
      <c r="C390" s="21"/>
      <c r="D390" s="21"/>
      <c r="E390" s="334"/>
      <c r="F390" s="21"/>
      <c r="G390" s="21"/>
      <c r="H390" s="21"/>
      <c r="I390" s="21"/>
      <c r="O390" s="11"/>
      <c r="Q390" s="11"/>
    </row>
    <row r="391" spans="2:17" customFormat="1" ht="29.25" customHeight="1">
      <c r="B391" s="1861" t="s">
        <v>1053</v>
      </c>
      <c r="C391" s="1861"/>
      <c r="D391" s="1861"/>
      <c r="E391" s="1861"/>
      <c r="F391" s="1861"/>
      <c r="G391" s="1861"/>
      <c r="H391" s="1861"/>
      <c r="I391" s="1861"/>
      <c r="O391" s="11"/>
      <c r="Q391" s="11"/>
    </row>
    <row r="392" spans="2:17" customFormat="1" ht="41.25" customHeight="1">
      <c r="B392" s="1878" t="s">
        <v>1968</v>
      </c>
      <c r="C392" s="1878"/>
      <c r="D392" s="1878"/>
      <c r="E392" s="1878"/>
      <c r="F392" s="1878"/>
      <c r="G392" s="1878"/>
      <c r="H392" s="1878"/>
      <c r="I392" s="1878"/>
      <c r="O392" s="11"/>
      <c r="Q392" s="11"/>
    </row>
    <row r="393" spans="2:17" customFormat="1" ht="39" customHeight="1">
      <c r="B393" s="149"/>
      <c r="C393" s="21"/>
      <c r="D393" s="21"/>
      <c r="E393" s="334"/>
      <c r="F393" s="21"/>
      <c r="G393" s="21"/>
      <c r="H393" s="21"/>
      <c r="I393" s="21"/>
      <c r="O393" s="11"/>
      <c r="Q393" s="11"/>
    </row>
    <row r="394" spans="2:17" customFormat="1" ht="29.25" customHeight="1">
      <c r="B394" s="1861" t="s">
        <v>1054</v>
      </c>
      <c r="C394" s="1861"/>
      <c r="D394" s="1861"/>
      <c r="E394" s="1861"/>
      <c r="F394" s="1861"/>
      <c r="G394" s="1861"/>
      <c r="H394" s="1861"/>
      <c r="I394" s="1861"/>
      <c r="O394" s="11"/>
      <c r="Q394" s="11"/>
    </row>
    <row r="395" spans="2:17" customFormat="1" ht="58.5" customHeight="1">
      <c r="B395" s="1858" t="s">
        <v>1969</v>
      </c>
      <c r="C395" s="1858"/>
      <c r="D395" s="1858"/>
      <c r="E395" s="1858"/>
      <c r="F395" s="1858"/>
      <c r="G395" s="1858"/>
      <c r="H395" s="1858"/>
      <c r="I395" s="1858"/>
      <c r="O395" s="11"/>
      <c r="Q395" s="11"/>
    </row>
    <row r="396" spans="2:17" customFormat="1">
      <c r="B396" s="156"/>
      <c r="C396" s="21"/>
      <c r="D396" s="21"/>
      <c r="E396" s="334"/>
      <c r="F396" s="21"/>
      <c r="G396" s="21"/>
      <c r="H396" s="21"/>
      <c r="I396" s="21"/>
      <c r="O396" s="11"/>
      <c r="Q396" s="11"/>
    </row>
    <row r="397" spans="2:17" customFormat="1" ht="29.25" customHeight="1">
      <c r="B397" s="1861" t="s">
        <v>1055</v>
      </c>
      <c r="C397" s="1861"/>
      <c r="D397" s="1861"/>
      <c r="E397" s="1861"/>
      <c r="F397" s="1861"/>
      <c r="G397" s="1861"/>
      <c r="H397" s="1861"/>
      <c r="I397" s="1861"/>
      <c r="O397" s="11"/>
      <c r="Q397" s="11"/>
    </row>
    <row r="398" spans="2:17" customFormat="1" ht="9" customHeight="1">
      <c r="B398" s="149" t="s">
        <v>1056</v>
      </c>
      <c r="C398" s="21"/>
      <c r="D398" s="21"/>
      <c r="E398" s="334"/>
      <c r="F398" s="21"/>
      <c r="G398" s="21"/>
      <c r="H398" s="21"/>
      <c r="I398" s="21"/>
      <c r="O398" s="11"/>
      <c r="Q398" s="11"/>
    </row>
    <row r="399" spans="2:17" customFormat="1" ht="25.5" customHeight="1">
      <c r="B399" s="1861" t="s">
        <v>1057</v>
      </c>
      <c r="C399" s="1861"/>
      <c r="D399" s="1861"/>
      <c r="E399" s="1861"/>
      <c r="F399" s="1861"/>
      <c r="G399" s="1861"/>
      <c r="H399" s="1861"/>
      <c r="I399" s="1861"/>
      <c r="O399" s="11"/>
      <c r="Q399" s="11"/>
    </row>
    <row r="400" spans="2:17" customFormat="1" ht="10.5" customHeight="1">
      <c r="B400" s="149"/>
      <c r="C400" s="21"/>
      <c r="D400" s="21"/>
      <c r="E400" s="334"/>
      <c r="F400" s="21"/>
      <c r="G400" s="21"/>
      <c r="H400" s="21"/>
      <c r="I400" s="21"/>
      <c r="O400" s="11"/>
      <c r="Q400" s="11"/>
    </row>
    <row r="401" spans="2:17" customFormat="1" ht="27.75" customHeight="1">
      <c r="B401" s="1878" t="s">
        <v>1058</v>
      </c>
      <c r="C401" s="1878"/>
      <c r="D401" s="1878"/>
      <c r="E401" s="1878"/>
      <c r="F401" s="1878"/>
      <c r="G401" s="1878"/>
      <c r="H401" s="1878"/>
      <c r="I401" s="1878"/>
      <c r="O401" s="11"/>
      <c r="Q401" s="11"/>
    </row>
    <row r="402" spans="2:17" customFormat="1">
      <c r="B402" s="149"/>
      <c r="C402" s="21"/>
      <c r="D402" s="21"/>
      <c r="E402" s="334"/>
      <c r="F402" s="21"/>
      <c r="G402" s="21"/>
      <c r="H402" s="21"/>
      <c r="I402" s="21"/>
      <c r="O402" s="11"/>
      <c r="Q402" s="11"/>
    </row>
    <row r="403" spans="2:17" customFormat="1" ht="27.75" customHeight="1">
      <c r="B403" s="1858" t="s">
        <v>1059</v>
      </c>
      <c r="C403" s="1858"/>
      <c r="D403" s="1858"/>
      <c r="E403" s="1858"/>
      <c r="F403" s="1858"/>
      <c r="G403" s="1858"/>
      <c r="H403" s="1858"/>
      <c r="I403" s="1858"/>
      <c r="O403" s="11"/>
      <c r="Q403" s="11"/>
    </row>
    <row r="404" spans="2:17" customFormat="1">
      <c r="B404" s="156"/>
      <c r="C404" s="21"/>
      <c r="D404" s="21"/>
      <c r="E404" s="334"/>
      <c r="F404" s="21"/>
      <c r="G404" s="21"/>
      <c r="H404" s="21"/>
      <c r="I404" s="21"/>
      <c r="O404" s="11"/>
      <c r="Q404" s="11"/>
    </row>
    <row r="405" spans="2:17" customFormat="1">
      <c r="B405" s="156"/>
      <c r="C405" s="21"/>
      <c r="D405" s="21"/>
      <c r="E405" s="334"/>
      <c r="F405" s="21"/>
      <c r="G405" s="21"/>
      <c r="H405" s="21"/>
      <c r="I405" s="21"/>
      <c r="O405" s="11"/>
      <c r="Q405" s="11"/>
    </row>
    <row r="406" spans="2:17" customFormat="1">
      <c r="B406" s="156"/>
      <c r="C406" s="21"/>
      <c r="D406" s="21"/>
      <c r="E406" s="334"/>
      <c r="F406" s="21"/>
      <c r="G406" s="21"/>
      <c r="H406" s="21"/>
      <c r="I406" s="21"/>
      <c r="O406" s="11"/>
      <c r="Q406" s="11"/>
    </row>
    <row r="407" spans="2:17" customFormat="1">
      <c r="B407" s="156"/>
      <c r="C407" s="21"/>
      <c r="D407" s="21"/>
      <c r="E407" s="334"/>
      <c r="F407" s="21"/>
      <c r="G407" s="21"/>
      <c r="H407" s="21"/>
      <c r="I407" s="21"/>
      <c r="O407" s="11"/>
      <c r="Q407" s="11"/>
    </row>
    <row r="408" spans="2:17" customFormat="1">
      <c r="B408" s="156"/>
      <c r="C408" s="21"/>
      <c r="D408" s="21"/>
      <c r="E408" s="334"/>
      <c r="F408" s="21"/>
      <c r="G408" s="21"/>
      <c r="H408" s="21"/>
      <c r="I408" s="21"/>
      <c r="O408" s="11"/>
      <c r="Q408" s="11"/>
    </row>
    <row r="409" spans="2:17" customFormat="1" ht="26.25" customHeight="1">
      <c r="B409" s="1878" t="s">
        <v>1060</v>
      </c>
      <c r="C409" s="1878"/>
      <c r="D409" s="1878"/>
      <c r="E409" s="1878"/>
      <c r="F409" s="1878"/>
      <c r="G409" s="1878"/>
      <c r="H409" s="1878"/>
      <c r="I409" s="1878"/>
      <c r="O409" s="11"/>
      <c r="Q409" s="11"/>
    </row>
    <row r="410" spans="2:17" customFormat="1">
      <c r="B410" s="149"/>
      <c r="C410" s="21"/>
      <c r="D410" s="21"/>
      <c r="E410" s="334"/>
      <c r="F410" s="21"/>
      <c r="G410" s="21"/>
      <c r="H410" s="21"/>
      <c r="I410" s="21"/>
      <c r="O410" s="11"/>
      <c r="Q410" s="11"/>
    </row>
    <row r="411" spans="2:17" customFormat="1" ht="73.5" customHeight="1">
      <c r="B411" s="1858" t="s">
        <v>1061</v>
      </c>
      <c r="C411" s="1858"/>
      <c r="D411" s="1858"/>
      <c r="E411" s="1858"/>
      <c r="F411" s="1858"/>
      <c r="G411" s="1858"/>
      <c r="H411" s="1858"/>
      <c r="I411" s="1858"/>
      <c r="O411" s="11"/>
      <c r="Q411" s="11"/>
    </row>
    <row r="412" spans="2:17" customFormat="1">
      <c r="B412" s="156"/>
      <c r="C412" s="21"/>
      <c r="D412" s="21"/>
      <c r="E412" s="334"/>
      <c r="F412" s="21"/>
      <c r="G412" s="21"/>
      <c r="H412" s="21"/>
      <c r="I412" s="21"/>
      <c r="O412" s="11"/>
      <c r="Q412" s="11"/>
    </row>
    <row r="413" spans="2:17" customFormat="1" ht="56.25" customHeight="1">
      <c r="B413" s="1858" t="s">
        <v>1266</v>
      </c>
      <c r="C413" s="1858"/>
      <c r="D413" s="1858"/>
      <c r="E413" s="1858"/>
      <c r="F413" s="1858"/>
      <c r="G413" s="1858"/>
      <c r="H413" s="1858"/>
      <c r="I413" s="1858"/>
      <c r="O413" s="11"/>
      <c r="Q413" s="11"/>
    </row>
    <row r="414" spans="2:17" customFormat="1">
      <c r="B414" s="156"/>
      <c r="C414" s="21"/>
      <c r="D414" s="21"/>
      <c r="E414" s="334"/>
      <c r="F414" s="21"/>
      <c r="G414" s="21"/>
      <c r="H414" s="21"/>
      <c r="I414" s="21"/>
      <c r="O414" s="11"/>
      <c r="Q414" s="11"/>
    </row>
    <row r="415" spans="2:17" customFormat="1" ht="58.5" customHeight="1">
      <c r="B415" s="1858" t="s">
        <v>1267</v>
      </c>
      <c r="C415" s="1858"/>
      <c r="D415" s="1858"/>
      <c r="E415" s="1858"/>
      <c r="F415" s="1858"/>
      <c r="G415" s="1858"/>
      <c r="H415" s="1858"/>
      <c r="I415" s="1858"/>
      <c r="O415" s="11"/>
      <c r="Q415" s="11"/>
    </row>
    <row r="416" spans="2:17" customFormat="1">
      <c r="B416" s="156"/>
      <c r="C416" s="21"/>
      <c r="D416" s="21"/>
      <c r="E416" s="334"/>
      <c r="F416" s="21"/>
      <c r="G416" s="21"/>
      <c r="H416" s="21"/>
      <c r="I416" s="21"/>
      <c r="O416" s="11"/>
      <c r="Q416" s="11"/>
    </row>
    <row r="417" spans="2:17" customFormat="1" ht="63.75" customHeight="1">
      <c r="B417" s="1858" t="s">
        <v>1268</v>
      </c>
      <c r="C417" s="1858"/>
      <c r="D417" s="1858"/>
      <c r="E417" s="1858"/>
      <c r="F417" s="1858"/>
      <c r="G417" s="1858"/>
      <c r="H417" s="1858"/>
      <c r="I417" s="1858"/>
      <c r="O417" s="11"/>
      <c r="Q417" s="11"/>
    </row>
    <row r="418" spans="2:17" customFormat="1">
      <c r="B418" s="156"/>
      <c r="C418" s="21"/>
      <c r="D418" s="21"/>
      <c r="E418" s="334"/>
      <c r="F418" s="21"/>
      <c r="G418" s="21"/>
      <c r="H418" s="21"/>
      <c r="I418" s="21"/>
      <c r="O418" s="11"/>
      <c r="Q418" s="11"/>
    </row>
    <row r="419" spans="2:17" customFormat="1" ht="41.25" customHeight="1">
      <c r="B419" s="1858" t="s">
        <v>1269</v>
      </c>
      <c r="C419" s="1858"/>
      <c r="D419" s="1858"/>
      <c r="E419" s="1858"/>
      <c r="F419" s="1858"/>
      <c r="G419" s="1858"/>
      <c r="H419" s="1858"/>
      <c r="I419" s="1858"/>
      <c r="O419" s="11"/>
      <c r="Q419" s="11"/>
    </row>
    <row r="420" spans="2:17" customFormat="1">
      <c r="B420" s="156"/>
      <c r="C420" s="21"/>
      <c r="D420" s="21"/>
      <c r="E420" s="334"/>
      <c r="F420" s="21"/>
      <c r="G420" s="21"/>
      <c r="H420" s="21"/>
      <c r="I420" s="21"/>
      <c r="O420" s="11"/>
      <c r="Q420" s="11"/>
    </row>
    <row r="421" spans="2:17" customFormat="1" ht="88.5" customHeight="1">
      <c r="B421" s="1858" t="s">
        <v>1818</v>
      </c>
      <c r="C421" s="1858"/>
      <c r="D421" s="1858"/>
      <c r="E421" s="1858"/>
      <c r="F421" s="1858"/>
      <c r="G421" s="1858"/>
      <c r="H421" s="1858"/>
      <c r="I421" s="1858"/>
      <c r="O421" s="11"/>
      <c r="Q421" s="11"/>
    </row>
    <row r="422" spans="2:17" customFormat="1">
      <c r="B422" s="156"/>
      <c r="C422" s="21"/>
      <c r="D422" s="21"/>
      <c r="E422" s="334"/>
      <c r="F422" s="21"/>
      <c r="G422" s="21"/>
      <c r="H422" s="21"/>
      <c r="I422" s="21"/>
      <c r="O422" s="11"/>
      <c r="Q422" s="11"/>
    </row>
    <row r="423" spans="2:17" customFormat="1" ht="37.5" customHeight="1">
      <c r="B423" s="1878" t="s">
        <v>1062</v>
      </c>
      <c r="C423" s="1878"/>
      <c r="D423" s="1878"/>
      <c r="E423" s="1878"/>
      <c r="F423" s="1878"/>
      <c r="G423" s="1878"/>
      <c r="H423" s="1878"/>
      <c r="I423" s="1878"/>
      <c r="O423" s="11"/>
      <c r="Q423" s="11"/>
    </row>
    <row r="424" spans="2:17" customFormat="1">
      <c r="B424" s="149"/>
      <c r="C424" s="21"/>
      <c r="D424" s="21"/>
      <c r="E424" s="334"/>
      <c r="F424" s="21"/>
      <c r="G424" s="21"/>
      <c r="H424" s="21"/>
      <c r="I424" s="21"/>
      <c r="O424" s="11"/>
      <c r="Q424" s="11"/>
    </row>
    <row r="425" spans="2:17" customFormat="1" ht="33" customHeight="1">
      <c r="B425" s="1858" t="s">
        <v>1063</v>
      </c>
      <c r="C425" s="1858"/>
      <c r="D425" s="1858"/>
      <c r="E425" s="1858"/>
      <c r="F425" s="1858"/>
      <c r="G425" s="1858"/>
      <c r="H425" s="1858"/>
      <c r="I425" s="1858"/>
      <c r="O425" s="11"/>
      <c r="Q425" s="11"/>
    </row>
    <row r="426" spans="2:17" customFormat="1">
      <c r="B426" s="156" t="s">
        <v>1022</v>
      </c>
      <c r="C426" s="21"/>
      <c r="D426" s="21"/>
      <c r="E426" s="334"/>
      <c r="F426" s="21"/>
      <c r="G426" s="21"/>
      <c r="H426" s="21"/>
      <c r="I426" s="21"/>
      <c r="O426" s="11"/>
      <c r="Q426" s="11"/>
    </row>
    <row r="427" spans="2:17" customFormat="1" ht="30.75" customHeight="1">
      <c r="B427" s="1858" t="s">
        <v>1819</v>
      </c>
      <c r="C427" s="1858"/>
      <c r="D427" s="1858"/>
      <c r="E427" s="1858"/>
      <c r="F427" s="1858"/>
      <c r="G427" s="1858"/>
      <c r="H427" s="1858"/>
      <c r="I427" s="1858"/>
      <c r="O427" s="11"/>
      <c r="Q427" s="11"/>
    </row>
    <row r="428" spans="2:17" customFormat="1">
      <c r="B428" s="690"/>
      <c r="C428" s="21"/>
      <c r="D428" s="21"/>
      <c r="E428" s="334"/>
      <c r="F428" s="21"/>
      <c r="G428" s="21"/>
      <c r="H428" s="21"/>
      <c r="I428" s="21"/>
      <c r="O428" s="11"/>
      <c r="Q428" s="11"/>
    </row>
    <row r="429" spans="2:17" customFormat="1" ht="31.5" customHeight="1">
      <c r="B429" s="1878" t="s">
        <v>1065</v>
      </c>
      <c r="C429" s="1878"/>
      <c r="D429" s="1878"/>
      <c r="E429" s="1878"/>
      <c r="F429" s="1878"/>
      <c r="G429" s="1878"/>
      <c r="H429" s="1878"/>
      <c r="I429" s="1878"/>
      <c r="O429" s="11"/>
      <c r="Q429" s="11"/>
    </row>
    <row r="430" spans="2:17" customFormat="1">
      <c r="B430" s="149"/>
      <c r="C430" s="21"/>
      <c r="D430" s="21"/>
      <c r="E430" s="334"/>
      <c r="F430" s="21"/>
      <c r="G430" s="21"/>
      <c r="H430" s="21"/>
      <c r="I430" s="21"/>
      <c r="O430" s="11"/>
      <c r="Q430" s="11"/>
    </row>
    <row r="431" spans="2:17" customFormat="1" ht="54.75" customHeight="1">
      <c r="B431" s="1858" t="s">
        <v>1238</v>
      </c>
      <c r="C431" s="1858"/>
      <c r="D431" s="1858"/>
      <c r="E431" s="1858"/>
      <c r="F431" s="1858"/>
      <c r="G431" s="1858"/>
      <c r="H431" s="1858"/>
      <c r="I431" s="1858"/>
      <c r="O431" s="11"/>
      <c r="Q431" s="11"/>
    </row>
    <row r="432" spans="2:17" customFormat="1">
      <c r="B432" s="156"/>
      <c r="C432" s="21"/>
      <c r="D432" s="21"/>
      <c r="E432" s="334"/>
      <c r="F432" s="21"/>
      <c r="G432" s="21"/>
      <c r="H432" s="21"/>
      <c r="I432" s="21"/>
      <c r="O432" s="11"/>
      <c r="Q432" s="11"/>
    </row>
    <row r="433" spans="2:17" customFormat="1" ht="46.5" customHeight="1">
      <c r="B433" s="1858" t="s">
        <v>1066</v>
      </c>
      <c r="C433" s="1858"/>
      <c r="D433" s="1858"/>
      <c r="E433" s="1858"/>
      <c r="F433" s="1858"/>
      <c r="G433" s="1858"/>
      <c r="H433" s="1858"/>
      <c r="I433" s="1858"/>
      <c r="O433" s="11"/>
      <c r="Q433" s="11"/>
    </row>
    <row r="434" spans="2:17" customFormat="1">
      <c r="B434" s="694"/>
      <c r="C434" s="21"/>
      <c r="D434" s="21"/>
      <c r="E434" s="334"/>
      <c r="F434" s="21"/>
      <c r="G434" s="21"/>
      <c r="H434" s="21"/>
      <c r="I434" s="21"/>
      <c r="O434" s="11"/>
      <c r="Q434" s="11"/>
    </row>
    <row r="435" spans="2:17" customFormat="1" ht="67.5" customHeight="1">
      <c r="B435" s="1858" t="s">
        <v>1239</v>
      </c>
      <c r="C435" s="1858"/>
      <c r="D435" s="1858"/>
      <c r="E435" s="1858"/>
      <c r="F435" s="1858"/>
      <c r="G435" s="1858"/>
      <c r="H435" s="1858"/>
      <c r="I435" s="1858"/>
      <c r="O435" s="11"/>
      <c r="Q435" s="11"/>
    </row>
    <row r="436" spans="2:17" customFormat="1">
      <c r="B436" s="149"/>
      <c r="C436" s="21"/>
      <c r="D436" s="21"/>
      <c r="E436" s="334"/>
      <c r="F436" s="21"/>
      <c r="G436" s="21"/>
      <c r="H436" s="21"/>
      <c r="I436" s="21"/>
      <c r="O436" s="11"/>
      <c r="Q436" s="11"/>
    </row>
    <row r="437" spans="2:17" customFormat="1" ht="31.5" customHeight="1">
      <c r="B437" s="1861" t="s">
        <v>1067</v>
      </c>
      <c r="C437" s="1861"/>
      <c r="D437" s="1861"/>
      <c r="E437" s="1861"/>
      <c r="F437" s="1861"/>
      <c r="G437" s="1861"/>
      <c r="H437" s="1861"/>
      <c r="I437" s="1861"/>
      <c r="O437" s="11"/>
      <c r="Q437" s="11"/>
    </row>
    <row r="438" spans="2:17" customFormat="1">
      <c r="B438" s="149"/>
      <c r="C438" s="21"/>
      <c r="D438" s="21"/>
      <c r="E438" s="334"/>
      <c r="F438" s="21"/>
      <c r="G438" s="21"/>
      <c r="H438" s="21"/>
      <c r="I438" s="21"/>
      <c r="O438" s="11"/>
      <c r="Q438" s="11"/>
    </row>
    <row r="439" spans="2:17" customFormat="1">
      <c r="B439" s="695" t="s">
        <v>1068</v>
      </c>
      <c r="C439" s="21"/>
      <c r="D439" s="21"/>
      <c r="E439" s="334"/>
      <c r="F439" s="21"/>
      <c r="G439" s="21"/>
      <c r="H439" s="21"/>
      <c r="I439" s="21"/>
      <c r="O439" s="11"/>
      <c r="Q439" s="11"/>
    </row>
    <row r="440" spans="2:17" customFormat="1">
      <c r="B440" s="149"/>
      <c r="C440" s="21"/>
      <c r="D440" s="21"/>
      <c r="E440" s="334"/>
      <c r="F440" s="21"/>
      <c r="G440" s="21"/>
      <c r="H440" s="21"/>
      <c r="I440" s="21"/>
      <c r="O440" s="11"/>
      <c r="Q440" s="11"/>
    </row>
    <row r="441" spans="2:17" customFormat="1" ht="60.75" customHeight="1">
      <c r="B441" s="1858" t="s">
        <v>1240</v>
      </c>
      <c r="C441" s="1858"/>
      <c r="D441" s="1858"/>
      <c r="E441" s="1858"/>
      <c r="F441" s="1858"/>
      <c r="G441" s="1858"/>
      <c r="H441" s="1858"/>
      <c r="I441" s="1858"/>
      <c r="O441" s="11"/>
      <c r="Q441" s="11"/>
    </row>
    <row r="442" spans="2:17" customFormat="1">
      <c r="B442" s="156"/>
      <c r="C442" s="21"/>
      <c r="D442" s="21"/>
      <c r="E442" s="334"/>
      <c r="F442" s="21"/>
      <c r="G442" s="21"/>
      <c r="H442" s="21"/>
      <c r="I442" s="21"/>
      <c r="O442" s="11"/>
      <c r="Q442" s="11"/>
    </row>
    <row r="443" spans="2:17" customFormat="1" ht="81.75" customHeight="1">
      <c r="B443" s="1858" t="s">
        <v>1241</v>
      </c>
      <c r="C443" s="1858"/>
      <c r="D443" s="1858"/>
      <c r="E443" s="1858"/>
      <c r="F443" s="1858"/>
      <c r="G443" s="1858"/>
      <c r="H443" s="1858"/>
      <c r="I443" s="1858"/>
      <c r="O443" s="11"/>
      <c r="Q443" s="11"/>
    </row>
    <row r="444" spans="2:17" customFormat="1">
      <c r="B444" s="156"/>
      <c r="C444" s="21"/>
      <c r="D444" s="21"/>
      <c r="E444" s="334"/>
      <c r="F444" s="21"/>
      <c r="G444" s="21"/>
      <c r="H444" s="21"/>
      <c r="I444" s="21"/>
      <c r="O444" s="11"/>
      <c r="Q444" s="11"/>
    </row>
    <row r="445" spans="2:17" customFormat="1" ht="64.5" customHeight="1">
      <c r="B445" s="1858" t="s">
        <v>1242</v>
      </c>
      <c r="C445" s="1858"/>
      <c r="D445" s="1858"/>
      <c r="E445" s="1858"/>
      <c r="F445" s="1858"/>
      <c r="G445" s="1858"/>
      <c r="H445" s="1858"/>
      <c r="I445" s="1858"/>
      <c r="O445" s="11"/>
      <c r="Q445" s="11"/>
    </row>
    <row r="446" spans="2:17" customFormat="1">
      <c r="B446" s="690"/>
      <c r="C446" s="21"/>
      <c r="D446" s="21"/>
      <c r="E446" s="334"/>
      <c r="F446" s="21"/>
      <c r="G446" s="21"/>
      <c r="H446" s="21"/>
      <c r="I446" s="21"/>
      <c r="O446" s="11"/>
      <c r="Q446" s="11"/>
    </row>
    <row r="447" spans="2:17" customFormat="1">
      <c r="B447" s="690"/>
      <c r="C447" s="21"/>
      <c r="D447" s="21"/>
      <c r="E447" s="334"/>
      <c r="F447" s="21"/>
      <c r="G447" s="21"/>
      <c r="H447" s="21"/>
      <c r="I447" s="21"/>
      <c r="O447" s="11"/>
      <c r="Q447" s="11"/>
    </row>
    <row r="448" spans="2:17" customFormat="1" ht="24" customHeight="1">
      <c r="B448" s="1878" t="s">
        <v>1069</v>
      </c>
      <c r="C448" s="1878"/>
      <c r="D448" s="1878"/>
      <c r="E448" s="1878"/>
      <c r="F448" s="1878"/>
      <c r="G448" s="1878"/>
      <c r="H448" s="1878"/>
      <c r="I448" s="1878"/>
      <c r="O448" s="11"/>
      <c r="Q448" s="11"/>
    </row>
    <row r="449" spans="2:17" customFormat="1" ht="42" customHeight="1">
      <c r="B449" s="1858" t="s">
        <v>1219</v>
      </c>
      <c r="C449" s="1858"/>
      <c r="D449" s="1858"/>
      <c r="E449" s="1858"/>
      <c r="F449" s="1858"/>
      <c r="G449" s="1858"/>
      <c r="H449" s="1858"/>
      <c r="I449" s="1858"/>
      <c r="O449" s="11"/>
      <c r="Q449" s="11"/>
    </row>
    <row r="450" spans="2:17" customFormat="1">
      <c r="B450" s="156"/>
      <c r="C450" s="21"/>
      <c r="D450" s="21"/>
      <c r="E450" s="334"/>
      <c r="F450" s="21"/>
      <c r="G450" s="21"/>
      <c r="H450" s="21"/>
      <c r="I450" s="21"/>
      <c r="O450" s="11"/>
      <c r="Q450" s="11"/>
    </row>
    <row r="451" spans="2:17" customFormat="1">
      <c r="B451" s="695" t="s">
        <v>1070</v>
      </c>
      <c r="C451" s="21"/>
      <c r="D451" s="21"/>
      <c r="E451" s="334"/>
      <c r="F451" s="21"/>
      <c r="G451" s="21"/>
      <c r="H451" s="21"/>
      <c r="I451" s="21"/>
      <c r="O451" s="11"/>
      <c r="Q451" s="11"/>
    </row>
    <row r="452" spans="2:17" customFormat="1" ht="51.75" customHeight="1">
      <c r="B452" s="1858" t="s">
        <v>1243</v>
      </c>
      <c r="C452" s="1858"/>
      <c r="D452" s="1858"/>
      <c r="E452" s="1858"/>
      <c r="F452" s="1858"/>
      <c r="G452" s="1858"/>
      <c r="H452" s="1858"/>
      <c r="I452" s="1858"/>
      <c r="O452" s="11"/>
      <c r="Q452" s="11"/>
    </row>
    <row r="453" spans="2:17" customFormat="1" ht="21" customHeight="1">
      <c r="B453" s="695"/>
      <c r="C453" s="21"/>
      <c r="D453" s="21"/>
      <c r="E453" s="334"/>
      <c r="F453" s="21"/>
      <c r="G453" s="21"/>
      <c r="H453" s="21"/>
      <c r="I453" s="21"/>
      <c r="O453" s="11"/>
      <c r="Q453" s="11"/>
    </row>
    <row r="454" spans="2:17" customFormat="1">
      <c r="B454" s="695" t="s">
        <v>1071</v>
      </c>
      <c r="C454" s="21"/>
      <c r="D454" s="21"/>
      <c r="E454" s="334"/>
      <c r="F454" s="21"/>
      <c r="G454" s="21"/>
      <c r="H454" s="21"/>
      <c r="I454" s="21"/>
      <c r="O454" s="11"/>
      <c r="Q454" s="11"/>
    </row>
    <row r="455" spans="2:17" customFormat="1" ht="98.25" customHeight="1">
      <c r="B455" s="1858" t="s">
        <v>1820</v>
      </c>
      <c r="C455" s="1858"/>
      <c r="D455" s="1858"/>
      <c r="E455" s="1858"/>
      <c r="F455" s="1858"/>
      <c r="G455" s="1858"/>
      <c r="H455" s="1858"/>
      <c r="I455" s="1858"/>
      <c r="O455" s="11"/>
      <c r="Q455" s="11"/>
    </row>
    <row r="456" spans="2:17" customFormat="1">
      <c r="B456" s="156"/>
      <c r="C456" s="21"/>
      <c r="D456" s="21"/>
      <c r="E456" s="334"/>
      <c r="F456" s="21"/>
      <c r="G456" s="21"/>
      <c r="H456" s="21"/>
      <c r="I456" s="21"/>
      <c r="O456" s="11"/>
      <c r="Q456" s="11"/>
    </row>
    <row r="457" spans="2:17" customFormat="1" ht="60.75" customHeight="1">
      <c r="B457" s="1858" t="s">
        <v>1821</v>
      </c>
      <c r="C457" s="1858"/>
      <c r="D457" s="1858"/>
      <c r="E457" s="1858"/>
      <c r="F457" s="1858"/>
      <c r="G457" s="1858"/>
      <c r="H457" s="1858"/>
      <c r="I457" s="1858"/>
      <c r="O457" s="11"/>
      <c r="Q457" s="11"/>
    </row>
    <row r="458" spans="2:17" customFormat="1">
      <c r="B458" s="156"/>
      <c r="C458" s="21"/>
      <c r="D458" s="21"/>
      <c r="E458" s="334"/>
      <c r="F458" s="21"/>
      <c r="G458" s="21"/>
      <c r="H458" s="21"/>
      <c r="I458" s="21"/>
      <c r="O458" s="11"/>
      <c r="Q458" s="11"/>
    </row>
    <row r="459" spans="2:17" customFormat="1" ht="53.25" customHeight="1">
      <c r="B459" s="1858" t="s">
        <v>1246</v>
      </c>
      <c r="C459" s="1858"/>
      <c r="D459" s="1858"/>
      <c r="E459" s="1858"/>
      <c r="F459" s="1858"/>
      <c r="G459" s="1858"/>
      <c r="H459" s="1858"/>
      <c r="I459" s="1858"/>
      <c r="O459" s="11"/>
      <c r="Q459" s="11"/>
    </row>
    <row r="460" spans="2:17" customFormat="1">
      <c r="B460" s="156"/>
      <c r="C460" s="21"/>
      <c r="D460" s="21"/>
      <c r="E460" s="334"/>
      <c r="F460" s="21"/>
      <c r="G460" s="21"/>
      <c r="H460" s="21"/>
      <c r="I460" s="21"/>
      <c r="O460" s="11"/>
      <c r="Q460" s="11"/>
    </row>
    <row r="461" spans="2:17" customFormat="1" ht="27.75" customHeight="1">
      <c r="B461" s="1878" t="s">
        <v>1072</v>
      </c>
      <c r="C461" s="1878"/>
      <c r="D461" s="1878"/>
      <c r="E461" s="1878"/>
      <c r="F461" s="21"/>
      <c r="G461" s="21"/>
      <c r="H461" s="21"/>
      <c r="I461" s="21"/>
      <c r="O461" s="11"/>
      <c r="Q461" s="11"/>
    </row>
    <row r="462" spans="2:17" customFormat="1" ht="60.75" customHeight="1">
      <c r="B462" s="1858" t="s">
        <v>1247</v>
      </c>
      <c r="C462" s="1858"/>
      <c r="D462" s="1858"/>
      <c r="E462" s="1858"/>
      <c r="F462" s="1858"/>
      <c r="G462" s="1858"/>
      <c r="H462" s="1858"/>
      <c r="I462" s="1858"/>
      <c r="O462" s="11"/>
      <c r="Q462" s="11"/>
    </row>
    <row r="463" spans="2:17" customFormat="1">
      <c r="B463" s="156"/>
      <c r="C463" s="21"/>
      <c r="D463" s="21"/>
      <c r="E463" s="334"/>
      <c r="F463" s="21"/>
      <c r="G463" s="21"/>
      <c r="H463" s="21"/>
      <c r="I463" s="21"/>
      <c r="O463" s="11"/>
      <c r="Q463" s="11"/>
    </row>
    <row r="464" spans="2:17" customFormat="1" ht="27" customHeight="1">
      <c r="B464" s="1878" t="s">
        <v>1073</v>
      </c>
      <c r="C464" s="1878"/>
      <c r="D464" s="1878"/>
      <c r="E464" s="1878"/>
      <c r="F464" s="1878"/>
      <c r="G464" s="1878"/>
      <c r="H464" s="1878"/>
      <c r="I464" s="1878"/>
      <c r="O464" s="11"/>
      <c r="Q464" s="11"/>
    </row>
    <row r="465" spans="2:17" customFormat="1" ht="63.75" customHeight="1">
      <c r="B465" s="1858" t="s">
        <v>1248</v>
      </c>
      <c r="C465" s="1858"/>
      <c r="D465" s="1858"/>
      <c r="E465" s="1858"/>
      <c r="F465" s="1858"/>
      <c r="G465" s="1858"/>
      <c r="H465" s="1858"/>
      <c r="I465" s="1858"/>
      <c r="O465" s="11"/>
      <c r="Q465" s="11"/>
    </row>
    <row r="466" spans="2:17" customFormat="1" ht="15" customHeight="1">
      <c r="B466" s="671"/>
      <c r="C466" s="671"/>
      <c r="D466" s="671"/>
      <c r="E466" s="671"/>
      <c r="F466" s="21"/>
      <c r="G466" s="21"/>
      <c r="H466" s="21"/>
      <c r="I466" s="21"/>
      <c r="O466" s="11"/>
      <c r="Q466" s="11"/>
    </row>
    <row r="467" spans="2:17" customFormat="1" ht="12.75" customHeight="1">
      <c r="B467" s="671"/>
      <c r="C467" s="671"/>
      <c r="D467" s="671"/>
      <c r="E467" s="671"/>
      <c r="F467" s="21"/>
      <c r="G467" s="21"/>
      <c r="H467" s="21"/>
      <c r="I467" s="21"/>
      <c r="O467" s="11"/>
      <c r="Q467" s="11"/>
    </row>
    <row r="468" spans="2:17" customFormat="1">
      <c r="B468" s="690"/>
      <c r="C468" s="21"/>
      <c r="D468" s="21"/>
      <c r="E468" s="334"/>
      <c r="F468" s="21"/>
      <c r="G468" s="21"/>
      <c r="H468" s="21"/>
      <c r="I468" s="21"/>
      <c r="O468" s="11"/>
      <c r="Q468" s="11"/>
    </row>
    <row r="469" spans="2:17" customFormat="1" ht="34.5" customHeight="1">
      <c r="B469" s="1861" t="s">
        <v>1074</v>
      </c>
      <c r="C469" s="1861"/>
      <c r="D469" s="1861"/>
      <c r="E469" s="1861"/>
      <c r="F469" s="1861"/>
      <c r="G469" s="1861"/>
      <c r="H469" s="1861"/>
      <c r="I469" s="1861"/>
      <c r="O469" s="11"/>
      <c r="Q469" s="11"/>
    </row>
    <row r="470" spans="2:17" customFormat="1" ht="102" customHeight="1">
      <c r="B470" s="1858" t="s">
        <v>1822</v>
      </c>
      <c r="C470" s="1858"/>
      <c r="D470" s="1858"/>
      <c r="E470" s="1858"/>
      <c r="F470" s="1858"/>
      <c r="G470" s="1858"/>
      <c r="H470" s="1858"/>
      <c r="I470" s="1858"/>
      <c r="O470" s="11"/>
      <c r="Q470" s="11"/>
    </row>
    <row r="471" spans="2:17" customFormat="1" ht="102" customHeight="1">
      <c r="B471" s="749"/>
      <c r="C471" s="749"/>
      <c r="D471" s="749"/>
      <c r="E471" s="749"/>
      <c r="F471" s="749"/>
      <c r="G471" s="749"/>
      <c r="H471" s="749"/>
      <c r="I471" s="749"/>
      <c r="O471" s="11"/>
      <c r="Q471" s="11"/>
    </row>
    <row r="472" spans="2:17" customFormat="1" ht="102" customHeight="1">
      <c r="B472" s="749"/>
      <c r="C472" s="749"/>
      <c r="D472" s="749"/>
      <c r="E472" s="749"/>
      <c r="F472" s="749"/>
      <c r="G472" s="749"/>
      <c r="H472" s="749"/>
      <c r="I472" s="749"/>
      <c r="O472" s="11"/>
      <c r="Q472" s="11"/>
    </row>
    <row r="473" spans="2:17" customFormat="1" ht="15.75" customHeight="1">
      <c r="B473" s="749"/>
      <c r="C473" s="749"/>
      <c r="D473" s="749"/>
      <c r="E473" s="749"/>
      <c r="F473" s="749"/>
      <c r="G473" s="749"/>
      <c r="H473" s="749"/>
      <c r="I473" s="749"/>
      <c r="O473" s="11"/>
      <c r="Q473" s="11"/>
    </row>
    <row r="474" spans="2:17" customFormat="1" ht="15.75" customHeight="1">
      <c r="B474" s="749"/>
      <c r="C474" s="749"/>
      <c r="D474" s="749"/>
      <c r="E474" s="749"/>
      <c r="F474" s="749"/>
      <c r="G474" s="749"/>
      <c r="H474" s="749"/>
      <c r="I474" s="749"/>
      <c r="O474" s="11"/>
      <c r="Q474" s="11"/>
    </row>
    <row r="475" spans="2:17" customFormat="1" ht="15.75" customHeight="1">
      <c r="B475" s="749"/>
      <c r="C475" s="749"/>
      <c r="D475" s="749"/>
      <c r="E475" s="749"/>
      <c r="F475" s="749"/>
      <c r="G475" s="749"/>
      <c r="H475" s="749"/>
      <c r="I475" s="749"/>
      <c r="O475" s="11"/>
      <c r="Q475" s="11"/>
    </row>
    <row r="476" spans="2:17" customFormat="1" ht="15.75" customHeight="1">
      <c r="B476" s="825"/>
      <c r="C476" s="825"/>
      <c r="D476" s="825"/>
      <c r="E476" s="825"/>
      <c r="F476" s="825"/>
      <c r="G476" s="825"/>
      <c r="H476" s="825"/>
      <c r="I476" s="825"/>
      <c r="O476" s="11"/>
      <c r="Q476" s="11"/>
    </row>
    <row r="477" spans="2:17" customFormat="1" ht="15.75" customHeight="1">
      <c r="B477" s="825"/>
      <c r="C477" s="825"/>
      <c r="D477" s="825"/>
      <c r="E477" s="825"/>
      <c r="F477" s="825"/>
      <c r="G477" s="825"/>
      <c r="H477" s="825"/>
      <c r="I477" s="825"/>
      <c r="O477" s="11"/>
      <c r="Q477" s="11"/>
    </row>
    <row r="478" spans="2:17" customFormat="1" ht="15.75" customHeight="1">
      <c r="B478" s="825"/>
      <c r="C478" s="825"/>
      <c r="D478" s="825"/>
      <c r="E478" s="825"/>
      <c r="F478" s="825"/>
      <c r="G478" s="825"/>
      <c r="H478" s="825"/>
      <c r="I478" s="825"/>
      <c r="O478" s="11"/>
      <c r="Q478" s="11"/>
    </row>
    <row r="479" spans="2:17" customFormat="1" ht="15.75" customHeight="1">
      <c r="B479" s="825"/>
      <c r="C479" s="825"/>
      <c r="D479" s="825"/>
      <c r="E479" s="825"/>
      <c r="F479" s="825"/>
      <c r="G479" s="825"/>
      <c r="H479" s="825"/>
      <c r="I479" s="825"/>
      <c r="O479" s="11"/>
      <c r="Q479" s="11"/>
    </row>
    <row r="480" spans="2:17" customFormat="1" ht="15.75" customHeight="1">
      <c r="B480" s="825"/>
      <c r="C480" s="825"/>
      <c r="D480" s="825"/>
      <c r="E480" s="825"/>
      <c r="F480" s="825"/>
      <c r="G480" s="825"/>
      <c r="H480" s="825"/>
      <c r="I480" s="825"/>
      <c r="O480" s="11"/>
      <c r="Q480" s="11"/>
    </row>
    <row r="481" spans="2:17" customFormat="1" ht="15.75" customHeight="1">
      <c r="B481" s="825"/>
      <c r="C481" s="825"/>
      <c r="D481" s="825"/>
      <c r="E481" s="825"/>
      <c r="F481" s="825"/>
      <c r="G481" s="825"/>
      <c r="H481" s="825"/>
      <c r="I481" s="825"/>
      <c r="O481" s="11"/>
      <c r="Q481" s="11"/>
    </row>
    <row r="482" spans="2:17" customFormat="1" ht="15.75" customHeight="1">
      <c r="B482" s="825"/>
      <c r="C482" s="825"/>
      <c r="D482" s="825"/>
      <c r="E482" s="825"/>
      <c r="F482" s="825"/>
      <c r="G482" s="825"/>
      <c r="H482" s="825"/>
      <c r="I482" s="825"/>
      <c r="O482" s="11"/>
      <c r="Q482" s="11"/>
    </row>
    <row r="483" spans="2:17" customFormat="1" ht="15.75" customHeight="1">
      <c r="B483" s="825"/>
      <c r="C483" s="825"/>
      <c r="D483" s="825"/>
      <c r="E483" s="825"/>
      <c r="F483" s="825"/>
      <c r="G483" s="825"/>
      <c r="H483" s="825"/>
      <c r="I483" s="825"/>
      <c r="O483" s="11"/>
      <c r="Q483" s="11"/>
    </row>
    <row r="484" spans="2:17" customFormat="1" ht="15.75" customHeight="1">
      <c r="B484" s="825"/>
      <c r="C484" s="825"/>
      <c r="D484" s="825"/>
      <c r="E484" s="825"/>
      <c r="F484" s="825"/>
      <c r="G484" s="825"/>
      <c r="H484" s="825"/>
      <c r="I484" s="825"/>
      <c r="O484" s="11"/>
      <c r="Q484" s="11"/>
    </row>
    <row r="485" spans="2:17" customFormat="1" ht="15.75" customHeight="1">
      <c r="B485" s="825"/>
      <c r="C485" s="825"/>
      <c r="D485" s="825"/>
      <c r="E485" s="825"/>
      <c r="F485" s="825"/>
      <c r="G485" s="825"/>
      <c r="H485" s="825"/>
      <c r="I485" s="825"/>
      <c r="O485" s="11"/>
      <c r="Q485" s="11"/>
    </row>
    <row r="486" spans="2:17" customFormat="1" ht="15.75" customHeight="1">
      <c r="B486" s="825"/>
      <c r="C486" s="825"/>
      <c r="D486" s="825"/>
      <c r="E486" s="825"/>
      <c r="F486" s="825"/>
      <c r="G486" s="825"/>
      <c r="H486" s="825"/>
      <c r="I486" s="825"/>
      <c r="O486" s="11"/>
      <c r="Q486" s="11"/>
    </row>
    <row r="487" spans="2:17" customFormat="1" ht="15.75" customHeight="1">
      <c r="B487" s="825"/>
      <c r="C487" s="825"/>
      <c r="D487" s="825"/>
      <c r="E487" s="825"/>
      <c r="F487" s="825"/>
      <c r="G487" s="825"/>
      <c r="H487" s="825"/>
      <c r="I487" s="825"/>
      <c r="O487" s="11"/>
      <c r="Q487" s="11"/>
    </row>
    <row r="488" spans="2:17" customFormat="1" ht="15.75" customHeight="1">
      <c r="B488" s="825"/>
      <c r="C488" s="825"/>
      <c r="D488" s="825"/>
      <c r="E488" s="825"/>
      <c r="F488" s="825"/>
      <c r="G488" s="825"/>
      <c r="H488" s="825"/>
      <c r="I488" s="825"/>
      <c r="O488" s="11"/>
      <c r="Q488" s="11"/>
    </row>
    <row r="489" spans="2:17" customFormat="1" ht="15.75" customHeight="1">
      <c r="B489" s="825"/>
      <c r="C489" s="825"/>
      <c r="D489" s="825"/>
      <c r="E489" s="825"/>
      <c r="F489" s="825"/>
      <c r="G489" s="825"/>
      <c r="H489" s="825"/>
      <c r="I489" s="825"/>
      <c r="O489" s="11"/>
      <c r="Q489" s="11"/>
    </row>
    <row r="490" spans="2:17" customFormat="1" ht="15.75" customHeight="1">
      <c r="B490" s="825"/>
      <c r="C490" s="825"/>
      <c r="D490" s="825"/>
      <c r="E490" s="825"/>
      <c r="F490" s="825"/>
      <c r="G490" s="825"/>
      <c r="H490" s="825"/>
      <c r="I490" s="825"/>
      <c r="O490" s="11"/>
      <c r="Q490" s="11"/>
    </row>
    <row r="491" spans="2:17" customFormat="1" ht="15.75" customHeight="1">
      <c r="B491" s="825"/>
      <c r="C491" s="825"/>
      <c r="D491" s="825"/>
      <c r="E491" s="825"/>
      <c r="F491" s="825"/>
      <c r="G491" s="825"/>
      <c r="H491" s="825"/>
      <c r="I491" s="825"/>
      <c r="O491" s="11"/>
      <c r="Q491" s="11"/>
    </row>
    <row r="492" spans="2:17" customFormat="1" ht="15.75" customHeight="1">
      <c r="B492" s="825"/>
      <c r="C492" s="825"/>
      <c r="D492" s="825"/>
      <c r="E492" s="825"/>
      <c r="F492" s="825"/>
      <c r="G492" s="825"/>
      <c r="H492" s="825"/>
      <c r="I492" s="825"/>
      <c r="O492" s="11"/>
      <c r="Q492" s="11"/>
    </row>
    <row r="493" spans="2:17" customFormat="1" ht="15.75" customHeight="1">
      <c r="B493" s="825"/>
      <c r="C493" s="825"/>
      <c r="D493" s="825"/>
      <c r="E493" s="825"/>
      <c r="F493" s="825"/>
      <c r="G493" s="825"/>
      <c r="H493" s="825"/>
      <c r="I493" s="825"/>
      <c r="O493" s="11"/>
      <c r="Q493" s="11"/>
    </row>
    <row r="494" spans="2:17" customFormat="1" ht="15.75" customHeight="1">
      <c r="B494" s="825"/>
      <c r="C494" s="825"/>
      <c r="D494" s="825"/>
      <c r="E494" s="825"/>
      <c r="F494" s="825"/>
      <c r="G494" s="825"/>
      <c r="H494" s="825"/>
      <c r="I494" s="825"/>
      <c r="O494" s="11"/>
      <c r="Q494" s="11"/>
    </row>
    <row r="495" spans="2:17" customFormat="1" ht="15.75" customHeight="1">
      <c r="B495" s="825"/>
      <c r="C495" s="825"/>
      <c r="D495" s="825"/>
      <c r="E495" s="825"/>
      <c r="F495" s="825"/>
      <c r="G495" s="825"/>
      <c r="H495" s="825"/>
      <c r="I495" s="825"/>
      <c r="O495" s="11"/>
      <c r="Q495" s="11"/>
    </row>
    <row r="496" spans="2:17" customFormat="1" ht="15.75" customHeight="1">
      <c r="B496" s="825"/>
      <c r="C496" s="825"/>
      <c r="D496" s="825"/>
      <c r="E496" s="825"/>
      <c r="F496" s="825"/>
      <c r="G496" s="825"/>
      <c r="H496" s="825"/>
      <c r="I496" s="825"/>
      <c r="O496" s="11"/>
      <c r="Q496" s="11"/>
    </row>
    <row r="497" spans="2:17" customFormat="1" ht="15.75" customHeight="1">
      <c r="B497" s="825"/>
      <c r="C497" s="825"/>
      <c r="D497" s="825"/>
      <c r="E497" s="825"/>
      <c r="F497" s="825"/>
      <c r="G497" s="825"/>
      <c r="H497" s="825"/>
      <c r="I497" s="825"/>
      <c r="O497" s="11"/>
      <c r="Q497" s="11"/>
    </row>
    <row r="498" spans="2:17" customFormat="1" ht="15.75" customHeight="1">
      <c r="B498" s="825"/>
      <c r="C498" s="825"/>
      <c r="D498" s="825"/>
      <c r="E498" s="825"/>
      <c r="F498" s="825"/>
      <c r="G498" s="825"/>
      <c r="H498" s="825"/>
      <c r="I498" s="825"/>
      <c r="O498" s="11"/>
      <c r="Q498" s="11"/>
    </row>
    <row r="499" spans="2:17" customFormat="1" ht="15.75" customHeight="1">
      <c r="B499" s="825"/>
      <c r="C499" s="825"/>
      <c r="D499" s="825"/>
      <c r="E499" s="825"/>
      <c r="F499" s="825"/>
      <c r="G499" s="825"/>
      <c r="H499" s="825"/>
      <c r="I499" s="825"/>
      <c r="O499" s="11"/>
      <c r="Q499" s="11"/>
    </row>
    <row r="500" spans="2:17" customFormat="1" ht="15.75" customHeight="1">
      <c r="B500" s="825"/>
      <c r="C500" s="825"/>
      <c r="D500" s="825"/>
      <c r="E500" s="825"/>
      <c r="F500" s="825"/>
      <c r="G500" s="825"/>
      <c r="H500" s="825"/>
      <c r="I500" s="825"/>
      <c r="O500" s="11"/>
      <c r="Q500" s="11"/>
    </row>
    <row r="501" spans="2:17" customFormat="1" ht="15.75" customHeight="1">
      <c r="B501" s="825"/>
      <c r="C501" s="825"/>
      <c r="D501" s="825"/>
      <c r="E501" s="825"/>
      <c r="F501" s="825"/>
      <c r="G501" s="825"/>
      <c r="H501" s="825"/>
      <c r="I501" s="825"/>
      <c r="O501" s="11"/>
      <c r="Q501" s="11"/>
    </row>
    <row r="502" spans="2:17" customFormat="1" ht="15.75" customHeight="1">
      <c r="B502" s="825"/>
      <c r="C502" s="825"/>
      <c r="D502" s="825"/>
      <c r="E502" s="825"/>
      <c r="F502" s="825"/>
      <c r="G502" s="825"/>
      <c r="H502" s="825"/>
      <c r="I502" s="825"/>
      <c r="O502" s="11"/>
      <c r="Q502" s="11"/>
    </row>
    <row r="503" spans="2:17" customFormat="1" ht="15.75" customHeight="1">
      <c r="B503" s="825"/>
      <c r="C503" s="825"/>
      <c r="D503" s="825"/>
      <c r="E503" s="825"/>
      <c r="F503" s="825"/>
      <c r="G503" s="825"/>
      <c r="H503" s="825"/>
      <c r="I503" s="825"/>
      <c r="O503" s="11"/>
      <c r="Q503" s="11"/>
    </row>
    <row r="504" spans="2:17" customFormat="1" ht="15.75" customHeight="1">
      <c r="B504" s="825"/>
      <c r="C504" s="825"/>
      <c r="D504" s="825"/>
      <c r="E504" s="825"/>
      <c r="F504" s="825"/>
      <c r="G504" s="825"/>
      <c r="H504" s="825"/>
      <c r="I504" s="825"/>
      <c r="O504" s="11"/>
      <c r="Q504" s="11"/>
    </row>
    <row r="505" spans="2:17" customFormat="1" ht="15.75" customHeight="1">
      <c r="B505" s="825"/>
      <c r="C505" s="825"/>
      <c r="D505" s="825"/>
      <c r="E505" s="825"/>
      <c r="F505" s="825"/>
      <c r="G505" s="825"/>
      <c r="H505" s="825"/>
      <c r="I505" s="825"/>
      <c r="O505" s="11"/>
      <c r="Q505" s="11"/>
    </row>
    <row r="506" spans="2:17" customFormat="1" ht="15.75" customHeight="1">
      <c r="B506" s="825"/>
      <c r="C506" s="825"/>
      <c r="D506" s="825"/>
      <c r="E506" s="825"/>
      <c r="F506" s="825"/>
      <c r="G506" s="825"/>
      <c r="H506" s="825"/>
      <c r="I506" s="825"/>
      <c r="O506" s="11"/>
      <c r="Q506" s="11"/>
    </row>
    <row r="507" spans="2:17" customFormat="1" ht="15.75" customHeight="1">
      <c r="B507" s="825"/>
      <c r="C507" s="825"/>
      <c r="D507" s="825"/>
      <c r="E507" s="825"/>
      <c r="F507" s="825"/>
      <c r="G507" s="825"/>
      <c r="H507" s="825"/>
      <c r="I507" s="825"/>
      <c r="O507" s="11"/>
      <c r="Q507" s="11"/>
    </row>
    <row r="508" spans="2:17" customFormat="1" ht="15.75" customHeight="1">
      <c r="B508" s="825"/>
      <c r="C508" s="825"/>
      <c r="D508" s="825"/>
      <c r="E508" s="825"/>
      <c r="F508" s="825"/>
      <c r="G508" s="825"/>
      <c r="H508" s="825"/>
      <c r="I508" s="825"/>
      <c r="O508" s="11"/>
      <c r="Q508" s="11"/>
    </row>
    <row r="509" spans="2:17" customFormat="1" ht="15.75" customHeight="1">
      <c r="B509" s="825"/>
      <c r="C509" s="825"/>
      <c r="D509" s="825"/>
      <c r="E509" s="825"/>
      <c r="F509" s="825"/>
      <c r="G509" s="825"/>
      <c r="H509" s="825"/>
      <c r="I509" s="825"/>
      <c r="O509" s="11"/>
      <c r="Q509" s="11"/>
    </row>
    <row r="510" spans="2:17" customFormat="1" ht="15.75" customHeight="1">
      <c r="B510" s="825"/>
      <c r="C510" s="825"/>
      <c r="D510" s="825"/>
      <c r="E510" s="825"/>
      <c r="F510" s="825"/>
      <c r="G510" s="825"/>
      <c r="H510" s="825"/>
      <c r="I510" s="825"/>
      <c r="O510" s="11"/>
      <c r="Q510" s="11"/>
    </row>
    <row r="511" spans="2:17" customFormat="1" ht="15.75" customHeight="1">
      <c r="B511" s="825"/>
      <c r="C511" s="825"/>
      <c r="D511" s="825"/>
      <c r="E511" s="825"/>
      <c r="F511" s="825"/>
      <c r="G511" s="825"/>
      <c r="H511" s="825"/>
      <c r="I511" s="825"/>
      <c r="O511" s="11"/>
      <c r="Q511" s="11"/>
    </row>
    <row r="512" spans="2:17" customFormat="1" ht="15.75" customHeight="1">
      <c r="B512" s="749"/>
      <c r="C512" s="749"/>
      <c r="D512" s="749"/>
      <c r="E512" s="749"/>
      <c r="F512" s="749"/>
      <c r="G512" s="749"/>
      <c r="H512" s="749"/>
      <c r="I512" s="749"/>
      <c r="O512" s="11"/>
      <c r="Q512" s="11"/>
    </row>
    <row r="513" spans="1:17" s="672" customFormat="1" ht="14.25">
      <c r="A513" s="672" t="s">
        <v>1663</v>
      </c>
      <c r="O513" s="674"/>
      <c r="Q513" s="674"/>
    </row>
    <row r="514" spans="1:17" s="672" customFormat="1" ht="14.25">
      <c r="B514" s="672" t="s">
        <v>1905</v>
      </c>
      <c r="O514" s="674"/>
      <c r="Q514" s="674"/>
    </row>
    <row r="517" spans="1:17">
      <c r="B517" s="672" t="s">
        <v>1645</v>
      </c>
      <c r="C517" s="672"/>
      <c r="D517" s="672"/>
      <c r="E517" s="672"/>
      <c r="F517" s="672"/>
      <c r="G517" s="1189">
        <f>+BALANZA!B4</f>
        <v>2026</v>
      </c>
      <c r="H517" s="672"/>
    </row>
    <row r="518" spans="1:17">
      <c r="B518" s="672" t="s">
        <v>1471</v>
      </c>
    </row>
    <row r="519" spans="1:17">
      <c r="B519" s="334" t="str">
        <f>+DE!B40</f>
        <v>SUELDOS A EMPLEADOS FIJOS</v>
      </c>
      <c r="E519" s="675"/>
      <c r="G519" s="675">
        <f ca="1">SUMIF(DE!$B$39:$C$221,B519,DE!$C$39:$C$221)</f>
        <v>37213166.670000002</v>
      </c>
      <c r="O519" s="675">
        <v>147032478</v>
      </c>
      <c r="P519" s="675">
        <f ca="1">+G519-O519</f>
        <v>-109819311.33</v>
      </c>
    </row>
    <row r="520" spans="1:17">
      <c r="B520" s="334" t="s">
        <v>4031</v>
      </c>
      <c r="E520" s="675"/>
      <c r="G520" s="675">
        <f ca="1">SUMIF(DE!$B$39:$C$221,B520,DE!$C$39:$C$221)</f>
        <v>30000</v>
      </c>
      <c r="P520" s="675"/>
    </row>
    <row r="521" spans="1:17">
      <c r="B521" s="334" t="s">
        <v>3775</v>
      </c>
      <c r="G521" s="675">
        <f ca="1">SUMIF(DE!$B$39:$C$221,B521,DE!$C$39:$C$221)</f>
        <v>614250</v>
      </c>
      <c r="O521" s="675">
        <v>0</v>
      </c>
      <c r="P521" s="675">
        <f t="shared" ref="P521:P541" ca="1" si="0">+G521-O521</f>
        <v>614250</v>
      </c>
    </row>
    <row r="522" spans="1:17">
      <c r="B522" s="334" t="s">
        <v>2251</v>
      </c>
      <c r="G522" s="675">
        <f ca="1">SUMIF(DE!$B$39:$C$221,B522,DE!$C$39:$C$221)</f>
        <v>0</v>
      </c>
      <c r="O522" s="675">
        <v>0</v>
      </c>
      <c r="P522" s="675">
        <f t="shared" ca="1" si="0"/>
        <v>0</v>
      </c>
    </row>
    <row r="523" spans="1:17">
      <c r="B523" s="334" t="s">
        <v>3904</v>
      </c>
      <c r="G523" s="675">
        <f ca="1">SUMIF(DE!$B$39:$C$221,B523,DE!$C$39:$C$221)</f>
        <v>331620.49</v>
      </c>
      <c r="O523" s="675">
        <v>0</v>
      </c>
      <c r="P523" s="675">
        <f t="shared" ca="1" si="0"/>
        <v>331620.49</v>
      </c>
    </row>
    <row r="524" spans="1:17">
      <c r="B524" s="334" t="s">
        <v>2394</v>
      </c>
      <c r="G524" s="675">
        <f ca="1">SUMIF(DE!$B$39:$C$221,B524,DE!$C$39:$C$221)</f>
        <v>155800</v>
      </c>
      <c r="O524" s="675">
        <v>12210081.5</v>
      </c>
      <c r="P524" s="675">
        <f t="shared" ca="1" si="0"/>
        <v>-12054281.5</v>
      </c>
    </row>
    <row r="525" spans="1:17">
      <c r="B525" s="334" t="s">
        <v>4260</v>
      </c>
      <c r="G525" s="675">
        <f ca="1">SUMIF(DE!$B$39:$C$221,B525,DE!$C$39:$C$221)</f>
        <v>257840</v>
      </c>
      <c r="O525" s="675">
        <v>0</v>
      </c>
      <c r="P525" s="675">
        <f t="shared" ca="1" si="0"/>
        <v>257840</v>
      </c>
    </row>
    <row r="526" spans="1:17">
      <c r="B526" s="27" t="s">
        <v>2308</v>
      </c>
      <c r="G526" s="675">
        <f ca="1">SUMIF(DE!$B$39:$C$221,B526,DE!$C$39:$C$221)</f>
        <v>0</v>
      </c>
      <c r="O526" s="675">
        <v>1193947.54</v>
      </c>
      <c r="P526" s="675">
        <f t="shared" ca="1" si="0"/>
        <v>-1193947.54</v>
      </c>
    </row>
    <row r="527" spans="1:17">
      <c r="B527" s="27" t="s">
        <v>4193</v>
      </c>
      <c r="G527" s="675">
        <f ca="1">SUMIF(DE!$B$39:$C$221,B527,DE!$C$39:$C$221)</f>
        <v>0</v>
      </c>
      <c r="P527" s="675"/>
    </row>
    <row r="528" spans="1:17">
      <c r="B528" s="334" t="s">
        <v>2253</v>
      </c>
      <c r="G528" s="675">
        <f ca="1">SUMIF(DE!$B$39:$C$221,B528,DE!$C$39:$C$221)</f>
        <v>0</v>
      </c>
      <c r="O528" s="675">
        <v>246350.61</v>
      </c>
      <c r="P528" s="675">
        <f t="shared" ca="1" si="0"/>
        <v>-246350.61</v>
      </c>
    </row>
    <row r="529" spans="2:16">
      <c r="B529" s="334" t="s">
        <v>3995</v>
      </c>
      <c r="G529" s="675">
        <f ca="1">SUMIF(DE!$B$39:$C$221,B529,DE!$C$39:$C$221)</f>
        <v>0</v>
      </c>
      <c r="O529" s="675">
        <v>0</v>
      </c>
      <c r="P529" s="675">
        <f t="shared" ca="1" si="0"/>
        <v>0</v>
      </c>
    </row>
    <row r="530" spans="2:16">
      <c r="B530" s="334" t="s">
        <v>2254</v>
      </c>
      <c r="G530" s="675">
        <f ca="1">SUMIF(DE!$B$39:$C$221,B530,DE!$C$39:$C$221)</f>
        <v>1642410</v>
      </c>
      <c r="O530" s="675">
        <v>6744644.2800000003</v>
      </c>
      <c r="P530" s="675">
        <f t="shared" ca="1" si="0"/>
        <v>-5102234.28</v>
      </c>
    </row>
    <row r="531" spans="2:16">
      <c r="B531" s="334" t="s">
        <v>2255</v>
      </c>
      <c r="G531" s="675">
        <f ca="1">SUMIF(DE!$B$39:$C$221,B531,DE!$C$39:$C$221)</f>
        <v>0</v>
      </c>
      <c r="O531" s="675">
        <v>0</v>
      </c>
      <c r="P531" s="675">
        <f t="shared" ca="1" si="0"/>
        <v>0</v>
      </c>
    </row>
    <row r="532" spans="2:16">
      <c r="B532" s="334" t="s">
        <v>3803</v>
      </c>
      <c r="G532" s="675">
        <f ca="1">SUMIF(DE!$B$39:$C$221,B532,DE!$C$39:$C$221)</f>
        <v>357105</v>
      </c>
      <c r="O532" s="675">
        <v>1268665</v>
      </c>
      <c r="P532" s="675">
        <f t="shared" ca="1" si="0"/>
        <v>-911560</v>
      </c>
    </row>
    <row r="533" spans="2:16">
      <c r="B533" s="334" t="s">
        <v>2860</v>
      </c>
      <c r="G533" s="675">
        <f ca="1">SUMIF(DE!$B$39:$C$221,B533,DE!$C$39:$C$221)</f>
        <v>0</v>
      </c>
      <c r="O533" s="675">
        <v>0</v>
      </c>
      <c r="P533" s="675">
        <f t="shared" ca="1" si="0"/>
        <v>0</v>
      </c>
    </row>
    <row r="534" spans="2:16">
      <c r="B534" s="334" t="s">
        <v>2368</v>
      </c>
      <c r="G534" s="675">
        <f ca="1">SUMIF(DE!$B$39:$C$221,B534,DE!$C$39:$C$221)</f>
        <v>0</v>
      </c>
      <c r="O534" s="675">
        <v>0</v>
      </c>
      <c r="P534" s="675">
        <f t="shared" ca="1" si="0"/>
        <v>0</v>
      </c>
    </row>
    <row r="535" spans="2:16">
      <c r="B535" s="334" t="s">
        <v>2256</v>
      </c>
      <c r="G535" s="675">
        <f ca="1">SUMIF(DE!$B$39:$C$221,B535,DE!$C$39:$C$221)</f>
        <v>430000</v>
      </c>
      <c r="O535" s="675">
        <v>2970000</v>
      </c>
      <c r="P535" s="675">
        <f t="shared" ca="1" si="0"/>
        <v>-2540000</v>
      </c>
    </row>
    <row r="536" spans="2:16">
      <c r="B536" s="334" t="s">
        <v>2257</v>
      </c>
      <c r="G536" s="675">
        <f ca="1">SUMIF(DE!$B$39:$C$221,B536,DE!$C$39:$C$221)</f>
        <v>0</v>
      </c>
      <c r="O536" s="675">
        <v>0</v>
      </c>
      <c r="P536" s="675">
        <f t="shared" ca="1" si="0"/>
        <v>0</v>
      </c>
    </row>
    <row r="537" spans="2:16">
      <c r="B537" s="334" t="s">
        <v>2258</v>
      </c>
      <c r="G537" s="675">
        <f ca="1">SUMIF(DE!$B$39:$C$221,B537,DE!$C$39:$C$221)</f>
        <v>0</v>
      </c>
      <c r="O537" s="675">
        <v>0</v>
      </c>
      <c r="P537" s="675">
        <f t="shared" ca="1" si="0"/>
        <v>0</v>
      </c>
    </row>
    <row r="538" spans="2:16">
      <c r="B538" s="334" t="s">
        <v>2260</v>
      </c>
      <c r="G538" s="675">
        <f ca="1">SUMIF(DE!$B$39:$C$221,B538,DE!$C$39:$C$221)</f>
        <v>0</v>
      </c>
      <c r="O538" s="675">
        <v>0</v>
      </c>
      <c r="P538" s="675">
        <f t="shared" ca="1" si="0"/>
        <v>0</v>
      </c>
    </row>
    <row r="539" spans="2:16">
      <c r="B539" s="334" t="s">
        <v>2261</v>
      </c>
      <c r="G539" s="675">
        <f ca="1">SUMIF(DE!$B$39:$C$221,B539,DE!$C$39:$C$221)</f>
        <v>2650100.36</v>
      </c>
      <c r="O539" s="675">
        <v>10441384.41</v>
      </c>
      <c r="P539" s="675">
        <f t="shared" ca="1" si="0"/>
        <v>-7791284.0500000007</v>
      </c>
    </row>
    <row r="540" spans="2:16">
      <c r="B540" s="334" t="s">
        <v>2262</v>
      </c>
      <c r="G540" s="675">
        <f ca="1">SUMIF(DE!$B$39:$C$221,B540,DE!$C$39:$C$221)</f>
        <v>2700676.93</v>
      </c>
      <c r="O540" s="675">
        <v>9082546.6699999999</v>
      </c>
      <c r="P540" s="675">
        <f t="shared" ca="1" si="0"/>
        <v>-6381869.7400000002</v>
      </c>
    </row>
    <row r="541" spans="2:16">
      <c r="B541" s="334" t="s">
        <v>2263</v>
      </c>
      <c r="G541" s="675">
        <f ca="1">SUMIF(DE!$B$39:$C$221,B541,DE!$C$39:$C$221)</f>
        <v>437355</v>
      </c>
      <c r="O541" s="675">
        <v>3129349.7600000002</v>
      </c>
      <c r="P541" s="675">
        <f t="shared" ca="1" si="0"/>
        <v>-2691994.7600000002</v>
      </c>
    </row>
    <row r="542" spans="2:16">
      <c r="G542" s="675"/>
    </row>
    <row r="543" spans="2:16">
      <c r="B543" s="672" t="s">
        <v>1904</v>
      </c>
      <c r="G543" s="674">
        <f ca="1">SUM(G519:G542)</f>
        <v>46820324.450000003</v>
      </c>
    </row>
    <row r="573" spans="1:7">
      <c r="A573" s="672"/>
    </row>
    <row r="574" spans="1:7">
      <c r="B574" s="672" t="s">
        <v>1906</v>
      </c>
    </row>
    <row r="576" spans="1:7">
      <c r="B576" s="672" t="s">
        <v>1645</v>
      </c>
      <c r="C576" s="672"/>
      <c r="D576" s="672"/>
      <c r="E576" s="672"/>
      <c r="F576" s="672"/>
      <c r="G576" s="1189">
        <f>+G640</f>
        <v>2026</v>
      </c>
    </row>
    <row r="577" spans="1:20">
      <c r="B577" s="672" t="s">
        <v>1472</v>
      </c>
    </row>
    <row r="578" spans="1:20">
      <c r="B578" s="334" t="s">
        <v>2265</v>
      </c>
      <c r="E578" s="675"/>
      <c r="G578" s="675">
        <f ca="1">SUMIF(DE!$B$39:$C$221,B578,DE!$C$39:$C$221)</f>
        <v>460724.08</v>
      </c>
      <c r="I578" s="675"/>
      <c r="O578" s="675">
        <v>300223.8</v>
      </c>
      <c r="P578" s="675"/>
      <c r="R578" s="675"/>
    </row>
    <row r="579" spans="1:20">
      <c r="B579" s="334" t="s">
        <v>2266</v>
      </c>
      <c r="E579" s="675"/>
      <c r="G579" s="675">
        <f ca="1">SUMIF(DE!$B$39:$C$221,B579,DE!$C$39:$C$221)</f>
        <v>230191</v>
      </c>
      <c r="I579" s="675"/>
      <c r="O579" s="675">
        <v>153269.20000000001</v>
      </c>
      <c r="P579" s="675"/>
      <c r="R579" s="675"/>
    </row>
    <row r="580" spans="1:20">
      <c r="B580" s="334" t="s">
        <v>2270</v>
      </c>
      <c r="G580" s="675">
        <f ca="1">SUMIF(DE!$B$39:$C$221,B580,DE!$C$39:$C$221)</f>
        <v>77085.11</v>
      </c>
      <c r="I580" s="675"/>
      <c r="O580" s="675">
        <v>51687.7</v>
      </c>
      <c r="P580" s="675"/>
      <c r="R580" s="675"/>
    </row>
    <row r="581" spans="1:20">
      <c r="A581" s="334" t="s">
        <v>2011</v>
      </c>
      <c r="B581" s="334" t="s">
        <v>2887</v>
      </c>
      <c r="G581" s="675">
        <f ca="1">SUMIF(DE!$B$39:$C$221,B581,DE!$C$39:$C$221)</f>
        <v>14880572.050000001</v>
      </c>
      <c r="I581" s="675"/>
      <c r="O581" s="675">
        <v>10063567.270000001</v>
      </c>
      <c r="P581" s="675"/>
      <c r="R581" s="675"/>
    </row>
    <row r="582" spans="1:20">
      <c r="B582" s="334" t="s">
        <v>2271</v>
      </c>
      <c r="G582" s="675">
        <f ca="1">SUMIF(DE!$B$39:$C$221,B582,DE!$C$39:$C$221)</f>
        <v>0</v>
      </c>
      <c r="I582" s="675"/>
      <c r="O582" s="918">
        <v>82162.5</v>
      </c>
      <c r="P582" s="675"/>
      <c r="R582" s="675"/>
    </row>
    <row r="583" spans="1:20">
      <c r="B583" s="334" t="s">
        <v>4277</v>
      </c>
      <c r="G583" s="675">
        <f ca="1">SUMIF(DE!$B$39:$C$221,B583,DE!$C$39:$C$221)</f>
        <v>354</v>
      </c>
      <c r="I583" s="675"/>
      <c r="P583" s="675"/>
      <c r="R583" s="675"/>
    </row>
    <row r="584" spans="1:20">
      <c r="B584" s="334" t="s">
        <v>2274</v>
      </c>
      <c r="G584" s="675">
        <f ca="1">SUMIF(DE!$B$39:$C$221,B584,DE!$C$39:$C$221)</f>
        <v>594499.5</v>
      </c>
      <c r="I584" s="675"/>
      <c r="P584" s="675"/>
      <c r="R584" s="675"/>
    </row>
    <row r="585" spans="1:20">
      <c r="B585" s="334" t="s">
        <v>2276</v>
      </c>
      <c r="G585" s="675">
        <f ca="1">SUMIF(DE!$B$39:$C$221,B585,DE!$C$39:$C$221)</f>
        <v>2200</v>
      </c>
      <c r="I585" s="675"/>
      <c r="O585" s="675">
        <v>45048.24</v>
      </c>
      <c r="P585" s="675"/>
      <c r="R585" s="675"/>
    </row>
    <row r="586" spans="1:20">
      <c r="B586" s="334" t="s">
        <v>2277</v>
      </c>
      <c r="G586" s="675">
        <f ca="1">SUMIF(DE!$B$39:$C$221,B586,DE!$C$39:$C$221)</f>
        <v>0</v>
      </c>
      <c r="I586" s="675"/>
      <c r="O586" s="675">
        <v>-707466.25</v>
      </c>
      <c r="P586" s="675"/>
      <c r="R586" s="675"/>
    </row>
    <row r="587" spans="1:20">
      <c r="B587" s="334" t="s">
        <v>2278</v>
      </c>
      <c r="G587" s="675">
        <f ca="1">SUMIF(DE!$B$39:$C$221,B587,DE!$C$39:$C$221)</f>
        <v>0</v>
      </c>
      <c r="I587" s="675"/>
      <c r="O587" s="675">
        <v>4630</v>
      </c>
      <c r="P587" s="675"/>
      <c r="R587" s="675"/>
    </row>
    <row r="588" spans="1:20">
      <c r="B588" s="334" t="s">
        <v>2343</v>
      </c>
      <c r="G588" s="675">
        <f ca="1">SUMIF(DE!$B$39:$C$221,B588,DE!$C$39:$C$221)</f>
        <v>0</v>
      </c>
      <c r="I588" s="675"/>
      <c r="O588" s="675">
        <v>101376.29</v>
      </c>
      <c r="P588" s="675"/>
      <c r="R588" s="675"/>
    </row>
    <row r="589" spans="1:20">
      <c r="B589" s="334" t="s">
        <v>2279</v>
      </c>
      <c r="G589" s="675">
        <f ca="1">SUMIF(DE!$B$39:$C$221,B589,DE!$C$39:$C$221)</f>
        <v>0</v>
      </c>
      <c r="P589" s="675"/>
      <c r="R589" s="675"/>
    </row>
    <row r="590" spans="1:20">
      <c r="B590" s="334" t="s">
        <v>2281</v>
      </c>
      <c r="G590" s="675">
        <f ca="1">SUMIF(DE!$B$39:$C$221,B590,DE!$C$39:$C$221)</f>
        <v>0</v>
      </c>
      <c r="I590" s="675"/>
      <c r="P590" s="675"/>
      <c r="R590" s="675"/>
    </row>
    <row r="591" spans="1:20">
      <c r="B591" s="334" t="s">
        <v>4035</v>
      </c>
      <c r="G591" s="675">
        <f ca="1">SUMIF(DE!$B$39:$C$221,B591,DE!$C$39:$C$221)</f>
        <v>0</v>
      </c>
      <c r="I591" s="675"/>
      <c r="P591" s="675"/>
      <c r="R591" s="675"/>
    </row>
    <row r="592" spans="1:20">
      <c r="B592" s="334" t="s">
        <v>4027</v>
      </c>
      <c r="G592" s="675">
        <f ca="1">SUMIF(DE!$B$39:$C$221,B592,DE!$C$39:$C$221)</f>
        <v>0</v>
      </c>
      <c r="I592" s="675"/>
      <c r="P592" s="675"/>
      <c r="R592" s="675"/>
      <c r="T592" s="675"/>
    </row>
    <row r="593" spans="2:18">
      <c r="B593" s="334" t="s">
        <v>3849</v>
      </c>
      <c r="G593" s="675">
        <f ca="1">SUMIF(DE!$B$39:$C$221,B593,DE!$C$39:$C$221)</f>
        <v>45048.24</v>
      </c>
      <c r="I593" s="675"/>
      <c r="P593" s="675"/>
      <c r="R593" s="675"/>
    </row>
    <row r="594" spans="2:18">
      <c r="B594" s="334" t="s">
        <v>2282</v>
      </c>
      <c r="G594" s="675">
        <f ca="1">SUMIF(DE!$B$39:$C$221,B594,DE!$C$39:$C$221)</f>
        <v>0</v>
      </c>
      <c r="I594" s="675"/>
      <c r="P594" s="675"/>
      <c r="R594" s="675"/>
    </row>
    <row r="595" spans="2:18">
      <c r="B595" s="334" t="s">
        <v>2283</v>
      </c>
      <c r="G595" s="675">
        <f ca="1">SUMIF(DE!$B$39:$C$221,B595,DE!$C$39:$C$221)</f>
        <v>1543966.7400000002</v>
      </c>
      <c r="I595" s="675"/>
      <c r="O595" s="675">
        <v>2850</v>
      </c>
      <c r="P595" s="675"/>
      <c r="R595" s="675"/>
    </row>
    <row r="596" spans="2:18">
      <c r="B596" s="334" t="s">
        <v>2852</v>
      </c>
      <c r="G596" s="675">
        <f ca="1">SUMIF(DE!$B$39:$C$221,B596,DE!$C$39:$C$221)</f>
        <v>0</v>
      </c>
      <c r="I596" s="675"/>
      <c r="O596" s="675">
        <v>4500</v>
      </c>
      <c r="P596" s="675"/>
      <c r="R596" s="675"/>
    </row>
    <row r="597" spans="2:18">
      <c r="B597" s="334" t="s">
        <v>2285</v>
      </c>
      <c r="G597" s="675">
        <f ca="1">SUMIF(DE!$B$39:$C$221,B597,DE!$C$39:$C$221)</f>
        <v>0</v>
      </c>
      <c r="I597" s="675"/>
      <c r="O597" s="675">
        <v>44847.95</v>
      </c>
      <c r="P597" s="675"/>
      <c r="R597" s="675"/>
    </row>
    <row r="598" spans="2:18">
      <c r="B598" s="334" t="s">
        <v>2286</v>
      </c>
      <c r="G598" s="675">
        <f ca="1">SUMIF(DE!$B$39:$C$221,B598,DE!$C$39:$C$221)</f>
        <v>0</v>
      </c>
      <c r="I598" s="675"/>
      <c r="O598" s="675">
        <v>708371.25</v>
      </c>
      <c r="P598" s="675"/>
      <c r="R598" s="675"/>
    </row>
    <row r="599" spans="2:18">
      <c r="B599" s="334" t="s">
        <v>2287</v>
      </c>
      <c r="G599" s="675">
        <f ca="1">SUMIF(DE!$B$39:$C$221,B599,DE!$C$39:$C$221)</f>
        <v>207205</v>
      </c>
      <c r="I599" s="675"/>
      <c r="O599" s="675">
        <v>7815</v>
      </c>
      <c r="P599" s="675"/>
      <c r="R599" s="675"/>
    </row>
    <row r="600" spans="2:18">
      <c r="B600" s="334" t="s">
        <v>4246</v>
      </c>
      <c r="G600" s="675">
        <f ca="1">SUMIF(DE!$B$39:$C$221,B600,DE!$C$39:$C$221)</f>
        <v>177987.98</v>
      </c>
      <c r="I600" s="675"/>
      <c r="O600" s="675">
        <v>4625</v>
      </c>
      <c r="P600" s="675"/>
      <c r="R600" s="675"/>
    </row>
    <row r="601" spans="2:18">
      <c r="B601" s="334" t="s">
        <v>2369</v>
      </c>
      <c r="G601" s="675">
        <f ca="1">SUMIF(DE!$B$39:$C$221,B601,DE!$C$39:$C$221)</f>
        <v>0</v>
      </c>
      <c r="I601" s="675"/>
      <c r="P601" s="675"/>
      <c r="R601" s="675"/>
    </row>
    <row r="602" spans="2:18">
      <c r="B602" s="334" t="s">
        <v>2344</v>
      </c>
      <c r="G602" s="675">
        <f ca="1">SUMIF(DE!$B$39:$C$221,B602,DE!$C$39:$C$221)</f>
        <v>1000</v>
      </c>
      <c r="I602" s="675"/>
      <c r="O602" s="675">
        <v>1000</v>
      </c>
      <c r="P602" s="675"/>
      <c r="R602" s="675"/>
    </row>
    <row r="603" spans="2:18">
      <c r="B603" s="334" t="s">
        <v>2289</v>
      </c>
      <c r="G603" s="675">
        <f ca="1">SUMIF(DE!$B$39:$C$221,B603,DE!$C$39:$C$221)</f>
        <v>4573.25</v>
      </c>
      <c r="I603" s="675"/>
      <c r="O603" s="675">
        <v>2855.45</v>
      </c>
      <c r="P603" s="675"/>
      <c r="R603" s="675"/>
    </row>
    <row r="604" spans="2:18">
      <c r="B604" s="334" t="s">
        <v>2290</v>
      </c>
      <c r="G604" s="675">
        <f ca="1">SUMIF(DE!$B$39:$C$221,B604,DE!$C$39:$C$221)</f>
        <v>0</v>
      </c>
      <c r="I604" s="675"/>
      <c r="P604" s="675"/>
      <c r="R604" s="675"/>
    </row>
    <row r="605" spans="2:18">
      <c r="B605" s="334" t="s">
        <v>3933</v>
      </c>
      <c r="G605" s="675">
        <f ca="1">SUMIF(DE!$B$39:$C$221,B605,DE!$C$39:$C$221)</f>
        <v>203388</v>
      </c>
      <c r="I605" s="675"/>
      <c r="P605" s="675"/>
      <c r="R605" s="675"/>
    </row>
    <row r="606" spans="2:18">
      <c r="B606" s="334" t="s">
        <v>2293</v>
      </c>
      <c r="G606" s="675">
        <f ca="1">SUMIF(DE!$B$39:$C$221,B606,DE!$C$39:$C$221)</f>
        <v>0</v>
      </c>
      <c r="I606" s="675"/>
      <c r="O606" s="675">
        <v>88925.66</v>
      </c>
      <c r="P606" s="675"/>
      <c r="R606" s="675"/>
    </row>
    <row r="607" spans="2:18">
      <c r="B607" s="334" t="s">
        <v>2064</v>
      </c>
      <c r="G607" s="675">
        <f ca="1">SUMIF(DE!$B$39:$C$221,B607,DE!$C$39:$C$221)</f>
        <v>637263.72</v>
      </c>
      <c r="I607" s="675"/>
      <c r="O607" s="675">
        <v>12130</v>
      </c>
      <c r="P607" s="675"/>
      <c r="R607" s="675"/>
    </row>
    <row r="608" spans="2:18">
      <c r="B608" s="334" t="s">
        <v>3887</v>
      </c>
      <c r="G608" s="675">
        <f ca="1">SUMIF(DE!$B$39:$C$221,B608,DE!$C$39:$C$221)</f>
        <v>0</v>
      </c>
      <c r="I608" s="675"/>
      <c r="O608" s="675">
        <v>2051.4</v>
      </c>
      <c r="P608" s="675"/>
      <c r="R608" s="675"/>
    </row>
    <row r="609" spans="2:20">
      <c r="B609" s="334" t="s">
        <v>2345</v>
      </c>
      <c r="G609" s="675">
        <f ca="1">SUMIF(DE!$B$39:$C$221,B609,DE!$C$39:$C$221)</f>
        <v>0</v>
      </c>
      <c r="I609" s="675"/>
      <c r="O609" s="675">
        <v>39850</v>
      </c>
      <c r="P609" s="675"/>
      <c r="R609" s="675"/>
    </row>
    <row r="610" spans="2:20">
      <c r="G610" s="675"/>
      <c r="P610" s="675"/>
      <c r="R610" s="675"/>
    </row>
    <row r="611" spans="2:20">
      <c r="G611" s="675"/>
      <c r="P611" s="675"/>
      <c r="R611" s="675"/>
    </row>
    <row r="612" spans="2:20">
      <c r="G612" s="675"/>
      <c r="I612" s="675"/>
      <c r="P612" s="675"/>
    </row>
    <row r="613" spans="2:20">
      <c r="G613" s="675"/>
      <c r="I613" s="675"/>
      <c r="P613" s="675"/>
      <c r="T613" s="675"/>
    </row>
    <row r="614" spans="2:20">
      <c r="G614" s="675"/>
      <c r="P614" s="675"/>
      <c r="T614" s="675"/>
    </row>
    <row r="615" spans="2:20">
      <c r="G615" s="675"/>
    </row>
    <row r="616" spans="2:20">
      <c r="G616" s="675"/>
    </row>
    <row r="617" spans="2:20">
      <c r="B617" s="672" t="s">
        <v>1171</v>
      </c>
      <c r="G617" s="674">
        <f ca="1">SUM(G578:G616)</f>
        <v>19066058.669999998</v>
      </c>
    </row>
    <row r="634" spans="2:19">
      <c r="O634" s="674"/>
    </row>
    <row r="637" spans="2:19">
      <c r="P637" s="672"/>
      <c r="Q637" s="674"/>
      <c r="R637" s="672"/>
      <c r="S637" s="672"/>
    </row>
    <row r="638" spans="2:19" s="672" customFormat="1">
      <c r="B638" s="672" t="s">
        <v>1721</v>
      </c>
      <c r="O638" s="675"/>
      <c r="P638" s="334"/>
      <c r="Q638" s="675"/>
      <c r="R638" s="334"/>
      <c r="S638" s="334"/>
    </row>
    <row r="640" spans="2:19">
      <c r="B640" s="672" t="s">
        <v>1645</v>
      </c>
      <c r="C640" s="672"/>
      <c r="D640" s="672"/>
      <c r="E640" s="672"/>
      <c r="F640" s="672"/>
      <c r="G640" s="1189">
        <f>+G689</f>
        <v>2026</v>
      </c>
    </row>
    <row r="641" spans="2:16">
      <c r="B641" s="672" t="s">
        <v>1722</v>
      </c>
    </row>
    <row r="642" spans="2:16">
      <c r="B642" s="334" t="s">
        <v>2227</v>
      </c>
      <c r="G642" s="675">
        <f ca="1">SUMIF(DE!$B$39:$C$221,B642,DE!$C$39:$C$221)</f>
        <v>35010</v>
      </c>
      <c r="L642" s="334">
        <v>498461.21</v>
      </c>
      <c r="M642" s="675">
        <f ca="1">+G642-L642</f>
        <v>-463451.21</v>
      </c>
      <c r="O642" s="675">
        <v>12130</v>
      </c>
      <c r="P642" s="675"/>
    </row>
    <row r="643" spans="2:16">
      <c r="B643" s="334" t="s">
        <v>3926</v>
      </c>
      <c r="G643" s="675">
        <f ca="1">SUMIF(DE!$B$39:$C$221,B643,DE!$C$39:$C$221)</f>
        <v>1191000</v>
      </c>
      <c r="L643" s="334">
        <v>7200</v>
      </c>
      <c r="M643" s="675">
        <f ca="1">+G644-L643</f>
        <v>-5148.6000000000004</v>
      </c>
      <c r="O643" s="334">
        <v>2051.4</v>
      </c>
      <c r="P643" s="675"/>
    </row>
    <row r="644" spans="2:16">
      <c r="B644" s="334" t="s">
        <v>2295</v>
      </c>
      <c r="G644" s="675">
        <f ca="1">SUMIF(DE!$B$39:$C$221,B644,DE!$C$39:$C$221)</f>
        <v>2051.4</v>
      </c>
      <c r="L644" s="334">
        <v>918479.2</v>
      </c>
      <c r="M644" s="675">
        <f ca="1">+G645-L644</f>
        <v>-918479.2</v>
      </c>
      <c r="O644" s="675">
        <v>39850</v>
      </c>
      <c r="P644" s="675"/>
    </row>
    <row r="645" spans="2:16">
      <c r="B645" s="334" t="s">
        <v>4005</v>
      </c>
      <c r="G645" s="675">
        <f ca="1">SUMIF(DE!$B$39:$C$221,B645,DE!$C$39:$C$221)</f>
        <v>0</v>
      </c>
      <c r="L645" s="334">
        <v>7994211.7300000004</v>
      </c>
      <c r="M645" s="675">
        <f ca="1">+G646-L645</f>
        <v>-7994211.7300000004</v>
      </c>
      <c r="O645" s="675">
        <v>2850</v>
      </c>
      <c r="P645" s="675"/>
    </row>
    <row r="646" spans="2:16">
      <c r="B646" s="334" t="s">
        <v>3959</v>
      </c>
      <c r="G646" s="675">
        <f ca="1">SUMIF(DE!$B$39:$C$221,B646,DE!$C$39:$C$221)</f>
        <v>0</v>
      </c>
      <c r="L646" s="334">
        <v>51075</v>
      </c>
      <c r="M646" s="675">
        <f ca="1">+G651-L646</f>
        <v>-51075</v>
      </c>
      <c r="O646" s="334">
        <v>4500</v>
      </c>
      <c r="P646" s="675"/>
    </row>
    <row r="647" spans="2:16">
      <c r="B647" s="334" t="s">
        <v>4267</v>
      </c>
      <c r="G647" s="675">
        <f ca="1">SUMIF(DE!$B$39:$C$221,B647,DE!$C$39:$C$221)</f>
        <v>39850</v>
      </c>
      <c r="M647" s="675"/>
      <c r="O647" s="675">
        <v>44847.95</v>
      </c>
      <c r="P647" s="675"/>
    </row>
    <row r="648" spans="2:16">
      <c r="B648" s="334" t="s">
        <v>4209</v>
      </c>
      <c r="G648" s="675">
        <f ca="1">SUMIF(DE!$B$39:$C$221,B648,DE!$C$39:$C$221)</f>
        <v>0</v>
      </c>
      <c r="M648" s="675"/>
      <c r="O648" s="675">
        <v>708371.25</v>
      </c>
      <c r="P648" s="675"/>
    </row>
    <row r="649" spans="2:16">
      <c r="B649" s="334" t="s">
        <v>3935</v>
      </c>
      <c r="G649" s="675">
        <f ca="1">SUMIF(DE!$B$39:$C$221,B649,DE!$C$39:$C$221)</f>
        <v>0</v>
      </c>
      <c r="M649" s="675"/>
      <c r="O649" s="675">
        <v>7815</v>
      </c>
      <c r="P649" s="675"/>
    </row>
    <row r="650" spans="2:16">
      <c r="B650" s="334" t="s">
        <v>4278</v>
      </c>
      <c r="G650" s="675">
        <f ca="1">SUMIF(DE!$B$39:$C$221,B650,DE!$C$39:$C$221)</f>
        <v>3300</v>
      </c>
      <c r="M650" s="675"/>
      <c r="O650" s="334">
        <v>4625</v>
      </c>
      <c r="P650" s="675"/>
    </row>
    <row r="651" spans="2:16">
      <c r="B651" s="334" t="s">
        <v>3885</v>
      </c>
      <c r="D651" s="334" t="s">
        <v>4029</v>
      </c>
      <c r="G651" s="675">
        <f ca="1">SUMIF(DE!$B$39:$C$221,B651,DE!$C$39:$C$221)</f>
        <v>0</v>
      </c>
      <c r="M651" s="675"/>
    </row>
    <row r="652" spans="2:16">
      <c r="B652" s="334" t="s">
        <v>2797</v>
      </c>
      <c r="G652" s="675">
        <f ca="1">SUMIF(DE!$B$39:$C$221,B652,DE!$C$39:$C$221)</f>
        <v>0</v>
      </c>
      <c r="L652" s="334">
        <v>4667123.6100000003</v>
      </c>
      <c r="M652" s="675">
        <f ca="1">+G653-L652</f>
        <v>-4667123.6100000003</v>
      </c>
      <c r="P652" s="675"/>
    </row>
    <row r="653" spans="2:16">
      <c r="B653" s="334" t="s">
        <v>3948</v>
      </c>
      <c r="G653" s="675">
        <f ca="1">SUMIF(DE!$B$39:$C$221,B653,DE!$C$39:$C$221)</f>
        <v>0</v>
      </c>
      <c r="M653" s="675"/>
      <c r="P653" s="675"/>
    </row>
    <row r="654" spans="2:16">
      <c r="B654" s="334" t="s">
        <v>3905</v>
      </c>
      <c r="G654" s="675">
        <f ca="1">SUMIF(DE!$B$39:$C$221,B654,DE!$C$39:$C$221)</f>
        <v>0</v>
      </c>
      <c r="M654" s="675"/>
      <c r="P654" s="675"/>
    </row>
    <row r="655" spans="2:16">
      <c r="B655" s="334" t="s">
        <v>3855</v>
      </c>
      <c r="G655" s="675">
        <f ca="1">SUMIF(DE!$B$39:$C$221,B655,DE!$C$39:$C$221)</f>
        <v>4998.54</v>
      </c>
      <c r="L655" s="334">
        <v>15076</v>
      </c>
      <c r="M655" s="675">
        <f ca="1">+G657-L655</f>
        <v>-14455.38</v>
      </c>
      <c r="O655" s="334"/>
      <c r="P655" s="675"/>
    </row>
    <row r="656" spans="2:16">
      <c r="B656" s="334" t="s">
        <v>4268</v>
      </c>
      <c r="G656" s="675">
        <f ca="1">SUMIF(DE!$B$39:$C$221,B656,DE!$C$39:$C$221)</f>
        <v>44847.95</v>
      </c>
      <c r="M656" s="675"/>
      <c r="P656" s="675"/>
    </row>
    <row r="657" spans="2:18">
      <c r="B657" s="334" t="s">
        <v>3929</v>
      </c>
      <c r="G657" s="675">
        <f ca="1">SUMIF(DE!$B$39:$C$221,B657,DE!$C$39:$C$221)</f>
        <v>620.62</v>
      </c>
      <c r="L657" s="334">
        <v>90442.5</v>
      </c>
      <c r="M657" s="675">
        <f ca="1">+G659-L657</f>
        <v>-85817.5</v>
      </c>
      <c r="P657" s="675"/>
    </row>
    <row r="658" spans="2:18">
      <c r="B658" s="334" t="s">
        <v>3993</v>
      </c>
      <c r="G658" s="675">
        <f ca="1">SUMIF(DE!$B$39:$C$221,B658,DE!$C$39:$C$221)</f>
        <v>0</v>
      </c>
      <c r="M658" s="675"/>
      <c r="P658" s="675"/>
    </row>
    <row r="659" spans="2:18">
      <c r="B659" s="334" t="s">
        <v>4269</v>
      </c>
      <c r="G659" s="675">
        <f ca="1">SUMIF(DE!$B$39:$C$221,B659,DE!$C$39:$C$221)</f>
        <v>4625</v>
      </c>
      <c r="L659" s="334">
        <v>7119.6</v>
      </c>
      <c r="M659" s="675">
        <f ca="1">+G660-L659</f>
        <v>992380.4</v>
      </c>
      <c r="N659" s="334">
        <v>8224.7000000000007</v>
      </c>
    </row>
    <row r="660" spans="2:18">
      <c r="B660" s="334" t="s">
        <v>2298</v>
      </c>
      <c r="G660" s="675">
        <f ca="1">SUMIF(DE!$B$39:$C$221,B660,DE!$C$39:$C$221)</f>
        <v>999500</v>
      </c>
      <c r="M660" s="675"/>
      <c r="O660" s="334"/>
      <c r="P660" s="675"/>
    </row>
    <row r="661" spans="2:18">
      <c r="B661" s="334" t="s">
        <v>2299</v>
      </c>
      <c r="G661" s="675">
        <f ca="1">SUMIF(DE!$B$39:$C$221,B661,DE!$C$39:$C$221)</f>
        <v>1074000</v>
      </c>
      <c r="L661" s="334">
        <v>164734</v>
      </c>
      <c r="M661" s="675">
        <f ca="1">+G662-L661</f>
        <v>-161884</v>
      </c>
      <c r="O661" s="334"/>
      <c r="P661" s="675"/>
    </row>
    <row r="662" spans="2:18">
      <c r="B662" s="334" t="s">
        <v>2301</v>
      </c>
      <c r="G662" s="675">
        <f ca="1">SUMIF(DE!$B$39:$C$221,B662,DE!$C$39:$C$221)</f>
        <v>2850</v>
      </c>
      <c r="L662" s="334">
        <v>16955</v>
      </c>
      <c r="M662" s="675">
        <f ca="1">+G663-L662</f>
        <v>-16955</v>
      </c>
      <c r="P662" s="675"/>
    </row>
    <row r="663" spans="2:18">
      <c r="B663" s="334" t="s">
        <v>3938</v>
      </c>
      <c r="G663" s="675">
        <f ca="1">SUMIF(DE!$B$39:$C$221,B663,DE!$C$39:$C$221)</f>
        <v>0</v>
      </c>
      <c r="L663" s="334">
        <v>424647.37</v>
      </c>
      <c r="M663" s="675">
        <f ca="1">+G664-L663</f>
        <v>-424647.37</v>
      </c>
      <c r="P663" s="675"/>
    </row>
    <row r="664" spans="2:18">
      <c r="B664" s="334" t="s">
        <v>2302</v>
      </c>
      <c r="G664" s="675">
        <f ca="1">SUMIF(DE!$B$39:$C$221,B664,DE!$C$39:$C$221)</f>
        <v>0</v>
      </c>
      <c r="M664" s="675"/>
      <c r="P664" s="675"/>
    </row>
    <row r="665" spans="2:18">
      <c r="B665" s="334" t="s">
        <v>2303</v>
      </c>
      <c r="G665" s="675">
        <f ca="1">SUMIF(DE!$B$39:$C$221,B665,DE!$C$39:$C$221)</f>
        <v>0</v>
      </c>
      <c r="L665" s="334">
        <v>-8703387.3499999996</v>
      </c>
      <c r="M665" s="675">
        <f ca="1">+G666-L665</f>
        <v>8703387.3499999996</v>
      </c>
      <c r="P665" s="675"/>
    </row>
    <row r="666" spans="2:18">
      <c r="B666" s="334" t="s">
        <v>3890</v>
      </c>
      <c r="G666" s="675">
        <f ca="1">SUMIF(DE!$B$39:$C$221,B666,DE!$C$39:$C$221)</f>
        <v>0</v>
      </c>
      <c r="M666" s="675"/>
      <c r="P666" s="675"/>
    </row>
    <row r="667" spans="2:18">
      <c r="B667" s="334" t="s">
        <v>3953</v>
      </c>
      <c r="G667" s="675">
        <f ca="1">SUMIF(DE!$B$39:$C$221,B667,DE!$C$39:$C$221)</f>
        <v>0</v>
      </c>
      <c r="M667" s="675"/>
      <c r="O667" s="334"/>
      <c r="P667" s="675"/>
    </row>
    <row r="668" spans="2:18">
      <c r="B668" s="334" t="s">
        <v>3861</v>
      </c>
      <c r="G668" s="675">
        <f ca="1">SUMIF(DE!$B$39:$C$221,B668,DE!$C$39:$C$221)</f>
        <v>1109500</v>
      </c>
      <c r="M668" s="675"/>
      <c r="P668" s="675"/>
      <c r="R668" s="675"/>
    </row>
    <row r="669" spans="2:18">
      <c r="B669" s="334" t="s">
        <v>2304</v>
      </c>
      <c r="G669" s="675">
        <f ca="1">SUMIF(DE!$B$39:$C$221,B669,DE!$C$39:$C$221)</f>
        <v>0</v>
      </c>
      <c r="M669" s="675"/>
      <c r="O669" s="334"/>
      <c r="P669" s="675"/>
    </row>
    <row r="670" spans="2:18">
      <c r="B670" s="334" t="s">
        <v>2305</v>
      </c>
      <c r="G670" s="675">
        <f ca="1">SUMIF(DE!$B$39:$C$221,B670,DE!$C$39:$C$221)</f>
        <v>0</v>
      </c>
      <c r="M670" s="675"/>
      <c r="P670" s="675"/>
    </row>
    <row r="671" spans="2:18">
      <c r="B671" s="334" t="s">
        <v>3982</v>
      </c>
      <c r="G671" s="675">
        <f ca="1">SUMIF(DE!$B$39:$C$221,B671,DE!$C$39:$C$221)</f>
        <v>0</v>
      </c>
      <c r="M671" s="675"/>
      <c r="P671" s="675"/>
    </row>
    <row r="672" spans="2:18">
      <c r="B672" s="334" t="s">
        <v>2366</v>
      </c>
      <c r="G672" s="675">
        <f ca="1">SUMIF(DE!$B$39:$C$221,B672,DE!$C$39:$C$221)</f>
        <v>0</v>
      </c>
      <c r="M672" s="675"/>
      <c r="P672" s="675"/>
    </row>
    <row r="673" spans="2:16">
      <c r="B673" s="334" t="s">
        <v>2306</v>
      </c>
      <c r="G673" s="675">
        <f ca="1">SUMIF(DE!$B$39:$C$221,B673,DE!$C$39:$C$221)</f>
        <v>73066.22</v>
      </c>
      <c r="M673" s="675"/>
      <c r="P673" s="675"/>
    </row>
    <row r="674" spans="2:16">
      <c r="B674" s="334" t="s">
        <v>2370</v>
      </c>
      <c r="G674" s="675">
        <f ca="1">SUMIF(DE!$B$39:$C$221,B674,DE!$C$39:$C$221)</f>
        <v>0</v>
      </c>
      <c r="M674" s="675"/>
      <c r="P674" s="675"/>
    </row>
    <row r="675" spans="2:16">
      <c r="B675" s="334" t="s">
        <v>3853</v>
      </c>
      <c r="G675" s="675">
        <f ca="1">SUMIF(DE!$B$39:$C$221,B675,DE!$C$39:$C$221)</f>
        <v>0</v>
      </c>
      <c r="M675" s="675"/>
      <c r="P675" s="675"/>
    </row>
    <row r="676" spans="2:16">
      <c r="B676" s="334" t="s">
        <v>2307</v>
      </c>
      <c r="G676" s="675">
        <f ca="1">SUMIF(DE!$B$39:$C$221,B676,DE!$C$39:$C$221)</f>
        <v>-1534496.7400000002</v>
      </c>
      <c r="M676" s="675"/>
      <c r="P676" s="675"/>
    </row>
    <row r="677" spans="2:16">
      <c r="B677" s="334" t="s">
        <v>2307</v>
      </c>
      <c r="G677" s="675"/>
      <c r="M677" s="675"/>
    </row>
    <row r="678" spans="2:16">
      <c r="B678" s="334" t="s">
        <v>3930</v>
      </c>
      <c r="G678" s="675">
        <f ca="1">SUMIF(DE!$B$39:$C$221,B678,DE!$C$39:$C$221)</f>
        <v>0</v>
      </c>
      <c r="M678" s="675"/>
    </row>
    <row r="679" spans="2:16">
      <c r="B679" s="334" t="s">
        <v>3906</v>
      </c>
      <c r="G679" s="675">
        <f ca="1">SUMIF(DE!$B$39:$C$221,B679,DE!$C$39:$C$221)</f>
        <v>0</v>
      </c>
      <c r="M679" s="675"/>
    </row>
    <row r="680" spans="2:16">
      <c r="G680" s="675"/>
      <c r="M680" s="675"/>
    </row>
    <row r="681" spans="2:16">
      <c r="G681" s="675"/>
      <c r="M681" s="675"/>
    </row>
    <row r="682" spans="2:16">
      <c r="G682" s="675"/>
      <c r="P682" s="675"/>
    </row>
    <row r="683" spans="2:16">
      <c r="B683" s="672" t="s">
        <v>1723</v>
      </c>
      <c r="G683" s="674">
        <f ca="1">SUM(G642:G682)</f>
        <v>3050722.9899999993</v>
      </c>
      <c r="P683" s="675"/>
    </row>
    <row r="684" spans="2:16">
      <c r="P684" s="675"/>
    </row>
    <row r="685" spans="2:16">
      <c r="P685" s="675"/>
    </row>
    <row r="686" spans="2:16">
      <c r="P686" s="675"/>
    </row>
    <row r="687" spans="2:16">
      <c r="B687" s="672" t="s">
        <v>1724</v>
      </c>
      <c r="P687" s="675"/>
    </row>
    <row r="688" spans="2:16">
      <c r="P688" s="675"/>
    </row>
    <row r="689" spans="2:16">
      <c r="B689" s="672" t="s">
        <v>1645</v>
      </c>
      <c r="C689" s="672"/>
      <c r="D689" s="672"/>
      <c r="E689" s="672"/>
      <c r="F689" s="672"/>
      <c r="G689" s="1189">
        <f>+BALANZA!B4</f>
        <v>2026</v>
      </c>
    </row>
    <row r="690" spans="2:16">
      <c r="B690" s="672" t="s">
        <v>1725</v>
      </c>
    </row>
    <row r="691" spans="2:16">
      <c r="G691" s="675"/>
    </row>
    <row r="692" spans="2:16">
      <c r="B692" s="334" t="s">
        <v>2309</v>
      </c>
      <c r="G692" s="675">
        <f ca="1">SUMIF(DE!$B$39:$C$221,B692,DE!$C$39:$C$221)</f>
        <v>0</v>
      </c>
    </row>
    <row r="693" spans="2:16">
      <c r="B693" s="334" t="s">
        <v>2310</v>
      </c>
      <c r="G693" s="675">
        <f ca="1">SUMIF(DE!$B$39:$C$221,B693,DE!$C$39:$C$221)</f>
        <v>0</v>
      </c>
    </row>
    <row r="694" spans="2:16">
      <c r="B694" s="672" t="s">
        <v>1725</v>
      </c>
      <c r="G694" s="674">
        <f ca="1">SUM(G691:G693)</f>
        <v>0</v>
      </c>
    </row>
    <row r="697" spans="2:16">
      <c r="B697" s="672" t="s">
        <v>1726</v>
      </c>
    </row>
    <row r="699" spans="2:16">
      <c r="B699" s="672" t="s">
        <v>1645</v>
      </c>
      <c r="C699" s="672"/>
      <c r="D699" s="672"/>
      <c r="E699" s="672"/>
      <c r="F699" s="672"/>
      <c r="G699" s="1189">
        <f>+G689</f>
        <v>2026</v>
      </c>
      <c r="P699" s="675"/>
    </row>
    <row r="700" spans="2:16">
      <c r="B700" s="672" t="s">
        <v>1727</v>
      </c>
      <c r="P700" s="675"/>
    </row>
    <row r="701" spans="2:16">
      <c r="B701" s="334" t="s">
        <v>2367</v>
      </c>
      <c r="G701" s="675">
        <f ca="1">SUMIF(DE!$B$39:$C$225,B701,DE!$C$39:$C$225)</f>
        <v>0</v>
      </c>
      <c r="P701" s="675"/>
    </row>
    <row r="702" spans="2:16">
      <c r="B702" s="334" t="s">
        <v>2311</v>
      </c>
      <c r="G702" s="675">
        <f ca="1">SUMIF(DE!$B$39:$C$225,B702,DE!$C$39:$C$225)</f>
        <v>0</v>
      </c>
      <c r="P702" s="675"/>
    </row>
    <row r="703" spans="2:16">
      <c r="B703" s="334" t="s">
        <v>3892</v>
      </c>
      <c r="G703" s="675">
        <f ca="1">SUMIF(DE!$B$39:$C$225,B703,DE!$C$39:$C$225)</f>
        <v>0</v>
      </c>
      <c r="P703" s="675"/>
    </row>
    <row r="704" spans="2:16">
      <c r="B704" s="334" t="s">
        <v>2853</v>
      </c>
      <c r="G704" s="675">
        <f ca="1">SUMIF(DE!$B$39:$C$225,B704,DE!$C$39:$C$225)</f>
        <v>0</v>
      </c>
      <c r="P704" s="675"/>
    </row>
    <row r="705" spans="2:16">
      <c r="B705" s="334" t="s">
        <v>3946</v>
      </c>
      <c r="G705" s="675">
        <f ca="1">SUMIF(DE!$B$39:$C$225,B705,DE!$C$39:$C$225)</f>
        <v>0</v>
      </c>
      <c r="P705" s="675"/>
    </row>
    <row r="706" spans="2:16">
      <c r="B706" s="334" t="s">
        <v>2798</v>
      </c>
      <c r="G706" s="675">
        <f ca="1">SUMIF(DE!$B$39:$C$225,B706,DE!$C$39:$C$225)</f>
        <v>0</v>
      </c>
      <c r="P706" s="675"/>
    </row>
    <row r="707" spans="2:16">
      <c r="B707" s="334" t="s">
        <v>3941</v>
      </c>
      <c r="G707" s="675">
        <f ca="1">SUMIF(DE!$B$39:$C$225,B707,DE!$C$39:$C$225)</f>
        <v>0</v>
      </c>
      <c r="P707" s="675"/>
    </row>
    <row r="708" spans="2:16">
      <c r="B708" s="334" t="s">
        <v>3954</v>
      </c>
      <c r="G708" s="675">
        <f ca="1">SUMIF(DE!$B$39:$C$225,B708,DE!$C$39:$C$225)</f>
        <v>0</v>
      </c>
      <c r="P708" s="675"/>
    </row>
    <row r="709" spans="2:16">
      <c r="B709" s="334" t="s">
        <v>3931</v>
      </c>
      <c r="G709" s="675">
        <f ca="1">SUMIF(DE!$B$39:$C$225,B709,DE!$C$39:$C$225)</f>
        <v>0</v>
      </c>
      <c r="P709" s="675"/>
    </row>
    <row r="710" spans="2:16">
      <c r="B710" s="334" t="s">
        <v>3947</v>
      </c>
      <c r="G710" s="675">
        <f ca="1">SUMIF(DE!$B$39:$C$225,B710,DE!$C$39:$C$225)</f>
        <v>0</v>
      </c>
      <c r="P710" s="675"/>
    </row>
    <row r="711" spans="2:16">
      <c r="B711" s="334" t="s">
        <v>4194</v>
      </c>
      <c r="G711" s="675">
        <f ca="1">SUMIF(DE!$B$39:$C$225,B711,DE!$C$39:$C$225)</f>
        <v>-52140</v>
      </c>
      <c r="P711" s="675"/>
    </row>
    <row r="712" spans="2:16">
      <c r="B712" s="334" t="s">
        <v>2799</v>
      </c>
      <c r="G712" s="675">
        <f ca="1">SUMIF(DE!$B$39:$C$225,B712,DE!$C$39:$C$225)</f>
        <v>0</v>
      </c>
      <c r="P712" s="675"/>
    </row>
    <row r="713" spans="2:16">
      <c r="B713" s="334" t="s">
        <v>3950</v>
      </c>
      <c r="G713" s="675">
        <f ca="1">SUMIF(DE!$B$39:$C$225,B713,DE!$C$39:$C$225)</f>
        <v>0</v>
      </c>
      <c r="P713" s="675"/>
    </row>
    <row r="714" spans="2:16">
      <c r="B714" s="334" t="s">
        <v>2861</v>
      </c>
      <c r="G714" s="675">
        <f ca="1">SUMIF(DE!$B$39:$C$225,B714,DE!$C$39:$C$225)</f>
        <v>5541311.1799999997</v>
      </c>
    </row>
    <row r="715" spans="2:16">
      <c r="B715" s="334" t="s">
        <v>4172</v>
      </c>
      <c r="G715" s="675">
        <f ca="1">SUMIF(DE!$B$39:$C$225,B715,DE!$C$39:$C$225)</f>
        <v>0</v>
      </c>
    </row>
    <row r="717" spans="2:16">
      <c r="B717" s="672" t="s">
        <v>1728</v>
      </c>
      <c r="G717" s="674">
        <f ca="1">SUM(G701:G716)</f>
        <v>5489171.1799999997</v>
      </c>
    </row>
    <row r="727" spans="1:19">
      <c r="O727" s="674"/>
    </row>
    <row r="729" spans="1:19">
      <c r="P729" s="672"/>
    </row>
    <row r="730" spans="1:19">
      <c r="Q730" s="674"/>
      <c r="R730" s="672"/>
      <c r="S730" s="672"/>
    </row>
    <row r="731" spans="1:19" s="672" customFormat="1">
      <c r="A731" s="334"/>
      <c r="B731" s="334"/>
      <c r="C731" s="334"/>
      <c r="D731" s="334"/>
      <c r="E731" s="334"/>
      <c r="F731" s="334"/>
      <c r="G731" s="334"/>
      <c r="H731" s="334"/>
      <c r="I731" s="334"/>
      <c r="J731" s="334"/>
      <c r="K731" s="334"/>
      <c r="L731" s="334"/>
      <c r="M731" s="334"/>
      <c r="N731" s="334"/>
      <c r="O731" s="675"/>
      <c r="P731" s="334"/>
      <c r="Q731" s="675"/>
      <c r="R731" s="334"/>
      <c r="S731" s="334"/>
    </row>
    <row r="732" spans="1:19" ht="27" customHeight="1">
      <c r="A732" s="672" t="s">
        <v>1888</v>
      </c>
      <c r="I732" s="672"/>
      <c r="J732" s="672"/>
      <c r="K732" s="672"/>
      <c r="L732" s="672"/>
      <c r="M732" s="672"/>
      <c r="N732" s="672"/>
    </row>
    <row r="733" spans="1:19" ht="24" customHeight="1">
      <c r="A733" s="1638" t="s">
        <v>2006</v>
      </c>
      <c r="B733" s="672"/>
      <c r="C733" s="672"/>
      <c r="D733" s="672"/>
      <c r="E733" s="672"/>
      <c r="F733" s="672"/>
      <c r="G733" s="672"/>
      <c r="H733" s="672"/>
      <c r="I733" s="1638"/>
    </row>
    <row r="734" spans="1:19" ht="72" customHeight="1">
      <c r="A734" s="1637" t="s">
        <v>1908</v>
      </c>
      <c r="B734" s="1638"/>
      <c r="C734" s="1638"/>
      <c r="D734" s="1638"/>
      <c r="E734" s="1638"/>
      <c r="F734" s="1638"/>
      <c r="G734" s="1638"/>
      <c r="H734" s="1638"/>
      <c r="I734" s="1637"/>
    </row>
    <row r="735" spans="1:19" ht="38.25" customHeight="1">
      <c r="A735" s="1638" t="s">
        <v>1909</v>
      </c>
      <c r="B735" s="1637"/>
      <c r="C735" s="1637"/>
      <c r="D735" s="1637"/>
      <c r="E735" s="1637"/>
      <c r="F735" s="1637"/>
      <c r="G735" s="1637"/>
      <c r="H735" s="1637"/>
      <c r="I735" s="1638"/>
    </row>
    <row r="736" spans="1:19" ht="54" customHeight="1">
      <c r="A736" s="1637" t="s">
        <v>1910</v>
      </c>
      <c r="B736" s="1638"/>
      <c r="C736" s="1638"/>
      <c r="D736" s="1638"/>
      <c r="E736" s="1638"/>
      <c r="F736" s="1638"/>
      <c r="G736" s="1638"/>
      <c r="H736" s="1638"/>
      <c r="I736" s="1637"/>
    </row>
    <row r="737" spans="1:9" ht="40.5" customHeight="1">
      <c r="A737" s="1639" t="s">
        <v>1907</v>
      </c>
      <c r="B737" s="1637"/>
      <c r="C737" s="1637"/>
      <c r="D737" s="1637"/>
      <c r="E737" s="1637"/>
      <c r="F737" s="1637"/>
      <c r="G737" s="1637"/>
      <c r="H737" s="1637"/>
      <c r="I737" s="1639"/>
    </row>
    <row r="738" spans="1:9" ht="51.75" customHeight="1">
      <c r="A738" s="1636" t="s">
        <v>2007</v>
      </c>
      <c r="B738" s="1639"/>
      <c r="C738" s="1639"/>
      <c r="D738" s="1639"/>
      <c r="E738" s="1639"/>
      <c r="F738" s="1639"/>
      <c r="G738" s="1639"/>
      <c r="H738" s="1639"/>
      <c r="I738" s="1636"/>
    </row>
    <row r="739" spans="1:9">
      <c r="B739" s="1636"/>
      <c r="C739" s="1636"/>
      <c r="D739" s="1636"/>
      <c r="E739" s="1636"/>
      <c r="F739" s="1636"/>
      <c r="G739" s="1636"/>
      <c r="H739" s="1636"/>
    </row>
    <row r="769" spans="1:19">
      <c r="O769" s="674"/>
    </row>
    <row r="771" spans="1:19">
      <c r="P771" s="672"/>
    </row>
    <row r="772" spans="1:19">
      <c r="Q772" s="674"/>
      <c r="R772" s="672"/>
      <c r="S772" s="672"/>
    </row>
    <row r="773" spans="1:19" s="672" customFormat="1">
      <c r="A773" s="334"/>
      <c r="B773" s="334"/>
      <c r="C773" s="334"/>
      <c r="D773" s="334"/>
      <c r="E773" s="334"/>
      <c r="F773" s="334"/>
      <c r="G773" s="334"/>
      <c r="H773" s="334"/>
      <c r="I773" s="334"/>
      <c r="J773" s="334"/>
      <c r="K773" s="334"/>
      <c r="L773" s="334"/>
      <c r="M773" s="334"/>
      <c r="N773" s="334"/>
      <c r="O773" s="675"/>
      <c r="P773" s="334"/>
      <c r="Q773" s="675"/>
      <c r="R773" s="334"/>
      <c r="S773" s="334"/>
    </row>
    <row r="774" spans="1:19">
      <c r="A774" s="672" t="s">
        <v>1889</v>
      </c>
      <c r="I774" s="672"/>
      <c r="J774" s="672"/>
      <c r="K774" s="672"/>
      <c r="L774" s="672"/>
      <c r="M774" s="672"/>
      <c r="N774" s="672"/>
    </row>
    <row r="775" spans="1:19" ht="51.75" customHeight="1">
      <c r="B775" s="672"/>
      <c r="C775" s="672"/>
      <c r="D775" s="672"/>
      <c r="E775" s="672"/>
      <c r="F775" s="672"/>
      <c r="G775" s="672"/>
      <c r="H775" s="672"/>
    </row>
    <row r="776" spans="1:19" ht="14.25" customHeight="1">
      <c r="A776" s="1636" t="s">
        <v>1970</v>
      </c>
      <c r="I776" s="1636"/>
    </row>
    <row r="777" spans="1:19" ht="14.25" customHeight="1">
      <c r="B777" s="1636"/>
      <c r="C777" s="1636"/>
      <c r="D777" s="1636"/>
      <c r="E777" s="1636"/>
      <c r="F777" s="1636"/>
      <c r="G777" s="1636"/>
      <c r="H777" s="1636"/>
    </row>
    <row r="778" spans="1:19" ht="14.25" customHeight="1">
      <c r="A778" s="1636" t="s">
        <v>1895</v>
      </c>
      <c r="I778" s="1636"/>
    </row>
    <row r="779" spans="1:19" ht="14.25" customHeight="1">
      <c r="B779" s="1636"/>
      <c r="C779" s="1636"/>
      <c r="D779" s="1636"/>
      <c r="E779" s="1636"/>
      <c r="F779" s="1636"/>
      <c r="G779" s="1636"/>
      <c r="H779" s="1636"/>
    </row>
    <row r="780" spans="1:19" ht="14.25" customHeight="1">
      <c r="A780" s="1636" t="s">
        <v>1896</v>
      </c>
      <c r="I780" s="1636"/>
      <c r="O780" s="674"/>
    </row>
    <row r="781" spans="1:19" ht="14.25" customHeight="1">
      <c r="B781" s="1636"/>
      <c r="C781" s="1636"/>
      <c r="D781" s="1636"/>
      <c r="E781" s="1636"/>
      <c r="F781" s="1636"/>
      <c r="G781" s="1636"/>
      <c r="H781" s="1636"/>
    </row>
    <row r="782" spans="1:19" ht="14.25" customHeight="1">
      <c r="P782" s="672"/>
    </row>
    <row r="783" spans="1:19" ht="14.25" customHeight="1">
      <c r="Q783" s="674"/>
      <c r="R783" s="672"/>
      <c r="S783" s="672"/>
    </row>
    <row r="784" spans="1:19" s="672" customFormat="1" ht="14.25" customHeight="1">
      <c r="A784" s="334"/>
      <c r="B784" s="334"/>
      <c r="C784" s="334"/>
      <c r="D784" s="334"/>
      <c r="E784" s="334"/>
      <c r="F784" s="334"/>
      <c r="G784" s="334"/>
      <c r="H784" s="334"/>
      <c r="I784" s="334"/>
      <c r="J784" s="334"/>
      <c r="K784" s="334"/>
      <c r="L784" s="334"/>
      <c r="M784" s="334"/>
      <c r="N784" s="334"/>
      <c r="O784" s="675"/>
      <c r="P784" s="334"/>
      <c r="Q784" s="675"/>
      <c r="R784" s="334"/>
      <c r="S784" s="334"/>
    </row>
    <row r="785" spans="1:14" ht="14.25" customHeight="1">
      <c r="A785" s="672" t="s">
        <v>1890</v>
      </c>
      <c r="I785" s="672"/>
      <c r="J785" s="672"/>
      <c r="K785" s="672"/>
      <c r="L785" s="672"/>
      <c r="M785" s="672"/>
      <c r="N785" s="672"/>
    </row>
    <row r="786" spans="1:14" ht="52.5" customHeight="1">
      <c r="B786" s="672"/>
      <c r="C786" s="672"/>
      <c r="D786" s="672"/>
      <c r="E786" s="672"/>
      <c r="F786" s="672"/>
      <c r="G786" s="672"/>
      <c r="H786" s="672"/>
    </row>
    <row r="787" spans="1:14" ht="14.25" customHeight="1">
      <c r="A787" s="1636" t="s">
        <v>1891</v>
      </c>
      <c r="I787" s="1636"/>
    </row>
    <row r="788" spans="1:14" ht="14.25" customHeight="1">
      <c r="B788" s="1636"/>
      <c r="C788" s="1636"/>
      <c r="D788" s="1636"/>
      <c r="E788" s="1636"/>
      <c r="F788" s="1636"/>
      <c r="G788" s="1636"/>
      <c r="H788" s="1636"/>
    </row>
    <row r="789" spans="1:14" ht="14.25" customHeight="1"/>
    <row r="790" spans="1:14" ht="14.25" customHeight="1"/>
    <row r="791" spans="1:14" ht="14.25" customHeight="1"/>
    <row r="792" spans="1:14" ht="14.25" customHeight="1"/>
    <row r="793" spans="1:14" ht="14.25" customHeight="1">
      <c r="A793" s="334" t="s">
        <v>3998</v>
      </c>
    </row>
    <row r="794" spans="1:14" ht="14.25" customHeight="1">
      <c r="A794" s="334" t="s">
        <v>1894</v>
      </c>
    </row>
    <row r="795" spans="1:14" ht="14.25" customHeight="1"/>
    <row r="796" spans="1:14" ht="14.25" customHeight="1"/>
    <row r="797" spans="1:14" ht="14.25" customHeight="1"/>
    <row r="798" spans="1:14" ht="14.25" customHeight="1"/>
    <row r="799" spans="1:14" ht="14.25" customHeight="1">
      <c r="A799" s="334" t="s">
        <v>1892</v>
      </c>
    </row>
    <row r="800" spans="1:14" ht="14.25" customHeight="1">
      <c r="A800" s="334" t="s">
        <v>1893</v>
      </c>
    </row>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spans="1:9" ht="14.25" customHeight="1"/>
    <row r="818" spans="1:9" ht="14.25" customHeight="1"/>
    <row r="819" spans="1:9" ht="14.25" customHeight="1"/>
    <row r="820" spans="1:9" ht="14.25" customHeight="1"/>
    <row r="821" spans="1:9" ht="14.25" customHeight="1"/>
    <row r="822" spans="1:9" ht="14.25" customHeight="1"/>
    <row r="823" spans="1:9" ht="14.25" customHeight="1"/>
    <row r="824" spans="1:9" ht="14.25" customHeight="1"/>
    <row r="825" spans="1:9" ht="14.25" customHeight="1"/>
    <row r="826" spans="1:9" ht="14.25" customHeight="1"/>
    <row r="827" spans="1:9" ht="14.25" customHeight="1"/>
    <row r="828" spans="1:9" ht="14.25" customHeight="1"/>
    <row r="829" spans="1:9" ht="14.25" customHeight="1"/>
    <row r="832" spans="1:9">
      <c r="A832" s="1641" t="str">
        <f>+A2</f>
        <v>CORPORACION DEL ACUEDUCTO Y ALCANTARILLADO DE MOCA</v>
      </c>
      <c r="I832" s="1641"/>
    </row>
    <row r="833" spans="1:9">
      <c r="A833" s="1641" t="str">
        <f>+A3</f>
        <v>CORAAMOCA</v>
      </c>
      <c r="B833" s="1641"/>
      <c r="C833" s="1641"/>
      <c r="D833" s="1641"/>
      <c r="E833" s="1641"/>
      <c r="F833" s="1641"/>
      <c r="G833" s="1641"/>
      <c r="H833" s="1641"/>
      <c r="I833" s="1641"/>
    </row>
    <row r="834" spans="1:9">
      <c r="A834" s="1640"/>
      <c r="B834" s="1641"/>
      <c r="C834" s="1641"/>
      <c r="D834" s="1641"/>
      <c r="E834" s="1641"/>
      <c r="F834" s="1641"/>
      <c r="G834" s="1641"/>
      <c r="H834" s="1641"/>
      <c r="I834" s="1640"/>
    </row>
    <row r="835" spans="1:9" ht="27.75" customHeight="1">
      <c r="A835" s="1642" t="s">
        <v>1730</v>
      </c>
      <c r="B835" s="1640"/>
      <c r="C835" s="1640"/>
      <c r="D835" s="1640"/>
      <c r="E835" s="1640"/>
      <c r="F835" s="1640"/>
      <c r="G835" s="1640"/>
      <c r="H835" s="1640"/>
      <c r="I835" s="1642"/>
    </row>
    <row r="836" spans="1:9">
      <c r="A836" s="1643" t="s">
        <v>1729</v>
      </c>
      <c r="B836" s="1642"/>
      <c r="C836" s="1642"/>
      <c r="D836" s="1642"/>
      <c r="E836" s="1642"/>
      <c r="F836" s="1642"/>
      <c r="G836" s="1642"/>
      <c r="H836" s="1642"/>
      <c r="I836" s="1645"/>
    </row>
    <row r="837" spans="1:9" ht="15" customHeight="1">
      <c r="A837" s="1648" t="s">
        <v>1777</v>
      </c>
      <c r="B837" s="1644"/>
      <c r="C837" s="1644"/>
      <c r="D837" s="1644"/>
      <c r="E837" s="1644"/>
      <c r="F837" s="1644"/>
      <c r="G837" s="1644"/>
      <c r="H837" s="1644"/>
      <c r="I837" s="682" t="s">
        <v>1732</v>
      </c>
    </row>
    <row r="838" spans="1:9" ht="15" customHeight="1">
      <c r="A838" s="1646" t="s">
        <v>1733</v>
      </c>
      <c r="B838" s="1648"/>
      <c r="C838" s="1648"/>
      <c r="D838" s="1648"/>
      <c r="E838" s="1648"/>
      <c r="F838" s="686"/>
      <c r="G838" s="683" t="s">
        <v>1731</v>
      </c>
      <c r="H838" s="687"/>
      <c r="I838" s="683" t="s">
        <v>1735</v>
      </c>
    </row>
    <row r="839" spans="1:9">
      <c r="A839" s="1646"/>
      <c r="B839" s="1646"/>
      <c r="C839" s="1646"/>
      <c r="D839" s="1646"/>
      <c r="E839" s="1646"/>
      <c r="F839" s="338"/>
      <c r="G839" s="683" t="s">
        <v>1734</v>
      </c>
      <c r="H839" s="685"/>
      <c r="I839" s="683" t="s">
        <v>1736</v>
      </c>
    </row>
    <row r="840" spans="1:9" ht="15" customHeight="1">
      <c r="A840" s="1646" t="s">
        <v>1762</v>
      </c>
      <c r="B840" s="1646"/>
      <c r="C840" s="1646"/>
      <c r="D840" s="1646"/>
      <c r="E840" s="1646"/>
      <c r="F840" s="338"/>
      <c r="G840" s="683" t="s">
        <v>1763</v>
      </c>
      <c r="H840" s="685"/>
      <c r="I840" s="683" t="s">
        <v>1737</v>
      </c>
    </row>
    <row r="841" spans="1:9" ht="15" customHeight="1">
      <c r="A841" s="1646" t="s">
        <v>1604</v>
      </c>
      <c r="B841" s="1646"/>
      <c r="C841" s="1646"/>
      <c r="D841" s="1646"/>
      <c r="E841" s="1646"/>
      <c r="F841" s="338"/>
      <c r="G841" s="683" t="s">
        <v>1764</v>
      </c>
      <c r="H841" s="685"/>
      <c r="I841" s="683" t="s">
        <v>1738</v>
      </c>
    </row>
    <row r="842" spans="1:9" ht="15" customHeight="1">
      <c r="A842" s="1649" t="s">
        <v>1767</v>
      </c>
      <c r="B842" s="1646"/>
      <c r="C842" s="1646"/>
      <c r="D842" s="1646"/>
      <c r="E842" s="1646"/>
      <c r="F842" s="338"/>
      <c r="G842" s="683" t="s">
        <v>1765</v>
      </c>
      <c r="H842" s="685"/>
      <c r="I842" s="683" t="s">
        <v>1739</v>
      </c>
    </row>
    <row r="843" spans="1:9">
      <c r="A843" s="1652"/>
      <c r="B843" s="1650"/>
      <c r="C843" s="1650"/>
      <c r="D843" s="1650"/>
      <c r="E843" s="1651"/>
      <c r="F843" s="338"/>
      <c r="G843" s="683" t="s">
        <v>1766</v>
      </c>
      <c r="H843" s="685"/>
      <c r="I843" s="683"/>
    </row>
    <row r="844" spans="1:9" ht="31.5" customHeight="1">
      <c r="A844" s="1655"/>
      <c r="B844" s="1653"/>
      <c r="C844" s="1653"/>
      <c r="D844" s="1653"/>
      <c r="E844" s="1654"/>
      <c r="F844" s="338"/>
      <c r="G844" s="683" t="s">
        <v>1740</v>
      </c>
      <c r="H844" s="685"/>
      <c r="I844" s="683"/>
    </row>
    <row r="845" spans="1:9" ht="15" customHeight="1">
      <c r="A845" s="1646" t="s">
        <v>1768</v>
      </c>
      <c r="B845" s="1656"/>
      <c r="C845" s="1656"/>
      <c r="D845" s="1656"/>
      <c r="E845" s="1657"/>
      <c r="F845" s="338"/>
      <c r="G845" s="683" t="s">
        <v>1741</v>
      </c>
      <c r="H845" s="685"/>
      <c r="I845" s="683"/>
    </row>
    <row r="846" spans="1:9" ht="15" customHeight="1">
      <c r="A846" s="1646" t="s">
        <v>1769</v>
      </c>
      <c r="B846" s="1646"/>
      <c r="C846" s="1646"/>
      <c r="D846" s="1646"/>
      <c r="E846" s="1646"/>
      <c r="F846" s="338"/>
      <c r="G846" s="683" t="s">
        <v>1742</v>
      </c>
      <c r="H846" s="685"/>
      <c r="I846" s="683"/>
    </row>
    <row r="847" spans="1:9" ht="15" customHeight="1">
      <c r="A847" s="1646" t="s">
        <v>1770</v>
      </c>
      <c r="B847" s="1646"/>
      <c r="C847" s="1646"/>
      <c r="D847" s="1646"/>
      <c r="E847" s="1646"/>
      <c r="F847" s="338"/>
      <c r="G847" s="683" t="s">
        <v>1743</v>
      </c>
      <c r="H847" s="685"/>
      <c r="I847" s="683" t="s">
        <v>1752</v>
      </c>
    </row>
    <row r="848" spans="1:9" ht="15" customHeight="1">
      <c r="A848" s="1646" t="s">
        <v>1771</v>
      </c>
      <c r="B848" s="1646"/>
      <c r="C848" s="1646"/>
      <c r="D848" s="1646"/>
      <c r="E848" s="1646"/>
      <c r="F848" s="338"/>
      <c r="G848" s="683" t="s">
        <v>1744</v>
      </c>
      <c r="H848" s="685"/>
      <c r="I848" s="683"/>
    </row>
    <row r="849" spans="1:9" ht="15" customHeight="1">
      <c r="A849" s="1646" t="s">
        <v>1772</v>
      </c>
      <c r="B849" s="1646"/>
      <c r="C849" s="1646"/>
      <c r="D849" s="1646"/>
      <c r="E849" s="1646"/>
      <c r="F849" s="338"/>
      <c r="G849" s="683" t="s">
        <v>1745</v>
      </c>
      <c r="H849" s="685"/>
      <c r="I849" s="683" t="s">
        <v>1753</v>
      </c>
    </row>
    <row r="850" spans="1:9" ht="15" customHeight="1">
      <c r="A850" s="1646" t="s">
        <v>1773</v>
      </c>
      <c r="B850" s="1646"/>
      <c r="C850" s="1646"/>
      <c r="D850" s="1646"/>
      <c r="E850" s="1646"/>
      <c r="F850" s="338"/>
      <c r="G850" s="684" t="s">
        <v>1748</v>
      </c>
      <c r="H850" s="685"/>
      <c r="I850" s="683"/>
    </row>
    <row r="851" spans="1:9" ht="15" customHeight="1">
      <c r="A851" s="1646" t="s">
        <v>1774</v>
      </c>
      <c r="B851" s="1646"/>
      <c r="C851" s="1646"/>
      <c r="D851" s="1646"/>
      <c r="E851" s="1646"/>
      <c r="F851" s="338"/>
      <c r="G851" s="684" t="s">
        <v>1749</v>
      </c>
      <c r="H851" s="685"/>
      <c r="I851" s="683" t="s">
        <v>1754</v>
      </c>
    </row>
    <row r="852" spans="1:9" ht="15" customHeight="1">
      <c r="A852" s="1646" t="s">
        <v>1775</v>
      </c>
      <c r="B852" s="1646"/>
      <c r="C852" s="1646"/>
      <c r="D852" s="1646"/>
      <c r="E852" s="1646"/>
      <c r="F852" s="338"/>
      <c r="G852" s="684" t="s">
        <v>1746</v>
      </c>
      <c r="H852" s="685"/>
      <c r="I852" s="684" t="s">
        <v>1755</v>
      </c>
    </row>
    <row r="853" spans="1:9" ht="15" customHeight="1">
      <c r="A853" s="1646" t="s">
        <v>1776</v>
      </c>
      <c r="B853" s="1646"/>
      <c r="C853" s="1646"/>
      <c r="D853" s="1646"/>
      <c r="E853" s="1646"/>
      <c r="F853" s="338"/>
      <c r="G853" s="684" t="s">
        <v>1747</v>
      </c>
      <c r="H853" s="685"/>
      <c r="I853" s="683"/>
    </row>
    <row r="854" spans="1:9" ht="15" customHeight="1">
      <c r="A854" s="1647" t="s">
        <v>1761</v>
      </c>
      <c r="B854" s="1646"/>
      <c r="C854" s="1646"/>
      <c r="D854" s="1646"/>
      <c r="E854" s="1646"/>
      <c r="F854" s="338"/>
      <c r="G854" s="684" t="s">
        <v>1751</v>
      </c>
      <c r="H854" s="685"/>
      <c r="I854" s="683" t="s">
        <v>1756</v>
      </c>
    </row>
    <row r="855" spans="1:9">
      <c r="A855" s="1647"/>
      <c r="B855" s="1647"/>
      <c r="C855" s="1647"/>
      <c r="D855" s="1647"/>
      <c r="E855" s="1647"/>
      <c r="F855" s="338"/>
      <c r="G855" s="1876" t="s">
        <v>1750</v>
      </c>
      <c r="H855" s="685"/>
      <c r="I855" s="683" t="s">
        <v>1757</v>
      </c>
    </row>
    <row r="856" spans="1:9">
      <c r="A856" s="1647"/>
      <c r="B856" s="1647"/>
      <c r="C856" s="1647"/>
      <c r="D856" s="1647"/>
      <c r="E856" s="1647"/>
      <c r="F856" s="338"/>
      <c r="G856" s="1876"/>
      <c r="H856" s="685"/>
      <c r="I856" s="683" t="s">
        <v>1758</v>
      </c>
    </row>
    <row r="857" spans="1:9">
      <c r="A857" s="1647"/>
      <c r="B857" s="1647"/>
      <c r="C857" s="1647"/>
      <c r="D857" s="1647"/>
      <c r="E857" s="1647"/>
      <c r="F857" s="338"/>
      <c r="G857" s="1876"/>
      <c r="H857" s="685"/>
      <c r="I857" s="683" t="s">
        <v>1759</v>
      </c>
    </row>
    <row r="858" spans="1:9" ht="44.25" customHeight="1">
      <c r="A858" s="1647"/>
      <c r="B858" s="1647"/>
      <c r="C858" s="1647"/>
      <c r="D858" s="1647"/>
      <c r="E858" s="1647"/>
      <c r="F858" s="338"/>
      <c r="G858" s="1876"/>
      <c r="H858" s="685"/>
      <c r="I858" s="683" t="s">
        <v>1760</v>
      </c>
    </row>
    <row r="859" spans="1:9" ht="33.75" customHeight="1">
      <c r="A859" s="1658" t="s">
        <v>1778</v>
      </c>
      <c r="B859" s="1647"/>
      <c r="C859" s="1647"/>
      <c r="D859" s="1647"/>
      <c r="E859" s="1647"/>
      <c r="F859" s="688"/>
      <c r="G859" s="1876"/>
      <c r="H859" s="689"/>
      <c r="I859" s="1660"/>
    </row>
    <row r="860" spans="1:9" ht="20.25" customHeight="1">
      <c r="A860" s="1661" t="s">
        <v>1779</v>
      </c>
      <c r="B860" s="1659"/>
      <c r="C860" s="1659"/>
      <c r="D860" s="1659"/>
      <c r="E860" s="1659"/>
      <c r="F860" s="1659"/>
      <c r="G860" s="1659"/>
      <c r="H860" s="1659"/>
      <c r="I860" s="1663"/>
    </row>
    <row r="861" spans="1:9">
      <c r="B861" s="1662"/>
      <c r="C861" s="1662"/>
      <c r="D861" s="1662"/>
      <c r="E861" s="1662"/>
      <c r="F861" s="1662"/>
      <c r="G861" s="1662"/>
      <c r="H861" s="1662"/>
    </row>
    <row r="886" spans="1:9">
      <c r="A886" s="1641" t="str">
        <f>+A832</f>
        <v>CORPORACION DEL ACUEDUCTO Y ALCANTARILLADO DE MOCA</v>
      </c>
      <c r="I886" s="1641"/>
    </row>
    <row r="887" spans="1:9">
      <c r="A887" s="1640" t="str">
        <f>+A833</f>
        <v>CORAAMOCA</v>
      </c>
      <c r="B887" s="1641"/>
      <c r="C887" s="1641"/>
      <c r="D887" s="1641"/>
      <c r="E887" s="1641"/>
      <c r="F887" s="1641"/>
      <c r="G887" s="1641"/>
      <c r="H887" s="1641"/>
      <c r="I887" s="1640"/>
    </row>
    <row r="888" spans="1:9">
      <c r="A888" s="1640"/>
      <c r="B888" s="1640"/>
      <c r="C888" s="1640"/>
      <c r="D888" s="1640"/>
      <c r="E888" s="1640"/>
      <c r="F888" s="1640"/>
      <c r="G888" s="1640"/>
      <c r="H888" s="1640"/>
      <c r="I888" s="1640"/>
    </row>
    <row r="889" spans="1:9">
      <c r="A889" s="1642" t="s">
        <v>1781</v>
      </c>
      <c r="B889" s="1640"/>
      <c r="C889" s="1640"/>
      <c r="D889" s="1640"/>
      <c r="E889" s="1640"/>
      <c r="F889" s="1640"/>
      <c r="G889" s="1640"/>
      <c r="H889" s="1640"/>
      <c r="I889" s="1642"/>
    </row>
    <row r="890" spans="1:9">
      <c r="A890" s="1640" t="s">
        <v>1780</v>
      </c>
      <c r="B890" s="1642"/>
      <c r="C890" s="1642"/>
      <c r="D890" s="1642"/>
      <c r="E890" s="1642"/>
      <c r="F890" s="1642"/>
      <c r="G890" s="1642"/>
      <c r="H890" s="1642"/>
      <c r="I890" s="1640"/>
    </row>
    <row r="891" spans="1:9">
      <c r="B891" s="1640"/>
      <c r="C891" s="1640"/>
      <c r="D891" s="1640"/>
      <c r="E891" s="1640"/>
      <c r="F891" s="1640"/>
      <c r="G891" s="1640"/>
      <c r="H891" s="1640"/>
    </row>
    <row r="944" spans="1:9">
      <c r="A944" s="1641" t="str">
        <f>+A886</f>
        <v>CORPORACION DEL ACUEDUCTO Y ALCANTARILLADO DE MOCA</v>
      </c>
      <c r="I944" s="1641"/>
    </row>
    <row r="945" spans="1:19">
      <c r="A945" s="1640" t="str">
        <f>+A887</f>
        <v>CORAAMOCA</v>
      </c>
      <c r="B945" s="1641"/>
      <c r="C945" s="1641"/>
      <c r="D945" s="1641"/>
      <c r="E945" s="1641"/>
      <c r="F945" s="1641"/>
      <c r="G945" s="1641"/>
      <c r="H945" s="1641"/>
      <c r="I945" s="1640"/>
      <c r="O945" s="901"/>
    </row>
    <row r="946" spans="1:19">
      <c r="A946" s="1640"/>
      <c r="B946" s="1640"/>
      <c r="C946" s="1640"/>
      <c r="D946" s="1640"/>
      <c r="E946" s="1640"/>
      <c r="F946" s="1640"/>
      <c r="G946" s="1640"/>
      <c r="H946" s="1640"/>
      <c r="I946" s="1640"/>
    </row>
    <row r="947" spans="1:19">
      <c r="A947" s="1642" t="s">
        <v>1782</v>
      </c>
      <c r="B947" s="1640"/>
      <c r="C947" s="1640"/>
      <c r="D947" s="1640"/>
      <c r="E947" s="1640"/>
      <c r="F947" s="1640"/>
      <c r="G947" s="1640"/>
      <c r="H947" s="1640"/>
      <c r="I947" s="1642"/>
      <c r="P947" s="691"/>
    </row>
    <row r="948" spans="1:19">
      <c r="A948" s="1641" t="s">
        <v>1783</v>
      </c>
      <c r="B948" s="1642"/>
      <c r="C948" s="1642"/>
      <c r="D948" s="1642"/>
      <c r="E948" s="1642"/>
      <c r="F948" s="1642"/>
      <c r="G948" s="1642"/>
      <c r="H948" s="1642"/>
      <c r="I948" s="1641"/>
      <c r="Q948" s="901"/>
      <c r="R948" s="691"/>
      <c r="S948" s="691"/>
    </row>
    <row r="949" spans="1:19" s="691" customFormat="1" ht="30" customHeight="1">
      <c r="A949" s="334"/>
      <c r="B949" s="1641"/>
      <c r="C949" s="1641"/>
      <c r="D949" s="1641"/>
      <c r="E949" s="1641"/>
      <c r="F949" s="1641"/>
      <c r="G949" s="1641"/>
      <c r="H949" s="1641"/>
      <c r="I949" s="334"/>
      <c r="J949" s="334"/>
      <c r="K949" s="334"/>
      <c r="L949" s="334"/>
      <c r="M949" s="334"/>
      <c r="N949" s="334"/>
      <c r="O949" s="675"/>
      <c r="P949" s="334"/>
      <c r="Q949" s="675"/>
      <c r="R949" s="334"/>
      <c r="S949" s="751"/>
    </row>
    <row r="950" spans="1:19" ht="18.75" customHeight="1">
      <c r="A950" s="1664" t="s">
        <v>1784</v>
      </c>
      <c r="I950" s="692" t="s">
        <v>1787</v>
      </c>
      <c r="J950" s="691"/>
      <c r="K950" s="691"/>
      <c r="L950" s="691"/>
      <c r="M950" s="691"/>
      <c r="N950" s="691"/>
      <c r="S950" s="751"/>
    </row>
    <row r="951" spans="1:19" ht="18.75" customHeight="1">
      <c r="A951" s="1665"/>
      <c r="B951" s="1664"/>
      <c r="C951" s="1664"/>
      <c r="D951" s="1664"/>
      <c r="E951" s="692" t="s">
        <v>1785</v>
      </c>
      <c r="F951" s="1877" t="s">
        <v>1786</v>
      </c>
      <c r="G951" s="1877"/>
      <c r="H951" s="1877"/>
      <c r="I951" s="753"/>
      <c r="S951" s="751"/>
    </row>
    <row r="952" spans="1:19" ht="18.75" customHeight="1">
      <c r="A952" s="1665"/>
      <c r="B952" s="1666"/>
      <c r="C952" s="1666"/>
      <c r="D952" s="1667"/>
      <c r="E952" s="752"/>
      <c r="F952" s="1875" t="s">
        <v>1023</v>
      </c>
      <c r="G952" s="1875"/>
      <c r="H952" s="1875"/>
      <c r="I952" s="753"/>
      <c r="S952" s="751"/>
    </row>
    <row r="953" spans="1:19" ht="18.75" customHeight="1">
      <c r="A953" s="1665" t="s">
        <v>1789</v>
      </c>
      <c r="B953" s="1666"/>
      <c r="C953" s="1666"/>
      <c r="D953" s="1667"/>
      <c r="E953" s="752"/>
      <c r="F953" s="1875" t="s">
        <v>1864</v>
      </c>
      <c r="G953" s="1875"/>
      <c r="H953" s="1875"/>
      <c r="I953" s="753">
        <v>38832</v>
      </c>
      <c r="S953" s="751"/>
    </row>
    <row r="954" spans="1:19" ht="18.75" customHeight="1">
      <c r="A954" s="1665"/>
      <c r="B954" s="1666"/>
      <c r="C954" s="1666"/>
      <c r="D954" s="1667"/>
      <c r="E954" s="752"/>
      <c r="F954" s="1875" t="s">
        <v>1791</v>
      </c>
      <c r="G954" s="1875"/>
      <c r="H954" s="1875"/>
      <c r="I954" s="753"/>
      <c r="S954" s="751"/>
    </row>
    <row r="955" spans="1:19" ht="18.75" customHeight="1">
      <c r="A955" s="1665"/>
      <c r="B955" s="1666"/>
      <c r="C955" s="1666"/>
      <c r="D955" s="1667"/>
      <c r="E955" s="752"/>
      <c r="F955" s="1875" t="s">
        <v>1796</v>
      </c>
      <c r="G955" s="1875"/>
      <c r="H955" s="1875"/>
      <c r="I955" s="753"/>
      <c r="S955" s="751"/>
    </row>
    <row r="956" spans="1:19" ht="18.75" customHeight="1">
      <c r="A956" s="1665"/>
      <c r="B956" s="1666"/>
      <c r="C956" s="1666"/>
      <c r="D956" s="1667"/>
      <c r="E956" s="752"/>
      <c r="F956" s="1875" t="s">
        <v>1798</v>
      </c>
      <c r="G956" s="1875"/>
      <c r="H956" s="1875"/>
      <c r="I956" s="753"/>
      <c r="S956" s="751"/>
    </row>
    <row r="957" spans="1:19" ht="18.75" customHeight="1">
      <c r="A957" s="1665"/>
      <c r="B957" s="1666"/>
      <c r="C957" s="1666"/>
      <c r="D957" s="1667"/>
      <c r="E957" s="752"/>
      <c r="F957" s="1875" t="s">
        <v>1801</v>
      </c>
      <c r="G957" s="1875"/>
      <c r="H957" s="1875"/>
      <c r="I957" s="753"/>
      <c r="S957" s="751"/>
    </row>
    <row r="958" spans="1:19" ht="18.75" customHeight="1">
      <c r="A958" s="1665"/>
      <c r="B958" s="1666"/>
      <c r="C958" s="1666"/>
      <c r="D958" s="1667"/>
      <c r="E958" s="752"/>
      <c r="F958" s="1875" t="s">
        <v>1851</v>
      </c>
      <c r="G958" s="1875"/>
      <c r="H958" s="1875"/>
      <c r="I958" s="753"/>
      <c r="S958" s="751"/>
    </row>
    <row r="959" spans="1:19" ht="18.75" customHeight="1">
      <c r="A959" s="1665" t="s">
        <v>1804</v>
      </c>
      <c r="B959" s="1666"/>
      <c r="C959" s="1666"/>
      <c r="D959" s="1667"/>
      <c r="E959" s="752"/>
      <c r="F959" s="1875" t="s">
        <v>1856</v>
      </c>
      <c r="G959" s="1875"/>
      <c r="H959" s="1875"/>
      <c r="I959" s="753">
        <v>38292</v>
      </c>
      <c r="S959" s="751"/>
    </row>
    <row r="960" spans="1:19" ht="18.75" customHeight="1">
      <c r="A960" s="1665" t="s">
        <v>1806</v>
      </c>
      <c r="B960" s="1666"/>
      <c r="C960" s="1666"/>
      <c r="D960" s="1667"/>
      <c r="E960" s="752"/>
      <c r="F960" s="1875" t="s">
        <v>1805</v>
      </c>
      <c r="G960" s="1875"/>
      <c r="H960" s="1875"/>
      <c r="I960" s="753">
        <v>40534</v>
      </c>
      <c r="S960" s="751"/>
    </row>
    <row r="961" spans="1:19" ht="18.75" customHeight="1">
      <c r="A961" s="1665" t="s">
        <v>1862</v>
      </c>
      <c r="B961" s="1666"/>
      <c r="C961" s="1666"/>
      <c r="D961" s="1667"/>
      <c r="E961" s="752"/>
      <c r="F961" s="1875" t="s">
        <v>1808</v>
      </c>
      <c r="G961" s="1875"/>
      <c r="H961" s="1875"/>
      <c r="I961" s="753">
        <v>38213</v>
      </c>
      <c r="S961" s="751"/>
    </row>
    <row r="962" spans="1:19" ht="18.75" customHeight="1">
      <c r="A962" s="1665"/>
      <c r="B962" s="1666"/>
      <c r="C962" s="1666"/>
      <c r="D962" s="1667"/>
      <c r="E962" s="752"/>
      <c r="F962" s="1875" t="s">
        <v>1863</v>
      </c>
      <c r="G962" s="1875"/>
      <c r="H962" s="1875"/>
      <c r="I962" s="753"/>
      <c r="S962" s="751"/>
    </row>
    <row r="963" spans="1:19" ht="18.75" customHeight="1">
      <c r="A963" s="1665" t="s">
        <v>1847</v>
      </c>
      <c r="B963" s="1666"/>
      <c r="C963" s="1666"/>
      <c r="D963" s="1667"/>
      <c r="E963" s="752"/>
      <c r="F963" s="1875" t="s">
        <v>1811</v>
      </c>
      <c r="G963" s="1875"/>
      <c r="H963" s="1875"/>
      <c r="I963" s="753">
        <v>38384</v>
      </c>
      <c r="S963" s="751"/>
    </row>
    <row r="964" spans="1:19" ht="18.75" customHeight="1">
      <c r="A964" s="1665"/>
      <c r="B964" s="1666"/>
      <c r="C964" s="1666"/>
      <c r="D964" s="1667"/>
      <c r="E964" s="752"/>
      <c r="F964" s="1875" t="s">
        <v>1814</v>
      </c>
      <c r="G964" s="1875"/>
      <c r="H964" s="1875"/>
      <c r="I964" s="753"/>
      <c r="S964" s="751"/>
    </row>
    <row r="965" spans="1:19" ht="18.75" customHeight="1">
      <c r="A965" s="1665"/>
      <c r="B965" s="1666"/>
      <c r="C965" s="1666"/>
      <c r="D965" s="1667"/>
      <c r="E965" s="752"/>
      <c r="F965" s="1875" t="s">
        <v>1858</v>
      </c>
      <c r="G965" s="1875"/>
      <c r="H965" s="1875"/>
      <c r="I965" s="753"/>
    </row>
    <row r="966" spans="1:19">
      <c r="A966" s="1665"/>
      <c r="B966" s="1666"/>
      <c r="C966" s="1666"/>
      <c r="D966" s="1667"/>
      <c r="E966" s="752"/>
      <c r="F966" s="1875" t="s">
        <v>1860</v>
      </c>
      <c r="G966" s="1875"/>
      <c r="H966" s="1875"/>
      <c r="I966" s="753"/>
    </row>
    <row r="967" spans="1:19">
      <c r="B967" s="1666"/>
      <c r="C967" s="1666"/>
      <c r="D967" s="1667"/>
      <c r="E967" s="752"/>
      <c r="F967" s="1875" t="s">
        <v>1850</v>
      </c>
      <c r="G967" s="1875"/>
      <c r="H967" s="1875"/>
    </row>
  </sheetData>
  <mergeCells count="163">
    <mergeCell ref="B417:I417"/>
    <mergeCell ref="B419:I419"/>
    <mergeCell ref="F967:H967"/>
    <mergeCell ref="B411:I411"/>
    <mergeCell ref="B413:I413"/>
    <mergeCell ref="B470:I470"/>
    <mergeCell ref="B441:I441"/>
    <mergeCell ref="B443:I443"/>
    <mergeCell ref="B445:I445"/>
    <mergeCell ref="B452:I452"/>
    <mergeCell ref="B415:I415"/>
    <mergeCell ref="B342:I342"/>
    <mergeCell ref="B347:I347"/>
    <mergeCell ref="B345:I345"/>
    <mergeCell ref="B352:I352"/>
    <mergeCell ref="B448:I448"/>
    <mergeCell ref="B372:I372"/>
    <mergeCell ref="B435:I435"/>
    <mergeCell ref="B437:I437"/>
    <mergeCell ref="B399:I399"/>
    <mergeCell ref="B449:I449"/>
    <mergeCell ref="B388:I388"/>
    <mergeCell ref="B391:I391"/>
    <mergeCell ref="B392:I392"/>
    <mergeCell ref="B394:I394"/>
    <mergeCell ref="B469:I469"/>
    <mergeCell ref="B455:I455"/>
    <mergeCell ref="B457:I457"/>
    <mergeCell ref="B459:I459"/>
    <mergeCell ref="B461:E461"/>
    <mergeCell ref="B334:I334"/>
    <mergeCell ref="B336:I336"/>
    <mergeCell ref="B338:I338"/>
    <mergeCell ref="B340:I340"/>
    <mergeCell ref="B366:I366"/>
    <mergeCell ref="B368:I368"/>
    <mergeCell ref="B362:I362"/>
    <mergeCell ref="B350:E350"/>
    <mergeCell ref="B361:I361"/>
    <mergeCell ref="B354:I354"/>
    <mergeCell ref="B462:I462"/>
    <mergeCell ref="B379:I379"/>
    <mergeCell ref="B401:I401"/>
    <mergeCell ref="B403:I403"/>
    <mergeCell ref="B409:I409"/>
    <mergeCell ref="B382:I382"/>
    <mergeCell ref="B395:I395"/>
    <mergeCell ref="B397:I397"/>
    <mergeCell ref="B423:I423"/>
    <mergeCell ref="B433:I433"/>
    <mergeCell ref="F962:H962"/>
    <mergeCell ref="B385:I385"/>
    <mergeCell ref="B384:I384"/>
    <mergeCell ref="B464:I464"/>
    <mergeCell ref="B465:I465"/>
    <mergeCell ref="B375:I375"/>
    <mergeCell ref="B427:I427"/>
    <mergeCell ref="B376:I376"/>
    <mergeCell ref="B381:I381"/>
    <mergeCell ref="B431:I431"/>
    <mergeCell ref="B425:I425"/>
    <mergeCell ref="B421:I421"/>
    <mergeCell ref="B429:I429"/>
    <mergeCell ref="F960:H960"/>
    <mergeCell ref="F959:H959"/>
    <mergeCell ref="F958:H958"/>
    <mergeCell ref="F957:H957"/>
    <mergeCell ref="F953:H953"/>
    <mergeCell ref="F954:H954"/>
    <mergeCell ref="F955:H955"/>
    <mergeCell ref="F961:H961"/>
    <mergeCell ref="F966:H966"/>
    <mergeCell ref="F965:H965"/>
    <mergeCell ref="F963:H963"/>
    <mergeCell ref="A101:E101"/>
    <mergeCell ref="A102:E102"/>
    <mergeCell ref="G855:G859"/>
    <mergeCell ref="F951:H951"/>
    <mergeCell ref="F952:H952"/>
    <mergeCell ref="F964:H964"/>
    <mergeCell ref="F956:H956"/>
    <mergeCell ref="A45:I45"/>
    <mergeCell ref="A49:I49"/>
    <mergeCell ref="A93:I93"/>
    <mergeCell ref="A130:I130"/>
    <mergeCell ref="A104:E104"/>
    <mergeCell ref="A105:E105"/>
    <mergeCell ref="A106:E106"/>
    <mergeCell ref="A107:E107"/>
    <mergeCell ref="A108:E108"/>
    <mergeCell ref="A99:I99"/>
    <mergeCell ref="A146:I146"/>
    <mergeCell ref="A109:E109"/>
    <mergeCell ref="A2:I2"/>
    <mergeCell ref="A3:I3"/>
    <mergeCell ref="A24:I24"/>
    <mergeCell ref="A25:I25"/>
    <mergeCell ref="A17:I17"/>
    <mergeCell ref="A98:I98"/>
    <mergeCell ref="A47:I47"/>
    <mergeCell ref="A135:I135"/>
    <mergeCell ref="A139:I139"/>
    <mergeCell ref="A142:I142"/>
    <mergeCell ref="A145:I145"/>
    <mergeCell ref="B153:I153"/>
    <mergeCell ref="A44:I44"/>
    <mergeCell ref="A103:E103"/>
    <mergeCell ref="A110:E110"/>
    <mergeCell ref="A111:E111"/>
    <mergeCell ref="A147:I147"/>
    <mergeCell ref="B154:I154"/>
    <mergeCell ref="B155:I155"/>
    <mergeCell ref="B149:I149"/>
    <mergeCell ref="B156:I156"/>
    <mergeCell ref="A157:I157"/>
    <mergeCell ref="B159:I159"/>
    <mergeCell ref="B152:I152"/>
    <mergeCell ref="A150:I150"/>
    <mergeCell ref="A213:I213"/>
    <mergeCell ref="A212:I212"/>
    <mergeCell ref="A214:I214"/>
    <mergeCell ref="B160:I160"/>
    <mergeCell ref="B161:I161"/>
    <mergeCell ref="B162:I162"/>
    <mergeCell ref="B163:I163"/>
    <mergeCell ref="A165:I165"/>
    <mergeCell ref="B174:I174"/>
    <mergeCell ref="A284:I284"/>
    <mergeCell ref="B295:D295"/>
    <mergeCell ref="B303:D303"/>
    <mergeCell ref="A176:I176"/>
    <mergeCell ref="A278:I278"/>
    <mergeCell ref="A281:I281"/>
    <mergeCell ref="A209:I209"/>
    <mergeCell ref="A223:I223"/>
    <mergeCell ref="A211:I211"/>
    <mergeCell ref="A210:I210"/>
    <mergeCell ref="B358:I358"/>
    <mergeCell ref="A215:I215"/>
    <mergeCell ref="A216:I216"/>
    <mergeCell ref="A222:I222"/>
    <mergeCell ref="A217:I217"/>
    <mergeCell ref="A218:I218"/>
    <mergeCell ref="B332:I332"/>
    <mergeCell ref="B333:I333"/>
    <mergeCell ref="A282:I282"/>
    <mergeCell ref="A283:I283"/>
    <mergeCell ref="O208:Q208"/>
    <mergeCell ref="O209:R209"/>
    <mergeCell ref="O210:R210"/>
    <mergeCell ref="O211:R211"/>
    <mergeCell ref="O212:R212"/>
    <mergeCell ref="O213:R213"/>
    <mergeCell ref="O223:R223"/>
    <mergeCell ref="O225:P225"/>
    <mergeCell ref="O226:P226"/>
    <mergeCell ref="O227:P227"/>
    <mergeCell ref="O214:R214"/>
    <mergeCell ref="O215:R215"/>
    <mergeCell ref="O216:R216"/>
    <mergeCell ref="O217:R217"/>
    <mergeCell ref="O218:R218"/>
    <mergeCell ref="O222:R222"/>
  </mergeCells>
  <pageMargins left="0.70866141732283472" right="0.70866141732283472" top="0.74803149606299213" bottom="0.74803149606299213" header="0.31496062992125984" footer="0.31496062992125984"/>
  <pageSetup paperSize="9" fitToWidth="0" fitToHeight="0" orientation="portrait" r:id="rId1"/>
  <headerFooter>
    <oddHeader>&amp;R&amp;"Times New Roman,Normal"&amp;K03+059CORAAMOCA</oddHeader>
    <oddFooter>&amp;L&amp;K00-048Informe de Auditoría Interna 2017&amp;R&amp;K00-048&amp;P</oddFooter>
  </headerFooter>
  <rowBreaks count="2" manualBreakCount="2">
    <brk id="37" max="16383" man="1"/>
    <brk id="12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1934"/>
  <sheetViews>
    <sheetView topLeftCell="A40" workbookViewId="0">
      <pane ySplit="3600" topLeftCell="A208" activePane="bottomLeft"/>
      <selection activeCell="C46" sqref="C46"/>
      <selection pane="bottomLeft" activeCell="C54" sqref="C54"/>
    </sheetView>
  </sheetViews>
  <sheetFormatPr baseColWidth="10" defaultColWidth="9.140625" defaultRowHeight="15"/>
  <cols>
    <col min="1" max="1" width="5.140625" customWidth="1"/>
    <col min="2" max="2" width="45.5703125" customWidth="1"/>
    <col min="3" max="3" width="16.140625" bestFit="1" customWidth="1"/>
    <col min="4" max="4" width="17.140625" customWidth="1"/>
    <col min="5" max="5" width="16.28515625" bestFit="1" customWidth="1"/>
    <col min="6" max="6" width="17" customWidth="1"/>
    <col min="7" max="7" width="15.28515625" customWidth="1"/>
    <col min="8" max="8" width="17.140625" customWidth="1"/>
    <col min="9" max="9" width="15.7109375" customWidth="1"/>
    <col min="10" max="10" width="15.28515625" customWidth="1"/>
    <col min="11" max="11" width="15.42578125" customWidth="1"/>
    <col min="12" max="12" width="15.85546875" customWidth="1"/>
    <col min="13" max="13" width="15.42578125" customWidth="1"/>
    <col min="14" max="14" width="14.5703125" customWidth="1"/>
    <col min="15" max="15" width="12.7109375" bestFit="1" customWidth="1"/>
  </cols>
  <sheetData>
    <row r="1" spans="1:15">
      <c r="B1" s="574" t="str">
        <f>BALANZA!B1</f>
        <v>CORPORACION DEL ACUEDUCTO Y ALCANTARILLADO DE MOCA</v>
      </c>
      <c r="N1" s="1895" t="str">
        <f>IPT!$F$5</f>
        <v>AUDITOR: JJSM</v>
      </c>
      <c r="O1" s="1895"/>
    </row>
    <row r="2" spans="1:15">
      <c r="B2" s="522" t="str">
        <f>BALANZA!B2</f>
        <v>Del Ejercicio terminado el  31 de marzo de 2026  y  2025</v>
      </c>
    </row>
    <row r="3" spans="1:15" ht="14.25" customHeight="1">
      <c r="B3" s="522"/>
    </row>
    <row r="4" spans="1:15" hidden="1">
      <c r="G4" s="961" t="s">
        <v>1532</v>
      </c>
    </row>
    <row r="5" spans="1:15" hidden="1">
      <c r="G5" s="961" t="s">
        <v>1533</v>
      </c>
    </row>
    <row r="6" spans="1:15" hidden="1">
      <c r="G6" s="961" t="s">
        <v>1531</v>
      </c>
    </row>
    <row r="7" spans="1:15">
      <c r="B7" s="397" t="s">
        <v>1490</v>
      </c>
      <c r="E7" s="397"/>
      <c r="F7" s="397"/>
    </row>
    <row r="8" spans="1:15">
      <c r="A8" s="961"/>
      <c r="B8" s="392"/>
      <c r="C8" s="961"/>
      <c r="G8" s="961"/>
      <c r="H8" s="961"/>
      <c r="I8" s="961"/>
    </row>
    <row r="9" spans="1:15" ht="22.5" customHeight="1">
      <c r="A9" s="961"/>
      <c r="B9" s="1886" t="s">
        <v>1464</v>
      </c>
      <c r="C9" s="1886"/>
      <c r="D9" s="1886"/>
      <c r="E9" s="539" t="s">
        <v>1355</v>
      </c>
      <c r="F9" s="538" t="str">
        <f>+IPT!C39</f>
        <v>EPI</v>
      </c>
      <c r="G9" s="529" t="str">
        <f>IF(C31=0,"Verificado","Pendiente")</f>
        <v>Verificado</v>
      </c>
      <c r="H9" s="961"/>
      <c r="I9" s="961"/>
    </row>
    <row r="10" spans="1:15" ht="21" customHeight="1">
      <c r="A10" s="961"/>
      <c r="B10" s="462" t="s">
        <v>1149</v>
      </c>
      <c r="C10" s="1880" t="s">
        <v>921</v>
      </c>
      <c r="D10" s="1880"/>
      <c r="E10" s="1896" t="s">
        <v>1213</v>
      </c>
      <c r="F10" s="1898" t="s">
        <v>1465</v>
      </c>
      <c r="G10" s="1900" t="s">
        <v>1466</v>
      </c>
      <c r="H10" s="961"/>
      <c r="I10" s="961"/>
    </row>
    <row r="11" spans="1:15">
      <c r="A11" s="961"/>
      <c r="B11" s="462" t="s">
        <v>1150</v>
      </c>
      <c r="C11" s="463">
        <f>BALANZA!B4</f>
        <v>2026</v>
      </c>
      <c r="D11" s="463">
        <f>BALANZA!C4</f>
        <v>2025</v>
      </c>
      <c r="E11" s="1897"/>
      <c r="F11" s="1899"/>
      <c r="G11" s="1901"/>
      <c r="H11" s="961"/>
      <c r="I11" s="961"/>
    </row>
    <row r="12" spans="1:15" ht="20.25" customHeight="1">
      <c r="A12" s="961"/>
      <c r="B12" s="194" t="str">
        <f>+'Pres A'!B289</f>
        <v>Transferencias Corrientes</v>
      </c>
      <c r="C12" s="213">
        <f>+'Pres A'!G289</f>
        <v>11979501</v>
      </c>
      <c r="D12" s="213">
        <f>+'Notas NF'!D494</f>
        <v>243333278.95999998</v>
      </c>
      <c r="E12" s="650">
        <f>+C12-D12</f>
        <v>-231353777.95999998</v>
      </c>
      <c r="F12" s="651">
        <f>IFERROR(E12/D12,0)</f>
        <v>-0.95076916297187108</v>
      </c>
      <c r="G12" s="449" t="s">
        <v>1428</v>
      </c>
      <c r="H12" s="961"/>
      <c r="I12" s="961"/>
    </row>
    <row r="13" spans="1:15" ht="20.25" customHeight="1">
      <c r="A13" s="961" t="s">
        <v>2707</v>
      </c>
      <c r="B13" s="194" t="str">
        <f>+'Pres A'!B290</f>
        <v>Transferencias Corrientes</v>
      </c>
      <c r="C13" s="213">
        <f>+'Pres A'!G290</f>
        <v>13885956</v>
      </c>
      <c r="D13" s="213">
        <f>+'Notas NF'!D496</f>
        <v>51161468</v>
      </c>
      <c r="E13" s="650">
        <f>+C13-D13</f>
        <v>-37275512</v>
      </c>
      <c r="F13" s="651">
        <f>IFERROR(E13/D13,0)</f>
        <v>-0.72858566138094394</v>
      </c>
      <c r="G13" s="449" t="s">
        <v>1428</v>
      </c>
      <c r="H13" s="961"/>
      <c r="I13" s="961"/>
      <c r="J13" s="961"/>
      <c r="K13" s="961"/>
    </row>
    <row r="14" spans="1:15" ht="20.25" customHeight="1">
      <c r="A14" s="961"/>
      <c r="B14" s="194" t="str">
        <f>+'Pres A'!B291</f>
        <v>Transferencias de Capital</v>
      </c>
      <c r="C14" s="213">
        <f>+'Pres A'!G291</f>
        <v>0</v>
      </c>
      <c r="D14" s="213"/>
      <c r="E14" s="650">
        <f>+C14-D14</f>
        <v>0</v>
      </c>
      <c r="F14" s="651">
        <f>IFERROR(E14/D14,0)</f>
        <v>0</v>
      </c>
      <c r="G14" s="449" t="s">
        <v>1428</v>
      </c>
      <c r="H14" s="961"/>
      <c r="I14" s="961"/>
      <c r="J14" s="961"/>
      <c r="K14" s="961"/>
    </row>
    <row r="15" spans="1:15" ht="35.25" customHeight="1">
      <c r="A15" s="961"/>
      <c r="B15" s="194" t="str">
        <f>+'Pres A'!B295:D295</f>
        <v>Ventas de Servicios del Estado de las Empresas Públicas no Financieras</v>
      </c>
      <c r="C15" s="213">
        <f>+'Pres A'!G295</f>
        <v>45032091.25</v>
      </c>
      <c r="D15" s="213">
        <f>+'Notas NF'!D479</f>
        <v>186511255.39000002</v>
      </c>
      <c r="E15" s="650">
        <f>+C15-D15</f>
        <v>-141479164.14000002</v>
      </c>
      <c r="F15" s="651">
        <f>IFERROR(E15/D15,0)</f>
        <v>-0.75855563699983308</v>
      </c>
      <c r="G15" s="449" t="s">
        <v>1428</v>
      </c>
      <c r="H15" s="961"/>
      <c r="I15" s="961"/>
      <c r="J15" s="961"/>
      <c r="K15" s="961"/>
    </row>
    <row r="16" spans="1:15" ht="24.75" customHeight="1">
      <c r="A16" s="961"/>
      <c r="B16" s="192" t="s">
        <v>1152</v>
      </c>
      <c r="C16" s="214">
        <f>SUM(C12:C15)</f>
        <v>70897548.25</v>
      </c>
      <c r="D16" s="214">
        <f>SUM(D12:D15)</f>
        <v>481006002.35000002</v>
      </c>
      <c r="E16" s="214">
        <f>SUM(E12:E15)</f>
        <v>-410108454.10000002</v>
      </c>
      <c r="F16" s="653">
        <f>IFERROR(E16/D16,0)</f>
        <v>-0.85260568911069012</v>
      </c>
      <c r="G16" s="597" t="s">
        <v>1428</v>
      </c>
      <c r="H16" s="961"/>
      <c r="I16" s="961"/>
      <c r="J16" s="961"/>
      <c r="K16" s="961"/>
    </row>
    <row r="17" spans="1:15">
      <c r="A17" s="961"/>
      <c r="B17" s="236"/>
      <c r="C17" s="237"/>
      <c r="D17" s="237"/>
      <c r="E17" s="237"/>
      <c r="G17" s="961"/>
      <c r="H17" s="961"/>
      <c r="I17" s="961"/>
      <c r="J17" s="961"/>
      <c r="K17" s="961"/>
    </row>
    <row r="18" spans="1:15" ht="15.75">
      <c r="A18" s="961"/>
      <c r="B18" s="1881" t="s">
        <v>1280</v>
      </c>
      <c r="C18" s="1882"/>
      <c r="D18" s="304" t="str">
        <f>IF(E18&gt;=0,"Aumento","Disminución")</f>
        <v>Disminución</v>
      </c>
      <c r="E18" s="228">
        <f>+E16/D16</f>
        <v>-0.85260568911069012</v>
      </c>
      <c r="G18" s="961"/>
      <c r="H18" s="961"/>
      <c r="I18" s="961"/>
      <c r="J18" s="961"/>
      <c r="K18" s="961"/>
    </row>
    <row r="19" spans="1:15" ht="15.75">
      <c r="A19" s="961"/>
      <c r="B19" s="150"/>
      <c r="E19" s="206"/>
      <c r="G19" s="961"/>
      <c r="H19" s="961"/>
      <c r="I19" s="961"/>
      <c r="J19" s="961"/>
      <c r="K19" s="961"/>
    </row>
    <row r="20" spans="1:15">
      <c r="A20" s="961"/>
      <c r="B20" s="961"/>
      <c r="C20" s="961"/>
      <c r="D20" s="961"/>
      <c r="E20" s="961"/>
      <c r="G20" s="961"/>
      <c r="H20" s="961"/>
      <c r="I20" s="961"/>
      <c r="J20" s="961"/>
      <c r="K20" s="961"/>
    </row>
    <row r="21" spans="1:15">
      <c r="A21" s="961"/>
      <c r="B21" s="961"/>
      <c r="C21" s="961"/>
      <c r="D21" s="961"/>
      <c r="E21" s="961"/>
      <c r="G21" s="961"/>
      <c r="H21" s="961"/>
      <c r="I21" s="961"/>
      <c r="J21" s="961"/>
      <c r="K21" s="961"/>
    </row>
    <row r="22" spans="1:15">
      <c r="A22" s="961"/>
      <c r="B22" s="482" t="s">
        <v>1467</v>
      </c>
      <c r="C22" s="482"/>
      <c r="D22" s="482"/>
      <c r="E22" s="961"/>
      <c r="G22" s="961"/>
      <c r="H22" s="961"/>
      <c r="I22" s="961"/>
      <c r="J22" s="961"/>
      <c r="K22" s="961"/>
    </row>
    <row r="23" spans="1:15" ht="21" customHeight="1">
      <c r="A23" s="961"/>
      <c r="B23" s="462"/>
      <c r="C23" s="1879">
        <f>C11</f>
        <v>2026</v>
      </c>
      <c r="D23" s="1880"/>
      <c r="E23" s="1880"/>
      <c r="F23" s="1880"/>
      <c r="G23" s="1880"/>
      <c r="H23" s="1880"/>
      <c r="I23" s="1880"/>
      <c r="J23" s="1880"/>
      <c r="K23" s="1880"/>
      <c r="L23" s="1880"/>
      <c r="M23" s="1880"/>
      <c r="N23" s="1880"/>
      <c r="O23" s="1880"/>
    </row>
    <row r="24" spans="1:15">
      <c r="A24" s="961"/>
      <c r="B24" s="462" t="s">
        <v>1149</v>
      </c>
      <c r="C24" s="463" t="s">
        <v>1415</v>
      </c>
      <c r="D24" s="463" t="s">
        <v>1418</v>
      </c>
      <c r="E24" s="463" t="s">
        <v>1434</v>
      </c>
      <c r="F24" s="463" t="s">
        <v>1435</v>
      </c>
      <c r="G24" s="463" t="s">
        <v>1436</v>
      </c>
      <c r="H24" s="463" t="s">
        <v>1437</v>
      </c>
      <c r="I24" s="463" t="s">
        <v>1438</v>
      </c>
      <c r="J24" s="463" t="s">
        <v>1439</v>
      </c>
      <c r="K24" s="463" t="s">
        <v>1440</v>
      </c>
      <c r="L24" s="463" t="s">
        <v>1441</v>
      </c>
      <c r="M24" s="463" t="s">
        <v>1410</v>
      </c>
      <c r="N24" s="463" t="s">
        <v>1411</v>
      </c>
      <c r="O24" s="463" t="s">
        <v>1412</v>
      </c>
    </row>
    <row r="25" spans="1:15" ht="21.75" customHeight="1">
      <c r="A25" s="961"/>
      <c r="B25" s="194" t="str">
        <f>+B12</f>
        <v>Transferencias Corrientes</v>
      </c>
      <c r="C25" s="629">
        <f>SUM(D25:O25)</f>
        <v>11979501</v>
      </c>
      <c r="D25" s="629">
        <f>+'19'!D25</f>
        <v>3993167</v>
      </c>
      <c r="E25" s="629">
        <f>+'19'!E25</f>
        <v>3993167</v>
      </c>
      <c r="F25" s="629">
        <f>+'19'!F25</f>
        <v>3993167</v>
      </c>
      <c r="G25" s="629">
        <f>+'19'!G25</f>
        <v>0</v>
      </c>
      <c r="H25" s="629">
        <f>+'19'!H25</f>
        <v>0</v>
      </c>
      <c r="I25" s="629">
        <f>+'19'!I25</f>
        <v>0</v>
      </c>
      <c r="J25" s="629">
        <f>+'19'!J25</f>
        <v>0</v>
      </c>
      <c r="K25" s="629">
        <f>+'19'!K25</f>
        <v>0</v>
      </c>
      <c r="L25" s="629">
        <f>+'19'!L25</f>
        <v>0</v>
      </c>
      <c r="M25" s="629">
        <f>+'19'!M25</f>
        <v>0</v>
      </c>
      <c r="N25" s="629">
        <f>+'19'!N25</f>
        <v>0</v>
      </c>
      <c r="O25" s="629">
        <f>+'19'!O25</f>
        <v>0</v>
      </c>
    </row>
    <row r="26" spans="1:15" ht="21.75" customHeight="1">
      <c r="A26" s="961" t="s">
        <v>2707</v>
      </c>
      <c r="B26" s="194" t="str">
        <f>+B13</f>
        <v>Transferencias Corrientes</v>
      </c>
      <c r="C26" s="629">
        <f>SUM(D26:O26)</f>
        <v>13885956</v>
      </c>
      <c r="D26" s="629">
        <f>+'19'!D27</f>
        <v>4628652</v>
      </c>
      <c r="E26" s="629">
        <f>+'19'!E27</f>
        <v>4628652</v>
      </c>
      <c r="F26" s="629">
        <f>+'19'!F27</f>
        <v>4628652</v>
      </c>
      <c r="G26" s="629">
        <f>+'19'!G27</f>
        <v>0</v>
      </c>
      <c r="H26" s="629">
        <f>+'19'!H27</f>
        <v>0</v>
      </c>
      <c r="I26" s="629">
        <f>+'19'!I27</f>
        <v>0</v>
      </c>
      <c r="J26" s="629">
        <f>+'19'!J27</f>
        <v>0</v>
      </c>
      <c r="K26" s="629">
        <f>+'19'!K27</f>
        <v>0</v>
      </c>
      <c r="L26" s="629">
        <f>+'19'!L27</f>
        <v>0</v>
      </c>
      <c r="M26" s="629">
        <f>+'19'!M27</f>
        <v>0</v>
      </c>
      <c r="N26" s="629">
        <f>+'19'!N27</f>
        <v>0</v>
      </c>
      <c r="O26" s="629">
        <f>+'19'!O27</f>
        <v>0</v>
      </c>
    </row>
    <row r="27" spans="1:15" ht="21.75" customHeight="1">
      <c r="A27" s="961"/>
      <c r="B27" s="194" t="str">
        <f>+B14</f>
        <v>Transferencias de Capital</v>
      </c>
      <c r="C27" s="629">
        <f>SUM(D27:O27)</f>
        <v>0</v>
      </c>
      <c r="D27" s="629">
        <f>+'19'!D26</f>
        <v>0</v>
      </c>
      <c r="E27" s="629">
        <f>+'19'!E26</f>
        <v>0</v>
      </c>
      <c r="F27" s="629">
        <f>+'19'!F26</f>
        <v>0</v>
      </c>
      <c r="G27" s="629">
        <f>+'19'!G26</f>
        <v>0</v>
      </c>
      <c r="H27" s="629">
        <f>+'19'!H26</f>
        <v>0</v>
      </c>
      <c r="I27" s="629">
        <f>+'19'!I26</f>
        <v>0</v>
      </c>
      <c r="J27" s="629">
        <f>+'19'!J26</f>
        <v>0</v>
      </c>
      <c r="K27" s="629">
        <f>+'19'!K26</f>
        <v>0</v>
      </c>
      <c r="L27" s="629">
        <f>+'19'!L26</f>
        <v>0</v>
      </c>
      <c r="M27" s="629">
        <f>+'19'!M26</f>
        <v>0</v>
      </c>
      <c r="N27" s="629">
        <f>+'19'!N26</f>
        <v>0</v>
      </c>
      <c r="O27" s="629">
        <f>+'19'!O26</f>
        <v>0</v>
      </c>
    </row>
    <row r="28" spans="1:15" ht="30.75" customHeight="1">
      <c r="A28" s="961"/>
      <c r="B28" s="194" t="str">
        <f>+B15</f>
        <v>Ventas de Servicios del Estado de las Empresas Públicas no Financieras</v>
      </c>
      <c r="C28" s="629">
        <f>SUM(D28:O28)</f>
        <v>45032091.25</v>
      </c>
      <c r="D28" s="629">
        <f>+'19'!D28</f>
        <v>14809357.609999999</v>
      </c>
      <c r="E28" s="629">
        <f>+'19'!E28</f>
        <v>11120286.07</v>
      </c>
      <c r="F28" s="629">
        <f>+'19'!F28</f>
        <v>19102447.57</v>
      </c>
      <c r="G28" s="629">
        <f>+'19'!G28</f>
        <v>0</v>
      </c>
      <c r="H28" s="629">
        <f>+'19'!H28</f>
        <v>0</v>
      </c>
      <c r="I28" s="629">
        <f>+'19'!I28</f>
        <v>0</v>
      </c>
      <c r="J28" s="629">
        <f>+'19'!J28</f>
        <v>0</v>
      </c>
      <c r="K28" s="629">
        <f>+'19'!K28</f>
        <v>0</v>
      </c>
      <c r="L28" s="629">
        <f>+'19'!L28</f>
        <v>0</v>
      </c>
      <c r="M28" s="629">
        <f>+'19'!M28</f>
        <v>0</v>
      </c>
      <c r="N28" s="629">
        <f>+'19'!N28</f>
        <v>0</v>
      </c>
      <c r="O28" s="629">
        <f>+'19'!O28</f>
        <v>0</v>
      </c>
    </row>
    <row r="29" spans="1:15">
      <c r="A29" s="961"/>
      <c r="B29" s="632" t="s">
        <v>1152</v>
      </c>
      <c r="C29" s="633">
        <f>SUM(C25:C28)</f>
        <v>70897548.25</v>
      </c>
      <c r="D29" s="634">
        <f>SUM(D25:D28)</f>
        <v>23431176.609999999</v>
      </c>
      <c r="E29" s="634">
        <f t="shared" ref="E29:O29" si="0">SUM(E25:E28)</f>
        <v>19742105.07</v>
      </c>
      <c r="F29" s="634">
        <f t="shared" si="0"/>
        <v>27724266.57</v>
      </c>
      <c r="G29" s="634">
        <f t="shared" si="0"/>
        <v>0</v>
      </c>
      <c r="H29" s="634">
        <f t="shared" si="0"/>
        <v>0</v>
      </c>
      <c r="I29" s="634">
        <f t="shared" si="0"/>
        <v>0</v>
      </c>
      <c r="J29" s="634">
        <f t="shared" si="0"/>
        <v>0</v>
      </c>
      <c r="K29" s="634">
        <f t="shared" si="0"/>
        <v>0</v>
      </c>
      <c r="L29" s="634">
        <f t="shared" si="0"/>
        <v>0</v>
      </c>
      <c r="M29" s="634">
        <f t="shared" si="0"/>
        <v>0</v>
      </c>
      <c r="N29" s="634">
        <f t="shared" si="0"/>
        <v>0</v>
      </c>
      <c r="O29" s="634">
        <f t="shared" si="0"/>
        <v>0</v>
      </c>
    </row>
    <row r="30" spans="1:15">
      <c r="A30" s="961"/>
      <c r="B30" s="483"/>
      <c r="C30" s="484"/>
      <c r="D30" s="484"/>
      <c r="E30" s="961"/>
      <c r="F30" s="961"/>
      <c r="G30" s="961"/>
    </row>
    <row r="31" spans="1:15">
      <c r="A31" s="961"/>
      <c r="B31" s="485" t="s">
        <v>1406</v>
      </c>
      <c r="C31" s="486">
        <f>C29-C16</f>
        <v>0</v>
      </c>
      <c r="D31" s="11">
        <f>+D29</f>
        <v>23431176.609999999</v>
      </c>
      <c r="E31" s="11">
        <f>+D31+E29</f>
        <v>43173281.68</v>
      </c>
      <c r="F31" s="11">
        <f t="shared" ref="F31:O31" si="1">+E31+F29</f>
        <v>70897548.25</v>
      </c>
      <c r="G31" s="11">
        <f t="shared" si="1"/>
        <v>70897548.25</v>
      </c>
      <c r="H31" s="11">
        <f t="shared" si="1"/>
        <v>70897548.25</v>
      </c>
      <c r="I31" s="11">
        <f t="shared" si="1"/>
        <v>70897548.25</v>
      </c>
      <c r="J31" s="11">
        <f t="shared" si="1"/>
        <v>70897548.25</v>
      </c>
      <c r="K31" s="11">
        <f t="shared" si="1"/>
        <v>70897548.25</v>
      </c>
      <c r="L31" s="11">
        <f t="shared" si="1"/>
        <v>70897548.25</v>
      </c>
      <c r="M31" s="11">
        <f t="shared" si="1"/>
        <v>70897548.25</v>
      </c>
      <c r="N31" s="11">
        <f t="shared" si="1"/>
        <v>70897548.25</v>
      </c>
      <c r="O31" s="11">
        <f t="shared" si="1"/>
        <v>70897548.25</v>
      </c>
    </row>
    <row r="32" spans="1:15">
      <c r="A32" s="961"/>
      <c r="B32" s="393"/>
      <c r="C32" s="450" t="str">
        <f>IF(C31=0,m!$B$7,m!$B$11)</f>
        <v>P</v>
      </c>
    </row>
    <row r="33" spans="1:11" ht="18.75" customHeight="1">
      <c r="A33" s="961"/>
      <c r="B33" s="961"/>
      <c r="C33" s="961"/>
      <c r="D33" s="961"/>
      <c r="E33" s="961"/>
    </row>
    <row r="34" spans="1:11" s="961" customFormat="1"/>
    <row r="35" spans="1:11">
      <c r="A35" s="961"/>
      <c r="B35" s="961"/>
      <c r="C35" s="961"/>
      <c r="D35" s="961"/>
      <c r="E35" s="961"/>
      <c r="F35" s="961"/>
      <c r="G35" s="961"/>
      <c r="H35" s="961"/>
      <c r="I35" s="961"/>
    </row>
    <row r="36" spans="1:11">
      <c r="B36" s="397" t="s">
        <v>2708</v>
      </c>
      <c r="E36" s="397"/>
      <c r="F36" s="397"/>
    </row>
    <row r="37" spans="1:11">
      <c r="A37" s="961"/>
      <c r="B37" s="392"/>
      <c r="C37" s="961"/>
      <c r="G37" s="961"/>
      <c r="H37" s="961"/>
      <c r="I37" s="961"/>
    </row>
    <row r="38" spans="1:11" ht="22.5" customHeight="1">
      <c r="A38" s="961"/>
      <c r="B38" s="1886" t="s">
        <v>1464</v>
      </c>
      <c r="C38" s="1886"/>
      <c r="D38" s="1886"/>
      <c r="E38" s="539" t="s">
        <v>1355</v>
      </c>
      <c r="F38" s="538" t="str">
        <f>+IPT!C40</f>
        <v>EPG</v>
      </c>
      <c r="G38" s="529" t="str">
        <f ca="1">IF(C60=0,"Verificado","Pendiente")</f>
        <v>Verificado</v>
      </c>
      <c r="H38" s="961"/>
      <c r="I38" s="961"/>
    </row>
    <row r="39" spans="1:11" ht="21" customHeight="1">
      <c r="A39" s="961"/>
      <c r="B39" s="462" t="s">
        <v>1149</v>
      </c>
      <c r="C39" s="1880" t="s">
        <v>921</v>
      </c>
      <c r="D39" s="1880"/>
      <c r="E39" s="1896" t="s">
        <v>1213</v>
      </c>
      <c r="F39" s="1898" t="s">
        <v>1465</v>
      </c>
      <c r="G39" s="1900" t="s">
        <v>1466</v>
      </c>
      <c r="H39" s="961"/>
      <c r="I39" s="961"/>
    </row>
    <row r="40" spans="1:11">
      <c r="A40" s="961"/>
      <c r="B40" s="462" t="s">
        <v>1150</v>
      </c>
      <c r="C40" s="463">
        <f>+BALANZA!B4</f>
        <v>2026</v>
      </c>
      <c r="D40" s="463">
        <f>+BALANZA!C4</f>
        <v>2025</v>
      </c>
      <c r="E40" s="1897"/>
      <c r="F40" s="1899"/>
      <c r="G40" s="1901"/>
      <c r="H40" s="961"/>
      <c r="I40" s="400"/>
    </row>
    <row r="41" spans="1:11" ht="18.75" customHeight="1">
      <c r="A41" s="961"/>
      <c r="B41" s="194" t="str">
        <f>+'Pres A'!B309</f>
        <v>Servisios Personales</v>
      </c>
      <c r="C41" s="213">
        <f ca="1">+'Pres A'!G309</f>
        <v>46820324.450000003</v>
      </c>
      <c r="D41" s="213">
        <v>0</v>
      </c>
      <c r="E41" s="650">
        <f ca="1">+C41-D41</f>
        <v>46820324.450000003</v>
      </c>
      <c r="F41" s="651">
        <f t="shared" ref="F41:F46" ca="1" si="2">IFERROR(E41/D41,0)</f>
        <v>0</v>
      </c>
      <c r="G41" s="449" t="s">
        <v>1428</v>
      </c>
      <c r="H41" s="961"/>
      <c r="I41" s="400">
        <f ca="1">+C41-C67</f>
        <v>37832627.160000004</v>
      </c>
      <c r="J41" s="11"/>
    </row>
    <row r="42" spans="1:11" ht="18.75" customHeight="1">
      <c r="A42" s="961"/>
      <c r="B42" s="194" t="str">
        <f>+'Pres A'!B310</f>
        <v>Servisios no Personales</v>
      </c>
      <c r="C42" s="213">
        <f ca="1">+'Pres A'!G310</f>
        <v>19066058.669999998</v>
      </c>
      <c r="D42" s="213">
        <v>0</v>
      </c>
      <c r="E42" s="650">
        <f ca="1">+C42-D42</f>
        <v>19066058.669999998</v>
      </c>
      <c r="F42" s="651">
        <f t="shared" ca="1" si="2"/>
        <v>0</v>
      </c>
      <c r="G42" s="449" t="s">
        <v>1428</v>
      </c>
      <c r="H42" s="961"/>
      <c r="I42" s="400">
        <f ca="1">+C43-C133</f>
        <v>92622.949999999255</v>
      </c>
      <c r="J42" s="11"/>
      <c r="K42" s="961"/>
    </row>
    <row r="43" spans="1:11" ht="18.75" customHeight="1">
      <c r="A43" s="961"/>
      <c r="B43" s="194" t="str">
        <f>+'Pres A'!B311</f>
        <v>Materiales y Suministro</v>
      </c>
      <c r="C43" s="213">
        <f ca="1">+'Pres A'!G311</f>
        <v>3050722.9899999993</v>
      </c>
      <c r="D43" s="213">
        <v>0</v>
      </c>
      <c r="E43" s="650">
        <f ca="1">+C43-D43</f>
        <v>3050722.9899999993</v>
      </c>
      <c r="F43" s="651">
        <f t="shared" ca="1" si="2"/>
        <v>0</v>
      </c>
      <c r="G43" s="449" t="s">
        <v>1428</v>
      </c>
      <c r="H43" s="961"/>
      <c r="I43" s="400">
        <f ca="1">+C42-C92</f>
        <v>178341.98000000045</v>
      </c>
      <c r="J43" s="11"/>
      <c r="K43" s="961"/>
    </row>
    <row r="44" spans="1:11" ht="18.75" customHeight="1">
      <c r="A44" s="961"/>
      <c r="B44" s="194" t="str">
        <f>+'Pres A'!B312</f>
        <v>Transferencias corrientes</v>
      </c>
      <c r="C44" s="213">
        <f ca="1">+'Pres A'!G312</f>
        <v>0</v>
      </c>
      <c r="D44" s="213">
        <v>0</v>
      </c>
      <c r="E44" s="650">
        <f ca="1">+C44-D44</f>
        <v>0</v>
      </c>
      <c r="F44" s="651">
        <f t="shared" ca="1" si="2"/>
        <v>0</v>
      </c>
      <c r="G44" s="449" t="s">
        <v>1428</v>
      </c>
      <c r="H44" s="961"/>
      <c r="I44" s="11">
        <f ca="1">+C44-C174</f>
        <v>0</v>
      </c>
      <c r="J44" s="11"/>
      <c r="K44" s="961"/>
    </row>
    <row r="45" spans="1:11" ht="18.75" customHeight="1">
      <c r="A45" s="961"/>
      <c r="B45" s="194" t="str">
        <f>+'Pres A'!B314</f>
        <v>Obras</v>
      </c>
      <c r="C45" s="213">
        <f ca="1">+'Pres A'!G314</f>
        <v>5541311.1799999997</v>
      </c>
      <c r="D45" s="213">
        <v>0</v>
      </c>
      <c r="E45" s="650">
        <f ca="1">+C45-D45</f>
        <v>5541311.1799999997</v>
      </c>
      <c r="F45" s="651">
        <f t="shared" ca="1" si="2"/>
        <v>0</v>
      </c>
      <c r="G45" s="449" t="s">
        <v>1428</v>
      </c>
      <c r="H45" s="961"/>
      <c r="I45" s="400">
        <f ca="1">+C45-C180</f>
        <v>0</v>
      </c>
      <c r="J45" s="11"/>
      <c r="K45" s="961"/>
    </row>
    <row r="46" spans="1:11" ht="24.75" customHeight="1">
      <c r="A46" s="961"/>
      <c r="B46" s="192" t="s">
        <v>1152</v>
      </c>
      <c r="C46" s="214">
        <f ca="1">SUM(C41:C45)</f>
        <v>74478417.289999992</v>
      </c>
      <c r="D46" s="214">
        <f>SUM(D41:D45)</f>
        <v>0</v>
      </c>
      <c r="E46" s="214">
        <f ca="1">SUM(E41:E45)</f>
        <v>74478417.289999992</v>
      </c>
      <c r="F46" s="653">
        <f t="shared" ca="1" si="2"/>
        <v>0</v>
      </c>
      <c r="G46" s="597" t="s">
        <v>1428</v>
      </c>
      <c r="H46" s="961"/>
      <c r="I46" s="961"/>
      <c r="J46" s="961"/>
      <c r="K46" s="961"/>
    </row>
    <row r="47" spans="1:11">
      <c r="A47" s="961"/>
      <c r="B47" s="236"/>
      <c r="C47" s="237"/>
      <c r="D47" s="237"/>
      <c r="E47" s="237"/>
      <c r="G47" s="961"/>
      <c r="H47" s="961"/>
      <c r="I47" s="961"/>
      <c r="J47" s="961"/>
      <c r="K47" s="961"/>
    </row>
    <row r="48" spans="1:11" ht="15.75">
      <c r="A48" s="961"/>
      <c r="B48" s="1881" t="s">
        <v>2870</v>
      </c>
      <c r="C48" s="1882"/>
      <c r="D48" s="304" t="str">
        <f ca="1">IF(E48&gt;=0,"Aumento","Disminución")</f>
        <v>Aumento</v>
      </c>
      <c r="E48" s="228">
        <f ca="1">IFERROR((+E46/D46),0)</f>
        <v>0</v>
      </c>
      <c r="G48" s="961"/>
      <c r="H48" s="961"/>
      <c r="I48" s="961"/>
      <c r="J48" s="961"/>
      <c r="K48" s="961"/>
    </row>
    <row r="49" spans="1:15" ht="15.75">
      <c r="A49" s="961"/>
      <c r="B49" s="150"/>
      <c r="E49" s="206"/>
      <c r="G49" s="961"/>
      <c r="H49" s="961"/>
      <c r="I49" s="961"/>
      <c r="J49" s="961"/>
      <c r="K49" s="961"/>
    </row>
    <row r="50" spans="1:15">
      <c r="A50" s="961"/>
      <c r="B50" s="482" t="s">
        <v>1467</v>
      </c>
      <c r="C50" s="482"/>
      <c r="D50" s="482"/>
      <c r="E50" s="961"/>
      <c r="G50" s="961"/>
      <c r="H50" s="961"/>
      <c r="I50" s="961"/>
      <c r="J50" s="961"/>
      <c r="K50" s="961"/>
    </row>
    <row r="51" spans="1:15" ht="21" customHeight="1">
      <c r="A51" s="961"/>
      <c r="B51" s="462"/>
      <c r="C51" s="1879" t="str">
        <f>C39</f>
        <v>AÑOS</v>
      </c>
      <c r="D51" s="1880"/>
      <c r="E51" s="1880"/>
      <c r="F51" s="1880"/>
      <c r="G51" s="1880"/>
      <c r="H51" s="1880"/>
      <c r="I51" s="1880"/>
      <c r="J51" s="1880"/>
      <c r="K51" s="1880"/>
      <c r="L51" s="1880"/>
      <c r="M51" s="1880"/>
      <c r="N51" s="1880"/>
      <c r="O51" s="1880"/>
    </row>
    <row r="52" spans="1:15">
      <c r="A52" s="961"/>
      <c r="B52" s="462" t="s">
        <v>1149</v>
      </c>
      <c r="C52" s="463" t="s">
        <v>1415</v>
      </c>
      <c r="D52" s="463" t="s">
        <v>1418</v>
      </c>
      <c r="E52" s="463" t="s">
        <v>1434</v>
      </c>
      <c r="F52" s="463" t="s">
        <v>1435</v>
      </c>
      <c r="G52" s="463" t="s">
        <v>1436</v>
      </c>
      <c r="H52" s="463" t="s">
        <v>1437</v>
      </c>
      <c r="I52" s="463" t="s">
        <v>1438</v>
      </c>
      <c r="J52" s="463" t="s">
        <v>1439</v>
      </c>
      <c r="K52" s="463" t="s">
        <v>1440</v>
      </c>
      <c r="L52" s="463" t="s">
        <v>1441</v>
      </c>
      <c r="M52" s="463" t="s">
        <v>1410</v>
      </c>
      <c r="N52" s="463" t="s">
        <v>1411</v>
      </c>
      <c r="O52" s="463" t="s">
        <v>1412</v>
      </c>
    </row>
    <row r="53" spans="1:15" ht="21.75" customHeight="1">
      <c r="A53" s="961"/>
      <c r="B53" s="194" t="str">
        <f>+B41</f>
        <v>Servisios Personales</v>
      </c>
      <c r="C53" s="629">
        <f ca="1">SUM(D53:O53)</f>
        <v>8987697.2899999991</v>
      </c>
      <c r="D53" s="629">
        <f ca="1">+D67</f>
        <v>0</v>
      </c>
      <c r="E53" s="629">
        <f t="shared" ref="E53:O53" ca="1" si="3">+E67</f>
        <v>5068683.43</v>
      </c>
      <c r="F53" s="629">
        <f t="shared" ca="1" si="3"/>
        <v>3919013.86</v>
      </c>
      <c r="G53" s="629">
        <f t="shared" ca="1" si="3"/>
        <v>0</v>
      </c>
      <c r="H53" s="629">
        <f t="shared" ca="1" si="3"/>
        <v>0</v>
      </c>
      <c r="I53" s="629">
        <f t="shared" ca="1" si="3"/>
        <v>0</v>
      </c>
      <c r="J53" s="629">
        <f t="shared" ca="1" si="3"/>
        <v>0</v>
      </c>
      <c r="K53" s="629">
        <f t="shared" ca="1" si="3"/>
        <v>0</v>
      </c>
      <c r="L53" s="629">
        <f t="shared" ca="1" si="3"/>
        <v>0</v>
      </c>
      <c r="M53" s="629">
        <f t="shared" ca="1" si="3"/>
        <v>0</v>
      </c>
      <c r="N53" s="629">
        <f t="shared" ca="1" si="3"/>
        <v>0</v>
      </c>
      <c r="O53" s="629">
        <f t="shared" ca="1" si="3"/>
        <v>0</v>
      </c>
    </row>
    <row r="54" spans="1:15" ht="21.75" customHeight="1">
      <c r="A54" s="961" t="s">
        <v>2707</v>
      </c>
      <c r="B54" s="194" t="str">
        <f>+B42</f>
        <v>Servisios no Personales</v>
      </c>
      <c r="C54" s="629">
        <f ca="1">SUM(D54:O54)</f>
        <v>18887716.690000001</v>
      </c>
      <c r="D54" s="629">
        <f ca="1">+D92</f>
        <v>5260498.1300000008</v>
      </c>
      <c r="E54" s="629">
        <f t="shared" ref="E54:O54" ca="1" si="4">+E92</f>
        <v>4825405.4399999995</v>
      </c>
      <c r="F54" s="629">
        <f t="shared" ca="1" si="4"/>
        <v>8801813.120000001</v>
      </c>
      <c r="G54" s="629">
        <f t="shared" ca="1" si="4"/>
        <v>0</v>
      </c>
      <c r="H54" s="629">
        <f t="shared" ca="1" si="4"/>
        <v>0</v>
      </c>
      <c r="I54" s="629">
        <f t="shared" ca="1" si="4"/>
        <v>0</v>
      </c>
      <c r="J54" s="629">
        <f t="shared" ca="1" si="4"/>
        <v>0</v>
      </c>
      <c r="K54" s="629">
        <f t="shared" ca="1" si="4"/>
        <v>0</v>
      </c>
      <c r="L54" s="629">
        <f t="shared" ca="1" si="4"/>
        <v>0</v>
      </c>
      <c r="M54" s="629">
        <f t="shared" ca="1" si="4"/>
        <v>0</v>
      </c>
      <c r="N54" s="629">
        <f t="shared" ca="1" si="4"/>
        <v>0</v>
      </c>
      <c r="O54" s="629">
        <f t="shared" ca="1" si="4"/>
        <v>0</v>
      </c>
    </row>
    <row r="55" spans="1:15" ht="21.75" customHeight="1">
      <c r="A55" s="961"/>
      <c r="B55" s="194" t="str">
        <f>+B43</f>
        <v>Materiales y Suministro</v>
      </c>
      <c r="C55" s="629">
        <f ca="1">SUM(D55:O55)</f>
        <v>2958100.0399999996</v>
      </c>
      <c r="D55" s="629">
        <f ca="1">+D133</f>
        <v>21623.83</v>
      </c>
      <c r="E55" s="629">
        <f t="shared" ref="E55:O55" ca="1" si="5">+E133</f>
        <v>716093.82000000007</v>
      </c>
      <c r="F55" s="629">
        <f t="shared" ca="1" si="5"/>
        <v>2220382.3899999997</v>
      </c>
      <c r="G55" s="629">
        <f t="shared" ca="1" si="5"/>
        <v>0</v>
      </c>
      <c r="H55" s="629">
        <f t="shared" ca="1" si="5"/>
        <v>0</v>
      </c>
      <c r="I55" s="629">
        <f t="shared" ca="1" si="5"/>
        <v>0</v>
      </c>
      <c r="J55" s="629">
        <f t="shared" ca="1" si="5"/>
        <v>0</v>
      </c>
      <c r="K55" s="629">
        <f t="shared" ca="1" si="5"/>
        <v>0</v>
      </c>
      <c r="L55" s="629">
        <f t="shared" ca="1" si="5"/>
        <v>0</v>
      </c>
      <c r="M55" s="629">
        <f t="shared" ca="1" si="5"/>
        <v>0</v>
      </c>
      <c r="N55" s="629">
        <f t="shared" ca="1" si="5"/>
        <v>0</v>
      </c>
      <c r="O55" s="629">
        <f t="shared" ca="1" si="5"/>
        <v>0</v>
      </c>
    </row>
    <row r="56" spans="1:15" ht="21.75" customHeight="1">
      <c r="A56" s="961"/>
      <c r="B56" s="194" t="str">
        <f>+B44</f>
        <v>Transferencias corrientes</v>
      </c>
      <c r="C56" s="629">
        <f ca="1">SUM(D56:O56)</f>
        <v>0</v>
      </c>
      <c r="D56" s="629">
        <f ca="1">+D174</f>
        <v>0</v>
      </c>
      <c r="E56" s="629">
        <f t="shared" ref="E56:O56" ca="1" si="6">+E174</f>
        <v>0</v>
      </c>
      <c r="F56" s="629">
        <f t="shared" ca="1" si="6"/>
        <v>0</v>
      </c>
      <c r="G56" s="629">
        <f t="shared" ca="1" si="6"/>
        <v>0</v>
      </c>
      <c r="H56" s="629">
        <f t="shared" ca="1" si="6"/>
        <v>0</v>
      </c>
      <c r="I56" s="629">
        <f t="shared" ca="1" si="6"/>
        <v>0</v>
      </c>
      <c r="J56" s="629">
        <f t="shared" ca="1" si="6"/>
        <v>0</v>
      </c>
      <c r="K56" s="629">
        <f t="shared" ca="1" si="6"/>
        <v>0</v>
      </c>
      <c r="L56" s="629">
        <f t="shared" ca="1" si="6"/>
        <v>0</v>
      </c>
      <c r="M56" s="629">
        <f t="shared" ca="1" si="6"/>
        <v>0</v>
      </c>
      <c r="N56" s="629">
        <f t="shared" ca="1" si="6"/>
        <v>0</v>
      </c>
      <c r="O56" s="629">
        <f t="shared" ca="1" si="6"/>
        <v>0</v>
      </c>
    </row>
    <row r="57" spans="1:15" ht="30.75" customHeight="1">
      <c r="A57" s="961"/>
      <c r="B57" s="194" t="str">
        <f>+B45</f>
        <v>Obras</v>
      </c>
      <c r="C57" s="629">
        <f ca="1">SUM(D57:O57)</f>
        <v>5541311.1799999997</v>
      </c>
      <c r="D57" s="629">
        <f ca="1">+D180</f>
        <v>0</v>
      </c>
      <c r="E57" s="629">
        <f t="shared" ref="E57:O57" ca="1" si="7">+E180</f>
        <v>0</v>
      </c>
      <c r="F57" s="629">
        <f t="shared" ca="1" si="7"/>
        <v>5541311.1799999997</v>
      </c>
      <c r="G57" s="629">
        <f t="shared" ca="1" si="7"/>
        <v>0</v>
      </c>
      <c r="H57" s="629">
        <f t="shared" ca="1" si="7"/>
        <v>0</v>
      </c>
      <c r="I57" s="629">
        <f t="shared" ca="1" si="7"/>
        <v>0</v>
      </c>
      <c r="J57" s="629">
        <f t="shared" ca="1" si="7"/>
        <v>0</v>
      </c>
      <c r="K57" s="629">
        <f t="shared" ca="1" si="7"/>
        <v>0</v>
      </c>
      <c r="L57" s="629">
        <f t="shared" ca="1" si="7"/>
        <v>0</v>
      </c>
      <c r="M57" s="629">
        <f t="shared" ca="1" si="7"/>
        <v>0</v>
      </c>
      <c r="N57" s="629">
        <f t="shared" ca="1" si="7"/>
        <v>0</v>
      </c>
      <c r="O57" s="629">
        <f t="shared" ca="1" si="7"/>
        <v>0</v>
      </c>
    </row>
    <row r="58" spans="1:15">
      <c r="A58" s="961"/>
      <c r="B58" s="632" t="s">
        <v>2800</v>
      </c>
      <c r="C58" s="633">
        <f ca="1">SUM(C53:C57)</f>
        <v>36374825.200000003</v>
      </c>
      <c r="D58" s="634">
        <f ca="1">SUM(D53:D57)</f>
        <v>5282121.9600000009</v>
      </c>
      <c r="E58" s="634">
        <f t="shared" ref="E58:O58" ca="1" si="8">SUM(E53:E57)</f>
        <v>10610182.689999999</v>
      </c>
      <c r="F58" s="634">
        <f t="shared" ca="1" si="8"/>
        <v>20482520.550000001</v>
      </c>
      <c r="G58" s="634">
        <f t="shared" ca="1" si="8"/>
        <v>0</v>
      </c>
      <c r="H58" s="634">
        <f t="shared" ca="1" si="8"/>
        <v>0</v>
      </c>
      <c r="I58" s="634">
        <f t="shared" ca="1" si="8"/>
        <v>0</v>
      </c>
      <c r="J58" s="634">
        <f t="shared" ca="1" si="8"/>
        <v>0</v>
      </c>
      <c r="K58" s="634">
        <f t="shared" ca="1" si="8"/>
        <v>0</v>
      </c>
      <c r="L58" s="634">
        <f t="shared" ca="1" si="8"/>
        <v>0</v>
      </c>
      <c r="M58" s="634">
        <f t="shared" ca="1" si="8"/>
        <v>0</v>
      </c>
      <c r="N58" s="634">
        <f t="shared" ca="1" si="8"/>
        <v>0</v>
      </c>
      <c r="O58" s="634">
        <f t="shared" ca="1" si="8"/>
        <v>0</v>
      </c>
    </row>
    <row r="59" spans="1:15">
      <c r="A59" s="961"/>
      <c r="B59" s="483"/>
      <c r="C59" s="484"/>
      <c r="D59" s="484"/>
      <c r="E59" s="961"/>
      <c r="F59" s="961"/>
      <c r="G59" s="961"/>
    </row>
    <row r="60" spans="1:15">
      <c r="A60" s="961"/>
      <c r="B60" s="485" t="s">
        <v>1406</v>
      </c>
      <c r="C60" s="486">
        <f ca="1">+C58-C197</f>
        <v>0</v>
      </c>
      <c r="D60" s="733">
        <f ca="1">SUM(DE!T15:T117)</f>
        <v>355017.43</v>
      </c>
      <c r="E60" s="733">
        <f ca="1">SUM(DE!U15:U117)</f>
        <v>5473719.9500000002</v>
      </c>
      <c r="F60" s="733">
        <f ca="1">SUM(DE!V15:V117)</f>
        <v>15665515.769999998</v>
      </c>
      <c r="G60" s="733">
        <f ca="1">SUM(DE!W15:W117)</f>
        <v>0</v>
      </c>
      <c r="H60" s="733">
        <f ca="1">SUM(DE!X15:X117)</f>
        <v>0</v>
      </c>
      <c r="I60" s="733">
        <f ca="1">SUM(DE!Y15:Y117)</f>
        <v>0</v>
      </c>
      <c r="J60" s="733">
        <f ca="1">SUM(DE!Z15:Z117)</f>
        <v>0</v>
      </c>
      <c r="K60" s="733">
        <f ca="1">SUM(DE!AA15:AA117)</f>
        <v>0</v>
      </c>
      <c r="L60" s="733">
        <f ca="1">SUM(DE!AB15:AB117)</f>
        <v>0</v>
      </c>
      <c r="M60" s="733">
        <f ca="1">SUM(DE!AC15:AC117)</f>
        <v>0</v>
      </c>
      <c r="N60" s="733">
        <f ca="1">SUM(DE!AD15:AD117)</f>
        <v>0</v>
      </c>
      <c r="O60" s="733">
        <f ca="1">SUM(DE!AE15:AE117)</f>
        <v>0</v>
      </c>
    </row>
    <row r="61" spans="1:15">
      <c r="A61" s="961"/>
      <c r="B61" s="393"/>
      <c r="C61" s="450" t="str">
        <f ca="1">IF(C60=0,m!$B$7,m!$B$11)</f>
        <v>P</v>
      </c>
      <c r="D61" s="733">
        <f t="shared" ref="D61:O61" ca="1" si="9">+D60-D58</f>
        <v>-4927104.5300000012</v>
      </c>
      <c r="E61" s="733">
        <f t="shared" ca="1" si="9"/>
        <v>-5136462.7399999993</v>
      </c>
      <c r="F61" s="733">
        <f t="shared" ca="1" si="9"/>
        <v>-4817004.7800000031</v>
      </c>
      <c r="G61" s="733">
        <f t="shared" ca="1" si="9"/>
        <v>0</v>
      </c>
      <c r="H61" s="733">
        <f t="shared" ca="1" si="9"/>
        <v>0</v>
      </c>
      <c r="I61" s="733">
        <f t="shared" ca="1" si="9"/>
        <v>0</v>
      </c>
      <c r="J61" s="733">
        <f t="shared" ca="1" si="9"/>
        <v>0</v>
      </c>
      <c r="K61" s="733">
        <f t="shared" ca="1" si="9"/>
        <v>0</v>
      </c>
      <c r="L61" s="733">
        <f t="shared" ca="1" si="9"/>
        <v>0</v>
      </c>
      <c r="M61" s="733">
        <f t="shared" ca="1" si="9"/>
        <v>0</v>
      </c>
      <c r="N61" s="733">
        <f t="shared" ca="1" si="9"/>
        <v>0</v>
      </c>
      <c r="O61" s="733">
        <f t="shared" ca="1" si="9"/>
        <v>0</v>
      </c>
    </row>
    <row r="62" spans="1:15" ht="18.75" customHeight="1">
      <c r="A62" s="961"/>
      <c r="B62" s="400">
        <f ca="1">+C42-C54</f>
        <v>178341.97999999672</v>
      </c>
      <c r="C62" s="400">
        <f ca="1">+C41-C53</f>
        <v>37832627.160000004</v>
      </c>
      <c r="D62" s="400">
        <f ca="1">+D60</f>
        <v>355017.43</v>
      </c>
      <c r="E62" s="400">
        <f ca="1">+D62+E60</f>
        <v>5828737.3799999999</v>
      </c>
      <c r="F62" s="400">
        <f t="shared" ref="F62:N62" ca="1" si="10">+E62+F60</f>
        <v>21494253.149999999</v>
      </c>
      <c r="G62" s="400">
        <f t="shared" ca="1" si="10"/>
        <v>21494253.149999999</v>
      </c>
      <c r="H62" s="400">
        <f t="shared" ca="1" si="10"/>
        <v>21494253.149999999</v>
      </c>
      <c r="I62" s="400">
        <f t="shared" ca="1" si="10"/>
        <v>21494253.149999999</v>
      </c>
      <c r="J62" s="400">
        <f t="shared" ca="1" si="10"/>
        <v>21494253.149999999</v>
      </c>
      <c r="K62" s="400">
        <f t="shared" ca="1" si="10"/>
        <v>21494253.149999999</v>
      </c>
      <c r="L62" s="400">
        <f t="shared" ca="1" si="10"/>
        <v>21494253.149999999</v>
      </c>
      <c r="M62" s="400">
        <f t="shared" ca="1" si="10"/>
        <v>21494253.149999999</v>
      </c>
      <c r="N62" s="400">
        <f t="shared" ca="1" si="10"/>
        <v>21494253.149999999</v>
      </c>
    </row>
    <row r="63" spans="1:15" ht="24" customHeight="1">
      <c r="A63" s="374"/>
      <c r="B63" s="11">
        <f ca="1">+C41-C53</f>
        <v>37832627.160000004</v>
      </c>
      <c r="C63" s="11">
        <f ca="1">+C58-'EEP2'!D23</f>
        <v>-38051452.089999989</v>
      </c>
      <c r="D63" s="11">
        <f ca="1">+C46-C58</f>
        <v>38103592.089999989</v>
      </c>
      <c r="E63" s="961"/>
      <c r="F63" s="961"/>
    </row>
    <row r="64" spans="1:15" ht="24" customHeight="1">
      <c r="A64" s="374"/>
      <c r="B64" s="11">
        <f ca="1">+C42-C54</f>
        <v>178341.97999999672</v>
      </c>
      <c r="C64" s="11">
        <f ca="1">+C42-C54</f>
        <v>178341.97999999672</v>
      </c>
      <c r="D64" s="11">
        <f ca="1">+D58</f>
        <v>5282121.9600000009</v>
      </c>
      <c r="E64" s="400">
        <f ca="1">+D64+E58</f>
        <v>15892304.65</v>
      </c>
      <c r="F64" s="400">
        <f t="shared" ref="F64:O64" ca="1" si="11">+E64+F58</f>
        <v>36374825.200000003</v>
      </c>
      <c r="G64" s="400">
        <f t="shared" ca="1" si="11"/>
        <v>36374825.200000003</v>
      </c>
      <c r="H64" s="400">
        <f t="shared" ca="1" si="11"/>
        <v>36374825.200000003</v>
      </c>
      <c r="I64" s="400">
        <f t="shared" ca="1" si="11"/>
        <v>36374825.200000003</v>
      </c>
      <c r="J64" s="400">
        <f t="shared" ca="1" si="11"/>
        <v>36374825.200000003</v>
      </c>
      <c r="K64" s="400">
        <f t="shared" ca="1" si="11"/>
        <v>36374825.200000003</v>
      </c>
      <c r="L64" s="400">
        <f t="shared" ca="1" si="11"/>
        <v>36374825.200000003</v>
      </c>
      <c r="M64" s="400">
        <f t="shared" ca="1" si="11"/>
        <v>36374825.200000003</v>
      </c>
      <c r="N64" s="400">
        <f t="shared" ca="1" si="11"/>
        <v>36374825.200000003</v>
      </c>
      <c r="O64" s="400">
        <f t="shared" ca="1" si="11"/>
        <v>36374825.200000003</v>
      </c>
    </row>
    <row r="65" spans="1:17" ht="24" customHeight="1">
      <c r="A65" s="374"/>
      <c r="E65" s="961"/>
      <c r="F65" s="960"/>
      <c r="G65" s="960"/>
      <c r="H65" s="1152"/>
      <c r="I65" s="961"/>
    </row>
    <row r="66" spans="1:17" s="134" customFormat="1" ht="24" customHeight="1">
      <c r="A66" s="1156"/>
      <c r="B66" s="1157" t="str">
        <f>+B52</f>
        <v>PARTIDAS</v>
      </c>
      <c r="C66" s="1157" t="str">
        <f>+C52</f>
        <v>Total</v>
      </c>
      <c r="D66" s="1157" t="str">
        <f t="shared" ref="D66:O66" si="12">+D52</f>
        <v>Enero</v>
      </c>
      <c r="E66" s="1157" t="str">
        <f t="shared" si="12"/>
        <v>Febrero</v>
      </c>
      <c r="F66" s="1157" t="str">
        <f t="shared" si="12"/>
        <v>Marzo</v>
      </c>
      <c r="G66" s="1157" t="str">
        <f t="shared" si="12"/>
        <v>Abril</v>
      </c>
      <c r="H66" s="1157" t="str">
        <f t="shared" si="12"/>
        <v>Mayo</v>
      </c>
      <c r="I66" s="1157" t="str">
        <f t="shared" si="12"/>
        <v>Junio</v>
      </c>
      <c r="J66" s="1157" t="str">
        <f t="shared" si="12"/>
        <v>Julio</v>
      </c>
      <c r="K66" s="1157" t="str">
        <f t="shared" si="12"/>
        <v>Agosto</v>
      </c>
      <c r="L66" s="1157" t="str">
        <f t="shared" si="12"/>
        <v>Septiembre</v>
      </c>
      <c r="M66" s="1157" t="str">
        <f t="shared" si="12"/>
        <v>Octubre</v>
      </c>
      <c r="N66" s="1157" t="str">
        <f t="shared" si="12"/>
        <v>Noviembre</v>
      </c>
      <c r="O66" s="1157" t="str">
        <f t="shared" si="12"/>
        <v>Diciembre</v>
      </c>
    </row>
    <row r="67" spans="1:17" s="23" customFormat="1">
      <c r="A67" s="1153"/>
      <c r="B67" s="1158" t="str">
        <f>+'Pres A'!B518</f>
        <v>Servicios Personales</v>
      </c>
      <c r="C67" s="935">
        <f ca="1">SUM(C68:C88)</f>
        <v>8987697.2899999991</v>
      </c>
      <c r="D67" s="935">
        <f t="shared" ref="D67:O67" ca="1" si="13">SUM(D68:D88)</f>
        <v>0</v>
      </c>
      <c r="E67" s="935">
        <f t="shared" ca="1" si="13"/>
        <v>5068683.43</v>
      </c>
      <c r="F67" s="935">
        <f t="shared" ca="1" si="13"/>
        <v>3919013.86</v>
      </c>
      <c r="G67" s="935">
        <f t="shared" ca="1" si="13"/>
        <v>0</v>
      </c>
      <c r="H67" s="935">
        <f t="shared" ca="1" si="13"/>
        <v>0</v>
      </c>
      <c r="I67" s="935">
        <f t="shared" ca="1" si="13"/>
        <v>0</v>
      </c>
      <c r="J67" s="935">
        <f t="shared" ca="1" si="13"/>
        <v>0</v>
      </c>
      <c r="K67" s="935">
        <f t="shared" ca="1" si="13"/>
        <v>0</v>
      </c>
      <c r="L67" s="935">
        <f t="shared" ca="1" si="13"/>
        <v>0</v>
      </c>
      <c r="M67" s="935">
        <f t="shared" ca="1" si="13"/>
        <v>0</v>
      </c>
      <c r="N67" s="935">
        <f t="shared" ca="1" si="13"/>
        <v>0</v>
      </c>
      <c r="O67" s="935">
        <f t="shared" ca="1" si="13"/>
        <v>0</v>
      </c>
      <c r="P67" s="24"/>
      <c r="Q67" s="24"/>
    </row>
    <row r="68" spans="1:17">
      <c r="A68" s="374"/>
      <c r="B68" s="1159" t="str">
        <f>+'Pres A'!B519</f>
        <v>SUELDOS A EMPLEADOS FIJOS</v>
      </c>
      <c r="C68" s="733">
        <f ca="1">SUM(D68:O68)</f>
        <v>0</v>
      </c>
      <c r="D68" s="733">
        <f ca="1">SUMIF(DE!$S$7:$AE$326,B68,DE!$T$7:$T$298)</f>
        <v>0</v>
      </c>
      <c r="E68" s="733">
        <f ca="1">SUMIF(DE!$S$7:$AE$326,B68,DE!$U$7:$U$298)</f>
        <v>0</v>
      </c>
      <c r="F68" s="733">
        <f ca="1">SUMIF(DE!$S$7:$AE$326,B68,DE!$V$7:$V$298)</f>
        <v>0</v>
      </c>
      <c r="G68" s="733">
        <f ca="1">SUMIF(DE!$S$7:$AE$326,B68,DE!$W$7:$W$298)</f>
        <v>0</v>
      </c>
      <c r="H68" s="733">
        <f ca="1">SUMIF(DE!$S$7:$AE$326,B68,DE!$X$7:$X$298)</f>
        <v>0</v>
      </c>
      <c r="I68" s="733">
        <f ca="1">SUMIF(DE!$S$7:$AE$326,B68,DE!$Y$7:$Y$298)</f>
        <v>0</v>
      </c>
      <c r="J68" s="733">
        <f ca="1">SUMIF(DE!$S$7:$AE$326,B68,DE!$Z$7:$Z$298)</f>
        <v>0</v>
      </c>
      <c r="K68" s="733">
        <f ca="1">SUMIF(DE!$S$7:$AE$326,B68,DE!$AA$7:$AA$298)</f>
        <v>0</v>
      </c>
      <c r="L68" s="733">
        <f ca="1">SUMIF(DE!$S$7:$AE$326,B68,DE!$AB$7:$AB$298)</f>
        <v>0</v>
      </c>
      <c r="M68" s="733">
        <f ca="1">SUMIF(DE!$S$7:$AE$326,B68,DE!$AC$7:$AC$298)</f>
        <v>0</v>
      </c>
      <c r="N68" s="733">
        <f ca="1">SUMIF(DE!$S$7:$AE$326,B68,DE!$AD$7:$AD$298)</f>
        <v>0</v>
      </c>
      <c r="O68" s="733">
        <f ca="1">SUMIF(DE!$S$7:$AE$326,B68,DE!$AE$7:$AE$298)</f>
        <v>0</v>
      </c>
      <c r="P68" s="11"/>
      <c r="Q68" s="11"/>
    </row>
    <row r="69" spans="1:17">
      <c r="A69" s="374"/>
      <c r="B69" s="1159" t="str">
        <f>+'Pres A'!B521</f>
        <v>EMPLEADOS TEMPORALES</v>
      </c>
      <c r="C69" s="733">
        <f t="shared" ref="C69:C88" ca="1" si="14">SUM(D69:O69)</f>
        <v>614250</v>
      </c>
      <c r="D69" s="733">
        <f ca="1">SUMIF(DE!$S$7:$AE$326,B69,DE!$T$7:$T$298)</f>
        <v>0</v>
      </c>
      <c r="E69" s="733">
        <f ca="1">SUMIF(DE!$S$7:$AE$326,B69,DE!$U$7:$U$298)</f>
        <v>409500</v>
      </c>
      <c r="F69" s="733">
        <f ca="1">SUMIF(DE!$S$7:$AE$326,B69,DE!$V$7:$V$298)</f>
        <v>204750</v>
      </c>
      <c r="G69" s="733">
        <f ca="1">SUMIF(DE!$S$7:$AE$326,B69,DE!$W$7:$W$298)</f>
        <v>0</v>
      </c>
      <c r="H69" s="733">
        <f ca="1">SUMIF(DE!$S$7:$AE$326,B69,DE!$X$7:$X$298)</f>
        <v>0</v>
      </c>
      <c r="I69" s="733">
        <f ca="1">SUMIF(DE!$S$7:$AE$326,B69,DE!$Y$7:$Y$298)</f>
        <v>0</v>
      </c>
      <c r="J69" s="733">
        <f ca="1">SUMIF(DE!$S$7:$AE$326,B69,DE!$Z$7:$Z$298)</f>
        <v>0</v>
      </c>
      <c r="K69" s="733">
        <f ca="1">SUMIF(DE!$S$7:$AE$326,B69,DE!$AA$7:$AA$298)</f>
        <v>0</v>
      </c>
      <c r="L69" s="733">
        <f ca="1">SUMIF(DE!$S$7:$AE$326,B69,DE!$AB$7:$AB$298)</f>
        <v>0</v>
      </c>
      <c r="M69" s="733">
        <f ca="1">SUMIF(DE!$S$7:$AE$326,B69,DE!$AC$7:$AC$298)</f>
        <v>0</v>
      </c>
      <c r="N69" s="733">
        <f ca="1">SUMIF(DE!$S$7:$AE$326,B69,DE!$AD$7:$AD$298)</f>
        <v>0</v>
      </c>
      <c r="O69" s="733">
        <f ca="1">SUMIF(DE!$S$7:$AE$326,B69,DE!$AE$7:$AE$298)</f>
        <v>0</v>
      </c>
      <c r="P69" s="11"/>
      <c r="Q69" s="11"/>
    </row>
    <row r="70" spans="1:17">
      <c r="A70" s="374"/>
      <c r="B70" s="1159" t="str">
        <f>+'Pres A'!B522</f>
        <v>Sueldos al personal contratado e igualado</v>
      </c>
      <c r="C70" s="733">
        <f t="shared" ca="1" si="14"/>
        <v>0</v>
      </c>
      <c r="D70" s="733">
        <f ca="1">SUMIF(DE!$S$7:$AE$326,B70,DE!$T$7:$T$298)</f>
        <v>0</v>
      </c>
      <c r="E70" s="733">
        <f ca="1">SUMIF(DE!$S$7:$AE$326,B70,DE!$U$7:$U$298)</f>
        <v>0</v>
      </c>
      <c r="F70" s="733">
        <f ca="1">SUMIF(DE!$S$7:$AE$326,B70,DE!$V$7:$V$298)</f>
        <v>0</v>
      </c>
      <c r="G70" s="733">
        <f ca="1">SUMIF(DE!$S$7:$AE$326,B70,DE!$W$7:$W$298)</f>
        <v>0</v>
      </c>
      <c r="H70" s="733">
        <f ca="1">SUMIF(DE!$S$7:$AE$326,B70,DE!$X$7:$X$298)</f>
        <v>0</v>
      </c>
      <c r="I70" s="733">
        <f ca="1">SUMIF(DE!$S$7:$AE$326,B70,DE!$Y$7:$Y$298)</f>
        <v>0</v>
      </c>
      <c r="J70" s="733">
        <f ca="1">SUMIF(DE!$S$7:$AE$326,B70,DE!$Z$7:$Z$298)</f>
        <v>0</v>
      </c>
      <c r="K70" s="733">
        <f ca="1">SUMIF(DE!$S$7:$AE$326,B70,DE!$AA$7:$AA$298)</f>
        <v>0</v>
      </c>
      <c r="L70" s="733">
        <f ca="1">SUMIF(DE!$S$7:$AE$326,B70,DE!$AB$7:$AB$298)</f>
        <v>0</v>
      </c>
      <c r="M70" s="733">
        <f ca="1">SUMIF(DE!$S$7:$AE$326,B70,DE!$AC$7:$AC$298)</f>
        <v>0</v>
      </c>
      <c r="N70" s="733">
        <f ca="1">SUMIF(DE!$S$7:$AE$326,B70,DE!$AD$7:$AD$298)</f>
        <v>0</v>
      </c>
      <c r="O70" s="733">
        <f ca="1">SUMIF(DE!$S$7:$AE$326,B70,DE!$AE$7:$AE$298)</f>
        <v>0</v>
      </c>
      <c r="P70" s="11"/>
      <c r="Q70" s="11"/>
    </row>
    <row r="71" spans="1:17">
      <c r="A71" s="374"/>
      <c r="B71" s="1159" t="str">
        <f>+'Pres A'!B523</f>
        <v>Pago de horas extraordinarias</v>
      </c>
      <c r="C71" s="733">
        <f t="shared" ca="1" si="14"/>
        <v>0</v>
      </c>
      <c r="D71" s="733">
        <f ca="1">SUMIF(DE!$S$7:$AE$326,B71,DE!$T$7:$T$298)</f>
        <v>0</v>
      </c>
      <c r="E71" s="733">
        <f ca="1">SUMIF(DE!$S$7:$AE$326,B71,DE!$U$7:$U$298)</f>
        <v>0</v>
      </c>
      <c r="F71" s="733">
        <f ca="1">SUMIF(DE!$S$7:$AE$326,B71,DE!$V$7:$V$298)</f>
        <v>0</v>
      </c>
      <c r="G71" s="733">
        <f ca="1">SUMIF(DE!$S$7:$AE$326,B71,DE!$W$7:$W$298)</f>
        <v>0</v>
      </c>
      <c r="H71" s="733">
        <f ca="1">SUMIF(DE!$S$7:$AE$326,B71,DE!$X$7:$X$298)</f>
        <v>0</v>
      </c>
      <c r="I71" s="733">
        <f ca="1">SUMIF(DE!$S$7:$AE$326,B71,DE!$Y$7:$Y$298)</f>
        <v>0</v>
      </c>
      <c r="J71" s="733">
        <f ca="1">SUMIF(DE!$S$7:$AE$326,B71,DE!$Z$7:$Z$298)</f>
        <v>0</v>
      </c>
      <c r="K71" s="733">
        <f ca="1">SUMIF(DE!$S$7:$AE$326,B71,DE!$AA$7:$AA$298)</f>
        <v>0</v>
      </c>
      <c r="L71" s="733">
        <f ca="1">SUMIF(DE!$S$7:$AE$326,B71,DE!$AB$7:$AB$298)</f>
        <v>0</v>
      </c>
      <c r="M71" s="733">
        <f ca="1">SUMIF(DE!$S$7:$AE$326,B71,DE!$AC$7:$AC$298)</f>
        <v>0</v>
      </c>
      <c r="N71" s="733">
        <f ca="1">SUMIF(DE!$S$7:$AE$326,B71,DE!$AD$7:$AD$298)</f>
        <v>0</v>
      </c>
      <c r="O71" s="733">
        <f ca="1">SUMIF(DE!$S$7:$AE$326,B71,DE!$AE$7:$AE$298)</f>
        <v>0</v>
      </c>
      <c r="P71" s="11"/>
      <c r="Q71" s="11"/>
    </row>
    <row r="72" spans="1:17">
      <c r="A72" s="374"/>
      <c r="B72" s="1159" t="str">
        <f>+'Pres A'!B524</f>
        <v>Sueldo Anual No. 13</v>
      </c>
      <c r="C72" s="733">
        <f t="shared" ca="1" si="14"/>
        <v>155800</v>
      </c>
      <c r="D72" s="733">
        <f ca="1">SUMIF(DE!$S$7:$AE$326,B72,DE!$T$7:$T$298)</f>
        <v>0</v>
      </c>
      <c r="E72" s="733">
        <f ca="1">SUMIF(DE!$S$7:$AE$326,B72,DE!$U$7:$U$298)</f>
        <v>0</v>
      </c>
      <c r="F72" s="733">
        <f ca="1">SUMIF(DE!$S$7:$AE$326,B72,DE!$V$7:$V$298)</f>
        <v>155800</v>
      </c>
      <c r="G72" s="733">
        <f ca="1">SUMIF(DE!$S$7:$AE$326,B72,DE!$W$7:$W$298)</f>
        <v>0</v>
      </c>
      <c r="H72" s="733">
        <f ca="1">SUMIF(DE!$S$7:$AE$326,B72,DE!$X$7:$X$298)</f>
        <v>0</v>
      </c>
      <c r="I72" s="733">
        <f ca="1">SUMIF(DE!$S$7:$AE$326,B72,DE!$Y$7:$Y$298)</f>
        <v>0</v>
      </c>
      <c r="J72" s="733">
        <f ca="1">SUMIF(DE!$S$7:$AE$326,B72,DE!$Z$7:$Z$298)</f>
        <v>0</v>
      </c>
      <c r="K72" s="733">
        <f ca="1">SUMIF(DE!$S$7:$AE$326,B72,DE!$AA$7:$AA$298)</f>
        <v>0</v>
      </c>
      <c r="L72" s="733">
        <f ca="1">SUMIF(DE!$S$7:$AE$326,B72,DE!$AB$7:$AB$298)</f>
        <v>0</v>
      </c>
      <c r="M72" s="733">
        <f ca="1">SUMIF(DE!$S$7:$AE$326,B72,DE!$AC$7:$AC$298)</f>
        <v>0</v>
      </c>
      <c r="N72" s="733">
        <f ca="1">SUMIF(DE!$S$7:$AE$326,B72,DE!$AD$7:$AD$298)</f>
        <v>0</v>
      </c>
      <c r="O72" s="733">
        <f ca="1">SUMIF(DE!$S$7:$AE$326,B72,DE!$AE$7:$AE$298)</f>
        <v>0</v>
      </c>
      <c r="P72" s="11"/>
      <c r="Q72" s="11"/>
    </row>
    <row r="73" spans="1:17">
      <c r="A73" s="374"/>
      <c r="B73" s="1159" t="str">
        <f>+'Pres A'!B525</f>
        <v>INTERINATO</v>
      </c>
      <c r="C73" s="733">
        <f t="shared" ca="1" si="14"/>
        <v>0</v>
      </c>
      <c r="D73" s="733">
        <f ca="1">SUMIF(DE!$S$7:$AE$326,B73,DE!$T$7:$T$298)</f>
        <v>0</v>
      </c>
      <c r="E73" s="733">
        <f ca="1">SUMIF(DE!$S$7:$AE$326,B73,DE!$U$7:$U$298)</f>
        <v>0</v>
      </c>
      <c r="F73" s="733">
        <f ca="1">SUMIF(DE!$S$7:$AE$326,B73,DE!$V$7:$V$298)</f>
        <v>0</v>
      </c>
      <c r="G73" s="733">
        <f ca="1">SUMIF(DE!$S$7:$AE$326,B73,DE!$W$7:$W$298)</f>
        <v>0</v>
      </c>
      <c r="H73" s="733">
        <f ca="1">SUMIF(DE!$S$7:$AE$326,B73,DE!$X$7:$X$298)</f>
        <v>0</v>
      </c>
      <c r="I73" s="733">
        <f ca="1">SUMIF(DE!$S$7:$AE$326,B73,DE!$Y$7:$Y$298)</f>
        <v>0</v>
      </c>
      <c r="J73" s="733">
        <f ca="1">SUMIF(DE!$S$7:$AE$326,B73,DE!$Z$7:$Z$298)</f>
        <v>0</v>
      </c>
      <c r="K73" s="733">
        <f ca="1">SUMIF(DE!$S$7:$AE$326,B73,DE!$AA$7:$AA$298)</f>
        <v>0</v>
      </c>
      <c r="L73" s="733">
        <f ca="1">SUMIF(DE!$S$7:$AE$326,B73,DE!$AB$7:$AB$298)</f>
        <v>0</v>
      </c>
      <c r="M73" s="733">
        <f ca="1">SUMIF(DE!$S$7:$AE$326,B73,DE!$AC$7:$AC$298)</f>
        <v>0</v>
      </c>
      <c r="N73" s="733">
        <f ca="1">SUMIF(DE!$S$7:$AE$326,B73,DE!$AD$7:$AD$298)</f>
        <v>0</v>
      </c>
      <c r="O73" s="733">
        <f ca="1">SUMIF(DE!$S$7:$AE$326,B73,DE!$AE$7:$AE$298)</f>
        <v>0</v>
      </c>
      <c r="P73" s="11"/>
      <c r="Q73" s="11"/>
    </row>
    <row r="74" spans="1:17">
      <c r="A74" s="374"/>
      <c r="B74" s="1159" t="str">
        <f>+'Pres A'!B526</f>
        <v>Indemnizacion laboral</v>
      </c>
      <c r="C74" s="733">
        <f t="shared" ca="1" si="14"/>
        <v>0</v>
      </c>
      <c r="D74" s="733">
        <f ca="1">SUMIF(DE!$S$7:$AE$326,B74,DE!$T$7:$T$298)</f>
        <v>0</v>
      </c>
      <c r="E74" s="733">
        <f ca="1">SUMIF(DE!$S$7:$AE$326,B74,DE!$U$7:$U$298)</f>
        <v>0</v>
      </c>
      <c r="F74" s="733">
        <f ca="1">SUMIF(DE!$S$7:$AE$326,B74,DE!$V$7:$V$298)</f>
        <v>0</v>
      </c>
      <c r="G74" s="733">
        <v>0</v>
      </c>
      <c r="H74" s="733">
        <f ca="1">SUMIF(DE!$S$7:$AE$326,B74,DE!$X$7:$X$298)</f>
        <v>0</v>
      </c>
      <c r="I74" s="733">
        <f ca="1">SUMIF(DE!$S$7:$AE$326,B74,DE!$Y$7:$Y$298)</f>
        <v>0</v>
      </c>
      <c r="J74" s="733">
        <f ca="1">SUMIF(DE!$S$7:$AE$326,B74,DE!$Z$7:$Z$298)</f>
        <v>0</v>
      </c>
      <c r="K74" s="733">
        <f ca="1">SUMIF(DE!$S$7:$AE$326,B74,DE!$AA$7:$AA$298)</f>
        <v>0</v>
      </c>
      <c r="L74" s="733">
        <f ca="1">SUMIF(DE!$S$7:$AE$326,B74,DE!$AB$7:$AB$298)</f>
        <v>0</v>
      </c>
      <c r="M74" s="733">
        <f ca="1">SUMIF(DE!$S$7:$AE$326,B74,DE!$AC$7:$AC$298)</f>
        <v>0</v>
      </c>
      <c r="N74" s="733">
        <f ca="1">SUMIF(DE!$S$7:$AE$326,B74,DE!$AD$7:$AD$298)</f>
        <v>0</v>
      </c>
      <c r="O74" s="733">
        <f ca="1">SUMIF(DE!$S$7:$AE$326,B74,DE!$AE$7:$AE$298)</f>
        <v>0</v>
      </c>
      <c r="P74" s="11"/>
      <c r="Q74" s="11"/>
    </row>
    <row r="75" spans="1:17">
      <c r="A75" s="374"/>
      <c r="B75" s="1159" t="str">
        <f>+'Pres A'!B528</f>
        <v>Compensacion por horas extraordinarias</v>
      </c>
      <c r="C75" s="733">
        <f t="shared" ca="1" si="14"/>
        <v>0</v>
      </c>
      <c r="D75" s="733">
        <f ca="1">SUMIF(DE!$S$7:$AE$326,B75,DE!$T$7:$T$298)</f>
        <v>0</v>
      </c>
      <c r="E75" s="733">
        <f ca="1">SUMIF(DE!$S$7:$AE$326,B75,DE!$U$7:$U$298)</f>
        <v>0</v>
      </c>
      <c r="F75" s="733">
        <f ca="1">SUMIF(DE!$S$7:$AE$326,B75,DE!$V$7:$V$298)</f>
        <v>0</v>
      </c>
      <c r="G75" s="733">
        <f ca="1">SUMIF(DE!$S$7:$AE$326,B75,DE!$W$7:$W$298)</f>
        <v>0</v>
      </c>
      <c r="H75" s="733">
        <f ca="1">SUMIF(DE!$S$7:$AE$326,B75,DE!$X$7:$X$298)</f>
        <v>0</v>
      </c>
      <c r="I75" s="733">
        <f ca="1">SUMIF(DE!$S$7:$AE$326,B75,DE!$Y$7:$Y$298)</f>
        <v>0</v>
      </c>
      <c r="J75" s="733">
        <f ca="1">SUMIF(DE!$S$7:$AE$326,B75,DE!$Z$7:$Z$298)</f>
        <v>0</v>
      </c>
      <c r="K75" s="733">
        <f ca="1">SUMIF(DE!$S$7:$AE$326,B75,DE!$AA$7:$AA$298)</f>
        <v>0</v>
      </c>
      <c r="L75" s="733">
        <f ca="1">SUMIF(DE!$S$7:$AE$326,B75,DE!$AB$7:$AB$298)</f>
        <v>0</v>
      </c>
      <c r="M75" s="733">
        <f ca="1">SUMIF(DE!$S$7:$AE$326,B75,DE!$AC$7:$AC$298)</f>
        <v>0</v>
      </c>
      <c r="N75" s="733">
        <f ca="1">SUMIF(DE!$S$7:$AE$326,B75,DE!$AD$7:$AD$298)</f>
        <v>0</v>
      </c>
      <c r="O75" s="733">
        <f ca="1">SUMIF(DE!$S$7:$AE$326,B75,DE!$AE$7:$AE$298)</f>
        <v>0</v>
      </c>
      <c r="P75" s="11"/>
      <c r="Q75" s="11"/>
    </row>
    <row r="76" spans="1:17">
      <c r="A76" s="374"/>
      <c r="B76" s="1159" t="str">
        <f>+'Pres A'!B529</f>
        <v>Compensaciones especiales</v>
      </c>
      <c r="C76" s="733">
        <f t="shared" ca="1" si="14"/>
        <v>0</v>
      </c>
      <c r="D76" s="733">
        <f ca="1">SUMIF(DE!$S$7:$AE$326,B76,DE!$T$7:$T$298)</f>
        <v>0</v>
      </c>
      <c r="E76" s="733">
        <f ca="1">SUMIF(DE!$S$7:$AE$326,B76,DE!$U$7:$U$298)</f>
        <v>0</v>
      </c>
      <c r="F76" s="733">
        <f ca="1">SUMIF(DE!$S$7:$AE$326,B76,DE!$V$7:$V$298)</f>
        <v>0</v>
      </c>
      <c r="G76" s="733">
        <f ca="1">SUMIF(DE!$S$7:$AE$326,B76,DE!$W$7:$W$298)</f>
        <v>0</v>
      </c>
      <c r="H76" s="733">
        <f ca="1">SUMIF(DE!$S$7:$AE$326,B76,DE!$X$7:$X$298)</f>
        <v>0</v>
      </c>
      <c r="I76" s="733">
        <f ca="1">SUMIF(DE!$S$7:$AE$326,B76,DE!$Y$7:$Y$298)</f>
        <v>0</v>
      </c>
      <c r="J76" s="733">
        <f ca="1">SUMIF(DE!$S$7:$AE$326,B76,DE!$Z$7:$Z$298)</f>
        <v>0</v>
      </c>
      <c r="K76" s="733">
        <f ca="1">SUMIF(DE!$S$7:$AE$326,B76,DE!$AA$7:$AA$298)</f>
        <v>0</v>
      </c>
      <c r="L76" s="733">
        <f ca="1">SUMIF(DE!$S$7:$AE$326,B76,DE!$AB$7:$AB$298)</f>
        <v>0</v>
      </c>
      <c r="M76" s="733">
        <f ca="1">SUMIF(DE!$S$7:$AE$326,B76,DE!$AC$7:$AC$298)</f>
        <v>0</v>
      </c>
      <c r="N76" s="733">
        <f ca="1">SUMIF(DE!$S$7:$AE$326,B76,DE!$AD$7:$AD$298)</f>
        <v>0</v>
      </c>
      <c r="O76" s="733">
        <f ca="1">SUMIF(DE!$S$7:$AE$326,B76,DE!$AE$7:$AE$298)</f>
        <v>0</v>
      </c>
      <c r="P76" s="11"/>
      <c r="Q76" s="11"/>
    </row>
    <row r="77" spans="1:17">
      <c r="A77" s="374"/>
      <c r="B77" s="1159" t="str">
        <f>+'Pres A'!B530</f>
        <v>Prima de transporte</v>
      </c>
      <c r="C77" s="733">
        <f t="shared" ca="1" si="14"/>
        <v>1642410</v>
      </c>
      <c r="D77" s="733">
        <f ca="1">SUMIF(DE!$S$7:$AE$326,B77,DE!$T$7:$T$298)</f>
        <v>0</v>
      </c>
      <c r="E77" s="733">
        <f ca="1">SUMIF(DE!$S$7:$AE$326,B77,DE!$U$7:$U$298)</f>
        <v>547580</v>
      </c>
      <c r="F77" s="733">
        <f ca="1">SUMIF(DE!$S$7:$AE$326,B77,DE!$V$7:$V$298)</f>
        <v>1094830</v>
      </c>
      <c r="G77" s="733">
        <f ca="1">SUMIF(DE!$S$7:$AE$326,B77,DE!$W$7:$W$298)</f>
        <v>0</v>
      </c>
      <c r="H77" s="733">
        <f ca="1">SUMIF(DE!$S$7:$AE$326,B77,DE!$X$7:$X$298)</f>
        <v>0</v>
      </c>
      <c r="I77" s="733">
        <f ca="1">SUMIF(DE!$S$7:$AE$326,B77,DE!$Y$7:$Y$298)</f>
        <v>0</v>
      </c>
      <c r="J77" s="733">
        <f ca="1">SUMIF(DE!$S$7:$AE$326,B77,DE!$Z$7:$Z$298)</f>
        <v>0</v>
      </c>
      <c r="K77" s="733">
        <f ca="1">SUMIF(DE!$S$7:$AE$326,B77,DE!$AA$7:$AA$298)</f>
        <v>0</v>
      </c>
      <c r="L77" s="733">
        <f ca="1">SUMIF(DE!$S$7:$AE$326,B77,DE!$AB$7:$AB$298)</f>
        <v>0</v>
      </c>
      <c r="M77" s="733">
        <f ca="1">SUMIF(DE!$S$7:$AE$326,B77,DE!$AC$7:$AC$298)</f>
        <v>0</v>
      </c>
      <c r="N77" s="733">
        <f ca="1">SUMIF(DE!$S$7:$AE$326,B77,DE!$AD$7:$AD$298)</f>
        <v>0</v>
      </c>
      <c r="O77" s="733">
        <f ca="1">SUMIF(DE!$S$7:$AE$326,B77,DE!$AE$7:$AE$298)</f>
        <v>0</v>
      </c>
      <c r="P77" s="11"/>
      <c r="Q77" s="11"/>
    </row>
    <row r="78" spans="1:17">
      <c r="A78" s="374"/>
      <c r="B78" s="1159" t="str">
        <f>+'Pres A'!B531</f>
        <v>Compensacion por resultados</v>
      </c>
      <c r="C78" s="733">
        <f t="shared" ca="1" si="14"/>
        <v>0</v>
      </c>
      <c r="D78" s="733">
        <f ca="1">SUMIF(DE!$S$7:$AE$326,B78,DE!$T$7:$T$298)</f>
        <v>0</v>
      </c>
      <c r="E78" s="733">
        <f ca="1">SUMIF(DE!$S$7:$AE$326,B78,DE!$U$7:$U$298)</f>
        <v>0</v>
      </c>
      <c r="F78" s="733">
        <f ca="1">SUMIF(DE!$S$7:$AE$326,B78,DE!$V$7:$V$298)</f>
        <v>0</v>
      </c>
      <c r="G78" s="733">
        <f ca="1">SUMIF(DE!$S$7:$AE$326,B78,DE!$W$7:$W$298)</f>
        <v>0</v>
      </c>
      <c r="H78" s="733">
        <f ca="1">SUMIF(DE!$S$7:$AE$326,B78,DE!$X$7:$X$298)</f>
        <v>0</v>
      </c>
      <c r="I78" s="733">
        <f ca="1">SUMIF(DE!$S$7:$AE$326,B78,DE!$Y$7:$Y$298)</f>
        <v>0</v>
      </c>
      <c r="J78" s="733">
        <f ca="1">SUMIF(DE!$S$7:$AE$326,B78,DE!$Z$7:$Z$298)</f>
        <v>0</v>
      </c>
      <c r="K78" s="733">
        <f ca="1">SUMIF(DE!$S$7:$AE$326,B78,DE!$AA$7:$AA$298)</f>
        <v>0</v>
      </c>
      <c r="L78" s="733">
        <f ca="1">SUMIF(DE!$S$7:$AE$326,B78,DE!$AB$7:$AB$298)</f>
        <v>0</v>
      </c>
      <c r="M78" s="733">
        <f ca="1">SUMIF(DE!$S$7:$AE$326,B78,DE!$AC$7:$AC$298)</f>
        <v>0</v>
      </c>
      <c r="N78" s="733">
        <f ca="1">SUMIF(DE!$S$7:$AE$326,B78,DE!$AD$7:$AD$298)</f>
        <v>0</v>
      </c>
      <c r="O78" s="733">
        <f ca="1">SUMIF(DE!$S$7:$AE$326,B78,DE!$AE$7:$AE$298)</f>
        <v>0</v>
      </c>
      <c r="P78" s="11"/>
      <c r="Q78" s="11"/>
    </row>
    <row r="79" spans="1:17">
      <c r="A79" s="374"/>
      <c r="B79" s="1159" t="str">
        <f>+'Pres A'!B532</f>
        <v>Compensacion servicios de seguridad</v>
      </c>
      <c r="C79" s="733">
        <f t="shared" ca="1" si="14"/>
        <v>357105</v>
      </c>
      <c r="D79" s="733">
        <f ca="1">SUMIF(DE!$S$7:$AE$326,B79,DE!$T$7:$T$298)</f>
        <v>0</v>
      </c>
      <c r="E79" s="733">
        <f ca="1">SUMIF(DE!$S$7:$AE$326,B79,DE!$U$7:$U$298)</f>
        <v>119035</v>
      </c>
      <c r="F79" s="733">
        <f ca="1">SUMIF(DE!$S$7:$AE$326,B79,DE!$V$7:$V$298)</f>
        <v>238070</v>
      </c>
      <c r="G79" s="733">
        <f ca="1">SUMIF(DE!$S$7:$AE$326,B79,DE!$W$7:$W$298)</f>
        <v>0</v>
      </c>
      <c r="H79" s="733">
        <f ca="1">SUMIF(DE!$S$7:$AE$326,B79,DE!$X$7:$X$298)</f>
        <v>0</v>
      </c>
      <c r="I79" s="733">
        <f ca="1">SUMIF(DE!$S$7:$AE$326,B79,DE!$Y$7:$Y$298)</f>
        <v>0</v>
      </c>
      <c r="J79" s="733">
        <f ca="1">SUMIF(DE!$S$7:$AE$326,B79,DE!$Z$7:$Z$298)</f>
        <v>0</v>
      </c>
      <c r="K79" s="733">
        <f ca="1">SUMIF(DE!$S$7:$AE$326,B79,DE!$AA$7:$AA$298)</f>
        <v>0</v>
      </c>
      <c r="L79" s="733">
        <f ca="1">SUMIF(DE!$S$7:$AE$326,B79,DE!$AB$7:$AB$298)</f>
        <v>0</v>
      </c>
      <c r="M79" s="733">
        <f ca="1">SUMIF(DE!$S$7:$AE$326,B79,DE!$AC$7:$AC$298)</f>
        <v>0</v>
      </c>
      <c r="N79" s="733">
        <f ca="1">SUMIF(DE!$S$7:$AE$326,B79,DE!$AD$7:$AD$298)</f>
        <v>0</v>
      </c>
      <c r="O79" s="733">
        <f ca="1">SUMIF(DE!$S$7:$AE$326,B79,DE!$AE$7:$AE$298)</f>
        <v>0</v>
      </c>
      <c r="P79" s="11"/>
      <c r="Q79" s="11"/>
    </row>
    <row r="80" spans="1:17">
      <c r="A80" s="374"/>
      <c r="B80" s="1159" t="str">
        <f>+'Pres A'!B533</f>
        <v>INCENTIVOS POR RENDIMIENTO LABORAL</v>
      </c>
      <c r="C80" s="733">
        <f t="shared" ca="1" si="14"/>
        <v>0</v>
      </c>
      <c r="D80" s="733">
        <f ca="1">SUMIF(DE!$S$7:$AE$326,B80,DE!$T$7:$T$298)</f>
        <v>0</v>
      </c>
      <c r="E80" s="733">
        <f ca="1">SUMIF(DE!$S$7:$AE$326,B80,DE!$U$7:$U$298)</f>
        <v>0</v>
      </c>
      <c r="F80" s="733">
        <f ca="1">SUMIF(DE!$S$7:$AE$326,B80,DE!$V$7:$V$298)</f>
        <v>0</v>
      </c>
      <c r="G80" s="733">
        <f ca="1">SUMIF(DE!$S$7:$AE$326,B80,DE!$W$7:$W$298)</f>
        <v>0</v>
      </c>
      <c r="H80" s="733">
        <f ca="1">SUMIF(DE!$S$7:$AE$326,B80,DE!$X$7:$X$298)</f>
        <v>0</v>
      </c>
      <c r="I80" s="733">
        <f ca="1">SUMIF(DE!$S$7:$AE$326,B80,DE!$Y$7:$Y$298)</f>
        <v>0</v>
      </c>
      <c r="J80" s="733">
        <f ca="1">SUMIF(DE!$S$7:$AE$326,B80,DE!$Z$7:$Z$298)</f>
        <v>0</v>
      </c>
      <c r="K80" s="733">
        <f ca="1">SUMIF(DE!$S$7:$AE$326,B80,DE!$AA$7:$AA$298)</f>
        <v>0</v>
      </c>
      <c r="L80" s="733">
        <f ca="1">SUMIF(DE!$S$7:$AE$326,B80,DE!$AB$7:$AB$298)</f>
        <v>0</v>
      </c>
      <c r="M80" s="733">
        <f ca="1">SUMIF(DE!$S$7:$AE$326,B80,DE!$AC$7:$AC$298)</f>
        <v>0</v>
      </c>
      <c r="N80" s="733">
        <f ca="1">SUMIF(DE!$S$7:$AE$326,B80,DE!$AD$7:$AD$298)</f>
        <v>0</v>
      </c>
      <c r="O80" s="733">
        <f ca="1">SUMIF(DE!$S$7:$AE$326,B80,DE!$AE$7:$AE$298)</f>
        <v>0</v>
      </c>
      <c r="P80" s="11"/>
      <c r="Q80" s="11"/>
    </row>
    <row r="81" spans="1:17">
      <c r="A81" s="374"/>
      <c r="B81" s="1159" t="str">
        <f>+'Pres A'!B534</f>
        <v>Bono por desempeno</v>
      </c>
      <c r="C81" s="733">
        <f t="shared" ca="1" si="14"/>
        <v>0</v>
      </c>
      <c r="D81" s="733">
        <f ca="1">SUMIF(DE!$S$7:$AE$326,B81,DE!$T$7:$T$298)</f>
        <v>0</v>
      </c>
      <c r="E81" s="733">
        <f ca="1">SUMIF(DE!$S$7:$AE$326,B81,DE!$U$7:$U$298)</f>
        <v>0</v>
      </c>
      <c r="F81" s="733">
        <f ca="1">SUMIF(DE!$S$7:$AE$326,B81,DE!$V$7:$V$298)</f>
        <v>0</v>
      </c>
      <c r="G81" s="733">
        <f ca="1">SUMIF(DE!$S$7:$AE$326,B81,DE!$W$7:$W$298)</f>
        <v>0</v>
      </c>
      <c r="H81" s="733">
        <f ca="1">SUMIF(DE!$S$7:$AE$326,B81,DE!$X$7:$X$298)</f>
        <v>0</v>
      </c>
      <c r="I81" s="733">
        <f ca="1">SUMIF(DE!$S$7:$AE$326,B81,DE!$Y$7:$Y$298)</f>
        <v>0</v>
      </c>
      <c r="J81" s="733">
        <f ca="1">SUMIF(DE!$S$7:$AE$326,B81,DE!$Z$7:$Z$298)</f>
        <v>0</v>
      </c>
      <c r="K81" s="733">
        <f ca="1">SUMIF(DE!$S$7:$AE$326,B81,DE!$AA$7:$AA$298)</f>
        <v>0</v>
      </c>
      <c r="L81" s="733">
        <f ca="1">SUMIF(DE!$S$7:$AE$326,B81,DE!$AB$7:$AB$298)</f>
        <v>0</v>
      </c>
      <c r="M81" s="733">
        <f ca="1">SUMIF(DE!$S$7:$AE$326,B81,DE!$AC$7:$AC$298)</f>
        <v>0</v>
      </c>
      <c r="N81" s="733">
        <f ca="1">SUMIF(DE!$S$7:$AE$326,B81,DE!$AD$7:$AD$298)</f>
        <v>0</v>
      </c>
      <c r="O81" s="733">
        <f ca="1">SUMIF(DE!$S$7:$AE$326,B81,DE!$AE$7:$AE$298)</f>
        <v>0</v>
      </c>
      <c r="P81" s="11"/>
      <c r="Q81" s="11"/>
    </row>
    <row r="82" spans="1:17">
      <c r="A82" s="374"/>
      <c r="B82" s="1159" t="str">
        <f>+'Pres A'!B535</f>
        <v>Dietas en el pais</v>
      </c>
      <c r="C82" s="733">
        <f t="shared" ca="1" si="14"/>
        <v>430000</v>
      </c>
      <c r="D82" s="733">
        <f ca="1">SUMIF(DE!$S$7:$AE$326,B82,DE!$T$7:$T$298)</f>
        <v>0</v>
      </c>
      <c r="E82" s="733">
        <f ca="1">SUMIF(DE!$S$7:$AE$326,B82,DE!$U$7:$U$298)</f>
        <v>215000</v>
      </c>
      <c r="F82" s="733">
        <f ca="1">SUMIF(DE!$S$7:$AE$326,B82,DE!$V$7:$V$298)</f>
        <v>215000</v>
      </c>
      <c r="G82" s="733">
        <f ca="1">SUMIF(DE!$S$7:$AE$326,B82,DE!$W$7:$W$298)</f>
        <v>0</v>
      </c>
      <c r="H82" s="733">
        <f ca="1">SUMIF(DE!$S$7:$AE$326,B82,DE!$X$7:$X$298)</f>
        <v>0</v>
      </c>
      <c r="I82" s="733">
        <f ca="1">SUMIF(DE!$S$7:$AE$326,B82,DE!$Y$7:$Y$298)</f>
        <v>0</v>
      </c>
      <c r="J82" s="733">
        <f ca="1">SUMIF(DE!$S$7:$AE$326,B82,DE!$Z$7:$Z$298)</f>
        <v>0</v>
      </c>
      <c r="K82" s="733">
        <f ca="1">SUMIF(DE!$S$7:$AE$326,B82,DE!$AA$7:$AA$298)</f>
        <v>0</v>
      </c>
      <c r="L82" s="733">
        <f ca="1">SUMIF(DE!$S$7:$AE$326,B82,DE!$AB$7:$AB$298)</f>
        <v>0</v>
      </c>
      <c r="M82" s="733">
        <f ca="1">SUMIF(DE!$S$7:$AE$326,B82,DE!$AC$7:$AC$298)</f>
        <v>0</v>
      </c>
      <c r="N82" s="733">
        <f ca="1">SUMIF(DE!$S$7:$AE$326,B82,DE!$AD$7:$AD$298)</f>
        <v>0</v>
      </c>
      <c r="O82" s="733">
        <f ca="1">SUMIF(DE!$S$7:$AE$326,B82,DE!$AE$7:$AE$298)</f>
        <v>0</v>
      </c>
      <c r="P82" s="11"/>
      <c r="Q82" s="11"/>
    </row>
    <row r="83" spans="1:17">
      <c r="A83" s="374"/>
      <c r="B83" s="1159" t="str">
        <f>+'Pres A'!B536</f>
        <v>Gastos de representacion en el pais</v>
      </c>
      <c r="C83" s="733">
        <f t="shared" ca="1" si="14"/>
        <v>0</v>
      </c>
      <c r="D83" s="733">
        <f ca="1">SUMIF(DE!$S$7:$AE$326,B83,DE!$T$7:$T$298)</f>
        <v>0</v>
      </c>
      <c r="E83" s="733">
        <f ca="1">SUMIF(DE!$S$7:$AE$326,B83,DE!$U$7:$U$298)</f>
        <v>0</v>
      </c>
      <c r="F83" s="733">
        <f ca="1">SUMIF(DE!$S$7:$AE$326,B83,DE!$V$7:$V$298)</f>
        <v>0</v>
      </c>
      <c r="G83" s="733">
        <f ca="1">SUMIF(DE!$S$7:$AE$326,B83,DE!$W$7:$W$298)</f>
        <v>0</v>
      </c>
      <c r="H83" s="733">
        <f ca="1">SUMIF(DE!$S$7:$AE$326,B83,DE!$X$7:$X$298)</f>
        <v>0</v>
      </c>
      <c r="I83" s="733">
        <f ca="1">SUMIF(DE!$S$7:$AE$326,B83,DE!$Y$7:$Y$298)</f>
        <v>0</v>
      </c>
      <c r="J83" s="733">
        <f ca="1">SUMIF(DE!$S$7:$AE$326,B83,DE!$Z$7:$Z$298)</f>
        <v>0</v>
      </c>
      <c r="K83" s="733">
        <f ca="1">SUMIF(DE!$S$7:$AE$326,B83,DE!$AA$7:$AA$298)</f>
        <v>0</v>
      </c>
      <c r="L83" s="733">
        <f ca="1">SUMIF(DE!$S$7:$AE$326,B83,DE!$AB$7:$AB$298)</f>
        <v>0</v>
      </c>
      <c r="M83" s="733">
        <f ca="1">SUMIF(DE!$S$7:$AE$326,B83,DE!$AC$7:$AC$298)</f>
        <v>0</v>
      </c>
      <c r="N83" s="733">
        <f ca="1">SUMIF(DE!$S$7:$AE$326,B83,DE!$AD$7:$AD$298)</f>
        <v>0</v>
      </c>
      <c r="O83" s="733">
        <f ca="1">SUMIF(DE!$S$7:$AE$326,B83,DE!$AE$7:$AE$298)</f>
        <v>0</v>
      </c>
      <c r="P83" s="11"/>
      <c r="Q83" s="11"/>
    </row>
    <row r="84" spans="1:17">
      <c r="A84" s="374"/>
      <c r="B84" s="1159" t="str">
        <f>+'Pres A'!B537</f>
        <v>Gastos de representacion en el exterior</v>
      </c>
      <c r="C84" s="733">
        <f t="shared" ca="1" si="14"/>
        <v>0</v>
      </c>
      <c r="D84" s="733">
        <f ca="1">SUMIF(DE!$S$7:$AE$326,B84,DE!$T$7:$T$298)</f>
        <v>0</v>
      </c>
      <c r="E84" s="733">
        <f ca="1">SUMIF(DE!$S$7:$AE$326,B84,DE!$U$7:$U$298)</f>
        <v>0</v>
      </c>
      <c r="F84" s="733">
        <f ca="1">SUMIF(DE!$S$7:$AE$326,B84,DE!$V$7:$V$298)</f>
        <v>0</v>
      </c>
      <c r="G84" s="733">
        <f ca="1">SUMIF(DE!$S$7:$AE$326,B84,DE!$W$7:$W$298)</f>
        <v>0</v>
      </c>
      <c r="H84" s="733">
        <f ca="1">SUMIF(DE!$S$7:$AE$326,B84,DE!$X$7:$X$298)</f>
        <v>0</v>
      </c>
      <c r="I84" s="733">
        <f ca="1">SUMIF(DE!$S$7:$AE$326,B84,DE!$Y$7:$Y$298)</f>
        <v>0</v>
      </c>
      <c r="J84" s="733">
        <f ca="1">SUMIF(DE!$S$7:$AE$326,B84,DE!$Z$7:$Z$298)</f>
        <v>0</v>
      </c>
      <c r="K84" s="733">
        <f ca="1">SUMIF(DE!$S$7:$AE$326,B84,DE!$AA$7:$AA$298)</f>
        <v>0</v>
      </c>
      <c r="L84" s="733">
        <f ca="1">SUMIF(DE!$S$7:$AE$326,B84,DE!$AB$7:$AB$298)</f>
        <v>0</v>
      </c>
      <c r="M84" s="733">
        <f ca="1">SUMIF(DE!$S$7:$AE$326,B84,DE!$AC$7:$AC$298)</f>
        <v>0</v>
      </c>
      <c r="N84" s="733">
        <f ca="1">SUMIF(DE!$S$7:$AE$326,B84,DE!$AD$7:$AD$298)</f>
        <v>0</v>
      </c>
      <c r="O84" s="733">
        <f ca="1">SUMIF(DE!$S$7:$AE$326,B84,DE!$AE$7:$AE$298)</f>
        <v>0</v>
      </c>
      <c r="P84" s="11"/>
      <c r="Q84" s="11"/>
    </row>
    <row r="85" spans="1:17">
      <c r="A85" s="374"/>
      <c r="B85" s="1159" t="str">
        <f>+'Pres A'!B538</f>
        <v>Gratificaciones por pasantias</v>
      </c>
      <c r="C85" s="733">
        <f t="shared" ca="1" si="14"/>
        <v>0</v>
      </c>
      <c r="D85" s="733">
        <f ca="1">SUMIF(DE!$S$7:$AE$326,B85,DE!$T$7:$T$298)</f>
        <v>0</v>
      </c>
      <c r="E85" s="733">
        <f ca="1">SUMIF(DE!$S$7:$AE$326,B85,DE!$U$7:$U$298)</f>
        <v>0</v>
      </c>
      <c r="F85" s="733">
        <f ca="1">SUMIF(DE!$S$7:$AE$326,B85,DE!$V$7:$V$298)</f>
        <v>0</v>
      </c>
      <c r="G85" s="733">
        <f ca="1">SUMIF(DE!$S$7:$AE$326,B85,DE!$W$7:$W$298)</f>
        <v>0</v>
      </c>
      <c r="H85" s="733">
        <f ca="1">SUMIF(DE!$S$7:$AE$326,B85,DE!$X$7:$X$298)</f>
        <v>0</v>
      </c>
      <c r="I85" s="733">
        <f ca="1">SUMIF(DE!$S$7:$AE$326,B85,DE!$Y$7:$Y$298)</f>
        <v>0</v>
      </c>
      <c r="J85" s="733">
        <f ca="1">SUMIF(DE!$S$7:$AE$326,B85,DE!$Z$7:$Z$298)</f>
        <v>0</v>
      </c>
      <c r="K85" s="733">
        <f ca="1">SUMIF(DE!$S$7:$AE$326,B85,DE!$AA$7:$AA$298)</f>
        <v>0</v>
      </c>
      <c r="L85" s="733">
        <f ca="1">SUMIF(DE!$S$7:$AE$326,B85,DE!$AB$7:$AB$298)</f>
        <v>0</v>
      </c>
      <c r="M85" s="733">
        <f ca="1">SUMIF(DE!$S$7:$AE$326,B85,DE!$AC$7:$AC$298)</f>
        <v>0</v>
      </c>
      <c r="N85" s="733">
        <f ca="1">SUMIF(DE!$S$7:$AE$326,B85,DE!$AD$7:$AD$298)</f>
        <v>0</v>
      </c>
      <c r="O85" s="733">
        <f ca="1">SUMIF(DE!$S$7:$AE$326,B85,DE!$AE$7:$AE$298)</f>
        <v>0</v>
      </c>
      <c r="P85" s="11"/>
      <c r="Q85" s="11"/>
    </row>
    <row r="86" spans="1:17">
      <c r="A86" s="374"/>
      <c r="B86" s="1159" t="str">
        <f>+'Pres A'!B539</f>
        <v>Contribuciones al seguro de salud</v>
      </c>
      <c r="C86" s="733">
        <f t="shared" ca="1" si="14"/>
        <v>2650100.36</v>
      </c>
      <c r="D86" s="733">
        <f ca="1">SUMIF(DE!$S$7:$AE$326,B86,DE!$T$7:$T$298)</f>
        <v>0</v>
      </c>
      <c r="E86" s="733">
        <f ca="1">SUMIF(DE!$S$7:$AE$326,B86,DE!$U$7:$U$298)</f>
        <v>1743756.21</v>
      </c>
      <c r="F86" s="733">
        <f ca="1">SUMIF(DE!$S$7:$AE$326,B86,DE!$V$7:$V$298)</f>
        <v>906344.15</v>
      </c>
      <c r="G86" s="733">
        <f ca="1">SUMIF(DE!$S$7:$AE$326,B86,DE!$W$7:$W$298)</f>
        <v>0</v>
      </c>
      <c r="H86" s="733">
        <f ca="1">SUMIF(DE!$S$7:$AE$326,B86,DE!$X$7:$X$298)</f>
        <v>0</v>
      </c>
      <c r="I86" s="733">
        <f ca="1">SUMIF(DE!$S$7:$AE$326,B86,DE!$Y$7:$Y$298)</f>
        <v>0</v>
      </c>
      <c r="J86" s="733">
        <f ca="1">SUMIF(DE!$S$7:$AE$326,B86,DE!$Z$7:$Z$298)</f>
        <v>0</v>
      </c>
      <c r="K86" s="733">
        <f ca="1">SUMIF(DE!$S$7:$AE$326,B86,DE!$AA$7:$AA$298)</f>
        <v>0</v>
      </c>
      <c r="L86" s="733">
        <f ca="1">SUMIF(DE!$S$7:$AE$326,B86,DE!$AB$7:$AB$298)</f>
        <v>0</v>
      </c>
      <c r="M86" s="733">
        <f ca="1">SUMIF(DE!$S$7:$AE$326,B86,DE!$AC$7:$AC$298)</f>
        <v>0</v>
      </c>
      <c r="N86" s="733">
        <f ca="1">SUMIF(DE!$S$7:$AE$326,B86,DE!$AD$7:$AD$298)</f>
        <v>0</v>
      </c>
      <c r="O86" s="733">
        <f ca="1">SUMIF(DE!$S$7:$AE$326,B86,DE!$AE$7:$AE$298)</f>
        <v>0</v>
      </c>
      <c r="P86" s="11"/>
      <c r="Q86" s="11"/>
    </row>
    <row r="87" spans="1:17">
      <c r="A87" s="374"/>
      <c r="B87" s="1159" t="str">
        <f>+'Pres A'!B540</f>
        <v>Contribuciones al seguro de pensiones</v>
      </c>
      <c r="C87" s="733">
        <f t="shared" ca="1" si="14"/>
        <v>2700676.9299999997</v>
      </c>
      <c r="D87" s="733">
        <f ca="1">SUMIF(DE!$S$7:$AE$326,B87,DE!$T$7:$T$298)</f>
        <v>0</v>
      </c>
      <c r="E87" s="733">
        <f ca="1">SUMIF(DE!$S$7:$AE$326,B87,DE!$U$7:$U$298)</f>
        <v>1742956.89</v>
      </c>
      <c r="F87" s="733">
        <f ca="1">SUMIF(DE!$S$7:$AE$326,B87,DE!$V$7:$V$298)</f>
        <v>957720.04</v>
      </c>
      <c r="G87" s="733">
        <f ca="1">SUMIF(DE!$S$7:$AE$326,B87,DE!$W$7:$W$298)</f>
        <v>0</v>
      </c>
      <c r="H87" s="733">
        <f ca="1">SUMIF(DE!$S$7:$AE$326,B87,DE!$X$7:$X$298)</f>
        <v>0</v>
      </c>
      <c r="I87" s="733">
        <f ca="1">SUMIF(DE!$S$7:$AE$326,B87,DE!$Y$7:$Y$298)</f>
        <v>0</v>
      </c>
      <c r="J87" s="733">
        <f ca="1">SUMIF(DE!$S$7:$AE$326,B87,DE!$Z$7:$Z$298)</f>
        <v>0</v>
      </c>
      <c r="K87" s="733">
        <f ca="1">SUMIF(DE!$S$7:$AE$326,B87,DE!$AA$7:$AA$298)</f>
        <v>0</v>
      </c>
      <c r="L87" s="733">
        <f ca="1">SUMIF(DE!$S$7:$AE$326,B87,DE!$AB$7:$AB$298)</f>
        <v>0</v>
      </c>
      <c r="M87" s="733">
        <f ca="1">SUMIF(DE!$S$7:$AE$326,B87,DE!$AC$7:$AC$298)</f>
        <v>0</v>
      </c>
      <c r="N87" s="733">
        <f ca="1">SUMIF(DE!$S$7:$AE$326,B87,DE!$AD$7:$AD$298)</f>
        <v>0</v>
      </c>
      <c r="O87" s="733">
        <f ca="1">SUMIF(DE!$S$7:$AE$326,B87,DE!$AE$7:$AE$298)</f>
        <v>0</v>
      </c>
      <c r="P87" s="11"/>
      <c r="Q87" s="11"/>
    </row>
    <row r="88" spans="1:17">
      <c r="A88" s="374"/>
      <c r="B88" s="1159" t="str">
        <f>+'Pres A'!B541</f>
        <v>Contribuciones al seguro de riesgo laboral</v>
      </c>
      <c r="C88" s="733">
        <f t="shared" ca="1" si="14"/>
        <v>437355</v>
      </c>
      <c r="D88" s="733">
        <f ca="1">SUMIF(DE!$S$7:$AE$326,B88,DE!$T$7:$T$298)</f>
        <v>0</v>
      </c>
      <c r="E88" s="733">
        <f ca="1">SUMIF(DE!$S$7:$AE$326,B88,DE!$U$7:$U$298)</f>
        <v>290855.33</v>
      </c>
      <c r="F88" s="733">
        <f ca="1">SUMIF(DE!$S$7:$AE$326,B88,DE!$V$7:$V$298)</f>
        <v>146499.67000000001</v>
      </c>
      <c r="G88" s="733">
        <f ca="1">SUMIF(DE!$S$7:$AE$326,B88,DE!$W$7:$W$298)</f>
        <v>0</v>
      </c>
      <c r="H88" s="733">
        <f ca="1">SUMIF(DE!$S$7:$AE$326,B88,DE!$X$7:$X$298)</f>
        <v>0</v>
      </c>
      <c r="I88" s="733">
        <f ca="1">SUMIF(DE!$S$7:$AE$326,B88,DE!$Y$7:$Y$298)</f>
        <v>0</v>
      </c>
      <c r="J88" s="733">
        <f ca="1">SUMIF(DE!$S$7:$AE$326,B88,DE!$Z$7:$Z$298)</f>
        <v>0</v>
      </c>
      <c r="K88" s="733">
        <f ca="1">SUMIF(DE!$S$7:$AE$326,B88,DE!$AA$7:$AA$298)</f>
        <v>0</v>
      </c>
      <c r="L88" s="733">
        <f ca="1">SUMIF(DE!$S$7:$AE$326,B88,DE!$AB$7:$AB$298)</f>
        <v>0</v>
      </c>
      <c r="M88" s="733">
        <f ca="1">SUMIF(DE!$S$7:$AE$326,B88,DE!$AC$7:$AC$298)</f>
        <v>0</v>
      </c>
      <c r="N88" s="733">
        <f ca="1">SUMIF(DE!$S$7:$AE$326,B88,DE!$AD$7:$AD$298)</f>
        <v>0</v>
      </c>
      <c r="O88" s="733">
        <f ca="1">SUMIF(DE!$S$7:$AE$326,B88,DE!$AE$7:$AE$298)</f>
        <v>0</v>
      </c>
      <c r="P88" s="11"/>
      <c r="Q88" s="11"/>
    </row>
    <row r="89" spans="1:17">
      <c r="A89" s="374"/>
      <c r="B89" s="1159"/>
      <c r="C89" s="733"/>
      <c r="D89" s="733"/>
      <c r="E89" s="733"/>
      <c r="F89" s="733"/>
      <c r="G89" s="733"/>
      <c r="H89" s="733"/>
      <c r="I89" s="733"/>
      <c r="J89" s="733"/>
      <c r="K89" s="733"/>
      <c r="L89" s="733"/>
      <c r="M89" s="733"/>
      <c r="N89" s="733"/>
      <c r="O89" s="733"/>
      <c r="P89" s="11"/>
      <c r="Q89" s="11"/>
    </row>
    <row r="90" spans="1:17">
      <c r="A90" s="374"/>
      <c r="B90" s="1159"/>
      <c r="C90" s="733"/>
      <c r="D90" s="733"/>
      <c r="E90" s="733"/>
      <c r="F90" s="733"/>
      <c r="G90" s="733"/>
      <c r="H90" s="733"/>
      <c r="I90" s="733"/>
      <c r="J90" s="733"/>
      <c r="K90" s="733"/>
      <c r="L90" s="733"/>
      <c r="M90" s="733"/>
      <c r="N90" s="733"/>
      <c r="O90" s="733"/>
      <c r="P90" s="11"/>
      <c r="Q90" s="11"/>
    </row>
    <row r="91" spans="1:17">
      <c r="A91" s="374"/>
      <c r="B91" s="1159"/>
      <c r="C91" s="733"/>
      <c r="D91" s="733"/>
      <c r="E91" s="733"/>
      <c r="F91" s="733"/>
      <c r="G91" s="733"/>
      <c r="H91" s="733"/>
      <c r="I91" s="733"/>
      <c r="J91" s="733"/>
      <c r="K91" s="733"/>
      <c r="L91" s="733"/>
      <c r="M91" s="733"/>
      <c r="N91" s="733"/>
      <c r="O91" s="733"/>
      <c r="P91" s="11"/>
      <c r="Q91" s="11"/>
    </row>
    <row r="92" spans="1:17" s="23" customFormat="1">
      <c r="A92" s="1153"/>
      <c r="B92" s="1158" t="str">
        <f>+'Pres A'!B577</f>
        <v>Servicios no Personales</v>
      </c>
      <c r="C92" s="935">
        <f ca="1">SUM(C93:C131)</f>
        <v>18887716.689999998</v>
      </c>
      <c r="D92" s="935">
        <f t="shared" ref="D92:O92" ca="1" si="15">SUM(D93:D131)</f>
        <v>5260498.1300000008</v>
      </c>
      <c r="E92" s="935">
        <f t="shared" ca="1" si="15"/>
        <v>4825405.4399999995</v>
      </c>
      <c r="F92" s="935">
        <f t="shared" ca="1" si="15"/>
        <v>8801813.120000001</v>
      </c>
      <c r="G92" s="935">
        <f t="shared" ca="1" si="15"/>
        <v>0</v>
      </c>
      <c r="H92" s="935">
        <f t="shared" ca="1" si="15"/>
        <v>0</v>
      </c>
      <c r="I92" s="935">
        <f t="shared" ca="1" si="15"/>
        <v>0</v>
      </c>
      <c r="J92" s="935">
        <f t="shared" ca="1" si="15"/>
        <v>0</v>
      </c>
      <c r="K92" s="935">
        <f t="shared" ca="1" si="15"/>
        <v>0</v>
      </c>
      <c r="L92" s="935">
        <f t="shared" ca="1" si="15"/>
        <v>0</v>
      </c>
      <c r="M92" s="935">
        <f t="shared" ca="1" si="15"/>
        <v>0</v>
      </c>
      <c r="N92" s="935">
        <f t="shared" ca="1" si="15"/>
        <v>0</v>
      </c>
      <c r="O92" s="935">
        <f t="shared" ca="1" si="15"/>
        <v>0</v>
      </c>
      <c r="P92" s="24"/>
      <c r="Q92" s="24"/>
    </row>
    <row r="93" spans="1:17">
      <c r="A93" s="374"/>
      <c r="B93" s="1160" t="str">
        <f>+'Pres A'!B578</f>
        <v>Servicios telefonico de larga distancia</v>
      </c>
      <c r="C93" s="733">
        <f t="shared" ref="C93:C145" ca="1" si="16">SUM(D93:O93)</f>
        <v>460724.07999999996</v>
      </c>
      <c r="D93" s="733">
        <f ca="1">SUMIF(DE!$S$7:$AE$326,B93,DE!$T$7:$T$298)</f>
        <v>153288.54999999999</v>
      </c>
      <c r="E93" s="733">
        <f ca="1">SUMIF(DE!$S$7:$AE$326,B93,DE!$U$7:$U$298)</f>
        <v>146935.25</v>
      </c>
      <c r="F93" s="733">
        <f ca="1">SUMIF(DE!$S$7:$AE$326,B93,DE!$V$7:$V$298)</f>
        <v>160500.28</v>
      </c>
      <c r="G93" s="733">
        <f ca="1">SUMIF(DE!$S$7:$AE$326,B93,DE!$W$7:$W$298)</f>
        <v>0</v>
      </c>
      <c r="H93" s="733">
        <f ca="1">SUMIF(DE!$S$7:$AE$326,B93,DE!$X$7:$X$298)</f>
        <v>0</v>
      </c>
      <c r="I93" s="733">
        <f ca="1">SUMIF(DE!$S$7:$AE$326,B93,DE!$Y$7:$Y$298)</f>
        <v>0</v>
      </c>
      <c r="J93" s="733">
        <f ca="1">SUMIF(DE!$S$7:$AE$326,B93,DE!$Z$7:$Z$298)</f>
        <v>0</v>
      </c>
      <c r="K93" s="733">
        <f ca="1">SUMIF(DE!$S$7:$AE$326,B93,DE!$AA$7:$AA$298)</f>
        <v>0</v>
      </c>
      <c r="L93" s="733">
        <f ca="1">SUMIF(DE!$S$7:$AE$326,B93,DE!$AB$7:$AB$298)</f>
        <v>0</v>
      </c>
      <c r="M93" s="733">
        <f ca="1">SUMIF(DE!$S$7:$AE$326,B93,DE!$AC$7:$AC$298)</f>
        <v>0</v>
      </c>
      <c r="N93" s="733">
        <f ca="1">SUMIF(DE!$S$7:$AE$326,B93,DE!$AD$7:$AD$298)</f>
        <v>0</v>
      </c>
      <c r="O93" s="733">
        <f ca="1">SUMIF(DE!$S$7:$AE$326,B93,DE!$AE$7:$AE$298)</f>
        <v>0</v>
      </c>
      <c r="P93" s="11"/>
      <c r="Q93" s="11"/>
    </row>
    <row r="94" spans="1:17">
      <c r="A94" s="374"/>
      <c r="B94" s="1160" t="str">
        <f>+'Pres A'!B579</f>
        <v>Telefono local</v>
      </c>
      <c r="C94" s="733">
        <f t="shared" ca="1" si="16"/>
        <v>230191</v>
      </c>
      <c r="D94" s="733">
        <f ca="1">SUMIF(DE!$S$7:$AE$326,B94,DE!$T$7:$T$298)</f>
        <v>76591.44</v>
      </c>
      <c r="E94" s="733">
        <f ca="1">SUMIF(DE!$S$7:$AE$326,B94,DE!$U$7:$U$298)</f>
        <v>76677.760000000009</v>
      </c>
      <c r="F94" s="733">
        <f ca="1">SUMIF(DE!$S$7:$AE$326,B94,DE!$V$7:$V$298)</f>
        <v>76921.8</v>
      </c>
      <c r="G94" s="733">
        <f ca="1">SUMIF(DE!$S$7:$AE$326,B94,DE!$W$7:$W$298)</f>
        <v>0</v>
      </c>
      <c r="H94" s="733">
        <f ca="1">SUMIF(DE!$S$7:$AE$326,B94,DE!$X$7:$X$298)</f>
        <v>0</v>
      </c>
      <c r="I94" s="733">
        <f ca="1">SUMIF(DE!$S$7:$AE$326,B94,DE!$Y$7:$Y$298)</f>
        <v>0</v>
      </c>
      <c r="J94" s="733">
        <f ca="1">SUMIF(DE!$S$7:$AE$326,B94,DE!$Z$7:$Z$298)</f>
        <v>0</v>
      </c>
      <c r="K94" s="733">
        <f ca="1">SUMIF(DE!$S$7:$AE$326,B94,DE!$AA$7:$AA$298)</f>
        <v>0</v>
      </c>
      <c r="L94" s="733">
        <f ca="1">SUMIF(DE!$S$7:$AE$326,B94,DE!$AB$7:$AB$298)</f>
        <v>0</v>
      </c>
      <c r="M94" s="733">
        <f ca="1">SUMIF(DE!$S$7:$AE$326,B94,DE!$AC$7:$AC$298)</f>
        <v>0</v>
      </c>
      <c r="N94" s="733">
        <f ca="1">SUMIF(DE!$S$7:$AE$326,B94,DE!$AD$7:$AD$298)</f>
        <v>0</v>
      </c>
      <c r="O94" s="733">
        <f ca="1">SUMIF(DE!$S$7:$AE$326,B94,DE!$AE$7:$AE$298)</f>
        <v>0</v>
      </c>
      <c r="P94" s="11"/>
      <c r="Q94" s="11"/>
    </row>
    <row r="95" spans="1:17">
      <c r="A95" s="374"/>
      <c r="B95" s="1160" t="str">
        <f>+'Pres A'!B580</f>
        <v>Servicio de internet y television por cable</v>
      </c>
      <c r="C95" s="733">
        <f t="shared" ca="1" si="16"/>
        <v>77085.11</v>
      </c>
      <c r="D95" s="733">
        <f ca="1">SUMIF(DE!$S$7:$AE$326,B95,DE!$T$7:$T$298)</f>
        <v>26507.29</v>
      </c>
      <c r="E95" s="733">
        <f ca="1">SUMIF(DE!$S$7:$AE$326,B95,DE!$U$7:$U$298)</f>
        <v>25180.41</v>
      </c>
      <c r="F95" s="733">
        <f ca="1">SUMIF(DE!$S$7:$AE$326,B95,DE!$V$7:$V$298)</f>
        <v>25397.41</v>
      </c>
      <c r="G95" s="733">
        <f ca="1">SUMIF(DE!$S$7:$AE$326,B95,DE!$W$7:$W$298)</f>
        <v>0</v>
      </c>
      <c r="H95" s="733">
        <f ca="1">SUMIF(DE!$S$7:$AE$326,B95,DE!$X$7:$X$298)</f>
        <v>0</v>
      </c>
      <c r="I95" s="733">
        <f ca="1">SUMIF(DE!$S$7:$AE$326,B95,DE!$Y$7:$Y$298)</f>
        <v>0</v>
      </c>
      <c r="J95" s="733">
        <f ca="1">SUMIF(DE!$S$7:$AE$326,B95,DE!$Z$7:$Z$298)</f>
        <v>0</v>
      </c>
      <c r="K95" s="733">
        <f ca="1">SUMIF(DE!$S$7:$AE$326,B95,DE!$AA$7:$AA$298)</f>
        <v>0</v>
      </c>
      <c r="L95" s="733">
        <f ca="1">SUMIF(DE!$S$7:$AE$326,B95,DE!$AB$7:$AB$298)</f>
        <v>0</v>
      </c>
      <c r="M95" s="733">
        <f ca="1">SUMIF(DE!$S$7:$AE$326,B95,DE!$AC$7:$AC$298)</f>
        <v>0</v>
      </c>
      <c r="N95" s="733">
        <f ca="1">SUMIF(DE!$S$7:$AE$326,B95,DE!$AD$7:$AD$298)</f>
        <v>0</v>
      </c>
      <c r="O95" s="733">
        <f ca="1">SUMIF(DE!$S$7:$AE$326,B95,DE!$AE$7:$AE$298)</f>
        <v>0</v>
      </c>
      <c r="P95" s="11"/>
      <c r="Q95" s="11"/>
    </row>
    <row r="96" spans="1:17">
      <c r="A96" s="374"/>
      <c r="B96" s="1160" t="str">
        <f>+'Pres A'!B581</f>
        <v>Electricidad no cortable</v>
      </c>
      <c r="C96" s="733">
        <f t="shared" ca="1" si="16"/>
        <v>14880572.050000001</v>
      </c>
      <c r="D96" s="733">
        <f ca="1">SUMIF(DE!$S$7:$AE$326,B96,DE!$T$7:$T$298)</f>
        <v>4927104.53</v>
      </c>
      <c r="E96" s="733">
        <f ca="1">SUMIF(DE!$S$7:$AE$326,B96,DE!$U$7:$U$298)</f>
        <v>5136462.7399999993</v>
      </c>
      <c r="F96" s="733">
        <f ca="1">SUMIF(DE!$S$7:$AE$326,B96,DE!$V$7:$V$298)</f>
        <v>4817004.78</v>
      </c>
      <c r="G96" s="733">
        <f ca="1">SUMIF(DE!$S$7:$AE$326,B96,DE!$W$7:$W$298)</f>
        <v>0</v>
      </c>
      <c r="H96" s="733">
        <f ca="1">SUMIF(DE!$S$7:$AE$326,B96,DE!$X$7:$X$298)</f>
        <v>0</v>
      </c>
      <c r="I96" s="733">
        <f ca="1">SUMIF(DE!$S$7:$AE$326,B96,DE!$Y$7:$Y$298)</f>
        <v>0</v>
      </c>
      <c r="J96" s="733">
        <f ca="1">SUMIF(DE!$S$7:$AE$326,B96,DE!$Z$7:$Z$298)</f>
        <v>0</v>
      </c>
      <c r="K96" s="733">
        <f ca="1">SUMIF(DE!$S$7:$AE$326,B96,DE!$AA$7:$AA$298)</f>
        <v>0</v>
      </c>
      <c r="L96" s="733">
        <f ca="1">SUMIF(DE!$S$7:$AE$326,B96,DE!$AB$7:$AB$298)</f>
        <v>0</v>
      </c>
      <c r="M96" s="733">
        <f ca="1">SUMIF(DE!$S$7:$AE$326,B96,DE!$AC$7:$AC$298)</f>
        <v>0</v>
      </c>
      <c r="N96" s="733">
        <f ca="1">SUMIF(DE!$S$7:$AE$326,B96,DE!$AD$7:$AD$298)</f>
        <v>0</v>
      </c>
      <c r="O96" s="733">
        <f ca="1">SUMIF(DE!$S$7:$AE$326,B96,DE!$AE$7:$AE$298)</f>
        <v>0</v>
      </c>
      <c r="P96" s="11"/>
      <c r="Q96" s="11"/>
    </row>
    <row r="97" spans="1:17">
      <c r="A97" s="374"/>
      <c r="B97" s="1160" t="str">
        <f>+'Pres A'!B582</f>
        <v>Publicidad y propaganda</v>
      </c>
      <c r="C97" s="733">
        <f t="shared" ca="1" si="16"/>
        <v>0</v>
      </c>
      <c r="D97" s="733">
        <f ca="1">SUMIF(DE!$S$7:$AE$326,B97,DE!$T$7:$T$298)</f>
        <v>0</v>
      </c>
      <c r="E97" s="733">
        <f ca="1">SUMIF(DE!$S$7:$AE$326,B97,DE!$U$7:$U$298)</f>
        <v>0</v>
      </c>
      <c r="F97" s="733">
        <f ca="1">SUMIF(DE!$S$7:$AE$326,B97,DE!$V$7:$V$298)</f>
        <v>0</v>
      </c>
      <c r="G97" s="733">
        <f ca="1">SUMIF(DE!$S$7:$AE$326,B97,DE!$W$7:$W$298)</f>
        <v>0</v>
      </c>
      <c r="H97" s="733">
        <f ca="1">SUMIF(DE!$S$7:$AE$326,B97,DE!$X$7:$X$298)</f>
        <v>0</v>
      </c>
      <c r="I97" s="733">
        <f ca="1">SUMIF(DE!$S$7:$AE$326,B97,DE!$Y$7:$Y$298)</f>
        <v>0</v>
      </c>
      <c r="J97" s="733">
        <f ca="1">SUMIF(DE!$S$7:$AE$326,B97,DE!$Z$7:$Z$298)</f>
        <v>0</v>
      </c>
      <c r="K97" s="733">
        <f ca="1">SUMIF(DE!$S$7:$AE$326,B97,DE!$AA$7:$AA$298)</f>
        <v>0</v>
      </c>
      <c r="L97" s="733">
        <f ca="1">SUMIF(DE!$S$7:$AE$326,B97,DE!$AB$7:$AB$298)</f>
        <v>0</v>
      </c>
      <c r="M97" s="733">
        <f ca="1">SUMIF(DE!$S$7:$AE$326,B97,DE!$AC$7:$AC$298)</f>
        <v>0</v>
      </c>
      <c r="N97" s="733">
        <f ca="1">SUMIF(DE!$S$7:$AE$326,B97,DE!$AD$7:$AD$298)</f>
        <v>0</v>
      </c>
      <c r="O97" s="733">
        <f ca="1">SUMIF(DE!$S$7:$AE$326,B97,DE!$AE$7:$AE$298)</f>
        <v>0</v>
      </c>
      <c r="P97" s="11"/>
      <c r="Q97" s="11"/>
    </row>
    <row r="98" spans="1:17">
      <c r="A98" s="374"/>
      <c r="B98" s="1160" t="str">
        <f>+'Pres A'!B583</f>
        <v>IMPRESION, ENCUADERNACION Y ROTULACION</v>
      </c>
      <c r="C98" s="733">
        <f t="shared" ca="1" si="16"/>
        <v>0</v>
      </c>
      <c r="D98" s="733">
        <f ca="1">SUMIF(DE!$S$7:$AE$326,B98,DE!$T$7:$T$298)</f>
        <v>0</v>
      </c>
      <c r="E98" s="733">
        <f ca="1">SUMIF(DE!$S$7:$AE$326,B98,DE!$U$7:$U$298)</f>
        <v>0</v>
      </c>
      <c r="F98" s="733">
        <f ca="1">SUMIF(DE!$S$7:$AE$326,B98,DE!$V$7:$V$298)</f>
        <v>0</v>
      </c>
      <c r="G98" s="733">
        <f ca="1">SUMIF(DE!$S$7:$AE$326,B98,DE!$W$7:$W$298)</f>
        <v>0</v>
      </c>
      <c r="H98" s="733">
        <f ca="1">SUMIF(DE!$S$7:$AE$326,B98,DE!$X$7:$X$298)</f>
        <v>0</v>
      </c>
      <c r="I98" s="733">
        <f ca="1">SUMIF(DE!$S$7:$AE$326,B98,DE!$Y$7:$Y$298)</f>
        <v>0</v>
      </c>
      <c r="J98" s="733">
        <f ca="1">SUMIF(DE!$S$7:$AE$326,B98,DE!$Z$7:$Z$298)</f>
        <v>0</v>
      </c>
      <c r="K98" s="733">
        <f ca="1">SUMIF(DE!$S$7:$AE$326,B98,DE!$AA$7:$AA$298)</f>
        <v>0</v>
      </c>
      <c r="L98" s="733">
        <f ca="1">SUMIF(DE!$S$7:$AE$326,B98,DE!$AB$7:$AB$298)</f>
        <v>0</v>
      </c>
      <c r="M98" s="733">
        <f ca="1">SUMIF(DE!$S$7:$AE$326,B98,DE!$AC$7:$AC$298)</f>
        <v>0</v>
      </c>
      <c r="N98" s="733">
        <f ca="1">SUMIF(DE!$S$7:$AE$326,B98,DE!$AD$7:$AD$298)</f>
        <v>0</v>
      </c>
      <c r="O98" s="733">
        <f ca="1">SUMIF(DE!$S$7:$AE$326,B98,DE!$AE$7:$AE$298)</f>
        <v>0</v>
      </c>
      <c r="P98" s="11"/>
      <c r="Q98" s="11"/>
    </row>
    <row r="99" spans="1:17">
      <c r="A99" s="374"/>
      <c r="B99" s="1160" t="str">
        <f>+'Pres A'!B584</f>
        <v>Viaticos dentro del pais</v>
      </c>
      <c r="C99" s="733">
        <f t="shared" ca="1" si="16"/>
        <v>594499.5</v>
      </c>
      <c r="D99" s="733">
        <f ca="1">SUMIF(DE!$S$7:$AE$326,B99,DE!$T$7:$T$298)</f>
        <v>0</v>
      </c>
      <c r="E99" s="733">
        <f ca="1">SUMIF(DE!$S$7:$AE$326,B99,DE!$U$7:$U$298)</f>
        <v>82162.5</v>
      </c>
      <c r="F99" s="733">
        <f ca="1">SUMIF(DE!$S$7:$AE$326,B99,DE!$V$7:$V$298)</f>
        <v>512337</v>
      </c>
      <c r="G99" s="733">
        <f ca="1">SUMIF(DE!$S$7:$AE$326,B99,DE!$W$7:$W$298)</f>
        <v>0</v>
      </c>
      <c r="H99" s="733">
        <f ca="1">SUMIF(DE!$S$7:$AE$326,B99,DE!$X$7:$X$298)</f>
        <v>0</v>
      </c>
      <c r="I99" s="733">
        <f ca="1">SUMIF(DE!$S$7:$AE$326,B99,DE!$Y$7:$Y$298)</f>
        <v>0</v>
      </c>
      <c r="J99" s="733">
        <f ca="1">SUMIF(DE!$S$7:$AE$326,B99,DE!$Z$7:$Z$298)</f>
        <v>0</v>
      </c>
      <c r="K99" s="733">
        <f ca="1">SUMIF(DE!$S$7:$AE$326,B99,DE!$AA$7:$AA$298)</f>
        <v>0</v>
      </c>
      <c r="L99" s="733">
        <f ca="1">SUMIF(DE!$S$7:$AE$326,B99,DE!$AB$7:$AB$298)</f>
        <v>0</v>
      </c>
      <c r="M99" s="733">
        <f ca="1">SUMIF(DE!$S$7:$AE$326,B99,DE!$AC$7:$AC$298)</f>
        <v>0</v>
      </c>
      <c r="N99" s="733">
        <f ca="1">SUMIF(DE!$S$7:$AE$326,B99,DE!$AD$7:$AD$298)</f>
        <v>0</v>
      </c>
      <c r="O99" s="733">
        <f ca="1">SUMIF(DE!$S$7:$AE$326,B99,DE!$AE$7:$AE$298)</f>
        <v>0</v>
      </c>
      <c r="P99" s="11"/>
      <c r="Q99" s="11"/>
    </row>
    <row r="100" spans="1:17">
      <c r="A100" s="374"/>
      <c r="B100" s="1160" t="str">
        <f>+'Pres A'!B585</f>
        <v>Pasajes</v>
      </c>
      <c r="C100" s="733">
        <f t="shared" ca="1" si="16"/>
        <v>2200</v>
      </c>
      <c r="D100" s="733">
        <f ca="1">SUMIF(DE!$S$7:$AE$326,B100,DE!$T$7:$T$298)</f>
        <v>0</v>
      </c>
      <c r="E100" s="733">
        <f ca="1">SUMIF(DE!$S$7:$AE$326,B100,DE!$U$7:$U$298)</f>
        <v>0</v>
      </c>
      <c r="F100" s="733">
        <f ca="1">SUMIF(DE!$S$7:$AE$326,B100,DE!$V$7:$V$298)</f>
        <v>2200</v>
      </c>
      <c r="G100" s="733">
        <f ca="1">SUMIF(DE!$S$7:$AE$326,B100,DE!$W$7:$W$298)</f>
        <v>0</v>
      </c>
      <c r="H100" s="733">
        <f ca="1">SUMIF(DE!$S$7:$AE$326,B100,DE!$X$7:$X$298)</f>
        <v>0</v>
      </c>
      <c r="I100" s="733">
        <f ca="1">SUMIF(DE!$S$7:$AE$326,B100,DE!$Y$7:$Y$298)</f>
        <v>0</v>
      </c>
      <c r="J100" s="733">
        <f ca="1">SUMIF(DE!$S$7:$AE$326,B100,DE!$Z$7:$Z$298)</f>
        <v>0</v>
      </c>
      <c r="K100" s="733">
        <f ca="1">SUMIF(DE!$S$7:$AE$326,B100,DE!$AA$7:$AA$298)</f>
        <v>0</v>
      </c>
      <c r="L100" s="733">
        <f ca="1">SUMIF(DE!$S$7:$AE$326,B100,DE!$AB$7:$AB$298)</f>
        <v>0</v>
      </c>
      <c r="M100" s="733">
        <f ca="1">SUMIF(DE!$S$7:$AE$326,B100,DE!$AC$7:$AC$298)</f>
        <v>0</v>
      </c>
      <c r="N100" s="733">
        <f ca="1">SUMIF(DE!$S$7:$AE$326,B100,DE!$AD$7:$AD$298)</f>
        <v>0</v>
      </c>
      <c r="O100" s="733">
        <f ca="1">SUMIF(DE!$S$7:$AE$326,B100,DE!$AE$7:$AE$298)</f>
        <v>0</v>
      </c>
      <c r="P100" s="11"/>
      <c r="Q100" s="11"/>
    </row>
    <row r="101" spans="1:17">
      <c r="A101" s="374"/>
      <c r="B101" s="1160" t="str">
        <f>+'Pres A'!B586</f>
        <v>Alquilleres y rentas de edificios y locales</v>
      </c>
      <c r="C101" s="733">
        <f t="shared" ca="1" si="16"/>
        <v>0</v>
      </c>
      <c r="D101" s="733">
        <f ca="1">SUMIF(DE!$S$7:$AE$326,B101,DE!$T$7:$T$298)</f>
        <v>0</v>
      </c>
      <c r="E101" s="733">
        <f ca="1">SUMIF(DE!$S$7:$AE$326,B101,DE!$U$7:$U$298)</f>
        <v>0</v>
      </c>
      <c r="F101" s="733">
        <f ca="1">SUMIF(DE!$S$7:$AE$326,B101,DE!$V$7:$V$298)</f>
        <v>0</v>
      </c>
      <c r="G101" s="733">
        <f ca="1">SUMIF(DE!$S$7:$AE$326,B101,DE!$W$7:$W$298)</f>
        <v>0</v>
      </c>
      <c r="H101" s="733">
        <f ca="1">SUMIF(DE!$S$7:$AE$326,B101,DE!$X$7:$X$298)</f>
        <v>0</v>
      </c>
      <c r="I101" s="733">
        <f ca="1">SUMIF(DE!$S$7:$AE$326,B101,DE!$Y$7:$Y$298)</f>
        <v>0</v>
      </c>
      <c r="J101" s="733">
        <f ca="1">SUMIF(DE!$S$7:$AE$326,B101,DE!$Z$7:$Z$298)</f>
        <v>0</v>
      </c>
      <c r="K101" s="733">
        <f ca="1">SUMIF(DE!$S$7:$AE$326,B101,DE!$AA$7:$AA$298)</f>
        <v>0</v>
      </c>
      <c r="L101" s="733">
        <f ca="1">SUMIF(DE!$S$7:$AE$326,B101,DE!$AB$7:$AB$298)</f>
        <v>0</v>
      </c>
      <c r="M101" s="733">
        <f ca="1">SUMIF(DE!$S$7:$AE$326,B101,DE!$AC$7:$AC$298)</f>
        <v>0</v>
      </c>
      <c r="N101" s="733">
        <f ca="1">SUMIF(DE!$S$7:$AE$326,B101,DE!$AD$7:$AD$298)</f>
        <v>0</v>
      </c>
      <c r="O101" s="733">
        <f ca="1">SUMIF(DE!$S$7:$AE$326,B101,DE!$AE$7:$AE$298)</f>
        <v>0</v>
      </c>
      <c r="P101" s="11"/>
      <c r="Q101" s="11"/>
    </row>
    <row r="102" spans="1:17">
      <c r="A102" s="374"/>
      <c r="B102" s="1160" t="str">
        <f>+'Pres A'!B587</f>
        <v>Alquiler de equipo de oficina y muebles</v>
      </c>
      <c r="C102" s="733">
        <f t="shared" ca="1" si="16"/>
        <v>0</v>
      </c>
      <c r="D102" s="733">
        <f ca="1">SUMIF(DE!$S$7:$AE$326,B102,DE!$T$7:$T$298)</f>
        <v>0</v>
      </c>
      <c r="E102" s="733">
        <f ca="1">SUMIF(DE!$S$7:$AE$326,B102,DE!$U$7:$U$298)</f>
        <v>0</v>
      </c>
      <c r="F102" s="733">
        <f ca="1">SUMIF(DE!$S$7:$AE$326,B102,DE!$V$7:$V$298)</f>
        <v>0</v>
      </c>
      <c r="G102" s="733">
        <f ca="1">SUMIF(DE!$S$7:$AE$326,B102,DE!$W$7:$W$298)</f>
        <v>0</v>
      </c>
      <c r="H102" s="733">
        <f ca="1">SUMIF(DE!$S$7:$AE$326,B102,DE!$X$7:$X$298)</f>
        <v>0</v>
      </c>
      <c r="I102" s="733">
        <f ca="1">SUMIF(DE!$S$7:$AE$326,B102,DE!$Y$7:$Y$298)</f>
        <v>0</v>
      </c>
      <c r="J102" s="733">
        <f ca="1">SUMIF(DE!$S$7:$AE$326,B102,DE!$Z$7:$Z$298)</f>
        <v>0</v>
      </c>
      <c r="K102" s="733">
        <f ca="1">SUMIF(DE!$S$7:$AE$326,B102,DE!$AA$7:$AA$298)</f>
        <v>0</v>
      </c>
      <c r="L102" s="733">
        <f ca="1">SUMIF(DE!$S$7:$AE$326,B102,DE!$AB$7:$AB$298)</f>
        <v>0</v>
      </c>
      <c r="M102" s="733">
        <f ca="1">SUMIF(DE!$S$7:$AE$326,B102,DE!$AC$7:$AC$298)</f>
        <v>0</v>
      </c>
      <c r="N102" s="733">
        <f ca="1">SUMIF(DE!$S$7:$AE$326,B102,DE!$AD$7:$AD$298)</f>
        <v>0</v>
      </c>
      <c r="O102" s="733">
        <f ca="1">SUMIF(DE!$S$7:$AE$326,B102,DE!$AE$7:$AE$298)</f>
        <v>0</v>
      </c>
      <c r="P102" s="11"/>
      <c r="Q102" s="11"/>
    </row>
    <row r="103" spans="1:17">
      <c r="A103" s="374"/>
      <c r="B103" s="1160" t="str">
        <f>+'Pres A'!B588</f>
        <v>Alquileres de equipos de transporte traccion y ele</v>
      </c>
      <c r="C103" s="733">
        <f t="shared" ca="1" si="16"/>
        <v>0</v>
      </c>
      <c r="D103" s="733">
        <f ca="1">SUMIF(DE!$S$7:$AE$326,B103,DE!$T$7:$T$298)</f>
        <v>0</v>
      </c>
      <c r="E103" s="733">
        <f ca="1">SUMIF(DE!$S$7:$AE$326,B103,DE!$U$7:$U$298)</f>
        <v>0</v>
      </c>
      <c r="F103" s="733">
        <f ca="1">SUMIF(DE!$S$7:$AE$326,B103,DE!$V$7:$V$298)</f>
        <v>0</v>
      </c>
      <c r="G103" s="733">
        <f ca="1">SUMIF(DE!$S$7:$AE$326,B103,DE!$W$7:$W$298)</f>
        <v>0</v>
      </c>
      <c r="H103" s="733">
        <f ca="1">SUMIF(DE!$S$7:$AE$326,B103,DE!$X$7:$X$298)</f>
        <v>0</v>
      </c>
      <c r="I103" s="733">
        <f ca="1">SUMIF(DE!$S$7:$AE$326,B103,DE!$Y$7:$Y$298)</f>
        <v>0</v>
      </c>
      <c r="J103" s="733">
        <f ca="1">SUMIF(DE!$S$7:$AE$326,B103,DE!$Z$7:$Z$298)</f>
        <v>0</v>
      </c>
      <c r="K103" s="733">
        <f ca="1">SUMIF(DE!$S$7:$AE$326,B103,DE!$AA$7:$AA$298)</f>
        <v>0</v>
      </c>
      <c r="L103" s="733">
        <f ca="1">SUMIF(DE!$S$7:$AE$326,B103,DE!$AB$7:$AB$298)</f>
        <v>0</v>
      </c>
      <c r="M103" s="733">
        <f ca="1">SUMIF(DE!$S$7:$AE$326,B103,DE!$AC$7:$AC$298)</f>
        <v>0</v>
      </c>
      <c r="N103" s="733">
        <f ca="1">SUMIF(DE!$S$7:$AE$326,B103,DE!$AD$7:$AD$298)</f>
        <v>0</v>
      </c>
      <c r="O103" s="733">
        <f ca="1">SUMIF(DE!$S$7:$AE$326,B103,DE!$AE$7:$AE$298)</f>
        <v>0</v>
      </c>
      <c r="P103" s="11"/>
      <c r="Q103" s="11"/>
    </row>
    <row r="104" spans="1:17">
      <c r="A104" s="374"/>
      <c r="B104" s="1160" t="str">
        <f>+'Pres A'!B589</f>
        <v>Alquileres de equipos de construccion y movimiento</v>
      </c>
      <c r="C104" s="733">
        <f t="shared" ca="1" si="16"/>
        <v>0</v>
      </c>
      <c r="D104" s="733">
        <f ca="1">SUMIF(DE!$S$7:$AE$326,B104,DE!$T$7:$T$298)</f>
        <v>0</v>
      </c>
      <c r="E104" s="733">
        <f ca="1">SUMIF(DE!$S$7:$AE$326,B104,DE!$U$7:$U$298)</f>
        <v>0</v>
      </c>
      <c r="F104" s="733">
        <f ca="1">SUMIF(DE!$S$7:$AE$326,B104,DE!$V$7:$V$298)</f>
        <v>0</v>
      </c>
      <c r="G104" s="733">
        <f ca="1">SUMIF(DE!$S$7:$AE$326,B104,DE!$W$7:$W$298)</f>
        <v>0</v>
      </c>
      <c r="H104" s="733">
        <f ca="1">SUMIF(DE!$S$7:$AE$326,B104,DE!$X$7:$X$298)</f>
        <v>0</v>
      </c>
      <c r="I104" s="733">
        <f ca="1">SUMIF(DE!$S$7:$AE$326,B104,DE!$Y$7:$Y$298)</f>
        <v>0</v>
      </c>
      <c r="J104" s="733">
        <f ca="1">SUMIF(DE!$S$7:$AE$326,B104,DE!$Z$7:$Z$298)</f>
        <v>0</v>
      </c>
      <c r="K104" s="733">
        <f ca="1">SUMIF(DE!$S$7:$AE$326,B104,DE!$AA$7:$AA$298)</f>
        <v>0</v>
      </c>
      <c r="L104" s="733">
        <f ca="1">SUMIF(DE!$S$7:$AE$326,B104,DE!$AB$7:$AB$298)</f>
        <v>0</v>
      </c>
      <c r="M104" s="733">
        <f ca="1">SUMIF(DE!$S$7:$AE$326,B104,DE!$AC$7:$AC$298)</f>
        <v>0</v>
      </c>
      <c r="N104" s="733">
        <f ca="1">SUMIF(DE!$S$7:$AE$326,B104,DE!$AD$7:$AD$298)</f>
        <v>0</v>
      </c>
      <c r="O104" s="733">
        <f ca="1">SUMIF(DE!$S$7:$AE$326,B104,DE!$AE$7:$AE$298)</f>
        <v>0</v>
      </c>
      <c r="P104" s="11"/>
      <c r="Q104" s="11"/>
    </row>
    <row r="105" spans="1:17">
      <c r="A105" s="374"/>
      <c r="B105" s="1160" t="str">
        <f>+'Pres A'!B590</f>
        <v>Seguro de bienes muebles</v>
      </c>
      <c r="C105" s="733">
        <f t="shared" ca="1" si="16"/>
        <v>0</v>
      </c>
      <c r="D105" s="733">
        <f ca="1">SUMIF(DE!$S$7:$AE$326,B105,DE!$T$7:$T$298)</f>
        <v>0</v>
      </c>
      <c r="E105" s="733">
        <f ca="1">SUMIF(DE!$S$7:$AE$326,B105,DE!$U$7:$U$298)</f>
        <v>0</v>
      </c>
      <c r="F105" s="733">
        <f ca="1">SUMIF(DE!$S$7:$AE$326,B105,DE!$V$7:$V$298)</f>
        <v>0</v>
      </c>
      <c r="G105" s="733">
        <f ca="1">SUMIF(DE!$S$7:$AE$326,B105,DE!$W$7:$W$298)</f>
        <v>0</v>
      </c>
      <c r="H105" s="733">
        <f ca="1">SUMIF(DE!$S$7:$AE$326,B105,DE!$X$7:$X$298)</f>
        <v>0</v>
      </c>
      <c r="I105" s="733">
        <f ca="1">SUMIF(DE!$S$7:$AE$326,B105,DE!$Y$7:$Y$298)</f>
        <v>0</v>
      </c>
      <c r="J105" s="733">
        <f ca="1">SUMIF(DE!$S$7:$AE$326,B105,DE!$Z$7:$Z$298)</f>
        <v>0</v>
      </c>
      <c r="K105" s="733">
        <f ca="1">SUMIF(DE!$S$7:$AE$326,B105,DE!$AA$7:$AA$298)</f>
        <v>0</v>
      </c>
      <c r="L105" s="733">
        <f ca="1">SUMIF(DE!$S$7:$AE$326,B105,DE!$AB$7:$AB$298)</f>
        <v>0</v>
      </c>
      <c r="M105" s="733">
        <f ca="1">SUMIF(DE!$S$7:$AE$326,B105,DE!$AC$7:$AC$298)</f>
        <v>0</v>
      </c>
      <c r="N105" s="733">
        <f ca="1">SUMIF(DE!$S$7:$AE$326,B105,DE!$AD$7:$AD$298)</f>
        <v>0</v>
      </c>
      <c r="O105" s="733">
        <f ca="1">SUMIF(DE!$S$7:$AE$326,B105,DE!$AE$7:$AE$298)</f>
        <v>0</v>
      </c>
      <c r="P105" s="11"/>
      <c r="Q105" s="11"/>
    </row>
    <row r="106" spans="1:17">
      <c r="A106" s="374"/>
      <c r="B106" s="1160" t="str">
        <f>+'Pres A'!B591</f>
        <v>ALQUILERES DE EQUIPOS ELECTRICOS</v>
      </c>
      <c r="C106" s="733"/>
      <c r="D106" s="733"/>
      <c r="E106" s="733"/>
      <c r="F106" s="733"/>
      <c r="G106" s="733"/>
      <c r="H106" s="733"/>
      <c r="I106" s="733"/>
      <c r="J106" s="733"/>
      <c r="K106" s="733"/>
      <c r="L106" s="733"/>
      <c r="M106" s="733"/>
      <c r="N106" s="733"/>
      <c r="O106" s="733"/>
      <c r="P106" s="11"/>
      <c r="Q106" s="11"/>
    </row>
    <row r="107" spans="1:17">
      <c r="A107" s="374"/>
      <c r="B107" s="1160" t="str">
        <f>+'Pres A'!B592</f>
        <v>Obras menores en edificaciones</v>
      </c>
      <c r="C107" s="733">
        <f t="shared" ca="1" si="16"/>
        <v>0</v>
      </c>
      <c r="D107" s="733">
        <f ca="1">SUMIF(DE!$S$7:$AE$326,B107,DE!$T$7:$T$298)</f>
        <v>0</v>
      </c>
      <c r="E107" s="733">
        <f ca="1">SUMIF(DE!$S$7:$AE$326,B107,DE!$U$7:$U$298)</f>
        <v>0</v>
      </c>
      <c r="F107" s="733">
        <f ca="1">SUMIF(DE!$S$7:$AE$326,B107,DE!$V$7:$V$298)</f>
        <v>0</v>
      </c>
      <c r="G107" s="733">
        <f ca="1">SUMIF(DE!$S$7:$AE$326,B107,DE!$W$7:$W$298)</f>
        <v>0</v>
      </c>
      <c r="H107" s="733">
        <f ca="1">SUMIF(DE!$S$7:$AE$326,B107,DE!$X$7:$X$298)</f>
        <v>0</v>
      </c>
      <c r="I107" s="733">
        <f ca="1">SUMIF(DE!$S$7:$AE$326,B107,DE!$Y$7:$Y$298)</f>
        <v>0</v>
      </c>
      <c r="J107" s="733">
        <f ca="1">SUMIF(DE!$S$7:$AE$326,B107,DE!$Z$7:$Z$298)</f>
        <v>0</v>
      </c>
      <c r="K107" s="733">
        <f ca="1">SUMIF(DE!$S$7:$AE$326,B107,DE!$AA$7:$AA$298)</f>
        <v>0</v>
      </c>
      <c r="L107" s="733">
        <f ca="1">SUMIF(DE!$S$7:$AE$326,B107,DE!$AB$7:$AB$298)</f>
        <v>0</v>
      </c>
      <c r="M107" s="733">
        <f ca="1">SUMIF(DE!$S$7:$AE$326,B107,DE!$AC$7:$AC$298)</f>
        <v>0</v>
      </c>
      <c r="N107" s="733">
        <f ca="1">SUMIF(DE!$S$7:$AE$326,B107,DE!$AD$7:$AD$298)</f>
        <v>0</v>
      </c>
      <c r="O107" s="733">
        <f ca="1">SUMIF(DE!$S$7:$AE$326,B107,DE!$AE$7:$AE$298)</f>
        <v>0</v>
      </c>
      <c r="P107" s="11"/>
      <c r="Q107" s="11"/>
    </row>
    <row r="108" spans="1:17">
      <c r="A108" s="374"/>
      <c r="B108" s="1160" t="str">
        <f>+'Pres A'!B593</f>
        <v>Seguros de personas</v>
      </c>
      <c r="C108" s="733">
        <f t="shared" ca="1" si="16"/>
        <v>45048.24</v>
      </c>
      <c r="D108" s="733">
        <f ca="1">SUMIF(DE!$S$7:$AE$326,B108,DE!$T$7:$T$298)</f>
        <v>45048.24</v>
      </c>
      <c r="E108" s="733">
        <f ca="1">SUMIF(DE!$S$7:$AE$326,B108,DE!$U$7:$U$298)</f>
        <v>0</v>
      </c>
      <c r="F108" s="733">
        <f ca="1">SUMIF(DE!$S$7:$AE$326,B108,DE!$V$7:$V$298)</f>
        <v>0</v>
      </c>
      <c r="G108" s="733">
        <f ca="1">SUMIF(DE!$S$7:$AE$326,B108,DE!$W$7:$W$298)</f>
        <v>0</v>
      </c>
      <c r="H108" s="733">
        <f ca="1">SUMIF(DE!$S$7:$AE$326,B108,DE!$X$7:$X$298)</f>
        <v>0</v>
      </c>
      <c r="I108" s="733">
        <f ca="1">SUMIF(DE!$S$7:$AE$326,B108,DE!$Y$7:$Y$298)</f>
        <v>0</v>
      </c>
      <c r="J108" s="733">
        <f ca="1">SUMIF(DE!$S$7:$AE$326,B108,DE!$Z$7:$Z$298)</f>
        <v>0</v>
      </c>
      <c r="K108" s="733">
        <f ca="1">SUMIF(DE!$S$7:$AE$326,B108,DE!$AA$7:$AA$298)</f>
        <v>0</v>
      </c>
      <c r="L108" s="733">
        <f ca="1">SUMIF(DE!$S$7:$AE$326,B108,DE!$AB$7:$AB$298)</f>
        <v>0</v>
      </c>
      <c r="M108" s="733">
        <f ca="1">SUMIF(DE!$S$7:$AE$326,B108,DE!$AC$7:$AC$298)</f>
        <v>0</v>
      </c>
      <c r="N108" s="733">
        <f ca="1">SUMIF(DE!$S$7:$AE$326,B108,DE!$AD$7:$AD$298)</f>
        <v>0</v>
      </c>
      <c r="O108" s="733">
        <f ca="1">SUMIF(DE!$S$7:$AE$326,B108,DE!$AE$7:$AE$298)</f>
        <v>0</v>
      </c>
      <c r="P108" s="11"/>
      <c r="Q108" s="11"/>
    </row>
    <row r="109" spans="1:17">
      <c r="A109" s="374"/>
      <c r="B109" s="1160" t="str">
        <f>+'Pres A'!B594</f>
        <v>Servicios especiales de mantenimiento y reparacion</v>
      </c>
      <c r="C109" s="733">
        <f t="shared" ca="1" si="16"/>
        <v>0</v>
      </c>
      <c r="D109" s="733">
        <f ca="1">SUMIF(DE!$S$7:$AE$326,B109,DE!$T$7:$T$298)</f>
        <v>0</v>
      </c>
      <c r="E109" s="733">
        <f ca="1">SUMIF(DE!$S$7:$AE$326,B109,DE!$U$7:$U$298)</f>
        <v>0</v>
      </c>
      <c r="F109" s="733">
        <f ca="1">SUMIF(DE!$S$7:$AE$326,B109,DE!$V$7:$V$298)</f>
        <v>0</v>
      </c>
      <c r="G109" s="733">
        <f ca="1">SUMIF(DE!$S$7:$AE$326,B109,DE!$W$7:$W$298)</f>
        <v>0</v>
      </c>
      <c r="H109" s="733">
        <f ca="1">SUMIF(DE!$S$7:$AE$326,B109,DE!$X$7:$X$298)</f>
        <v>0</v>
      </c>
      <c r="I109" s="733">
        <f ca="1">SUMIF(DE!$S$7:$AE$326,B109,DE!$Y$7:$Y$298)</f>
        <v>0</v>
      </c>
      <c r="J109" s="733">
        <f ca="1">SUMIF(DE!$S$7:$AE$326,B109,DE!$Z$7:$Z$298)</f>
        <v>0</v>
      </c>
      <c r="K109" s="733">
        <f ca="1">SUMIF(DE!$S$7:$AE$326,B109,DE!$AA$7:$AA$298)</f>
        <v>0</v>
      </c>
      <c r="L109" s="733">
        <f ca="1">SUMIF(DE!$S$7:$AE$326,B109,DE!$AB$7:$AB$298)</f>
        <v>0</v>
      </c>
      <c r="M109" s="733">
        <f ca="1">SUMIF(DE!$S$7:$AE$326,B109,DE!$AC$7:$AC$298)</f>
        <v>0</v>
      </c>
      <c r="N109" s="733">
        <f ca="1">SUMIF(DE!$S$7:$AE$326,B109,DE!$AD$7:$AD$298)</f>
        <v>0</v>
      </c>
      <c r="O109" s="733">
        <f ca="1">SUMIF(DE!$S$7:$AE$326,B109,DE!$AE$7:$AE$298)</f>
        <v>0</v>
      </c>
      <c r="P109" s="11"/>
      <c r="Q109" s="11"/>
    </row>
    <row r="110" spans="1:17">
      <c r="A110" s="374"/>
      <c r="B110" s="1160" t="str">
        <f>+'Pres A'!B595</f>
        <v>Mantenimiento y reparacion de obras civiles en ins</v>
      </c>
      <c r="C110" s="733">
        <f t="shared" ca="1" si="16"/>
        <v>1543966.7400000002</v>
      </c>
      <c r="D110" s="733">
        <f ca="1">SUMIF(DE!$S$7:$AE$326,B110,DE!$T$7:$T$298)</f>
        <v>-5003.83</v>
      </c>
      <c r="E110" s="733">
        <f ca="1">SUMIF(DE!$S$7:$AE$326,B110,DE!$U$7:$U$298)</f>
        <v>-702462.42</v>
      </c>
      <c r="F110" s="733">
        <f ca="1">SUMIF(DE!$S$7:$AE$326,B110,DE!$V$7:$V$298)</f>
        <v>2251432.9900000002</v>
      </c>
      <c r="G110" s="733">
        <f ca="1">SUMIF(DE!$S$7:$AE$326,B110,DE!$W$7:$W$298)</f>
        <v>0</v>
      </c>
      <c r="H110" s="733">
        <f ca="1">SUMIF(DE!$S$7:$AE$326,B110,DE!$X$7:$X$298)</f>
        <v>0</v>
      </c>
      <c r="I110" s="733">
        <f ca="1">SUMIF(DE!$S$7:$AE$326,B110,DE!$Y$7:$Y$298)</f>
        <v>0</v>
      </c>
      <c r="J110" s="733">
        <f ca="1">SUMIF(DE!$S$7:$AE$326,B110,DE!$Z$7:$Z$298)</f>
        <v>0</v>
      </c>
      <c r="K110" s="733">
        <f ca="1">SUMIF(DE!$S$7:$AE$326,B110,DE!$AA$7:$AA$298)</f>
        <v>0</v>
      </c>
      <c r="L110" s="733">
        <f ca="1">SUMIF(DE!$S$7:$AE$326,B110,DE!$AB$7:$AB$298)</f>
        <v>0</v>
      </c>
      <c r="M110" s="733">
        <f ca="1">SUMIF(DE!$S$7:$AE$326,B110,DE!$AC$7:$AC$298)</f>
        <v>0</v>
      </c>
      <c r="N110" s="733">
        <f ca="1">SUMIF(DE!$S$7:$AE$326,B110,DE!$AD$7:$AD$298)</f>
        <v>0</v>
      </c>
      <c r="O110" s="733">
        <f ca="1">SUMIF(DE!$S$7:$AE$326,B110,DE!$AE$7:$AE$298)</f>
        <v>0</v>
      </c>
      <c r="P110" s="11"/>
      <c r="Q110" s="11"/>
    </row>
    <row r="111" spans="1:17">
      <c r="A111" s="374"/>
      <c r="B111" s="1160" t="str">
        <f>+'Pres A'!B596</f>
        <v>Servicios de pintura y derivados con fines de higi</v>
      </c>
      <c r="C111" s="733">
        <f t="shared" ca="1" si="16"/>
        <v>0</v>
      </c>
      <c r="D111" s="733">
        <f ca="1">SUMIF(DE!$S$7:$AE$326,B111,DE!$T$7:$T$298)</f>
        <v>0</v>
      </c>
      <c r="E111" s="733">
        <f ca="1">SUMIF(DE!$S$7:$AE$326,B111,DE!$U$7:$U$298)</f>
        <v>0</v>
      </c>
      <c r="F111" s="733">
        <f ca="1">SUMIF(DE!$S$7:$AE$326,B111,DE!$V$7:$V$298)</f>
        <v>0</v>
      </c>
      <c r="G111" s="733">
        <f ca="1">SUMIF(DE!$S$7:$AE$326,B111,DE!$W$7:$W$298)</f>
        <v>0</v>
      </c>
      <c r="H111" s="733">
        <f ca="1">SUMIF(DE!$S$7:$AE$326,B111,DE!$X$7:$X$298)</f>
        <v>0</v>
      </c>
      <c r="I111" s="733">
        <f ca="1">SUMIF(DE!$S$7:$AE$326,B111,DE!$Y$7:$Y$298)</f>
        <v>0</v>
      </c>
      <c r="J111" s="733">
        <f ca="1">SUMIF(DE!$S$7:$AE$326,B111,DE!$Z$7:$Z$298)</f>
        <v>0</v>
      </c>
      <c r="K111" s="733">
        <f ca="1">SUMIF(DE!$S$7:$AE$326,B111,DE!$AA$7:$AA$298)</f>
        <v>0</v>
      </c>
      <c r="L111" s="733">
        <f ca="1">SUMIF(DE!$S$7:$AE$326,B111,DE!$AB$7:$AB$298)</f>
        <v>0</v>
      </c>
      <c r="M111" s="733">
        <f ca="1">SUMIF(DE!$S$7:$AE$326,B111,DE!$AC$7:$AC$298)</f>
        <v>0</v>
      </c>
      <c r="N111" s="733">
        <f ca="1">SUMIF(DE!$S$7:$AE$326,B111,DE!$AD$7:$AD$298)</f>
        <v>0</v>
      </c>
      <c r="O111" s="733">
        <f ca="1">SUMIF(DE!$S$7:$AE$326,B111,DE!$AE$7:$AE$298)</f>
        <v>0</v>
      </c>
      <c r="P111" s="11"/>
      <c r="Q111" s="11"/>
    </row>
    <row r="112" spans="1:17">
      <c r="A112" s="374"/>
      <c r="B112" s="1160" t="str">
        <f>+'Pres A'!B597</f>
        <v>Mantenimiento y reparacion de muebles y equipos de</v>
      </c>
      <c r="C112" s="733">
        <f t="shared" ca="1" si="16"/>
        <v>0</v>
      </c>
      <c r="D112" s="733">
        <f ca="1">SUMIF(DE!$S$7:$AE$326,B112,DE!$T$7:$T$298)</f>
        <v>0</v>
      </c>
      <c r="E112" s="733">
        <f ca="1">SUMIF(DE!$S$7:$AE$326,B112,DE!$U$7:$U$298)</f>
        <v>0</v>
      </c>
      <c r="F112" s="733">
        <f ca="1">SUMIF(DE!$S$7:$AE$326,B112,DE!$V$7:$V$298)</f>
        <v>0</v>
      </c>
      <c r="G112" s="733">
        <f ca="1">SUMIF(DE!$S$7:$AE$326,B112,DE!$W$7:$W$298)</f>
        <v>0</v>
      </c>
      <c r="H112" s="733">
        <f ca="1">SUMIF(DE!$S$7:$AE$326,B112,DE!$X$7:$X$298)</f>
        <v>0</v>
      </c>
      <c r="I112" s="733">
        <f ca="1">SUMIF(DE!$S$7:$AE$326,B112,DE!$Y$7:$Y$298)</f>
        <v>0</v>
      </c>
      <c r="J112" s="733">
        <f ca="1">SUMIF(DE!$S$7:$AE$326,B112,DE!$Z$7:$Z$298)</f>
        <v>0</v>
      </c>
      <c r="K112" s="733">
        <f ca="1">SUMIF(DE!$S$7:$AE$326,B112,DE!$AA$7:$AA$298)</f>
        <v>0</v>
      </c>
      <c r="L112" s="733">
        <f ca="1">SUMIF(DE!$S$7:$AE$326,B112,DE!$AB$7:$AB$298)</f>
        <v>0</v>
      </c>
      <c r="M112" s="733">
        <f ca="1">SUMIF(DE!$S$7:$AE$326,B112,DE!$AC$7:$AC$298)</f>
        <v>0</v>
      </c>
      <c r="N112" s="733">
        <f ca="1">SUMIF(DE!$S$7:$AE$326,B112,DE!$AD$7:$AD$298)</f>
        <v>0</v>
      </c>
      <c r="O112" s="733">
        <f ca="1">SUMIF(DE!$S$7:$AE$326,B112,DE!$AE$7:$AE$298)</f>
        <v>0</v>
      </c>
      <c r="P112" s="11"/>
      <c r="Q112" s="11"/>
    </row>
    <row r="113" spans="1:17">
      <c r="A113" s="374"/>
      <c r="B113" s="1160" t="str">
        <f>+'Pres A'!B598</f>
        <v>Mantenimiento y reparacion de equipo para computac</v>
      </c>
      <c r="C113" s="733">
        <f t="shared" ca="1" si="16"/>
        <v>0</v>
      </c>
      <c r="D113" s="733">
        <f ca="1">SUMIF(DE!$S$7:$AE$326,B113,DE!$T$7:$T$298)</f>
        <v>0</v>
      </c>
      <c r="E113" s="733">
        <f ca="1">SUMIF(DE!$S$7:$AE$326,B113,DE!$U$7:$U$298)</f>
        <v>0</v>
      </c>
      <c r="F113" s="733">
        <f ca="1">SUMIF(DE!$S$7:$AE$326,B113,DE!$V$7:$V$298)</f>
        <v>0</v>
      </c>
      <c r="G113" s="733">
        <f ca="1">SUMIF(DE!$S$7:$AE$326,B113,DE!$W$7:$W$298)</f>
        <v>0</v>
      </c>
      <c r="H113" s="733">
        <f ca="1">SUMIF(DE!$S$7:$AE$326,B113,DE!$X$7:$X$298)</f>
        <v>0</v>
      </c>
      <c r="I113" s="733">
        <f ca="1">SUMIF(DE!$S$7:$AE$326,B113,DE!$Y$7:$Y$298)</f>
        <v>0</v>
      </c>
      <c r="J113" s="733">
        <f ca="1">SUMIF(DE!$S$7:$AE$326,B113,DE!$Z$7:$Z$298)</f>
        <v>0</v>
      </c>
      <c r="K113" s="733">
        <f ca="1">SUMIF(DE!$S$7:$AE$326,B113,DE!$AA$7:$AA$298)</f>
        <v>0</v>
      </c>
      <c r="L113" s="733">
        <f ca="1">SUMIF(DE!$S$7:$AE$326,B113,DE!$AB$7:$AB$298)</f>
        <v>0</v>
      </c>
      <c r="M113" s="733">
        <f ca="1">SUMIF(DE!$S$7:$AE$326,B113,DE!$AC$7:$AC$298)</f>
        <v>0</v>
      </c>
      <c r="N113" s="733">
        <f ca="1">SUMIF(DE!$S$7:$AE$326,B113,DE!$AD$7:$AD$298)</f>
        <v>0</v>
      </c>
      <c r="O113" s="733">
        <f ca="1">SUMIF(DE!$S$7:$AE$326,B113,DE!$AE$7:$AE$298)</f>
        <v>0</v>
      </c>
      <c r="P113" s="11"/>
      <c r="Q113" s="11"/>
    </row>
    <row r="114" spans="1:17">
      <c r="A114" s="374"/>
      <c r="B114" s="1160" t="str">
        <f>+'Pres A'!B599</f>
        <v>Mantenimiento y reparacion de equipos de transport</v>
      </c>
      <c r="C114" s="733">
        <f t="shared" ca="1" si="16"/>
        <v>207205</v>
      </c>
      <c r="D114" s="733">
        <f ca="1">SUMIF(DE!$S$7:$AE$326,B114,DE!$T$7:$T$298)</f>
        <v>0</v>
      </c>
      <c r="E114" s="733">
        <f ca="1">SUMIF(DE!$S$7:$AE$326,B114,DE!$U$7:$U$298)</f>
        <v>4630</v>
      </c>
      <c r="F114" s="733">
        <f ca="1">SUMIF(DE!$S$7:$AE$326,B114,DE!$V$7:$V$298)</f>
        <v>202575</v>
      </c>
      <c r="G114" s="733">
        <f ca="1">SUMIF(DE!$S$7:$AE$326,B114,DE!$W$7:$W$298)</f>
        <v>0</v>
      </c>
      <c r="H114" s="733">
        <f ca="1">SUMIF(DE!$S$7:$AE$326,B114,DE!$X$7:$X$298)</f>
        <v>0</v>
      </c>
      <c r="I114" s="733">
        <f ca="1">SUMIF(DE!$S$7:$AE$326,B114,DE!$Y$7:$Y$298)</f>
        <v>0</v>
      </c>
      <c r="J114" s="733">
        <f ca="1">SUMIF(DE!$S$7:$AE$326,B114,DE!$Z$7:$Z$298)</f>
        <v>0</v>
      </c>
      <c r="K114" s="733">
        <f ca="1">SUMIF(DE!$S$7:$AE$326,B114,DE!$AA$7:$AA$298)</f>
        <v>0</v>
      </c>
      <c r="L114" s="733">
        <f ca="1">SUMIF(DE!$S$7:$AE$326,B114,DE!$AB$7:$AB$298)</f>
        <v>0</v>
      </c>
      <c r="M114" s="733">
        <f ca="1">SUMIF(DE!$S$7:$AE$326,B114,DE!$AC$7:$AC$298)</f>
        <v>0</v>
      </c>
      <c r="N114" s="733">
        <f ca="1">SUMIF(DE!$S$7:$AE$326,B114,DE!$AD$7:$AD$298)</f>
        <v>0</v>
      </c>
      <c r="O114" s="733">
        <f ca="1">SUMIF(DE!$S$7:$AE$326,B114,DE!$AE$7:$AE$298)</f>
        <v>0</v>
      </c>
      <c r="P114" s="11"/>
      <c r="Q114" s="11"/>
    </row>
    <row r="115" spans="1:17">
      <c r="A115" s="374"/>
      <c r="B115" s="1160" t="str">
        <f>+'Pres A'!B600</f>
        <v>COMISIONES Y GASTOS</v>
      </c>
      <c r="C115" s="733">
        <f t="shared" ca="1" si="16"/>
        <v>0</v>
      </c>
      <c r="D115" s="733">
        <f ca="1">SUMIF(DE!$S$7:$AE$326,B115,DE!$T$7:$T$298)</f>
        <v>0</v>
      </c>
      <c r="E115" s="733">
        <f ca="1">SUMIF(DE!$S$7:$AE$326,B115,DE!$U$7:$U$298)</f>
        <v>0</v>
      </c>
      <c r="F115" s="733">
        <f ca="1">SUMIF(DE!$S$7:$AE$326,B115,DE!$V$7:$V$298)</f>
        <v>0</v>
      </c>
      <c r="G115" s="733">
        <f ca="1">SUMIF(DE!$S$7:$AE$326,B115,DE!$W$7:$W$298)</f>
        <v>0</v>
      </c>
      <c r="H115" s="733">
        <f ca="1">SUMIF(DE!$S$7:$AE$326,B115,DE!$X$7:$X$298)</f>
        <v>0</v>
      </c>
      <c r="I115" s="733">
        <f ca="1">SUMIF(DE!$S$7:$AE$326,B115,DE!$Y$7:$Y$298)</f>
        <v>0</v>
      </c>
      <c r="J115" s="733">
        <f ca="1">SUMIF(DE!$S$7:$AE$326,B115,DE!$Z$7:$Z$298)</f>
        <v>0</v>
      </c>
      <c r="K115" s="733">
        <f ca="1">SUMIF(DE!$S$7:$AE$326,B115,DE!$AA$7:$AA$298)</f>
        <v>0</v>
      </c>
      <c r="L115" s="733">
        <f ca="1">SUMIF(DE!$S$7:$AE$326,B115,DE!$AB$7:$AB$298)</f>
        <v>0</v>
      </c>
      <c r="M115" s="733">
        <f ca="1">SUMIF(DE!$S$7:$AE$326,B115,DE!$AC$7:$AC$298)</f>
        <v>0</v>
      </c>
      <c r="N115" s="733">
        <f ca="1">SUMIF(DE!$S$7:$AE$326,B115,DE!$AD$7:$AD$298)</f>
        <v>0</v>
      </c>
      <c r="O115" s="733">
        <f ca="1">SUMIF(DE!$S$7:$AE$326,B115,DE!$AE$7:$AE$298)</f>
        <v>0</v>
      </c>
      <c r="P115" s="11"/>
      <c r="Q115" s="11"/>
    </row>
    <row r="116" spans="1:17">
      <c r="A116" s="374"/>
      <c r="B116" s="1160" t="str">
        <f>+'Pres A'!B601</f>
        <v>Servicios funerarios y gastos conexos</v>
      </c>
      <c r="C116" s="733">
        <f t="shared" ca="1" si="16"/>
        <v>0</v>
      </c>
      <c r="D116" s="733">
        <f ca="1">SUMIF(DE!$S$7:$AE$326,B116,DE!$T$7:$T$298)</f>
        <v>0</v>
      </c>
      <c r="E116" s="733">
        <f ca="1">SUMIF(DE!$S$7:$AE$326,B116,DE!$U$7:$U$298)</f>
        <v>0</v>
      </c>
      <c r="F116" s="733">
        <f ca="1">SUMIF(DE!$S$7:$AE$326,B116,DE!$V$7:$V$298)</f>
        <v>0</v>
      </c>
      <c r="G116" s="733">
        <f ca="1">SUMIF(DE!$S$7:$AE$326,B116,DE!$W$7:$W$298)</f>
        <v>0</v>
      </c>
      <c r="H116" s="733">
        <f ca="1">SUMIF(DE!$S$7:$AE$326,B116,DE!$X$7:$X$298)</f>
        <v>0</v>
      </c>
      <c r="I116" s="733">
        <f ca="1">SUMIF(DE!$S$7:$AE$326,B116,DE!$Y$7:$Y$298)</f>
        <v>0</v>
      </c>
      <c r="J116" s="733">
        <f ca="1">SUMIF(DE!$S$7:$AE$326,B116,DE!$Z$7:$Z$298)</f>
        <v>0</v>
      </c>
      <c r="K116" s="733">
        <f ca="1">SUMIF(DE!$S$7:$AE$326,B116,DE!$AA$7:$AA$298)</f>
        <v>0</v>
      </c>
      <c r="L116" s="733">
        <f ca="1">SUMIF(DE!$S$7:$AE$326,B116,DE!$AB$7:$AB$298)</f>
        <v>0</v>
      </c>
      <c r="M116" s="733">
        <f ca="1">SUMIF(DE!$S$7:$AE$326,B116,DE!$AC$7:$AC$298)</f>
        <v>0</v>
      </c>
      <c r="N116" s="733">
        <f ca="1">SUMIF(DE!$S$7:$AE$326,B116,DE!$AD$7:$AD$298)</f>
        <v>0</v>
      </c>
      <c r="O116" s="733">
        <f ca="1">SUMIF(DE!$S$7:$AE$326,B116,DE!$AE$7:$AE$298)</f>
        <v>0</v>
      </c>
      <c r="P116" s="11"/>
      <c r="Q116" s="11"/>
    </row>
    <row r="117" spans="1:17">
      <c r="A117" s="374"/>
      <c r="B117" s="1160" t="str">
        <f>+'Pres A'!B602</f>
        <v>Fumigacion</v>
      </c>
      <c r="C117" s="733">
        <f t="shared" ca="1" si="16"/>
        <v>1000</v>
      </c>
      <c r="D117" s="733">
        <f ca="1">SUMIF(DE!$S$7:$AE$326,B117,DE!$T$7:$T$298)</f>
        <v>0</v>
      </c>
      <c r="E117" s="733">
        <f ca="1">SUMIF(DE!$S$7:$AE$326,B117,DE!$U$7:$U$298)</f>
        <v>1000</v>
      </c>
      <c r="F117" s="733">
        <f ca="1">SUMIF(DE!$S$7:$AE$326,B117,DE!$V$7:$V$298)</f>
        <v>0</v>
      </c>
      <c r="G117" s="733">
        <f ca="1">SUMIF(DE!$S$7:$AE$326,B117,DE!$W$7:$W$298)</f>
        <v>0</v>
      </c>
      <c r="H117" s="733">
        <f ca="1">SUMIF(DE!$S$7:$AE$326,B117,DE!$X$7:$X$298)</f>
        <v>0</v>
      </c>
      <c r="I117" s="733">
        <f ca="1">SUMIF(DE!$S$7:$AE$326,B117,DE!$Y$7:$Y$298)</f>
        <v>0</v>
      </c>
      <c r="J117" s="733">
        <f ca="1">SUMIF(DE!$S$7:$AE$326,B117,DE!$Z$7:$Z$298)</f>
        <v>0</v>
      </c>
      <c r="K117" s="733">
        <f ca="1">SUMIF(DE!$S$7:$AE$326,B117,DE!$AA$7:$AA$298)</f>
        <v>0</v>
      </c>
      <c r="L117" s="733">
        <f ca="1">SUMIF(DE!$S$7:$AE$326,B117,DE!$AB$7:$AB$298)</f>
        <v>0</v>
      </c>
      <c r="M117" s="733">
        <f ca="1">SUMIF(DE!$S$7:$AE$326,B117,DE!$AC$7:$AC$298)</f>
        <v>0</v>
      </c>
      <c r="N117" s="733">
        <f ca="1">SUMIF(DE!$S$7:$AE$326,B117,DE!$AD$7:$AD$298)</f>
        <v>0</v>
      </c>
      <c r="O117" s="733">
        <f ca="1">SUMIF(DE!$S$7:$AE$326,B117,DE!$AE$7:$AE$298)</f>
        <v>0</v>
      </c>
      <c r="P117" s="11"/>
      <c r="Q117" s="11"/>
    </row>
    <row r="118" spans="1:17">
      <c r="A118" s="374"/>
      <c r="B118" s="1160" t="str">
        <f>+'Pres A'!B603</f>
        <v>Limpieza e higiene</v>
      </c>
      <c r="C118" s="733">
        <f t="shared" ca="1" si="16"/>
        <v>4573.25</v>
      </c>
      <c r="D118" s="733">
        <f ca="1">SUMIF(DE!$S$7:$AE$326,B118,DE!$T$7:$T$298)</f>
        <v>0</v>
      </c>
      <c r="E118" s="733">
        <f ca="1">SUMIF(DE!$S$7:$AE$326,B118,DE!$U$7:$U$298)</f>
        <v>2855.45</v>
      </c>
      <c r="F118" s="733">
        <f ca="1">SUMIF(DE!$S$7:$AE$326,B118,DE!$V$7:$V$298)</f>
        <v>1717.8</v>
      </c>
      <c r="G118" s="733">
        <f ca="1">SUMIF(DE!$S$7:$AE$326,B118,DE!$W$7:$W$298)</f>
        <v>0</v>
      </c>
      <c r="H118" s="733">
        <f ca="1">SUMIF(DE!$S$7:$AE$326,B118,DE!$X$7:$X$298)</f>
        <v>0</v>
      </c>
      <c r="I118" s="733">
        <f ca="1">SUMIF(DE!$S$7:$AE$326,B118,DE!$Y$7:$Y$298)</f>
        <v>0</v>
      </c>
      <c r="J118" s="733">
        <f ca="1">SUMIF(DE!$S$7:$AE$326,B118,DE!$Z$7:$Z$298)</f>
        <v>0</v>
      </c>
      <c r="K118" s="733">
        <f ca="1">SUMIF(DE!$S$7:$AE$326,B118,DE!$AA$7:$AA$298)</f>
        <v>0</v>
      </c>
      <c r="L118" s="733">
        <f ca="1">SUMIF(DE!$S$7:$AE$326,B118,DE!$AB$7:$AB$298)</f>
        <v>0</v>
      </c>
      <c r="M118" s="733">
        <f ca="1">SUMIF(DE!$S$7:$AE$326,B118,DE!$AC$7:$AC$298)</f>
        <v>0</v>
      </c>
      <c r="N118" s="733">
        <f ca="1">SUMIF(DE!$S$7:$AE$326,B118,DE!$AD$7:$AD$298)</f>
        <v>0</v>
      </c>
      <c r="O118" s="733">
        <f ca="1">SUMIF(DE!$S$7:$AE$326,B118,DE!$AE$7:$AE$298)</f>
        <v>0</v>
      </c>
      <c r="P118" s="11"/>
      <c r="Q118" s="11"/>
    </row>
    <row r="119" spans="1:17">
      <c r="A119" s="374"/>
      <c r="B119" s="1160" t="str">
        <f>+'Pres A'!B604</f>
        <v>Eventos generales</v>
      </c>
      <c r="C119" s="733">
        <f t="shared" ca="1" si="16"/>
        <v>0</v>
      </c>
      <c r="D119" s="733">
        <f ca="1">SUMIF(DE!$S$7:$AE$326,B119,DE!$T$7:$T$298)</f>
        <v>0</v>
      </c>
      <c r="E119" s="733">
        <f ca="1">SUMIF(DE!$S$7:$AE$326,B119,DE!$U$7:$U$298)</f>
        <v>0</v>
      </c>
      <c r="F119" s="733">
        <f ca="1">SUMIF(DE!$S$7:$AE$326,B119,DE!$V$7:$V$298)</f>
        <v>0</v>
      </c>
      <c r="G119" s="733">
        <f ca="1">SUMIF(DE!$S$7:$AE$326,B119,DE!$W$7:$W$298)</f>
        <v>0</v>
      </c>
      <c r="H119" s="733">
        <f ca="1">SUMIF(DE!$S$7:$AE$326,B119,DE!$X$7:$X$298)</f>
        <v>0</v>
      </c>
      <c r="I119" s="733">
        <f ca="1">SUMIF(DE!$S$7:$AE$326,B119,DE!$Y$7:$Y$298)</f>
        <v>0</v>
      </c>
      <c r="J119" s="733">
        <f ca="1">SUMIF(DE!$S$7:$AE$326,B119,DE!$Z$7:$Z$298)</f>
        <v>0</v>
      </c>
      <c r="K119" s="733">
        <f ca="1">SUMIF(DE!$S$7:$AE$326,B119,DE!$AA$7:$AA$298)</f>
        <v>0</v>
      </c>
      <c r="L119" s="733">
        <f ca="1">SUMIF(DE!$S$7:$AE$326,B119,DE!$AB$7:$AB$298)</f>
        <v>0</v>
      </c>
      <c r="M119" s="733">
        <f ca="1">SUMIF(DE!$S$7:$AE$326,B119,DE!$AC$7:$AC$298)</f>
        <v>0</v>
      </c>
      <c r="N119" s="733">
        <f ca="1">SUMIF(DE!$S$7:$AE$326,B119,DE!$AD$7:$AD$298)</f>
        <v>0</v>
      </c>
      <c r="O119" s="733">
        <f ca="1">SUMIF(DE!$S$7:$AE$326,B119,DE!$AE$7:$AE$298)</f>
        <v>0</v>
      </c>
      <c r="P119" s="11"/>
      <c r="Q119" s="11"/>
    </row>
    <row r="120" spans="1:17">
      <c r="A120" s="374"/>
      <c r="B120" s="1160" t="str">
        <f>+'Pres A'!B605</f>
        <v>Servicios de informatica y sistemas computarizados</v>
      </c>
      <c r="C120" s="733">
        <f t="shared" ca="1" si="16"/>
        <v>203388</v>
      </c>
      <c r="D120" s="733">
        <f ca="1">SUMIF(DE!$S$7:$AE$326,B120,DE!$T$7:$T$298)</f>
        <v>0</v>
      </c>
      <c r="E120" s="733">
        <f ca="1">SUMIF(DE!$S$7:$AE$326,B120,DE!$U$7:$U$298)</f>
        <v>0</v>
      </c>
      <c r="F120" s="733">
        <f ca="1">SUMIF(DE!$S$7:$AE$326,B120,DE!$V$7:$V$298)</f>
        <v>203388</v>
      </c>
      <c r="G120" s="733">
        <f ca="1">SUMIF(DE!$S$7:$AE$326,B120,DE!$W$7:$W$298)</f>
        <v>0</v>
      </c>
      <c r="H120" s="733">
        <f ca="1">SUMIF(DE!$S$7:$AE$326,B120,DE!$X$7:$X$298)</f>
        <v>0</v>
      </c>
      <c r="I120" s="733">
        <f ca="1">SUMIF(DE!$S$7:$AE$326,B120,DE!$Y$7:$Y$298)</f>
        <v>0</v>
      </c>
      <c r="J120" s="733">
        <f ca="1">SUMIF(DE!$S$7:$AE$326,B120,DE!$Z$7:$Z$298)</f>
        <v>0</v>
      </c>
      <c r="K120" s="733">
        <f ca="1">SUMIF(DE!$S$7:$AE$326,B120,DE!$AA$7:$AA$298)</f>
        <v>0</v>
      </c>
      <c r="L120" s="733">
        <f ca="1">SUMIF(DE!$S$7:$AE$326,B120,DE!$AB$7:$AB$298)</f>
        <v>0</v>
      </c>
      <c r="M120" s="733">
        <f ca="1">SUMIF(DE!$S$7:$AE$326,B120,DE!$AC$7:$AC$298)</f>
        <v>0</v>
      </c>
      <c r="N120" s="733">
        <f ca="1">SUMIF(DE!$S$7:$AE$326,B120,DE!$AD$7:$AD$298)</f>
        <v>0</v>
      </c>
      <c r="O120" s="733">
        <f ca="1">SUMIF(DE!$S$7:$AE$326,B120,DE!$AE$7:$AE$298)</f>
        <v>0</v>
      </c>
      <c r="P120" s="11"/>
      <c r="Q120" s="11"/>
    </row>
    <row r="121" spans="1:17">
      <c r="A121" s="374"/>
      <c r="B121" s="1160" t="str">
        <f>+'Pres A'!B606</f>
        <v>Otros servicios tecnicos profesionales</v>
      </c>
      <c r="C121" s="733">
        <f ca="1">SUM(D121:O121)</f>
        <v>0</v>
      </c>
      <c r="D121" s="733">
        <f ca="1">SUMIF(DE!$S$7:$AE$326,B121,DE!$T$7:$T$298)</f>
        <v>0</v>
      </c>
      <c r="E121" s="733">
        <f ca="1">SUMIF(DE!$S$7:$AE$326,B121,DE!$U$7:$U$298)</f>
        <v>0</v>
      </c>
      <c r="F121" s="733">
        <f ca="1">SUMIF(DE!$S$7:$AE$326,B121,DE!$V$7:$V$298)</f>
        <v>0</v>
      </c>
      <c r="G121" s="733">
        <f ca="1">SUMIF(DE!$S$7:$AE$326,B121,DE!$W$7:$W$298)</f>
        <v>0</v>
      </c>
      <c r="H121" s="733">
        <f ca="1">SUMIF(DE!$S$7:$AE$326,B121,DE!$X$7:$X$298)</f>
        <v>0</v>
      </c>
      <c r="I121" s="733">
        <f ca="1">SUMIF(DE!$S$7:$AE$326,B121,DE!$Y$7:$Y$298)</f>
        <v>0</v>
      </c>
      <c r="J121" s="733">
        <f ca="1">SUMIF(DE!$S$7:$AE$326,B121,DE!$Z$7:$Z$298)</f>
        <v>0</v>
      </c>
      <c r="K121" s="733">
        <f ca="1">SUMIF(DE!$S$7:$AE$326,B121,DE!$AA$7:$AA$298)</f>
        <v>0</v>
      </c>
      <c r="L121" s="733">
        <f ca="1">SUMIF(DE!$S$7:$AE$326,B121,DE!$AB$7:$AB$298)</f>
        <v>0</v>
      </c>
      <c r="M121" s="733">
        <f ca="1">SUMIF(DE!$S$7:$AE$326,B121,DE!$AC$7:$AC$298)</f>
        <v>0</v>
      </c>
      <c r="N121" s="733">
        <f ca="1">SUMIF(DE!$S$7:$AE$326,B121,DE!$AD$7:$AD$298)</f>
        <v>0</v>
      </c>
      <c r="O121" s="733">
        <f ca="1">SUMIF(DE!$S$7:$AE$326,B121,DE!$AE$7:$AE$298)</f>
        <v>0</v>
      </c>
      <c r="P121" s="11"/>
      <c r="Q121" s="11"/>
    </row>
    <row r="122" spans="1:17">
      <c r="A122" s="374"/>
      <c r="B122" s="1160" t="str">
        <f>+'Pres A'!B607</f>
        <v>Impuestos</v>
      </c>
      <c r="C122" s="733">
        <f ca="1">SUM(D122:O122)</f>
        <v>637263.72000000009</v>
      </c>
      <c r="D122" s="733">
        <f ca="1">SUMIF(DE!$S$7:$AE$326,B122,DE!$T$7:$T$298)</f>
        <v>36961.910000000003</v>
      </c>
      <c r="E122" s="733">
        <f ca="1">SUMIF(DE!$S$7:$AE$326,B122,DE!$U$7:$U$298)</f>
        <v>51963.75</v>
      </c>
      <c r="F122" s="733">
        <f ca="1">SUMIF(DE!$S$7:$AE$326,B122,DE!$V$7:$V$298)</f>
        <v>548338.06000000006</v>
      </c>
      <c r="G122" s="733">
        <f ca="1">SUMIF(DE!$S$7:$AE$326,B122,DE!$W$7:$W$298)</f>
        <v>0</v>
      </c>
      <c r="H122" s="733">
        <f ca="1">SUMIF(DE!$S$7:$AE$326,B122,DE!$X$7:$X$298)</f>
        <v>0</v>
      </c>
      <c r="I122" s="733">
        <f ca="1">SUMIF(DE!$S$7:$AE$326,B122,DE!$Y$7:$Y$298)</f>
        <v>0</v>
      </c>
      <c r="J122" s="733">
        <f ca="1">SUMIF(DE!$S$7:$AE$326,B122,DE!$Z$7:$Z$298)</f>
        <v>0</v>
      </c>
      <c r="K122" s="733">
        <f ca="1">SUMIF(DE!$S$7:$AE$326,B122,DE!$AA$7:$AA$298)</f>
        <v>0</v>
      </c>
      <c r="L122" s="733">
        <f ca="1">SUMIF(DE!$S$7:$AE$326,B122,DE!$AB$7:$AB$298)</f>
        <v>0</v>
      </c>
      <c r="M122" s="733">
        <f ca="1">SUMIF(DE!$S$7:$AE$326,B122,DE!$AC$7:$AC$298)</f>
        <v>0</v>
      </c>
      <c r="N122" s="733">
        <f ca="1">SUMIF(DE!$S$7:$AE$326,B122,DE!$AD$7:$AD$298)</f>
        <v>0</v>
      </c>
      <c r="O122" s="733">
        <f ca="1">SUMIF(DE!$S$7:$AE$326,B122,DE!$AE$7:$AE$298)</f>
        <v>0</v>
      </c>
      <c r="P122" s="11"/>
      <c r="Q122" s="11"/>
    </row>
    <row r="123" spans="1:17">
      <c r="A123" s="374"/>
      <c r="B123" s="1160" t="str">
        <f>+'Pres A'!B608</f>
        <v>OTRAS CONTRATACIONES DE SERVICIOS</v>
      </c>
      <c r="C123" s="733">
        <f ca="1">SUM(D123:O123)</f>
        <v>0</v>
      </c>
      <c r="D123" s="733">
        <f ca="1">SUMIF(DE!$S$7:$AE$326,B123,DE!$T$7:$T$298)</f>
        <v>0</v>
      </c>
      <c r="E123" s="733">
        <f ca="1">SUMIF(DE!$S$7:$AE$326,B123,DE!$U$7:$U$298)</f>
        <v>0</v>
      </c>
      <c r="F123" s="733">
        <f ca="1">SUMIF(DE!$S$7:$AE$326,B123,DE!$V$7:$V$298)</f>
        <v>0</v>
      </c>
      <c r="G123" s="733">
        <f ca="1">SUMIF(DE!$S$7:$AE$326,B123,DE!$W$7:$W$298)</f>
        <v>0</v>
      </c>
      <c r="H123" s="733">
        <f ca="1">SUMIF(DE!$S$7:$AE$326,B123,DE!$X$7:$X$298)</f>
        <v>0</v>
      </c>
      <c r="I123" s="733">
        <f ca="1">SUMIF(DE!$S$7:$AE$326,B123,DE!$Y$7:$Y$298)</f>
        <v>0</v>
      </c>
      <c r="J123" s="733">
        <f ca="1">SUMIF(DE!$S$7:$AE$326,B123,DE!$Z$7:$Z$298)</f>
        <v>0</v>
      </c>
      <c r="K123" s="733">
        <f ca="1">SUMIF(DE!$S$7:$AE$326,B123,DE!$AA$7:$AA$298)</f>
        <v>0</v>
      </c>
      <c r="L123" s="733">
        <f ca="1">SUMIF(DE!$S$7:$AE$326,B123,DE!$AB$7:$AB$298)</f>
        <v>0</v>
      </c>
      <c r="M123" s="733">
        <f ca="1">SUMIF(DE!$S$7:$AE$326,B123,DE!$AC$7:$AC$298)</f>
        <v>0</v>
      </c>
      <c r="N123" s="733">
        <f ca="1">SUMIF(DE!$S$7:$AE$326,B123,DE!$AD$7:$AD$298)</f>
        <v>0</v>
      </c>
      <c r="O123" s="733">
        <f ca="1">SUMIF(DE!$S$7:$AE$326,B123,DE!$AE$7:$AE$298)</f>
        <v>0</v>
      </c>
      <c r="P123" s="11"/>
      <c r="Q123" s="11"/>
    </row>
    <row r="124" spans="1:17">
      <c r="A124" s="374"/>
      <c r="B124" s="1160" t="str">
        <f>+'Pres A'!B609</f>
        <v>Servicios juridicos</v>
      </c>
      <c r="C124" s="733">
        <f ca="1">SUM(D124:O124)</f>
        <v>0</v>
      </c>
      <c r="D124" s="733">
        <f ca="1">SUMIF(DE!$S$7:$AE$326,B124,DE!$T$7:$T$298)</f>
        <v>0</v>
      </c>
      <c r="E124" s="733">
        <f ca="1">SUMIF(DE!$S$7:$AE$326,B124,DE!$U$7:$U$298)</f>
        <v>0</v>
      </c>
      <c r="F124" s="733">
        <f ca="1">SUMIF(DE!$S$7:$AE$326,B124,DE!$V$7:$V$298)</f>
        <v>0</v>
      </c>
      <c r="G124" s="733">
        <f ca="1">SUMIF(DE!$S$7:$AE$326,B124,DE!$W$7:$W$298)</f>
        <v>0</v>
      </c>
      <c r="H124" s="733">
        <f ca="1">SUMIF(DE!$S$7:$AE$326,B124,DE!$X$7:$X$298)</f>
        <v>0</v>
      </c>
      <c r="I124" s="733">
        <f ca="1">SUMIF(DE!$S$7:$AE$326,B124,DE!$Y$7:$Y$298)</f>
        <v>0</v>
      </c>
      <c r="J124" s="733">
        <f ca="1">SUMIF(DE!$S$7:$AE$326,B124,DE!$Z$7:$Z$298)</f>
        <v>0</v>
      </c>
      <c r="K124" s="733">
        <f ca="1">SUMIF(DE!$S$7:$AE$326,B124,DE!$AA$7:$AA$298)</f>
        <v>0</v>
      </c>
      <c r="L124" s="733">
        <f ca="1">SUMIF(DE!$S$7:$AE$326,B124,DE!$AB$7:$AB$298)</f>
        <v>0</v>
      </c>
      <c r="M124" s="733">
        <f ca="1">SUMIF(DE!$S$7:$AE$326,B124,DE!$AC$7:$AC$298)</f>
        <v>0</v>
      </c>
      <c r="N124" s="733">
        <f ca="1">SUMIF(DE!$S$7:$AE$326,B124,DE!$AD$7:$AD$298)</f>
        <v>0</v>
      </c>
      <c r="O124" s="733">
        <f ca="1">SUMIF(DE!$S$7:$AE$326,B124,DE!$AE$7:$AE$298)</f>
        <v>0</v>
      </c>
      <c r="P124" s="11"/>
      <c r="Q124" s="11"/>
    </row>
    <row r="125" spans="1:17">
      <c r="A125" s="374"/>
      <c r="B125" s="1160"/>
      <c r="C125" s="733"/>
      <c r="D125" s="733"/>
      <c r="E125" s="733"/>
      <c r="F125" s="733"/>
      <c r="G125" s="733"/>
      <c r="H125" s="733"/>
      <c r="I125" s="733"/>
      <c r="J125" s="733"/>
      <c r="K125" s="733"/>
      <c r="L125" s="733"/>
      <c r="M125" s="733"/>
      <c r="N125" s="733"/>
      <c r="O125" s="733"/>
      <c r="P125" s="11"/>
      <c r="Q125" s="11"/>
    </row>
    <row r="126" spans="1:17">
      <c r="A126" s="374"/>
      <c r="B126" s="1160"/>
      <c r="C126" s="733"/>
      <c r="D126" s="733"/>
      <c r="E126" s="733"/>
      <c r="F126" s="733"/>
      <c r="G126" s="733"/>
      <c r="H126" s="733"/>
      <c r="I126" s="733"/>
      <c r="J126" s="733"/>
      <c r="K126" s="733"/>
      <c r="L126" s="733"/>
      <c r="M126" s="733"/>
      <c r="N126" s="733"/>
      <c r="O126" s="733"/>
      <c r="P126" s="11"/>
      <c r="Q126" s="11"/>
    </row>
    <row r="127" spans="1:17">
      <c r="A127" s="374"/>
      <c r="B127" s="1160"/>
      <c r="C127" s="733"/>
      <c r="D127" s="733"/>
      <c r="E127" s="733"/>
      <c r="F127" s="733"/>
      <c r="G127" s="733"/>
      <c r="H127" s="733"/>
      <c r="I127" s="733"/>
      <c r="J127" s="733"/>
      <c r="K127" s="733"/>
      <c r="L127" s="733"/>
      <c r="M127" s="733"/>
      <c r="N127" s="733"/>
      <c r="O127" s="733"/>
      <c r="P127" s="11"/>
      <c r="Q127" s="11"/>
    </row>
    <row r="128" spans="1:17">
      <c r="A128" s="374"/>
      <c r="B128" s="1160"/>
      <c r="C128" s="733"/>
      <c r="D128" s="733"/>
      <c r="E128" s="733"/>
      <c r="F128" s="733"/>
      <c r="G128" s="733"/>
      <c r="H128" s="733"/>
      <c r="I128" s="733"/>
      <c r="J128" s="733"/>
      <c r="K128" s="733"/>
      <c r="L128" s="733"/>
      <c r="M128" s="733"/>
      <c r="N128" s="733"/>
      <c r="O128" s="733"/>
      <c r="P128" s="11"/>
      <c r="Q128" s="11"/>
    </row>
    <row r="129" spans="1:17">
      <c r="A129" s="374"/>
      <c r="B129" s="1160"/>
      <c r="C129" s="733"/>
      <c r="D129" s="733"/>
      <c r="E129" s="733"/>
      <c r="F129" s="733"/>
      <c r="G129" s="733"/>
      <c r="H129" s="733"/>
      <c r="I129" s="733"/>
      <c r="J129" s="733"/>
      <c r="K129" s="733"/>
      <c r="L129" s="733"/>
      <c r="M129" s="733"/>
      <c r="N129" s="733"/>
      <c r="O129" s="733"/>
      <c r="P129" s="11"/>
      <c r="Q129" s="11"/>
    </row>
    <row r="130" spans="1:17">
      <c r="A130" s="374"/>
      <c r="B130" s="1160"/>
      <c r="C130" s="733"/>
      <c r="D130" s="733"/>
      <c r="E130" s="733"/>
      <c r="F130" s="733"/>
      <c r="G130" s="733"/>
      <c r="H130" s="733"/>
      <c r="I130" s="733"/>
      <c r="J130" s="733"/>
      <c r="K130" s="733"/>
      <c r="L130" s="733"/>
      <c r="M130" s="733"/>
      <c r="N130" s="733"/>
      <c r="O130" s="733"/>
      <c r="P130" s="11"/>
      <c r="Q130" s="11"/>
    </row>
    <row r="131" spans="1:17">
      <c r="A131" s="374"/>
      <c r="B131" s="1160"/>
      <c r="C131" s="733"/>
      <c r="D131" s="733"/>
      <c r="E131" s="733"/>
      <c r="F131" s="733"/>
      <c r="G131" s="733"/>
      <c r="H131" s="733"/>
      <c r="I131" s="733"/>
      <c r="J131" s="733"/>
      <c r="K131" s="733"/>
      <c r="L131" s="733"/>
      <c r="M131" s="733"/>
      <c r="N131" s="733"/>
      <c r="O131" s="733"/>
      <c r="P131" s="11"/>
      <c r="Q131" s="11"/>
    </row>
    <row r="132" spans="1:17">
      <c r="A132" s="374"/>
      <c r="B132" s="1730"/>
      <c r="C132" s="733"/>
      <c r="D132" s="733"/>
      <c r="E132" s="733"/>
      <c r="F132" s="733"/>
      <c r="G132" s="733"/>
      <c r="H132" s="733"/>
      <c r="I132" s="733"/>
      <c r="J132" s="733"/>
      <c r="K132" s="733"/>
      <c r="L132" s="733"/>
      <c r="M132" s="733"/>
      <c r="N132" s="733"/>
      <c r="O132" s="733"/>
      <c r="P132" s="11"/>
      <c r="Q132" s="11"/>
    </row>
    <row r="133" spans="1:17" s="23" customFormat="1">
      <c r="A133" s="1153"/>
      <c r="B133" s="1158" t="str">
        <f>+'Pres A'!B641</f>
        <v>Materiales y Sumisnistros</v>
      </c>
      <c r="C133" s="935">
        <f ca="1">SUM(C134:C170)</f>
        <v>2958100.04</v>
      </c>
      <c r="D133" s="935">
        <f t="shared" ref="D133:O133" ca="1" si="17">SUM(D134:D170)</f>
        <v>21623.83</v>
      </c>
      <c r="E133" s="935">
        <f t="shared" ca="1" si="17"/>
        <v>716093.82000000007</v>
      </c>
      <c r="F133" s="935">
        <f t="shared" ca="1" si="17"/>
        <v>2220382.3899999997</v>
      </c>
      <c r="G133" s="935">
        <f t="shared" ca="1" si="17"/>
        <v>0</v>
      </c>
      <c r="H133" s="935">
        <f t="shared" ca="1" si="17"/>
        <v>0</v>
      </c>
      <c r="I133" s="935">
        <f t="shared" ca="1" si="17"/>
        <v>0</v>
      </c>
      <c r="J133" s="935">
        <f t="shared" ca="1" si="17"/>
        <v>0</v>
      </c>
      <c r="K133" s="935">
        <f t="shared" ca="1" si="17"/>
        <v>0</v>
      </c>
      <c r="L133" s="935">
        <f t="shared" ca="1" si="17"/>
        <v>0</v>
      </c>
      <c r="M133" s="935">
        <f t="shared" ca="1" si="17"/>
        <v>0</v>
      </c>
      <c r="N133" s="935">
        <f t="shared" ca="1" si="17"/>
        <v>0</v>
      </c>
      <c r="O133" s="935">
        <f t="shared" ca="1" si="17"/>
        <v>0</v>
      </c>
      <c r="P133" s="24"/>
      <c r="Q133" s="24"/>
    </row>
    <row r="134" spans="1:17">
      <c r="A134" s="374"/>
      <c r="B134" s="1160" t="str">
        <f>+'Pres A'!B642</f>
        <v>SERVICIOS DE ALIMENTACION</v>
      </c>
      <c r="C134" s="733">
        <f t="shared" ca="1" si="16"/>
        <v>35010</v>
      </c>
      <c r="D134" s="733">
        <f ca="1">SUMIF(DE!$S$7:$AE$326,B134,DE!$T$7:$T$298)</f>
        <v>12130</v>
      </c>
      <c r="E134" s="733">
        <f ca="1">SUMIF(DE!$S$7:$AE$326,B134,DE!$U$7:$U$298)</f>
        <v>0</v>
      </c>
      <c r="F134" s="733">
        <f ca="1">SUMIF(DE!$S$7:$AE$326,B134,DE!$V$7:$V$298)</f>
        <v>22880</v>
      </c>
      <c r="G134" s="733">
        <f ca="1">SUMIF(DE!$S$7:$AE$326,B134,DE!$W$7:$W$298)</f>
        <v>0</v>
      </c>
      <c r="H134" s="733">
        <f ca="1">SUMIF(DE!$S$7:$AE$326,B134,DE!$X$7:$X$298)</f>
        <v>0</v>
      </c>
      <c r="I134" s="733">
        <f ca="1">SUMIF(DE!$S$7:$AE$326,B134,DE!$Y$7:$Y$298)</f>
        <v>0</v>
      </c>
      <c r="J134" s="733">
        <f ca="1">SUMIF(DE!$S$7:$AE$326,B134,DE!$Z$7:$Z$298)</f>
        <v>0</v>
      </c>
      <c r="K134" s="733">
        <f ca="1">SUMIF(DE!$S$7:$AE$326,B134,DE!$AA$7:$AA$298)</f>
        <v>0</v>
      </c>
      <c r="L134" s="733">
        <f ca="1">SUMIF(DE!$S$7:$AE$326,B134,DE!$AB$7:$AB$298)</f>
        <v>0</v>
      </c>
      <c r="M134" s="733">
        <f ca="1">SUMIF(DE!$S$7:$AE$326,B134,DE!$AC$7:$AC$298)</f>
        <v>0</v>
      </c>
      <c r="N134" s="733">
        <f ca="1">SUMIF(DE!$S$7:$AE$326,B134,DE!$AD$7:$AD$298)</f>
        <v>0</v>
      </c>
      <c r="O134" s="733">
        <f ca="1">SUMIF(DE!$S$7:$AE$326,B134,DE!$AE$7:$AE$298)</f>
        <v>0</v>
      </c>
      <c r="P134" s="11"/>
      <c r="Q134" s="11"/>
    </row>
    <row r="135" spans="1:17">
      <c r="A135" s="374"/>
      <c r="B135" s="1160" t="str">
        <f>+'Pres A'!B643</f>
        <v>SERVICIOS DE CATERING</v>
      </c>
      <c r="C135" s="733">
        <f t="shared" ca="1" si="16"/>
        <v>1191000</v>
      </c>
      <c r="D135" s="733">
        <f ca="1">SUMIF(DE!$S$7:$AE$326,B135,DE!$T$7:$T$298)</f>
        <v>0</v>
      </c>
      <c r="E135" s="733">
        <f ca="1">SUMIF(DE!$S$7:$AE$326,B135,DE!$U$7:$U$298)</f>
        <v>0</v>
      </c>
      <c r="F135" s="733">
        <f ca="1">SUMIF(DE!$S$7:$AE$326,B135,DE!$V$7:$V$298)</f>
        <v>1191000</v>
      </c>
      <c r="G135" s="733">
        <f ca="1">SUMIF(DE!$S$7:$AE$326,B135,DE!$W$7:$W$298)</f>
        <v>0</v>
      </c>
      <c r="H135" s="733">
        <f ca="1">SUMIF(DE!$S$7:$AE$326,B135,DE!$X$7:$X$298)</f>
        <v>0</v>
      </c>
      <c r="I135" s="733">
        <f ca="1">SUMIF(DE!$S$7:$AE$326,B135,DE!$Y$7:$Y$298)</f>
        <v>0</v>
      </c>
      <c r="J135" s="733">
        <f ca="1">SUMIF(DE!$S$7:$AE$326,B135,DE!$Z$7:$Z$298)</f>
        <v>0</v>
      </c>
      <c r="K135" s="733">
        <f ca="1">SUMIF(DE!$S$7:$AE$326,B135,DE!$AA$7:$AA$298)</f>
        <v>0</v>
      </c>
      <c r="L135" s="733">
        <f ca="1">SUMIF(DE!$S$7:$AE$326,B135,DE!$AB$7:$AB$298)</f>
        <v>0</v>
      </c>
      <c r="M135" s="733">
        <f ca="1">SUMIF(DE!$S$7:$AE$326,B135,DE!$AC$7:$AC$298)</f>
        <v>0</v>
      </c>
      <c r="N135" s="733">
        <f ca="1">SUMIF(DE!$S$7:$AE$326,B135,DE!$AD$7:$AD$298)</f>
        <v>0</v>
      </c>
      <c r="O135" s="733">
        <f ca="1">SUMIF(DE!$S$7:$AE$326,B135,DE!$AE$7:$AE$298)</f>
        <v>0</v>
      </c>
      <c r="P135" s="11"/>
      <c r="Q135" s="11"/>
    </row>
    <row r="136" spans="1:17">
      <c r="A136" s="374"/>
      <c r="B136" s="1160" t="str">
        <f>+'Pres A'!B644</f>
        <v>Alimentos y bebidas para personas</v>
      </c>
      <c r="C136" s="733">
        <f t="shared" ca="1" si="16"/>
        <v>2051.4</v>
      </c>
      <c r="D136" s="733">
        <f ca="1">SUMIF(DE!$S$7:$AE$326,B136,DE!$T$7:$T$298)</f>
        <v>450</v>
      </c>
      <c r="E136" s="733">
        <f ca="1">SUMIF(DE!$S$7:$AE$326,B136,DE!$U$7:$U$298)</f>
        <v>1601.4</v>
      </c>
      <c r="F136" s="733">
        <f ca="1">SUMIF(DE!$S$7:$AE$326,B136,DE!$V$7:$V$298)</f>
        <v>0</v>
      </c>
      <c r="G136" s="733">
        <f ca="1">SUMIF(DE!$S$7:$AE$326,B136,DE!$W$7:$W$298)</f>
        <v>0</v>
      </c>
      <c r="H136" s="733">
        <f ca="1">SUMIF(DE!$S$7:$AE$326,B136,DE!$X$7:$X$298)</f>
        <v>0</v>
      </c>
      <c r="I136" s="733">
        <f ca="1">SUMIF(DE!$S$7:$AE$326,B136,DE!$Y$7:$Y$298)</f>
        <v>0</v>
      </c>
      <c r="J136" s="733">
        <f ca="1">SUMIF(DE!$S$7:$AE$326,B136,DE!$Z$7:$Z$298)</f>
        <v>0</v>
      </c>
      <c r="K136" s="733">
        <f ca="1">SUMIF(DE!$S$7:$AE$326,B136,DE!$AA$7:$AA$298)</f>
        <v>0</v>
      </c>
      <c r="L136" s="733">
        <f ca="1">SUMIF(DE!$S$7:$AE$326,B136,DE!$AB$7:$AB$298)</f>
        <v>0</v>
      </c>
      <c r="M136" s="733">
        <f ca="1">SUMIF(DE!$S$7:$AE$326,B136,DE!$AC$7:$AC$298)</f>
        <v>0</v>
      </c>
      <c r="N136" s="733">
        <f ca="1">SUMIF(DE!$S$7:$AE$326,B136,DE!$AD$7:$AD$298)</f>
        <v>0</v>
      </c>
      <c r="O136" s="733">
        <f ca="1">SUMIF(DE!$S$7:$AE$326,B136,DE!$AE$7:$AE$298)</f>
        <v>0</v>
      </c>
      <c r="P136" s="11"/>
      <c r="Q136" s="11"/>
    </row>
    <row r="137" spans="1:17">
      <c r="A137" s="374"/>
      <c r="B137" s="1160" t="str">
        <f>+'Pres A'!B645</f>
        <v>Acabados textiles</v>
      </c>
      <c r="C137" s="733">
        <f t="shared" ca="1" si="16"/>
        <v>0</v>
      </c>
      <c r="D137" s="733">
        <f ca="1">SUMIF(DE!$S$7:$AE$326,B137,DE!$T$7:$T$298)</f>
        <v>0</v>
      </c>
      <c r="E137" s="733">
        <f ca="1">SUMIF(DE!$S$7:$AE$326,B137,DE!$U$7:$U$298)</f>
        <v>0</v>
      </c>
      <c r="F137" s="733">
        <f ca="1">SUMIF(DE!$S$7:$AE$326,B137,DE!$V$7:$V$298)</f>
        <v>0</v>
      </c>
      <c r="G137" s="733">
        <f ca="1">SUMIF(DE!$S$7:$AE$326,B137,DE!$W$7:$W$298)</f>
        <v>0</v>
      </c>
      <c r="H137" s="733">
        <f ca="1">SUMIF(DE!$S$7:$AE$326,B137,DE!$X$7:$X$298)</f>
        <v>0</v>
      </c>
      <c r="I137" s="733">
        <f ca="1">SUMIF(DE!$S$7:$AE$326,B137,DE!$Y$7:$Y$298)</f>
        <v>0</v>
      </c>
      <c r="J137" s="733">
        <f ca="1">SUMIF(DE!$S$7:$AE$326,B137,DE!$Z$7:$Z$298)</f>
        <v>0</v>
      </c>
      <c r="K137" s="733">
        <f ca="1">SUMIF(DE!$S$7:$AE$326,B137,DE!$AA$7:$AA$298)</f>
        <v>0</v>
      </c>
      <c r="L137" s="733">
        <f ca="1">SUMIF(DE!$S$7:$AE$326,B137,DE!$AB$7:$AB$298)</f>
        <v>0</v>
      </c>
      <c r="M137" s="733">
        <f ca="1">SUMIF(DE!$S$7:$AE$326,B137,DE!$AC$7:$AC$298)</f>
        <v>0</v>
      </c>
      <c r="N137" s="733">
        <f ca="1">SUMIF(DE!$S$7:$AE$326,B137,DE!$AD$7:$AD$298)</f>
        <v>0</v>
      </c>
      <c r="O137" s="733">
        <f ca="1">SUMIF(DE!$S$7:$AE$326,B137,DE!$AE$7:$AE$298)</f>
        <v>0</v>
      </c>
      <c r="P137" s="11"/>
      <c r="Q137" s="11"/>
    </row>
    <row r="138" spans="1:17">
      <c r="A138" s="374"/>
      <c r="B138" s="1160" t="str">
        <f>+'Pres A'!B646</f>
        <v>Papel de escritorio</v>
      </c>
      <c r="C138" s="733">
        <f t="shared" ca="1" si="16"/>
        <v>0</v>
      </c>
      <c r="D138" s="733">
        <f ca="1">SUMIF(DE!$S$7:$AE$326,B138,DE!$T$7:$T$298)</f>
        <v>0</v>
      </c>
      <c r="E138" s="733">
        <f ca="1">SUMIF(DE!$S$7:$AE$326,B138,DE!$U$7:$U$298)</f>
        <v>0</v>
      </c>
      <c r="F138" s="733">
        <f ca="1">SUMIF(DE!$S$7:$AE$326,B138,DE!$V$7:$V$298)</f>
        <v>0</v>
      </c>
      <c r="G138" s="733">
        <f ca="1">SUMIF(DE!$S$7:$AE$326,B138,DE!$W$7:$W$298)</f>
        <v>0</v>
      </c>
      <c r="H138" s="733">
        <f ca="1">SUMIF(DE!$S$7:$AE$326,B138,DE!$X$7:$X$298)</f>
        <v>0</v>
      </c>
      <c r="I138" s="733">
        <f ca="1">SUMIF(DE!$S$7:$AE$326,B138,DE!$Y$7:$Y$298)</f>
        <v>0</v>
      </c>
      <c r="J138" s="733">
        <f ca="1">SUMIF(DE!$S$7:$AE$326,B138,DE!$Z$7:$Z$298)</f>
        <v>0</v>
      </c>
      <c r="K138" s="733">
        <f ca="1">SUMIF(DE!$S$7:$AE$326,B138,DE!$AA$7:$AA$298)</f>
        <v>0</v>
      </c>
      <c r="L138" s="733">
        <f ca="1">SUMIF(DE!$S$7:$AE$326,B138,DE!$AB$7:$AB$298)</f>
        <v>0</v>
      </c>
      <c r="M138" s="733">
        <f ca="1">SUMIF(DE!$S$7:$AE$326,B138,DE!$AC$7:$AC$298)</f>
        <v>0</v>
      </c>
      <c r="N138" s="733">
        <f ca="1">SUMIF(DE!$S$7:$AE$326,B138,DE!$AD$7:$AD$298)</f>
        <v>0</v>
      </c>
      <c r="O138" s="733">
        <f ca="1">SUMIF(DE!$S$7:$AE$326,B138,DE!$AE$7:$AE$298)</f>
        <v>0</v>
      </c>
      <c r="P138" s="11"/>
      <c r="Q138" s="11"/>
    </row>
    <row r="139" spans="1:17">
      <c r="A139" s="374"/>
      <c r="B139" s="1160" t="str">
        <f>+'Pres A'!B647</f>
        <v xml:space="preserve"> PAPEL Y CARTON</v>
      </c>
      <c r="C139" s="733">
        <f t="shared" ca="1" si="16"/>
        <v>0</v>
      </c>
      <c r="D139" s="733">
        <f ca="1">SUMIF(DE!$S$7:$AE$326,B139,DE!$T$7:$T$298)</f>
        <v>0</v>
      </c>
      <c r="E139" s="733">
        <f ca="1">SUMIF(DE!$S$7:$AE$326,B139,DE!$U$7:$U$298)</f>
        <v>0</v>
      </c>
      <c r="F139" s="733">
        <f ca="1">SUMIF(DE!$S$7:$AE$326,B139,DE!$V$7:$V$298)</f>
        <v>0</v>
      </c>
      <c r="G139" s="733">
        <f ca="1">SUMIF(DE!$S$7:$AE$326,B139,DE!$W$7:$W$298)</f>
        <v>0</v>
      </c>
      <c r="H139" s="733">
        <f ca="1">SUMIF(DE!$S$7:$AE$326,B139,DE!$X$7:$X$298)</f>
        <v>0</v>
      </c>
      <c r="I139" s="733">
        <f ca="1">SUMIF(DE!$S$7:$AE$326,B139,DE!$Y$7:$Y$298)</f>
        <v>0</v>
      </c>
      <c r="J139" s="733">
        <f ca="1">SUMIF(DE!$S$7:$AE$326,B139,DE!$Z$7:$Z$298)</f>
        <v>0</v>
      </c>
      <c r="K139" s="733">
        <f ca="1">SUMIF(DE!$S$7:$AE$326,B139,DE!$AA$7:$AA$298)</f>
        <v>0</v>
      </c>
      <c r="L139" s="733">
        <f ca="1">SUMIF(DE!$S$7:$AE$326,B139,DE!$AB$7:$AB$298)</f>
        <v>0</v>
      </c>
      <c r="M139" s="733">
        <f ca="1">SUMIF(DE!$S$7:$AE$326,B139,DE!$AC$7:$AC$298)</f>
        <v>0</v>
      </c>
      <c r="N139" s="733">
        <f ca="1">SUMIF(DE!$S$7:$AE$326,B139,DE!$AD$7:$AD$298)</f>
        <v>0</v>
      </c>
      <c r="O139" s="733">
        <f ca="1">SUMIF(DE!$S$7:$AE$326,B139,DE!$AE$7:$AE$298)</f>
        <v>0</v>
      </c>
      <c r="P139" s="11"/>
      <c r="Q139" s="11"/>
    </row>
    <row r="140" spans="1:17">
      <c r="A140" s="374"/>
      <c r="B140" s="1160" t="str">
        <f>+'Pres A'!B650</f>
        <v>UTILES Y MATERIALES DE ESCRITORIO, OFICINA E INFOR</v>
      </c>
      <c r="C140" s="733">
        <f t="shared" ca="1" si="16"/>
        <v>0</v>
      </c>
      <c r="D140" s="733">
        <f ca="1">SUMIF(DE!$S$7:$AE$326,B140,DE!$T$7:$T$298)</f>
        <v>0</v>
      </c>
      <c r="E140" s="733">
        <f ca="1">SUMIF(DE!$S$7:$AE$326,B140,DE!$U$7:$U$298)</f>
        <v>0</v>
      </c>
      <c r="F140" s="733">
        <f ca="1">SUMIF(DE!$S$7:$AE$326,B140,DE!$V$7:$V$298)</f>
        <v>0</v>
      </c>
      <c r="G140" s="733">
        <f ca="1">SUMIF(DE!$S$7:$AE$326,B140,DE!$W$7:$W$298)</f>
        <v>0</v>
      </c>
      <c r="H140" s="733">
        <f ca="1">SUMIF(DE!$S$7:$AE$326,B140,DE!$X$7:$X$298)</f>
        <v>0</v>
      </c>
      <c r="I140" s="733">
        <f ca="1">SUMIF(DE!$S$7:$AE$326,B140,DE!$Y$7:$Y$298)</f>
        <v>0</v>
      </c>
      <c r="J140" s="733">
        <f ca="1">SUMIF(DE!$S$7:$AE$326,B140,DE!$Z$7:$Z$298)</f>
        <v>0</v>
      </c>
      <c r="K140" s="733">
        <f ca="1">SUMIF(DE!$S$7:$AE$326,B140,DE!$AA$7:$AA$298)</f>
        <v>0</v>
      </c>
      <c r="L140" s="733">
        <f ca="1">SUMIF(DE!$S$7:$AE$326,B140,DE!$AB$7:$AB$298)</f>
        <v>0</v>
      </c>
      <c r="M140" s="733">
        <f ca="1">SUMIF(DE!$S$7:$AE$326,B140,DE!$AC$7:$AC$298)</f>
        <v>0</v>
      </c>
      <c r="N140" s="733">
        <f ca="1">SUMIF(DE!$S$7:$AE$326,B140,DE!$AD$7:$AD$298)</f>
        <v>0</v>
      </c>
      <c r="O140" s="733">
        <f ca="1">SUMIF(DE!$S$7:$AE$326,B140,DE!$AE$7:$AE$298)</f>
        <v>0</v>
      </c>
      <c r="P140" s="11"/>
      <c r="Q140" s="11"/>
    </row>
    <row r="141" spans="1:17">
      <c r="A141" s="374"/>
      <c r="B141" s="1160" t="str">
        <f>+'Pres A'!B651</f>
        <v>PRODUCTOS DE ARTES GRAFICAS</v>
      </c>
      <c r="C141" s="733">
        <f t="shared" ca="1" si="16"/>
        <v>0</v>
      </c>
      <c r="D141" s="733">
        <f ca="1">SUMIF(DE!$S$7:$AE$326,B141,DE!$T$7:$T$298)</f>
        <v>0</v>
      </c>
      <c r="E141" s="733">
        <f ca="1">SUMIF(DE!$S$7:$AE$326,B141,DE!$U$7:$U$298)</f>
        <v>0</v>
      </c>
      <c r="F141" s="733">
        <f ca="1">SUMIF(DE!$S$7:$AE$326,B141,DE!$V$7:$V$298)</f>
        <v>0</v>
      </c>
      <c r="G141" s="733">
        <f ca="1">SUMIF(DE!$S$7:$AE$326,B141,DE!$W$7:$W$298)</f>
        <v>0</v>
      </c>
      <c r="H141" s="733">
        <f ca="1">SUMIF(DE!$S$7:$AE$326,B141,DE!$X$7:$X$298)</f>
        <v>0</v>
      </c>
      <c r="I141" s="733">
        <f ca="1">SUMIF(DE!$S$7:$AE$326,B141,DE!$Y$7:$Y$298)</f>
        <v>0</v>
      </c>
      <c r="J141" s="733">
        <f ca="1">SUMIF(DE!$S$7:$AE$326,B141,DE!$Z$7:$Z$298)</f>
        <v>0</v>
      </c>
      <c r="K141" s="733">
        <f ca="1">SUMIF(DE!$S$7:$AE$326,B141,DE!$AA$7:$AA$298)</f>
        <v>0</v>
      </c>
      <c r="L141" s="733">
        <f ca="1">SUMIF(DE!$S$7:$AE$326,B141,DE!$AB$7:$AB$298)</f>
        <v>0</v>
      </c>
      <c r="M141" s="733">
        <f ca="1">SUMIF(DE!$S$7:$AE$326,B141,DE!$AC$7:$AC$298)</f>
        <v>0</v>
      </c>
      <c r="N141" s="733">
        <f ca="1">SUMIF(DE!$S$7:$AE$326,B141,DE!$AD$7:$AD$298)</f>
        <v>0</v>
      </c>
      <c r="O141" s="733">
        <f ca="1">SUMIF(DE!$S$7:$AE$326,B141,DE!$AE$7:$AE$298)</f>
        <v>0</v>
      </c>
      <c r="P141" s="11"/>
      <c r="Q141" s="11"/>
    </row>
    <row r="142" spans="1:17">
      <c r="A142" s="374"/>
      <c r="B142" s="1160" t="str">
        <f>+'Pres A'!B652</f>
        <v>Llantas y neumaticos</v>
      </c>
      <c r="C142" s="733">
        <f t="shared" ca="1" si="16"/>
        <v>0</v>
      </c>
      <c r="D142" s="733">
        <f ca="1">SUMIF(DE!$S$7:$AE$326,B142,DE!$T$7:$T$298)</f>
        <v>0</v>
      </c>
      <c r="E142" s="733">
        <f ca="1">SUMIF(DE!$S$7:$AE$326,B142,DE!$U$7:$U$298)</f>
        <v>0</v>
      </c>
      <c r="F142" s="733">
        <f ca="1">SUMIF(DE!$S$7:$AE$326,B142,DE!$V$7:$V$298)</f>
        <v>0</v>
      </c>
      <c r="G142" s="733">
        <f ca="1">SUMIF(DE!$S$7:$AE$326,B142,DE!$W$7:$W$298)</f>
        <v>0</v>
      </c>
      <c r="H142" s="733">
        <f ca="1">SUMIF(DE!$S$7:$AE$326,B142,DE!$X$7:$X$298)</f>
        <v>0</v>
      </c>
      <c r="I142" s="733">
        <f ca="1">SUMIF(DE!$S$7:$AE$326,B142,DE!$Y$7:$Y$298)</f>
        <v>0</v>
      </c>
      <c r="J142" s="733">
        <f ca="1">SUMIF(DE!$S$7:$AE$326,B142,DE!$Z$7:$Z$298)</f>
        <v>0</v>
      </c>
      <c r="K142" s="733">
        <f ca="1">SUMIF(DE!$S$7:$AE$326,B142,DE!$AA$7:$AA$298)</f>
        <v>0</v>
      </c>
      <c r="L142" s="733">
        <f ca="1">SUMIF(DE!$S$7:$AE$326,B142,DE!$AB$7:$AB$298)</f>
        <v>0</v>
      </c>
      <c r="M142" s="733">
        <f ca="1">SUMIF(DE!$S$7:$AE$326,B142,DE!$AC$7:$AC$298)</f>
        <v>0</v>
      </c>
      <c r="N142" s="733">
        <f ca="1">SUMIF(DE!$S$7:$AE$326,B142,DE!$AD$7:$AD$298)</f>
        <v>0</v>
      </c>
      <c r="O142" s="733">
        <f ca="1">SUMIF(DE!$S$7:$AE$326,B142,DE!$AE$7:$AE$298)</f>
        <v>0</v>
      </c>
      <c r="P142" s="11"/>
      <c r="Q142" s="11"/>
    </row>
    <row r="143" spans="1:17">
      <c r="A143" s="374"/>
      <c r="B143" s="1160" t="str">
        <f>+'Pres A'!B653</f>
        <v>Productos de cemento</v>
      </c>
      <c r="C143" s="733">
        <f t="shared" ca="1" si="16"/>
        <v>0</v>
      </c>
      <c r="D143" s="733">
        <f ca="1">SUMIF(DE!$S$7:$AE$326,B143,DE!$T$7:$T$298)</f>
        <v>0</v>
      </c>
      <c r="E143" s="733">
        <f ca="1">SUMIF(DE!$S$7:$AE$326,B143,DE!$U$7:$U$298)</f>
        <v>0</v>
      </c>
      <c r="F143" s="733">
        <f ca="1">SUMIF(DE!$S$7:$AE$326,B143,DE!$V$7:$V$298)</f>
        <v>0</v>
      </c>
      <c r="G143" s="733">
        <f ca="1">SUMIF(DE!$S$7:$AE$326,B143,DE!$W$7:$W$298)</f>
        <v>0</v>
      </c>
      <c r="H143" s="733">
        <f ca="1">SUMIF(DE!$S$7:$AE$326,B143,DE!$X$7:$X$298)</f>
        <v>0</v>
      </c>
      <c r="I143" s="733">
        <f ca="1">SUMIF(DE!$S$7:$AE$326,B143,DE!$Y$7:$Y$298)</f>
        <v>0</v>
      </c>
      <c r="J143" s="733">
        <f ca="1">SUMIF(DE!$S$7:$AE$326,B143,DE!$Z$7:$Z$298)</f>
        <v>0</v>
      </c>
      <c r="K143" s="733">
        <f ca="1">SUMIF(DE!$S$7:$AE$326,B143,DE!$AA$7:$AA$298)</f>
        <v>0</v>
      </c>
      <c r="L143" s="733">
        <f ca="1">SUMIF(DE!$S$7:$AE$326,B143,DE!$AB$7:$AB$298)</f>
        <v>0</v>
      </c>
      <c r="M143" s="733">
        <f ca="1">SUMIF(DE!$S$7:$AE$326,B143,DE!$AC$7:$AC$298)</f>
        <v>0</v>
      </c>
      <c r="N143" s="733">
        <f ca="1">SUMIF(DE!$S$7:$AE$326,B143,DE!$AD$7:$AD$298)</f>
        <v>0</v>
      </c>
      <c r="O143" s="733">
        <f ca="1">SUMIF(DE!$S$7:$AE$326,B143,DE!$AE$7:$AE$298)</f>
        <v>0</v>
      </c>
      <c r="P143" s="11"/>
      <c r="Q143" s="11"/>
    </row>
    <row r="144" spans="1:17">
      <c r="A144" s="374"/>
      <c r="B144" s="1160" t="str">
        <f>+'Pres A'!B654</f>
        <v>Productos de loza</v>
      </c>
      <c r="C144" s="733">
        <f t="shared" ca="1" si="16"/>
        <v>0</v>
      </c>
      <c r="D144" s="733">
        <f ca="1">SUMIF(DE!$S$7:$AE$326,B144,DE!$T$7:$T$298)</f>
        <v>0</v>
      </c>
      <c r="E144" s="733">
        <f ca="1">SUMIF(DE!$S$7:$AE$326,B144,DE!$U$7:$U$298)</f>
        <v>0</v>
      </c>
      <c r="F144" s="733">
        <f ca="1">SUMIF(DE!$S$7:$AE$326,B144,DE!$V$7:$V$298)</f>
        <v>0</v>
      </c>
      <c r="G144" s="733">
        <f ca="1">SUMIF(DE!$S$7:$AE$326,B144,DE!$W$7:$W$298)</f>
        <v>0</v>
      </c>
      <c r="H144" s="733">
        <f ca="1">SUMIF(DE!$S$7:$AE$326,B144,DE!$X$7:$X$298)</f>
        <v>0</v>
      </c>
      <c r="I144" s="733">
        <f ca="1">SUMIF(DE!$S$7:$AE$326,B144,DE!$Y$7:$Y$298)</f>
        <v>0</v>
      </c>
      <c r="J144" s="733">
        <f ca="1">SUMIF(DE!$S$7:$AE$326,B144,DE!$Z$7:$Z$298)</f>
        <v>0</v>
      </c>
      <c r="K144" s="733">
        <f ca="1">SUMIF(DE!$S$7:$AE$326,B144,DE!$AA$7:$AA$298)</f>
        <v>0</v>
      </c>
      <c r="L144" s="733">
        <f ca="1">SUMIF(DE!$S$7:$AE$326,B144,DE!$AB$7:$AB$298)</f>
        <v>0</v>
      </c>
      <c r="M144" s="733">
        <f ca="1">SUMIF(DE!$S$7:$AE$326,B144,DE!$AC$7:$AC$298)</f>
        <v>0</v>
      </c>
      <c r="N144" s="733">
        <f ca="1">SUMIF(DE!$S$7:$AE$326,B144,DE!$AD$7:$AD$298)</f>
        <v>0</v>
      </c>
      <c r="O144" s="733">
        <f ca="1">SUMIF(DE!$S$7:$AE$326,B144,DE!$AE$7:$AE$298)</f>
        <v>0</v>
      </c>
      <c r="P144" s="11"/>
      <c r="Q144" s="11"/>
    </row>
    <row r="145" spans="1:17">
      <c r="A145" s="374"/>
      <c r="B145" s="1160" t="str">
        <f>+'Pres A'!B655</f>
        <v>Herramientas menores</v>
      </c>
      <c r="C145" s="733">
        <f t="shared" ca="1" si="16"/>
        <v>4998.54</v>
      </c>
      <c r="D145" s="733">
        <f ca="1">SUMIF(DE!$S$7:$AE$326,B145,DE!$T$7:$T$298)</f>
        <v>0</v>
      </c>
      <c r="E145" s="733">
        <f ca="1">SUMIF(DE!$S$7:$AE$326,B145,DE!$U$7:$U$298)</f>
        <v>0</v>
      </c>
      <c r="F145" s="733">
        <f ca="1">SUMIF(DE!$S$7:$AE$326,B145,DE!$V$7:$V$298)</f>
        <v>4998.54</v>
      </c>
      <c r="G145" s="733">
        <f ca="1">SUMIF(DE!$S$7:$AE$326,B145,DE!$W$7:$W$298)</f>
        <v>0</v>
      </c>
      <c r="H145" s="733">
        <f ca="1">SUMIF(DE!$S$7:$AE$326,B145,DE!$X$7:$X$298)</f>
        <v>0</v>
      </c>
      <c r="I145" s="733">
        <f ca="1">SUMIF(DE!$S$7:$AE$326,B145,DE!$Y$7:$Y$298)</f>
        <v>0</v>
      </c>
      <c r="J145" s="733">
        <f ca="1">SUMIF(DE!$S$7:$AE$326,B145,DE!$Z$7:$Z$298)</f>
        <v>0</v>
      </c>
      <c r="K145" s="733">
        <f ca="1">SUMIF(DE!$S$7:$AE$326,B145,DE!$AA$7:$AA$298)</f>
        <v>0</v>
      </c>
      <c r="L145" s="733">
        <f ca="1">SUMIF(DE!$S$7:$AE$326,B145,DE!$AB$7:$AB$298)</f>
        <v>0</v>
      </c>
      <c r="M145" s="733">
        <f ca="1">SUMIF(DE!$S$7:$AE$326,B145,DE!$AC$7:$AC$298)</f>
        <v>0</v>
      </c>
      <c r="N145" s="733">
        <f ca="1">SUMIF(DE!$S$7:$AE$326,B145,DE!$AD$7:$AD$298)</f>
        <v>0</v>
      </c>
      <c r="O145" s="733">
        <f ca="1">SUMIF(DE!$S$7:$AE$326,B145,DE!$AE$7:$AE$298)</f>
        <v>0</v>
      </c>
      <c r="P145" s="11"/>
      <c r="Q145" s="11"/>
    </row>
    <row r="146" spans="1:17">
      <c r="A146" s="374"/>
      <c r="B146" s="1160" t="str">
        <f>+'Pres A'!B656</f>
        <v>UTILES Y MATERIALES DE LIMPIEZA E HIGIENE</v>
      </c>
      <c r="C146" s="733">
        <f t="shared" ref="C146:C156" si="18">SUM(D146:O146)</f>
        <v>0</v>
      </c>
      <c r="D146" s="733"/>
      <c r="E146" s="733"/>
      <c r="F146" s="733"/>
      <c r="G146" s="733"/>
      <c r="H146" s="733"/>
      <c r="I146" s="733"/>
      <c r="J146" s="733"/>
      <c r="K146" s="733"/>
      <c r="L146" s="733"/>
      <c r="M146" s="733"/>
      <c r="N146" s="733"/>
      <c r="O146" s="733"/>
      <c r="P146" s="11"/>
      <c r="Q146" s="11"/>
    </row>
    <row r="147" spans="1:17">
      <c r="A147" s="374"/>
      <c r="B147" s="1160" t="str">
        <f>+'Pres A'!B657</f>
        <v>PRODUCTOS METÁLICOS</v>
      </c>
      <c r="C147" s="733">
        <f t="shared" ca="1" si="18"/>
        <v>620.62</v>
      </c>
      <c r="D147" s="733">
        <f ca="1">SUMIF(DE!$S$7:$AE$326,B147,DE!$T$7:$T$298)</f>
        <v>0</v>
      </c>
      <c r="E147" s="733">
        <f ca="1">SUMIF(DE!$S$7:$AE$326,B147,DE!$U$7:$U$298)</f>
        <v>0</v>
      </c>
      <c r="F147" s="733">
        <f ca="1">SUMIF(DE!$S$7:$AE$326,B147,DE!$V$7:$V$298)</f>
        <v>620.62</v>
      </c>
      <c r="G147" s="733">
        <f ca="1">SUMIF(DE!$S$7:$AE$326,B147,DE!$W$7:$W$298)</f>
        <v>0</v>
      </c>
      <c r="H147" s="733">
        <f ca="1">SUMIF(DE!$S$7:$AE$326,B147,DE!$X$7:$X$298)</f>
        <v>0</v>
      </c>
      <c r="I147" s="733">
        <f ca="1">SUMIF(DE!$S$7:$AE$326,B147,DE!$Y$7:$Y$298)</f>
        <v>0</v>
      </c>
      <c r="J147" s="733">
        <f ca="1">SUMIF(DE!$S$7:$AE$326,B147,DE!$Z$7:$Z$298)</f>
        <v>0</v>
      </c>
      <c r="K147" s="733">
        <f ca="1">SUMIF(DE!$S$7:$AE$326,B147,DE!$AA$7:$AA$298)</f>
        <v>0</v>
      </c>
      <c r="L147" s="733">
        <f ca="1">SUMIF(DE!$S$7:$AE$326,B147,DE!$AB$7:$AB$298)</f>
        <v>0</v>
      </c>
      <c r="M147" s="733">
        <f ca="1">SUMIF(DE!$S$7:$AE$326,B147,DE!$AC$7:$AC$298)</f>
        <v>0</v>
      </c>
      <c r="N147" s="733">
        <f ca="1">SUMIF(DE!$S$7:$AE$326,B147,DE!$AD$7:$AD$298)</f>
        <v>0</v>
      </c>
      <c r="O147" s="733">
        <f ca="1">SUMIF(DE!$S$7:$AE$326,B147,DE!$AE$7:$AE$298)</f>
        <v>0</v>
      </c>
      <c r="P147" s="11"/>
      <c r="Q147" s="11"/>
    </row>
    <row r="148" spans="1:17">
      <c r="A148" s="374"/>
      <c r="B148" s="1160" t="str">
        <f>+'Pres A'!B658</f>
        <v>Piedra arcilla y arena</v>
      </c>
      <c r="C148" s="733">
        <f t="shared" ca="1" si="18"/>
        <v>0</v>
      </c>
      <c r="D148" s="733">
        <f ca="1">SUMIF(DE!$S$7:$AE$326,B148,DE!$T$7:$T$298)</f>
        <v>0</v>
      </c>
      <c r="E148" s="733">
        <f ca="1">SUMIF(DE!$S$7:$AE$326,B148,DE!$U$7:$U$298)</f>
        <v>0</v>
      </c>
      <c r="F148" s="733">
        <f ca="1">SUMIF(DE!$S$7:$AE$326,B148,DE!$V$7:$V$298)</f>
        <v>0</v>
      </c>
      <c r="G148" s="733">
        <f ca="1">SUMIF(DE!$S$7:$AE$326,B148,DE!$W$7:$W$298)</f>
        <v>0</v>
      </c>
      <c r="H148" s="733">
        <f ca="1">SUMIF(DE!$S$7:$AE$326,B148,DE!$X$7:$X$298)</f>
        <v>0</v>
      </c>
      <c r="I148" s="733">
        <f ca="1">SUMIF(DE!$S$7:$AE$326,B148,DE!$Y$7:$Y$298)</f>
        <v>0</v>
      </c>
      <c r="J148" s="733">
        <f ca="1">SUMIF(DE!$S$7:$AE$326,B148,DE!$Z$7:$Z$298)</f>
        <v>0</v>
      </c>
      <c r="K148" s="733">
        <f ca="1">SUMIF(DE!$S$7:$AE$326,B148,DE!$AA$7:$AA$298)</f>
        <v>0</v>
      </c>
      <c r="L148" s="733">
        <f ca="1">SUMIF(DE!$S$7:$AE$326,B148,DE!$AB$7:$AB$298)</f>
        <v>0</v>
      </c>
      <c r="M148" s="733">
        <f ca="1">SUMIF(DE!$S$7:$AE$326,B148,DE!$AC$7:$AC$298)</f>
        <v>0</v>
      </c>
      <c r="N148" s="733">
        <f ca="1">SUMIF(DE!$S$7:$AE$326,B148,DE!$AD$7:$AD$298)</f>
        <v>0</v>
      </c>
      <c r="O148" s="733">
        <f ca="1">SUMIF(DE!$S$7:$AE$326,B148,DE!$AE$7:$AE$298)</f>
        <v>0</v>
      </c>
      <c r="P148" s="11"/>
      <c r="Q148" s="11"/>
    </row>
    <row r="149" spans="1:17">
      <c r="A149" s="374"/>
      <c r="B149" s="1160" t="str">
        <f>+'Pres A'!B659</f>
        <v>PRODUCTOS Y  UTILES DIVERSOS</v>
      </c>
      <c r="C149" s="733">
        <f t="shared" ca="1" si="18"/>
        <v>0</v>
      </c>
      <c r="D149" s="733">
        <f ca="1">SUMIF(DE!$S$7:$AE$326,B149,DE!$T$7:$T$298)</f>
        <v>0</v>
      </c>
      <c r="E149" s="733">
        <f ca="1">SUMIF(DE!$S$7:$AE$326,B149,DE!$U$7:$U$298)</f>
        <v>0</v>
      </c>
      <c r="F149" s="733">
        <f ca="1">SUMIF(DE!$S$7:$AE$326,B149,DE!$V$7:$V$298)</f>
        <v>0</v>
      </c>
      <c r="G149" s="733">
        <f ca="1">SUMIF(DE!$S$7:$AE$326,B149,DE!$W$7:$W$298)</f>
        <v>0</v>
      </c>
      <c r="H149" s="733">
        <f ca="1">SUMIF(DE!$S$7:$AE$326,B149,DE!$X$7:$X$298)</f>
        <v>0</v>
      </c>
      <c r="I149" s="733">
        <f ca="1">SUMIF(DE!$S$7:$AE$326,B149,DE!$Y$7:$Y$298)</f>
        <v>0</v>
      </c>
      <c r="J149" s="733">
        <f ca="1">SUMIF(DE!$S$7:$AE$326,B149,DE!$Z$7:$Z$298)</f>
        <v>0</v>
      </c>
      <c r="K149" s="733">
        <f ca="1">SUMIF(DE!$S$7:$AE$326,B149,DE!$AA$7:$AA$298)</f>
        <v>0</v>
      </c>
      <c r="L149" s="733">
        <f ca="1">SUMIF(DE!$S$7:$AE$326,B149,DE!$AB$7:$AB$298)</f>
        <v>0</v>
      </c>
      <c r="M149" s="733">
        <f ca="1">SUMIF(DE!$S$7:$AE$326,B149,DE!$AC$7:$AC$298)</f>
        <v>0</v>
      </c>
      <c r="N149" s="733">
        <f ca="1">SUMIF(DE!$S$7:$AE$326,B149,DE!$AD$7:$AD$298)</f>
        <v>0</v>
      </c>
      <c r="O149" s="733">
        <f ca="1">SUMIF(DE!$S$7:$AE$326,B149,DE!$AE$7:$AE$298)</f>
        <v>0</v>
      </c>
      <c r="P149" s="11"/>
      <c r="Q149" s="11"/>
    </row>
    <row r="150" spans="1:17">
      <c r="A150" s="374"/>
      <c r="B150" s="1160" t="str">
        <f>+'Pres A'!B660</f>
        <v>Gasolina</v>
      </c>
      <c r="C150" s="733">
        <f t="shared" ca="1" si="18"/>
        <v>999500</v>
      </c>
      <c r="D150" s="733">
        <f ca="1">SUMIF(DE!$S$7:$AE$326,B150,DE!$T$7:$T$298)</f>
        <v>0</v>
      </c>
      <c r="E150" s="733">
        <f ca="1">SUMIF(DE!$S$7:$AE$326,B150,DE!$U$7:$U$298)</f>
        <v>0</v>
      </c>
      <c r="F150" s="733">
        <f ca="1">SUMIF(DE!$S$7:$AE$326,B150,DE!$V$7:$V$298)</f>
        <v>999500</v>
      </c>
      <c r="G150" s="733">
        <f ca="1">SUMIF(DE!$S$7:$AE$326,B150,DE!$W$7:$W$298)</f>
        <v>0</v>
      </c>
      <c r="H150" s="733">
        <f ca="1">SUMIF(DE!$S$7:$AE$326,B150,DE!$X$7:$X$298)</f>
        <v>0</v>
      </c>
      <c r="I150" s="733">
        <f ca="1">SUMIF(DE!$S$7:$AE$326,B150,DE!$Y$7:$Y$298)</f>
        <v>0</v>
      </c>
      <c r="J150" s="733">
        <f ca="1">SUMIF(DE!$S$7:$AE$326,B150,DE!$Z$7:$Z$298)</f>
        <v>0</v>
      </c>
      <c r="K150" s="733">
        <f ca="1">SUMIF(DE!$S$7:$AE$326,B150,DE!$AA$7:$AA$298)</f>
        <v>0</v>
      </c>
      <c r="L150" s="733">
        <f ca="1">SUMIF(DE!$S$7:$AE$326,B150,DE!$AB$7:$AB$298)</f>
        <v>0</v>
      </c>
      <c r="M150" s="733">
        <f ca="1">SUMIF(DE!$S$7:$AE$326,B150,DE!$AC$7:$AC$298)</f>
        <v>0</v>
      </c>
      <c r="N150" s="733">
        <f ca="1">SUMIF(DE!$S$7:$AE$326,B150,DE!$AD$7:$AD$298)</f>
        <v>0</v>
      </c>
      <c r="O150" s="733">
        <f ca="1">SUMIF(DE!$S$7:$AE$326,B150,DE!$AE$7:$AE$298)</f>
        <v>0</v>
      </c>
      <c r="P150" s="11"/>
      <c r="Q150" s="11"/>
    </row>
    <row r="151" spans="1:17">
      <c r="A151" s="374"/>
      <c r="B151" s="1160" t="str">
        <f>+'Pres A'!B661</f>
        <v>Gasoil</v>
      </c>
      <c r="C151" s="733">
        <f t="shared" ca="1" si="18"/>
        <v>1074000</v>
      </c>
      <c r="D151" s="733">
        <f ca="1">SUMIF(DE!$S$7:$AE$326,B151,DE!$T$7:$T$298)</f>
        <v>0</v>
      </c>
      <c r="E151" s="733">
        <f ca="1">SUMIF(DE!$S$7:$AE$326,B151,DE!$U$7:$U$298)</f>
        <v>0</v>
      </c>
      <c r="F151" s="733">
        <f ca="1">SUMIF(DE!$S$7:$AE$326,B151,DE!$V$7:$V$298)</f>
        <v>1074000</v>
      </c>
      <c r="G151" s="733">
        <f ca="1">SUMIF(DE!$S$7:$AE$326,B151,DE!$W$7:$W$298)</f>
        <v>0</v>
      </c>
      <c r="H151" s="733">
        <f ca="1">SUMIF(DE!$S$7:$AE$326,B151,DE!$X$7:$X$298)</f>
        <v>0</v>
      </c>
      <c r="I151" s="733">
        <f ca="1">SUMIF(DE!$S$7:$AE$326,B151,DE!$Y$7:$Y$298)</f>
        <v>0</v>
      </c>
      <c r="J151" s="733">
        <f ca="1">SUMIF(DE!$S$7:$AE$326,B151,DE!$Z$7:$Z$298)</f>
        <v>0</v>
      </c>
      <c r="K151" s="733">
        <f ca="1">SUMIF(DE!$S$7:$AE$326,B151,DE!$AA$7:$AA$298)</f>
        <v>0</v>
      </c>
      <c r="L151" s="733">
        <f ca="1">SUMIF(DE!$S$7:$AE$326,B151,DE!$AB$7:$AB$298)</f>
        <v>0</v>
      </c>
      <c r="M151" s="733">
        <f ca="1">SUMIF(DE!$S$7:$AE$326,B151,DE!$AC$7:$AC$298)</f>
        <v>0</v>
      </c>
      <c r="N151" s="733">
        <f ca="1">SUMIF(DE!$S$7:$AE$326,B151,DE!$AD$7:$AD$298)</f>
        <v>0</v>
      </c>
      <c r="O151" s="733">
        <f ca="1">SUMIF(DE!$S$7:$AE$326,B151,DE!$AE$7:$AE$298)</f>
        <v>0</v>
      </c>
      <c r="P151" s="11"/>
      <c r="Q151" s="11"/>
    </row>
    <row r="152" spans="1:17">
      <c r="A152" s="374"/>
      <c r="B152" s="1160" t="str">
        <f>+'Pres A'!B662</f>
        <v>Gas GLP</v>
      </c>
      <c r="C152" s="733">
        <f t="shared" ca="1" si="18"/>
        <v>2850</v>
      </c>
      <c r="D152" s="733">
        <f ca="1">SUMIF(DE!$S$7:$AE$326,B152,DE!$T$7:$T$298)</f>
        <v>2850</v>
      </c>
      <c r="E152" s="733">
        <f ca="1">SUMIF(DE!$S$7:$AE$326,B152,DE!$U$7:$U$298)</f>
        <v>0</v>
      </c>
      <c r="F152" s="733">
        <f ca="1">SUMIF(DE!$S$7:$AE$326,B152,DE!$V$7:$V$298)</f>
        <v>0</v>
      </c>
      <c r="G152" s="733">
        <f ca="1">SUMIF(DE!$S$7:$AE$326,B152,DE!$W$7:$W$298)</f>
        <v>0</v>
      </c>
      <c r="H152" s="733">
        <f ca="1">SUMIF(DE!$S$7:$AE$326,B152,DE!$X$7:$X$298)</f>
        <v>0</v>
      </c>
      <c r="I152" s="733">
        <f ca="1">SUMIF(DE!$S$7:$AE$326,B152,DE!$Y$7:$Y$298)</f>
        <v>0</v>
      </c>
      <c r="J152" s="733">
        <f ca="1">SUMIF(DE!$S$7:$AE$326,B152,DE!$Z$7:$Z$298)</f>
        <v>0</v>
      </c>
      <c r="K152" s="733">
        <f ca="1">SUMIF(DE!$S$7:$AE$326,B152,DE!$AA$7:$AA$298)</f>
        <v>0</v>
      </c>
      <c r="L152" s="733">
        <f ca="1">SUMIF(DE!$S$7:$AE$326,B152,DE!$AB$7:$AB$298)</f>
        <v>0</v>
      </c>
      <c r="M152" s="733">
        <f ca="1">SUMIF(DE!$S$7:$AE$326,B152,DE!$AC$7:$AC$298)</f>
        <v>0</v>
      </c>
      <c r="N152" s="733">
        <f ca="1">SUMIF(DE!$S$7:$AE$326,B152,DE!$AD$7:$AD$298)</f>
        <v>0</v>
      </c>
      <c r="O152" s="733">
        <f ca="1">SUMIF(DE!$S$7:$AE$326,B152,DE!$AE$7:$AE$298)</f>
        <v>0</v>
      </c>
      <c r="P152" s="11"/>
      <c r="Q152" s="11"/>
    </row>
    <row r="153" spans="1:17">
      <c r="A153" s="374"/>
      <c r="B153" s="1160" t="str">
        <f>+'Pres A'!B663</f>
        <v>Aceites y grasas</v>
      </c>
      <c r="C153" s="733">
        <f t="shared" ca="1" si="18"/>
        <v>0</v>
      </c>
      <c r="D153" s="733">
        <f ca="1">SUMIF(DE!$S$7:$AE$326,B153,DE!$T$7:$T$298)</f>
        <v>0</v>
      </c>
      <c r="E153" s="733">
        <f ca="1">SUMIF(DE!$S$7:$AE$326,B153,DE!$U$7:$U$298)</f>
        <v>0</v>
      </c>
      <c r="F153" s="733">
        <f ca="1">SUMIF(DE!$S$7:$AE$326,B153,DE!$V$7:$V$298)</f>
        <v>0</v>
      </c>
      <c r="G153" s="733">
        <f ca="1">SUMIF(DE!$S$7:$AE$326,B153,DE!$W$7:$W$298)</f>
        <v>0</v>
      </c>
      <c r="H153" s="733">
        <f ca="1">SUMIF(DE!$S$7:$AE$326,B153,DE!$X$7:$X$298)</f>
        <v>0</v>
      </c>
      <c r="I153" s="733">
        <f ca="1">SUMIF(DE!$S$7:$AE$326,B153,DE!$Y$7:$Y$298)</f>
        <v>0</v>
      </c>
      <c r="J153" s="733">
        <f ca="1">SUMIF(DE!$S$7:$AE$326,B153,DE!$Z$7:$Z$298)</f>
        <v>0</v>
      </c>
      <c r="K153" s="733">
        <f ca="1">SUMIF(DE!$S$7:$AE$326,B153,DE!$AA$7:$AA$298)</f>
        <v>0</v>
      </c>
      <c r="L153" s="733">
        <f ca="1">SUMIF(DE!$S$7:$AE$326,B153,DE!$AB$7:$AB$298)</f>
        <v>0</v>
      </c>
      <c r="M153" s="733">
        <f ca="1">SUMIF(DE!$S$7:$AE$326,B153,DE!$AC$7:$AC$298)</f>
        <v>0</v>
      </c>
      <c r="N153" s="733">
        <f ca="1">SUMIF(DE!$S$7:$AE$326,B153,DE!$AD$7:$AD$298)</f>
        <v>0</v>
      </c>
      <c r="O153" s="733">
        <f ca="1">SUMIF(DE!$S$7:$AE$326,B153,DE!$AE$7:$AE$298)</f>
        <v>0</v>
      </c>
      <c r="P153" s="11"/>
      <c r="Q153" s="11"/>
    </row>
    <row r="154" spans="1:17">
      <c r="A154" s="374"/>
      <c r="B154" s="1160" t="str">
        <f>+'Pres A'!B664</f>
        <v>Lubricantes</v>
      </c>
      <c r="C154" s="733">
        <f t="shared" ca="1" si="18"/>
        <v>0</v>
      </c>
      <c r="D154" s="733">
        <f ca="1">SUMIF(DE!$S$7:$AE$326,B154,DE!$T$7:$T$298)</f>
        <v>0</v>
      </c>
      <c r="E154" s="733">
        <f ca="1">SUMIF(DE!$S$7:$AE$326,B154,DE!$U$7:$U$298)</f>
        <v>0</v>
      </c>
      <c r="F154" s="733">
        <f ca="1">SUMIF(DE!$S$7:$AE$326,B154,DE!$V$7:$V$298)</f>
        <v>0</v>
      </c>
      <c r="G154" s="733">
        <f ca="1">SUMIF(DE!$S$7:$AE$326,B154,DE!$W$7:$W$298)</f>
        <v>0</v>
      </c>
      <c r="H154" s="733">
        <f ca="1">SUMIF(DE!$S$7:$AE$326,B154,DE!$X$7:$X$298)</f>
        <v>0</v>
      </c>
      <c r="I154" s="733">
        <f ca="1">SUMIF(DE!$S$7:$AE$326,B154,DE!$Y$7:$Y$298)</f>
        <v>0</v>
      </c>
      <c r="J154" s="733">
        <f ca="1">SUMIF(DE!$S$7:$AE$326,B154,DE!$Z$7:$Z$298)</f>
        <v>0</v>
      </c>
      <c r="K154" s="733">
        <f ca="1">SUMIF(DE!$S$7:$AE$326,B154,DE!$AA$7:$AA$298)</f>
        <v>0</v>
      </c>
      <c r="L154" s="733">
        <f ca="1">SUMIF(DE!$S$7:$AE$326,B154,DE!$AB$7:$AB$298)</f>
        <v>0</v>
      </c>
      <c r="M154" s="733">
        <f ca="1">SUMIF(DE!$S$7:$AE$326,B154,DE!$AC$7:$AC$298)</f>
        <v>0</v>
      </c>
      <c r="N154" s="733">
        <f ca="1">SUMIF(DE!$S$7:$AE$326,B154,DE!$AD$7:$AD$298)</f>
        <v>0</v>
      </c>
      <c r="O154" s="733">
        <f ca="1">SUMIF(DE!$S$7:$AE$326,B154,DE!$AE$7:$AE$298)</f>
        <v>0</v>
      </c>
      <c r="P154" s="11"/>
      <c r="Q154" s="11"/>
    </row>
    <row r="155" spans="1:17">
      <c r="A155" s="374"/>
      <c r="B155" s="1160" t="str">
        <f>+'Pres A'!B665</f>
        <v>Productos fotoquimicos</v>
      </c>
      <c r="C155" s="733">
        <f t="shared" ca="1" si="18"/>
        <v>0</v>
      </c>
      <c r="D155" s="733">
        <f ca="1">SUMIF(DE!$S$7:$AE$326,B155,DE!$T$7:$T$298)</f>
        <v>0</v>
      </c>
      <c r="E155" s="733">
        <f ca="1">SUMIF(DE!$S$7:$AE$326,B155,DE!$U$7:$U$298)</f>
        <v>0</v>
      </c>
      <c r="F155" s="733">
        <f ca="1">SUMIF(DE!$S$7:$AE$326,B155,DE!$V$7:$V$298)</f>
        <v>0</v>
      </c>
      <c r="G155" s="733">
        <f ca="1">SUMIF(DE!$S$7:$AE$326,B155,DE!$W$7:$W$298)</f>
        <v>0</v>
      </c>
      <c r="H155" s="733">
        <f ca="1">SUMIF(DE!$S$7:$AE$326,B155,DE!$X$7:$X$298)</f>
        <v>0</v>
      </c>
      <c r="I155" s="733">
        <f ca="1">SUMIF(DE!$S$7:$AE$326,B155,DE!$Y$7:$Y$298)</f>
        <v>0</v>
      </c>
      <c r="J155" s="733">
        <f ca="1">SUMIF(DE!$S$7:$AE$326,B155,DE!$Z$7:$Z$298)</f>
        <v>0</v>
      </c>
      <c r="K155" s="733">
        <f ca="1">SUMIF(DE!$S$7:$AE$326,B155,DE!$AA$7:$AA$298)</f>
        <v>0</v>
      </c>
      <c r="L155" s="733">
        <f ca="1">SUMIF(DE!$S$7:$AE$326,B155,DE!$AB$7:$AB$298)</f>
        <v>0</v>
      </c>
      <c r="M155" s="733">
        <f ca="1">SUMIF(DE!$S$7:$AE$326,B155,DE!$AC$7:$AC$298)</f>
        <v>0</v>
      </c>
      <c r="N155" s="733">
        <f ca="1">SUMIF(DE!$S$7:$AE$326,B155,DE!$AD$7:$AD$298)</f>
        <v>0</v>
      </c>
      <c r="O155" s="733">
        <f ca="1">SUMIF(DE!$S$7:$AE$326,B155,DE!$AE$7:$AE$298)</f>
        <v>0</v>
      </c>
      <c r="P155" s="11"/>
      <c r="Q155" s="11"/>
    </row>
    <row r="156" spans="1:17">
      <c r="A156" s="374"/>
      <c r="B156" s="1160" t="str">
        <f>+'Pres A'!B666</f>
        <v>Pinturas lacas barnices diluyentes y absorbentes p</v>
      </c>
      <c r="C156" s="733">
        <f t="shared" ca="1" si="18"/>
        <v>0</v>
      </c>
      <c r="D156" s="733">
        <f ca="1">SUMIF(DE!$S$7:$AE$326,B156,DE!$T$7:$T$298)</f>
        <v>0</v>
      </c>
      <c r="E156" s="733">
        <f ca="1">SUMIF(DE!$S$7:$AE$326,B156,DE!$U$7:$U$298)</f>
        <v>0</v>
      </c>
      <c r="F156" s="733">
        <f ca="1">SUMIF(DE!$S$7:$AE$326,B156,DE!$V$7:$V$298)</f>
        <v>0</v>
      </c>
      <c r="G156" s="733">
        <f ca="1">SUMIF(DE!$S$7:$AE$326,B156,DE!$W$7:$W$298)</f>
        <v>0</v>
      </c>
      <c r="H156" s="733">
        <f ca="1">SUMIF(DE!$S$7:$AE$326,B156,DE!$X$7:$X$298)</f>
        <v>0</v>
      </c>
      <c r="I156" s="733">
        <f ca="1">SUMIF(DE!$S$7:$AE$326,B156,DE!$Y$7:$Y$298)</f>
        <v>0</v>
      </c>
      <c r="J156" s="733">
        <f ca="1">SUMIF(DE!$S$7:$AE$326,B156,DE!$Z$7:$Z$298)</f>
        <v>0</v>
      </c>
      <c r="K156" s="733">
        <f ca="1">SUMIF(DE!$S$7:$AE$326,B156,DE!$AA$7:$AA$298)</f>
        <v>0</v>
      </c>
      <c r="L156" s="733">
        <f ca="1">SUMIF(DE!$S$7:$AE$326,B156,DE!$AB$7:$AB$298)</f>
        <v>0</v>
      </c>
      <c r="M156" s="733">
        <f ca="1">SUMIF(DE!$S$7:$AE$326,B156,DE!$AC$7:$AC$298)</f>
        <v>0</v>
      </c>
      <c r="N156" s="733">
        <f ca="1">SUMIF(DE!$S$7:$AE$326,B156,DE!$AD$7:$AD$298)</f>
        <v>0</v>
      </c>
      <c r="O156" s="733">
        <f ca="1">SUMIF(DE!$S$7:$AE$326,B156,DE!$AE$7:$AE$298)</f>
        <v>0</v>
      </c>
      <c r="P156" s="11"/>
      <c r="Q156" s="11"/>
    </row>
    <row r="157" spans="1:17">
      <c r="A157" s="374"/>
      <c r="B157" s="1160" t="str">
        <f>+'Pres A'!B667</f>
        <v>Productos quimicos para saneamiento de las aguas</v>
      </c>
      <c r="C157" s="733">
        <f t="shared" ref="C157:C168" ca="1" si="19">SUM(D157:O157)</f>
        <v>0</v>
      </c>
      <c r="D157" s="733">
        <f ca="1">SUMIF(DE!$S$7:$AE$326,B157,DE!$T$7:$T$298)</f>
        <v>0</v>
      </c>
      <c r="E157" s="733">
        <f ca="1">SUMIF(DE!$S$7:$AE$326,B157,DE!$U$7:$U$298)</f>
        <v>0</v>
      </c>
      <c r="F157" s="733">
        <f ca="1">SUMIF(DE!$S$7:$AE$326,B157,DE!$V$7:$V$298)</f>
        <v>0</v>
      </c>
      <c r="G157" s="733">
        <f ca="1">SUMIF(DE!$S$7:$AE$326,B157,DE!$W$7:$W$298)</f>
        <v>0</v>
      </c>
      <c r="H157" s="733">
        <f ca="1">SUMIF(DE!$S$7:$AE$326,B157,DE!$X$7:$X$298)</f>
        <v>0</v>
      </c>
      <c r="I157" s="733">
        <f ca="1">SUMIF(DE!$S$7:$AE$326,B157,DE!$Y$7:$Y$298)</f>
        <v>0</v>
      </c>
      <c r="J157" s="733">
        <f ca="1">SUMIF(DE!$S$7:$AE$326,B157,DE!$Z$7:$Z$298)</f>
        <v>0</v>
      </c>
      <c r="K157" s="733">
        <f ca="1">SUMIF(DE!$S$7:$AE$326,B157,DE!$AA$7:$AA$298)</f>
        <v>0</v>
      </c>
      <c r="L157" s="733">
        <f ca="1">SUMIF(DE!$S$7:$AE$326,B157,DE!$AB$7:$AB$298)</f>
        <v>0</v>
      </c>
      <c r="M157" s="733">
        <f ca="1">SUMIF(DE!$S$7:$AE$326,B157,DE!$AC$7:$AC$298)</f>
        <v>0</v>
      </c>
      <c r="N157" s="733">
        <f ca="1">SUMIF(DE!$S$7:$AE$326,B157,DE!$AD$7:$AD$298)</f>
        <v>0</v>
      </c>
      <c r="O157" s="733">
        <f ca="1">SUMIF(DE!$S$7:$AE$326,B157,DE!$AE$7:$AE$298)</f>
        <v>0</v>
      </c>
      <c r="P157" s="11"/>
      <c r="Q157" s="11"/>
    </row>
    <row r="158" spans="1:17">
      <c r="A158" s="374"/>
      <c r="B158" s="1160" t="str">
        <f>+'Pres A'!B668</f>
        <v>OTROS PRODUCTOS QUIMICOS Y CONEXOS</v>
      </c>
      <c r="C158" s="733">
        <f t="shared" ca="1" si="19"/>
        <v>1109500</v>
      </c>
      <c r="D158" s="733">
        <f ca="1">SUMIF(DE!$S$7:$AE$326,B158,DE!$T$7:$T$298)</f>
        <v>0</v>
      </c>
      <c r="E158" s="733">
        <f ca="1">SUMIF(DE!$S$7:$AE$326,B158,DE!$U$7:$U$298)</f>
        <v>4500</v>
      </c>
      <c r="F158" s="733">
        <f ca="1">SUMIF(DE!$S$7:$AE$326,B158,DE!$V$7:$V$298)</f>
        <v>1105000</v>
      </c>
      <c r="G158" s="733">
        <f ca="1">SUMIF(DE!$S$7:$AE$326,B158,DE!$W$7:$W$298)</f>
        <v>0</v>
      </c>
      <c r="H158" s="733">
        <f ca="1">SUMIF(DE!$S$7:$AE$326,B158,DE!$X$7:$X$298)</f>
        <v>0</v>
      </c>
      <c r="I158" s="733">
        <f ca="1">SUMIF(DE!$S$7:$AE$326,B158,DE!$Y$7:$Y$298)</f>
        <v>0</v>
      </c>
      <c r="J158" s="733">
        <f ca="1">SUMIF(DE!$S$7:$AE$326,B158,DE!$Z$7:$Z$298)</f>
        <v>0</v>
      </c>
      <c r="K158" s="733">
        <f ca="1">SUMIF(DE!$S$7:$AE$326,B158,DE!$AA$7:$AA$298)</f>
        <v>0</v>
      </c>
      <c r="L158" s="733">
        <f ca="1">SUMIF(DE!$S$7:$AE$326,B158,DE!$AB$7:$AB$298)</f>
        <v>0</v>
      </c>
      <c r="M158" s="733">
        <f ca="1">SUMIF(DE!$S$7:$AE$326,B158,DE!$AC$7:$AC$298)</f>
        <v>0</v>
      </c>
      <c r="N158" s="733">
        <f ca="1">SUMIF(DE!$S$7:$AE$326,B158,DE!$AD$7:$AD$298)</f>
        <v>0</v>
      </c>
      <c r="O158" s="733">
        <f ca="1">SUMIF(DE!$S$7:$AE$326,B158,DE!$AE$7:$AE$298)</f>
        <v>0</v>
      </c>
      <c r="P158" s="11"/>
      <c r="Q158" s="11"/>
    </row>
    <row r="159" spans="1:17">
      <c r="A159" s="374"/>
      <c r="B159" s="1160" t="str">
        <f>+'Pres A'!B669</f>
        <v>Material para limpieza</v>
      </c>
      <c r="C159" s="733">
        <f t="shared" ca="1" si="19"/>
        <v>0</v>
      </c>
      <c r="D159" s="733">
        <f ca="1">SUMIF(DE!$S$7:$AE$326,B159,DE!$T$7:$T$298)</f>
        <v>0</v>
      </c>
      <c r="E159" s="733">
        <f ca="1">SUMIF(DE!$S$7:$AE$326,B159,DE!$U$7:$U$298)</f>
        <v>0</v>
      </c>
      <c r="F159" s="733">
        <f ca="1">SUMIF(DE!$S$7:$AE$326,B159,DE!$V$7:$V$298)</f>
        <v>0</v>
      </c>
      <c r="G159" s="733">
        <f ca="1">SUMIF(DE!$S$7:$AE$326,B159,DE!$W$7:$W$298)</f>
        <v>0</v>
      </c>
      <c r="H159" s="733">
        <f ca="1">SUMIF(DE!$S$7:$AE$326,B159,DE!$X$7:$X$298)</f>
        <v>0</v>
      </c>
      <c r="I159" s="733">
        <f ca="1">SUMIF(DE!$S$7:$AE$326,B159,DE!$Y$7:$Y$298)</f>
        <v>0</v>
      </c>
      <c r="J159" s="733">
        <f ca="1">SUMIF(DE!$S$7:$AE$326,B159,DE!$Z$7:$Z$298)</f>
        <v>0</v>
      </c>
      <c r="K159" s="733">
        <f ca="1">SUMIF(DE!$S$7:$AE$326,B159,DE!$AA$7:$AA$298)</f>
        <v>0</v>
      </c>
      <c r="L159" s="733">
        <f ca="1">SUMIF(DE!$S$7:$AE$326,B159,DE!$AB$7:$AB$298)</f>
        <v>0</v>
      </c>
      <c r="M159" s="733">
        <f ca="1">SUMIF(DE!$S$7:$AE$326,B159,DE!$AC$7:$AC$298)</f>
        <v>0</v>
      </c>
      <c r="N159" s="733">
        <f ca="1">SUMIF(DE!$S$7:$AE$326,B159,DE!$AD$7:$AD$298)</f>
        <v>0</v>
      </c>
      <c r="O159" s="733">
        <f ca="1">SUMIF(DE!$S$7:$AE$326,B159,DE!$AE$7:$AE$298)</f>
        <v>0</v>
      </c>
      <c r="P159" s="11"/>
      <c r="Q159" s="11"/>
    </row>
    <row r="160" spans="1:17">
      <c r="A160" s="374"/>
      <c r="B160" s="1160" t="str">
        <f>+'Pres A'!B670</f>
        <v>Utiles de escritorio oficina informatica y de ense</v>
      </c>
      <c r="C160" s="733">
        <f t="shared" ca="1" si="19"/>
        <v>0</v>
      </c>
      <c r="D160" s="733">
        <f ca="1">SUMIF(DE!$S$7:$AE$326,B160,DE!$T$7:$T$298)</f>
        <v>0</v>
      </c>
      <c r="E160" s="733">
        <f ca="1">SUMIF(DE!$S$7:$AE$326,B160,DE!$U$7:$U$298)</f>
        <v>0</v>
      </c>
      <c r="F160" s="733">
        <f ca="1">SUMIF(DE!$S$7:$AE$326,B160,DE!$V$7:$V$298)</f>
        <v>0</v>
      </c>
      <c r="G160" s="733">
        <f ca="1">SUMIF(DE!$S$7:$AE$326,B160,DE!$W$7:$W$298)</f>
        <v>0</v>
      </c>
      <c r="H160" s="733">
        <f ca="1">SUMIF(DE!$S$7:$AE$326,B160,DE!$X$7:$X$298)</f>
        <v>0</v>
      </c>
      <c r="I160" s="733">
        <f ca="1">SUMIF(DE!$S$7:$AE$326,B160,DE!$Y$7:$Y$298)</f>
        <v>0</v>
      </c>
      <c r="J160" s="733">
        <f ca="1">SUMIF(DE!$S$7:$AE$326,B160,DE!$Z$7:$Z$298)</f>
        <v>0</v>
      </c>
      <c r="K160" s="733">
        <f ca="1">SUMIF(DE!$S$7:$AE$326,B160,DE!$AA$7:$AA$298)</f>
        <v>0</v>
      </c>
      <c r="L160" s="733">
        <f ca="1">SUMIF(DE!$S$7:$AE$326,B160,DE!$AB$7:$AB$298)</f>
        <v>0</v>
      </c>
      <c r="M160" s="733">
        <f ca="1">SUMIF(DE!$S$7:$AE$326,B160,DE!$AC$7:$AC$298)</f>
        <v>0</v>
      </c>
      <c r="N160" s="733">
        <f ca="1">SUMIF(DE!$S$7:$AE$326,B160,DE!$AD$7:$AD$298)</f>
        <v>0</v>
      </c>
      <c r="O160" s="733">
        <f ca="1">SUMIF(DE!$S$7:$AE$326,B160,DE!$AE$7:$AE$298)</f>
        <v>0</v>
      </c>
      <c r="P160" s="11"/>
      <c r="Q160" s="11"/>
    </row>
    <row r="161" spans="1:17">
      <c r="A161" s="374"/>
      <c r="B161" s="1160" t="str">
        <f>+'Pres A'!B671</f>
        <v>UTILES MENORES MEDICO QUIRURGICOS O DE LABORATORIO</v>
      </c>
      <c r="C161" s="733">
        <f t="shared" ca="1" si="19"/>
        <v>0</v>
      </c>
      <c r="D161" s="733">
        <f ca="1">SUMIF(DE!$S$7:$AE$326,B161,DE!$T$7:$T$298)</f>
        <v>0</v>
      </c>
      <c r="E161" s="733">
        <f ca="1">SUMIF(DE!$S$7:$AE$326,B161,DE!$U$7:$U$298)</f>
        <v>0</v>
      </c>
      <c r="F161" s="733">
        <f ca="1">SUMIF(DE!$S$7:$AE$326,B161,DE!$V$7:$V$298)</f>
        <v>0</v>
      </c>
      <c r="G161" s="733">
        <f ca="1">SUMIF(DE!$S$7:$AE$326,B161,DE!$W$7:$W$298)</f>
        <v>0</v>
      </c>
      <c r="H161" s="733">
        <f ca="1">SUMIF(DE!$S$7:$AE$326,B161,DE!$X$7:$X$298)</f>
        <v>0</v>
      </c>
      <c r="I161" s="733">
        <f ca="1">SUMIF(DE!$S$7:$AE$326,B161,DE!$Y$7:$Y$298)</f>
        <v>0</v>
      </c>
      <c r="J161" s="733">
        <f ca="1">SUMIF(DE!$S$7:$AE$326,B161,DE!$Z$7:$Z$298)</f>
        <v>0</v>
      </c>
      <c r="K161" s="733">
        <f ca="1">SUMIF(DE!$S$7:$AE$326,B161,DE!$AA$7:$AA$298)</f>
        <v>0</v>
      </c>
      <c r="L161" s="733">
        <f ca="1">SUMIF(DE!$S$7:$AE$326,B161,DE!$AB$7:$AB$298)</f>
        <v>0</v>
      </c>
      <c r="M161" s="733">
        <f ca="1">SUMIF(DE!$S$7:$AE$326,B161,DE!$AC$7:$AC$298)</f>
        <v>0</v>
      </c>
      <c r="N161" s="733">
        <f ca="1">SUMIF(DE!$S$7:$AE$326,B161,DE!$AD$7:$AD$298)</f>
        <v>0</v>
      </c>
      <c r="O161" s="733">
        <f ca="1">SUMIF(DE!$S$7:$AE$326,B161,DE!$AE$7:$AE$298)</f>
        <v>0</v>
      </c>
      <c r="P161" s="11"/>
      <c r="Q161" s="11"/>
    </row>
    <row r="162" spans="1:17">
      <c r="A162" s="374"/>
      <c r="B162" s="1160" t="str">
        <f>+'Pres A'!B672</f>
        <v>Utiles de cocina y comedor</v>
      </c>
      <c r="C162" s="733">
        <f t="shared" ca="1" si="19"/>
        <v>0</v>
      </c>
      <c r="D162" s="733">
        <f ca="1">SUMIF(DE!$S$7:$AE$326,B162,DE!$T$7:$T$298)</f>
        <v>0</v>
      </c>
      <c r="E162" s="733">
        <f ca="1">SUMIF(DE!$S$7:$AE$326,B162,DE!$U$7:$U$298)</f>
        <v>0</v>
      </c>
      <c r="F162" s="733">
        <f ca="1">SUMIF(DE!$S$7:$AE$326,B162,DE!$V$7:$V$298)</f>
        <v>0</v>
      </c>
      <c r="G162" s="733">
        <f ca="1">SUMIF(DE!$S$7:$AE$326,B162,DE!$W$7:$W$298)</f>
        <v>0</v>
      </c>
      <c r="H162" s="733">
        <f ca="1">SUMIF(DE!$S$7:$AE$326,B162,DE!$X$7:$X$298)</f>
        <v>0</v>
      </c>
      <c r="I162" s="733">
        <f ca="1">SUMIF(DE!$S$7:$AE$326,B162,DE!$Y$7:$Y$298)</f>
        <v>0</v>
      </c>
      <c r="J162" s="733">
        <f ca="1">SUMIF(DE!$S$7:$AE$326,B162,DE!$Z$7:$Z$298)</f>
        <v>0</v>
      </c>
      <c r="K162" s="733">
        <f ca="1">SUMIF(DE!$S$7:$AE$326,B162,DE!$AA$7:$AA$298)</f>
        <v>0</v>
      </c>
      <c r="L162" s="733">
        <f ca="1">SUMIF(DE!$S$7:$AE$326,B162,DE!$AB$7:$AB$298)</f>
        <v>0</v>
      </c>
      <c r="M162" s="733">
        <f ca="1">SUMIF(DE!$S$7:$AE$326,B162,DE!$AC$7:$AC$298)</f>
        <v>0</v>
      </c>
      <c r="N162" s="733">
        <f ca="1">SUMIF(DE!$S$7:$AE$326,B162,DE!$AD$7:$AD$298)</f>
        <v>0</v>
      </c>
      <c r="O162" s="733">
        <f ca="1">SUMIF(DE!$S$7:$AE$326,B162,DE!$AE$7:$AE$298)</f>
        <v>0</v>
      </c>
      <c r="P162" s="11"/>
      <c r="Q162" s="11"/>
    </row>
    <row r="163" spans="1:17">
      <c r="A163" s="374"/>
      <c r="B163" s="1160" t="str">
        <f>+'Pres A'!B673</f>
        <v>Productos electricos y afines</v>
      </c>
      <c r="C163" s="733">
        <f t="shared" ca="1" si="19"/>
        <v>73066.22</v>
      </c>
      <c r="D163" s="733">
        <f ca="1">SUMIF(DE!$S$7:$AE$326,B163,DE!$T$7:$T$298)</f>
        <v>0</v>
      </c>
      <c r="E163" s="733">
        <f ca="1">SUMIF(DE!$S$7:$AE$326,B163,DE!$U$7:$U$298)</f>
        <v>0</v>
      </c>
      <c r="F163" s="733">
        <f ca="1">SUMIF(DE!$S$7:$AE$326,B163,DE!$V$7:$V$298)</f>
        <v>73066.22</v>
      </c>
      <c r="G163" s="733">
        <f ca="1">SUMIF(DE!$S$7:$AE$326,B163,DE!$W$7:$W$298)</f>
        <v>0</v>
      </c>
      <c r="H163" s="733">
        <f ca="1">SUMIF(DE!$S$7:$AE$326,B163,DE!$X$7:$X$298)</f>
        <v>0</v>
      </c>
      <c r="I163" s="733">
        <f ca="1">SUMIF(DE!$S$7:$AE$326,B163,DE!$Y$7:$Y$298)</f>
        <v>0</v>
      </c>
      <c r="J163" s="733">
        <f ca="1">SUMIF(DE!$S$7:$AE$326,B163,DE!$Z$7:$Z$298)</f>
        <v>0</v>
      </c>
      <c r="K163" s="733">
        <f ca="1">SUMIF(DE!$S$7:$AE$326,B163,DE!$AA$7:$AA$298)</f>
        <v>0</v>
      </c>
      <c r="L163" s="733">
        <f ca="1">SUMIF(DE!$S$7:$AE$326,B163,DE!$AB$7:$AB$298)</f>
        <v>0</v>
      </c>
      <c r="M163" s="733">
        <f ca="1">SUMIF(DE!$S$7:$AE$326,B163,DE!$AC$7:$AC$298)</f>
        <v>0</v>
      </c>
      <c r="N163" s="733">
        <f ca="1">SUMIF(DE!$S$7:$AE$326,B163,DE!$AD$7:$AD$298)</f>
        <v>0</v>
      </c>
      <c r="O163" s="733">
        <f ca="1">SUMIF(DE!$S$7:$AE$326,B163,DE!$AE$7:$AE$298)</f>
        <v>0</v>
      </c>
      <c r="P163" s="11"/>
      <c r="Q163" s="11"/>
    </row>
    <row r="164" spans="1:17">
      <c r="A164" s="374"/>
      <c r="B164" s="1160" t="str">
        <f>+'Pres A'!B674</f>
        <v>Otros repuestos y accesorios menores</v>
      </c>
      <c r="C164" s="733">
        <f t="shared" ca="1" si="19"/>
        <v>0</v>
      </c>
      <c r="D164" s="733">
        <f ca="1">SUMIF(DE!$S$7:$AE$326,B164,DE!$T$7:$T$298)</f>
        <v>0</v>
      </c>
      <c r="E164" s="733">
        <f ca="1">SUMIF(DE!$S$7:$AE$326,B164,DE!$U$7:$U$298)</f>
        <v>0</v>
      </c>
      <c r="F164" s="733">
        <f ca="1">SUMIF(DE!$S$7:$AE$326,B164,DE!$V$7:$V$298)</f>
        <v>0</v>
      </c>
      <c r="G164" s="733">
        <f ca="1">SUMIF(DE!$S$7:$AE$326,B164,DE!$W$7:$W$298)</f>
        <v>0</v>
      </c>
      <c r="H164" s="733">
        <f ca="1">SUMIF(DE!$S$7:$AE$326,B164,DE!$X$7:$X$298)</f>
        <v>0</v>
      </c>
      <c r="I164" s="733">
        <f ca="1">SUMIF(DE!$S$7:$AE$326,B164,DE!$Y$7:$Y$298)</f>
        <v>0</v>
      </c>
      <c r="J164" s="733">
        <f ca="1">SUMIF(DE!$S$7:$AE$326,B164,DE!$Z$7:$Z$298)</f>
        <v>0</v>
      </c>
      <c r="K164" s="733">
        <f ca="1">SUMIF(DE!$S$7:$AE$326,B164,DE!$AA$7:$AA$298)</f>
        <v>0</v>
      </c>
      <c r="L164" s="733">
        <f ca="1">SUMIF(DE!$S$7:$AE$326,B164,DE!$AB$7:$AB$298)</f>
        <v>0</v>
      </c>
      <c r="M164" s="733">
        <f ca="1">SUMIF(DE!$S$7:$AE$326,B164,DE!$AC$7:$AC$298)</f>
        <v>0</v>
      </c>
      <c r="N164" s="733">
        <f ca="1">SUMIF(DE!$S$7:$AE$326,B164,DE!$AD$7:$AD$298)</f>
        <v>0</v>
      </c>
      <c r="O164" s="733">
        <f ca="1">SUMIF(DE!$S$7:$AE$326,B164,DE!$AE$7:$AE$298)</f>
        <v>0</v>
      </c>
      <c r="P164" s="11"/>
      <c r="Q164" s="11"/>
    </row>
    <row r="165" spans="1:17">
      <c r="A165" s="374"/>
      <c r="B165" s="1160" t="str">
        <f>+'Pres A'!B675</f>
        <v>ACCESORIOS</v>
      </c>
      <c r="C165" s="733">
        <f t="shared" ca="1" si="19"/>
        <v>0</v>
      </c>
      <c r="D165" s="733">
        <f ca="1">SUMIF(DE!$S$7:$AE$326,B165,DE!$T$7:$T$298)</f>
        <v>0</v>
      </c>
      <c r="E165" s="733">
        <f ca="1">SUMIF(DE!$S$7:$AE$326,B165,DE!$U$7:$U$298)</f>
        <v>0</v>
      </c>
      <c r="F165" s="733">
        <f ca="1">SUMIF(DE!$S$7:$AE$326,B165,DE!$V$7:$V$298)</f>
        <v>0</v>
      </c>
      <c r="G165" s="733">
        <f ca="1">SUMIF(DE!$S$7:$AE$326,B165,DE!$W$7:$W$298)</f>
        <v>0</v>
      </c>
      <c r="H165" s="733">
        <f ca="1">SUMIF(DE!$S$7:$AE$326,B165,DE!$X$7:$X$298)</f>
        <v>0</v>
      </c>
      <c r="I165" s="733">
        <f ca="1">SUMIF(DE!$S$7:$AE$326,B165,DE!$Y$7:$Y$298)</f>
        <v>0</v>
      </c>
      <c r="J165" s="733">
        <f ca="1">SUMIF(DE!$S$7:$AE$326,B165,DE!$Z$7:$Z$298)</f>
        <v>0</v>
      </c>
      <c r="K165" s="733">
        <f ca="1">SUMIF(DE!$S$7:$AE$326,B165,DE!$AA$7:$AA$298)</f>
        <v>0</v>
      </c>
      <c r="L165" s="733">
        <f ca="1">SUMIF(DE!$S$7:$AE$326,B165,DE!$AB$7:$AB$298)</f>
        <v>0</v>
      </c>
      <c r="M165" s="733">
        <f ca="1">SUMIF(DE!$S$7:$AE$326,B165,DE!$AC$7:$AC$298)</f>
        <v>0</v>
      </c>
      <c r="N165" s="733">
        <f ca="1">SUMIF(DE!$S$7:$AE$326,B165,DE!$AD$7:$AD$298)</f>
        <v>0</v>
      </c>
      <c r="O165" s="733">
        <f ca="1">SUMIF(DE!$S$7:$AE$326,B165,DE!$AE$7:$AE$298)</f>
        <v>0</v>
      </c>
      <c r="P165" s="11"/>
      <c r="Q165" s="11"/>
    </row>
    <row r="166" spans="1:17">
      <c r="A166" s="374"/>
      <c r="B166" s="1160" t="str">
        <f>+'Pres A'!B676</f>
        <v>Productos y Utiles Varios  n.i.p</v>
      </c>
      <c r="C166" s="733">
        <f t="shared" ca="1" si="19"/>
        <v>-1534496.7400000002</v>
      </c>
      <c r="D166" s="733">
        <f ca="1">SUMIF(DE!$S$7:$AE$326,B166,DE!$T$7:$T$298)</f>
        <v>6193.83</v>
      </c>
      <c r="E166" s="733">
        <f ca="1">SUMIF(DE!$S$7:$AE$326,B166,DE!$U$7:$U$298)</f>
        <v>709992.42</v>
      </c>
      <c r="F166" s="733">
        <f ca="1">SUMIF(DE!$S$7:$AE$326,B166,DE!$V$7:$V$298)</f>
        <v>-2250682.9900000002</v>
      </c>
      <c r="G166" s="733">
        <f ca="1">SUMIF(DE!$S$7:$AE$326,B166,DE!$W$7:$W$298)</f>
        <v>0</v>
      </c>
      <c r="H166" s="733">
        <f ca="1">SUMIF(DE!$S$7:$AE$326,B166,DE!$X$7:$X$298)</f>
        <v>0</v>
      </c>
      <c r="I166" s="733">
        <f ca="1">SUMIF(DE!$S$7:$AE$326,B166,DE!$Y$7:$Y$298)</f>
        <v>0</v>
      </c>
      <c r="J166" s="733">
        <f ca="1">SUMIF(DE!$S$7:$AE$326,B166,DE!$Z$7:$Z$298)</f>
        <v>0</v>
      </c>
      <c r="K166" s="733">
        <f ca="1">SUMIF(DE!$S$7:$AE$326,B166,DE!$AA$7:$AA$298)</f>
        <v>0</v>
      </c>
      <c r="L166" s="733">
        <f ca="1">SUMIF(DE!$S$7:$AE$326,B166,DE!$AB$7:$AB$298)</f>
        <v>0</v>
      </c>
      <c r="M166" s="733">
        <f ca="1">SUMIF(DE!$S$7:$AE$326,B166,DE!$AC$7:$AC$298)</f>
        <v>0</v>
      </c>
      <c r="N166" s="733">
        <f ca="1">SUMIF(DE!$S$7:$AE$326,B166,DE!$AD$7:$AD$298)</f>
        <v>0</v>
      </c>
      <c r="O166" s="733">
        <f ca="1">SUMIF(DE!$S$7:$AE$326,B166,DE!$AE$7:$AE$298)</f>
        <v>0</v>
      </c>
      <c r="P166" s="11"/>
      <c r="Q166" s="11"/>
    </row>
    <row r="167" spans="1:17">
      <c r="A167" s="374"/>
      <c r="B167" s="1160" t="str">
        <f>+'Pres A'!B677</f>
        <v>Productos y Utiles Varios  n.i.p</v>
      </c>
      <c r="C167" s="733"/>
      <c r="D167" s="733"/>
      <c r="E167" s="733"/>
      <c r="F167" s="733"/>
      <c r="G167" s="733"/>
      <c r="H167" s="733"/>
      <c r="I167" s="733"/>
      <c r="J167" s="733"/>
      <c r="K167" s="733"/>
      <c r="L167" s="733"/>
      <c r="M167" s="733"/>
      <c r="N167" s="733"/>
      <c r="O167" s="733"/>
      <c r="P167" s="11"/>
      <c r="Q167" s="11"/>
    </row>
    <row r="168" spans="1:17">
      <c r="A168" s="374"/>
      <c r="B168" s="1160" t="str">
        <f>+'Pres A'!B678</f>
        <v>PRODUCTOS Y UTILES DE DEFENSA Y SEGURIDAD</v>
      </c>
      <c r="C168" s="733">
        <f t="shared" ca="1" si="19"/>
        <v>0</v>
      </c>
      <c r="D168" s="733">
        <f ca="1">SUMIF(DE!$S$7:$AE$326,B168,DE!$T$7:$T$298)</f>
        <v>0</v>
      </c>
      <c r="E168" s="733">
        <f ca="1">SUMIF(DE!$S$7:$AE$326,B168,DE!$U$7:$U$298)</f>
        <v>0</v>
      </c>
      <c r="F168" s="733">
        <f ca="1">SUMIF(DE!$S$7:$AE$326,B168,DE!$V$7:$V$298)</f>
        <v>0</v>
      </c>
      <c r="G168" s="733">
        <f ca="1">SUMIF(DE!$S$7:$AE$326,B168,DE!$W$7:$W$298)</f>
        <v>0</v>
      </c>
      <c r="H168" s="733">
        <f ca="1">SUMIF(DE!$S$7:$AE$326,B168,DE!$X$7:$X$298)</f>
        <v>0</v>
      </c>
      <c r="I168" s="733">
        <f ca="1">SUMIF(DE!$S$7:$AE$326,B168,DE!$Y$7:$Y$298)</f>
        <v>0</v>
      </c>
      <c r="J168" s="733">
        <f ca="1">SUMIF(DE!$S$7:$AE$326,B168,DE!$Z$7:$Z$298)</f>
        <v>0</v>
      </c>
      <c r="K168" s="733">
        <f ca="1">SUMIF(DE!$S$7:$AE$326,B168,DE!$AA$7:$AA$298)</f>
        <v>0</v>
      </c>
      <c r="L168" s="733">
        <f ca="1">SUMIF(DE!$S$7:$AE$326,B168,DE!$AB$7:$AB$298)</f>
        <v>0</v>
      </c>
      <c r="M168" s="733">
        <f ca="1">SUMIF(DE!$S$7:$AE$326,B168,DE!$AC$7:$AC$298)</f>
        <v>0</v>
      </c>
      <c r="N168" s="733">
        <f ca="1">SUMIF(DE!$S$7:$AE$326,B168,DE!$AD$7:$AD$298)</f>
        <v>0</v>
      </c>
      <c r="O168" s="733">
        <f ca="1">SUMIF(DE!$S$7:$AE$326,B168,DE!$AE$7:$AE$298)</f>
        <v>0</v>
      </c>
      <c r="P168" s="11"/>
      <c r="Q168" s="11"/>
    </row>
    <row r="169" spans="1:17">
      <c r="A169" s="374"/>
      <c r="B169" s="1160" t="str">
        <f>+'Pres A'!B679</f>
        <v>PRODUCTOS UTILES DIVERSOS</v>
      </c>
      <c r="C169" s="733">
        <f ca="1">SUM(D169:O169)</f>
        <v>0</v>
      </c>
      <c r="D169" s="733">
        <f ca="1">SUMIF(DE!$S$7:$AE$326,B169,DE!$T$7:$T$298)</f>
        <v>0</v>
      </c>
      <c r="E169" s="733">
        <f ca="1">SUMIF(DE!$S$7:$AE$326,B169,DE!$U$7:$U$298)</f>
        <v>0</v>
      </c>
      <c r="F169" s="733">
        <f ca="1">SUMIF(DE!$S$7:$AE$326,B169,DE!$V$7:$V$298)</f>
        <v>0</v>
      </c>
      <c r="G169" s="733">
        <f ca="1">SUMIF(DE!$S$7:$AE$326,B169,DE!$W$7:$W$298)</f>
        <v>0</v>
      </c>
      <c r="H169" s="733">
        <f ca="1">SUMIF(DE!$S$7:$AE$326,B169,DE!$X$7:$X$298)</f>
        <v>0</v>
      </c>
      <c r="I169" s="733">
        <f ca="1">SUMIF(DE!$S$7:$AE$326,B169,DE!$Y$7:$Y$298)</f>
        <v>0</v>
      </c>
      <c r="J169" s="733">
        <f ca="1">SUMIF(DE!$S$7:$AE$326,B169,DE!$Z$7:$Z$298)</f>
        <v>0</v>
      </c>
      <c r="K169" s="733">
        <f ca="1">SUMIF(DE!$S$7:$AE$326,B169,DE!$AA$7:$AA$298)</f>
        <v>0</v>
      </c>
      <c r="L169" s="733">
        <f ca="1">SUMIF(DE!$S$7:$AE$326,B169,DE!$AB$7:$AB$298)</f>
        <v>0</v>
      </c>
      <c r="M169" s="733">
        <f ca="1">SUMIF(DE!$S$7:$AE$326,B169,DE!$AC$7:$AC$298)</f>
        <v>0</v>
      </c>
      <c r="N169" s="733">
        <f ca="1">SUMIF(DE!$S$7:$AE$326,B169,DE!$AD$7:$AD$298)</f>
        <v>0</v>
      </c>
      <c r="O169" s="733">
        <f ca="1">SUMIF(DE!$S$7:$AE$326,B169,DE!$AE$7:$AE$298)</f>
        <v>0</v>
      </c>
      <c r="P169" s="11"/>
      <c r="Q169" s="11"/>
    </row>
    <row r="170" spans="1:17">
      <c r="A170" s="374"/>
      <c r="B170" s="1160"/>
      <c r="C170" s="733"/>
      <c r="D170" s="733"/>
      <c r="E170" s="733"/>
      <c r="F170" s="733"/>
      <c r="G170" s="733"/>
      <c r="H170" s="733"/>
      <c r="I170" s="733"/>
      <c r="J170" s="733"/>
      <c r="K170" s="733"/>
      <c r="L170" s="733"/>
      <c r="M170" s="733"/>
      <c r="N170" s="733"/>
      <c r="O170" s="733"/>
      <c r="P170" s="11"/>
      <c r="Q170" s="11"/>
    </row>
    <row r="171" spans="1:17">
      <c r="A171" s="374"/>
      <c r="B171" s="1160"/>
      <c r="C171" s="733"/>
      <c r="D171" s="733"/>
      <c r="E171" s="733"/>
      <c r="F171" s="733"/>
      <c r="G171" s="733"/>
      <c r="H171" s="733"/>
      <c r="I171" s="733"/>
      <c r="J171" s="733"/>
      <c r="K171" s="733"/>
      <c r="L171" s="733"/>
      <c r="M171" s="733"/>
      <c r="N171" s="733"/>
      <c r="O171" s="733"/>
      <c r="P171" s="11"/>
      <c r="Q171" s="11"/>
    </row>
    <row r="172" spans="1:17">
      <c r="A172" s="374"/>
      <c r="B172" s="1160"/>
      <c r="C172" s="733"/>
      <c r="D172" s="733"/>
      <c r="E172" s="733"/>
      <c r="F172" s="733"/>
      <c r="G172" s="733"/>
      <c r="H172" s="733"/>
      <c r="I172" s="733"/>
      <c r="J172" s="733"/>
      <c r="K172" s="733"/>
      <c r="L172" s="733"/>
      <c r="M172" s="733"/>
      <c r="N172" s="733"/>
      <c r="O172" s="733"/>
      <c r="P172" s="11"/>
      <c r="Q172" s="11"/>
    </row>
    <row r="173" spans="1:17">
      <c r="A173" s="374"/>
      <c r="B173" s="1160"/>
      <c r="C173" s="733"/>
      <c r="D173" s="733"/>
      <c r="E173" s="733"/>
      <c r="F173" s="733"/>
      <c r="G173" s="733"/>
      <c r="H173" s="733"/>
      <c r="I173" s="733"/>
      <c r="J173" s="733"/>
      <c r="K173" s="733"/>
      <c r="L173" s="733"/>
      <c r="M173" s="733"/>
      <c r="N173" s="733"/>
      <c r="O173" s="733"/>
      <c r="P173" s="11"/>
      <c r="Q173" s="11"/>
    </row>
    <row r="174" spans="1:17" s="23" customFormat="1">
      <c r="A174" s="1153"/>
      <c r="B174" s="1158" t="str">
        <f>+'Pres A'!B690</f>
        <v>Transferencias corrientas</v>
      </c>
      <c r="C174" s="935">
        <f ca="1">SUM(C175:C177)</f>
        <v>0</v>
      </c>
      <c r="D174" s="935">
        <f t="shared" ref="D174:O174" ca="1" si="20">SUM(D175:D177)</f>
        <v>0</v>
      </c>
      <c r="E174" s="935">
        <f t="shared" ca="1" si="20"/>
        <v>0</v>
      </c>
      <c r="F174" s="935">
        <f t="shared" ca="1" si="20"/>
        <v>0</v>
      </c>
      <c r="G174" s="935">
        <f t="shared" ca="1" si="20"/>
        <v>0</v>
      </c>
      <c r="H174" s="935">
        <f t="shared" ca="1" si="20"/>
        <v>0</v>
      </c>
      <c r="I174" s="935">
        <f t="shared" ca="1" si="20"/>
        <v>0</v>
      </c>
      <c r="J174" s="935">
        <f t="shared" ca="1" si="20"/>
        <v>0</v>
      </c>
      <c r="K174" s="935">
        <f t="shared" ca="1" si="20"/>
        <v>0</v>
      </c>
      <c r="L174" s="935">
        <f t="shared" ca="1" si="20"/>
        <v>0</v>
      </c>
      <c r="M174" s="935">
        <f t="shared" ca="1" si="20"/>
        <v>0</v>
      </c>
      <c r="N174" s="935">
        <f t="shared" ca="1" si="20"/>
        <v>0</v>
      </c>
      <c r="O174" s="935">
        <f t="shared" ca="1" si="20"/>
        <v>0</v>
      </c>
      <c r="P174" s="24"/>
      <c r="Q174" s="24"/>
    </row>
    <row r="175" spans="1:17">
      <c r="A175" s="374"/>
      <c r="B175" s="1160"/>
      <c r="C175" s="733"/>
      <c r="D175" s="733"/>
      <c r="E175" s="733"/>
      <c r="F175" s="733"/>
      <c r="G175" s="733"/>
      <c r="H175" s="733"/>
      <c r="I175" s="733"/>
      <c r="J175" s="733"/>
      <c r="K175" s="733"/>
      <c r="L175" s="733"/>
      <c r="M175" s="733"/>
      <c r="N175" s="733"/>
      <c r="O175" s="733"/>
      <c r="P175" s="11"/>
      <c r="Q175" s="11"/>
    </row>
    <row r="176" spans="1:17">
      <c r="A176" s="374"/>
      <c r="B176" s="1160" t="str">
        <f>+'Pres A'!B692</f>
        <v>Ayudas y donaciones programadas a hogares y person</v>
      </c>
      <c r="C176" s="733">
        <f ca="1">SUM(D176:O176)</f>
        <v>0</v>
      </c>
      <c r="D176" s="733">
        <f ca="1">SUMIF(DE!$S$7:$AE$326,B176,DE!$T$7:$T$298)</f>
        <v>0</v>
      </c>
      <c r="E176" s="733">
        <f ca="1">SUMIF(DE!$S$7:$AE$326,B176,DE!$U$7:$U$298)</f>
        <v>0</v>
      </c>
      <c r="F176" s="733">
        <f ca="1">SUMIF(DE!$S$7:$AE$326,B176,DE!$V$7:$V$298)</f>
        <v>0</v>
      </c>
      <c r="G176" s="733">
        <f ca="1">SUMIF(DE!$S$7:$AE$326,B176,DE!$W$7:$W$298)</f>
        <v>0</v>
      </c>
      <c r="H176" s="733">
        <f ca="1">SUMIF(DE!$S$7:$AE$326,B176,DE!$X$7:$X$298)</f>
        <v>0</v>
      </c>
      <c r="I176" s="733">
        <f ca="1">SUMIF(DE!$S$7:$AE$326,B176,DE!$Y$7:$Y$298)</f>
        <v>0</v>
      </c>
      <c r="J176" s="733">
        <f ca="1">SUMIF(DE!$S$7:$AE$326,B176,DE!$Z$7:$Z$298)</f>
        <v>0</v>
      </c>
      <c r="K176" s="733">
        <f ca="1">SUMIF(DE!$S$7:$AE$326,B176,DE!$AA$7:$AA$298)</f>
        <v>0</v>
      </c>
      <c r="L176" s="733">
        <f ca="1">SUMIF(DE!$S$7:$AE$326,B176,DE!$AB$7:$AB$298)</f>
        <v>0</v>
      </c>
      <c r="M176" s="733">
        <f ca="1">SUMIF(DE!$S$7:$AE$326,B176,DE!$AC$7:$AC$298)</f>
        <v>0</v>
      </c>
      <c r="N176" s="733">
        <f ca="1">SUMIF(DE!$S$7:$AE$326,B176,DE!$AD$7:$AD$298)</f>
        <v>0</v>
      </c>
      <c r="O176" s="733">
        <f ca="1">SUMIF(DE!$S$7:$AE$326,B176,DE!$AE$7:$AE$298)</f>
        <v>0</v>
      </c>
      <c r="P176" s="11"/>
      <c r="Q176" s="11"/>
    </row>
    <row r="177" spans="1:17">
      <c r="A177" s="374"/>
      <c r="B177" s="1160" t="str">
        <f>+'Pres A'!B693</f>
        <v>Becas nacionales</v>
      </c>
      <c r="C177" s="733">
        <f ca="1">SUM(D177:O177)</f>
        <v>0</v>
      </c>
      <c r="D177" s="733">
        <f ca="1">SUMIF(DE!$S$7:$AE$326,B177,DE!$T$7:$T$298)</f>
        <v>0</v>
      </c>
      <c r="E177" s="733">
        <f ca="1">SUMIF(DE!$S$7:$AE$326,B177,DE!$U$7:$U$298)</f>
        <v>0</v>
      </c>
      <c r="F177" s="733">
        <f ca="1">SUMIF(DE!$S$7:$AE$326,B177,DE!$V$7:$V$298)</f>
        <v>0</v>
      </c>
      <c r="G177" s="733">
        <f ca="1">SUMIF(DE!$S$7:$AE$326,B177,DE!$W$7:$W$298)</f>
        <v>0</v>
      </c>
      <c r="H177" s="733">
        <f ca="1">SUMIF(DE!$S$7:$AE$326,B177,DE!$X$7:$X$298)</f>
        <v>0</v>
      </c>
      <c r="I177" s="733">
        <f ca="1">SUMIF(DE!$S$7:$AE$326,B177,DE!$Y$7:$Y$298)</f>
        <v>0</v>
      </c>
      <c r="J177" s="733">
        <f ca="1">SUMIF(DE!$S$7:$AE$326,B177,DE!$Z$7:$Z$298)</f>
        <v>0</v>
      </c>
      <c r="K177" s="733">
        <f ca="1">SUMIF(DE!$S$7:$AE$326,B177,DE!$AA$7:$AA$298)</f>
        <v>0</v>
      </c>
      <c r="L177" s="733">
        <f ca="1">SUMIF(DE!$S$7:$AE$326,B177,DE!$AB$7:$AB$298)</f>
        <v>0</v>
      </c>
      <c r="M177" s="733">
        <f ca="1">SUMIF(DE!$S$7:$AE$326,B177,DE!$AC$7:$AC$298)</f>
        <v>0</v>
      </c>
      <c r="N177" s="733">
        <f ca="1">SUMIF(DE!$S$7:$AE$326,B177,DE!$AD$7:$AD$298)</f>
        <v>0</v>
      </c>
      <c r="O177" s="733">
        <f ca="1">SUMIF(DE!$S$7:$AE$326,B177,DE!$AE$7:$AE$298)</f>
        <v>0</v>
      </c>
      <c r="P177" s="11"/>
      <c r="Q177" s="11"/>
    </row>
    <row r="178" spans="1:17">
      <c r="A178" s="374"/>
      <c r="B178" s="1160"/>
      <c r="C178" s="733"/>
      <c r="D178" s="733"/>
      <c r="E178" s="733"/>
      <c r="F178" s="733"/>
      <c r="G178" s="733"/>
      <c r="H178" s="733"/>
      <c r="I178" s="733"/>
      <c r="J178" s="733"/>
      <c r="K178" s="733"/>
      <c r="L178" s="733"/>
      <c r="M178" s="733"/>
      <c r="N178" s="733"/>
      <c r="O178" s="733"/>
      <c r="P178" s="11"/>
      <c r="Q178" s="11"/>
    </row>
    <row r="179" spans="1:17">
      <c r="A179" s="374"/>
      <c r="B179" s="1160"/>
      <c r="C179" s="733"/>
      <c r="D179" s="733"/>
      <c r="E179" s="733"/>
      <c r="F179" s="733"/>
      <c r="G179" s="733"/>
      <c r="H179" s="733"/>
      <c r="I179" s="733"/>
      <c r="J179" s="733"/>
      <c r="K179" s="733"/>
      <c r="L179" s="733"/>
      <c r="M179" s="733"/>
      <c r="N179" s="733"/>
      <c r="O179" s="733"/>
      <c r="P179" s="11"/>
      <c r="Q179" s="11"/>
    </row>
    <row r="180" spans="1:17" s="23" customFormat="1">
      <c r="A180" s="1153"/>
      <c r="B180" s="1158" t="str">
        <f>+'Pres A'!B700</f>
        <v>Activos No Financieros</v>
      </c>
      <c r="C180" s="935">
        <f ca="1">SUM(C181:C196)</f>
        <v>5541311.1799999997</v>
      </c>
      <c r="D180" s="935">
        <f t="shared" ref="D180:O180" ca="1" si="21">SUM(D181:D196)</f>
        <v>0</v>
      </c>
      <c r="E180" s="935">
        <f t="shared" ca="1" si="21"/>
        <v>0</v>
      </c>
      <c r="F180" s="935">
        <f t="shared" ca="1" si="21"/>
        <v>5541311.1799999997</v>
      </c>
      <c r="G180" s="935">
        <f t="shared" ca="1" si="21"/>
        <v>0</v>
      </c>
      <c r="H180" s="935">
        <f t="shared" ca="1" si="21"/>
        <v>0</v>
      </c>
      <c r="I180" s="935">
        <f t="shared" ca="1" si="21"/>
        <v>0</v>
      </c>
      <c r="J180" s="935">
        <f t="shared" ca="1" si="21"/>
        <v>0</v>
      </c>
      <c r="K180" s="935">
        <f t="shared" ca="1" si="21"/>
        <v>0</v>
      </c>
      <c r="L180" s="935">
        <f t="shared" ca="1" si="21"/>
        <v>0</v>
      </c>
      <c r="M180" s="935">
        <f t="shared" ca="1" si="21"/>
        <v>0</v>
      </c>
      <c r="N180" s="935">
        <f t="shared" ca="1" si="21"/>
        <v>0</v>
      </c>
      <c r="O180" s="935">
        <f t="shared" ca="1" si="21"/>
        <v>0</v>
      </c>
      <c r="P180" s="24"/>
      <c r="Q180" s="24"/>
    </row>
    <row r="181" spans="1:17">
      <c r="A181" s="374"/>
      <c r="B181" s="1159" t="str">
        <f>+'Pres A'!B701</f>
        <v>Muebles de oficina y estanteria</v>
      </c>
      <c r="C181" s="733">
        <f t="shared" ref="C181:C190" ca="1" si="22">SUM(D181:O181)</f>
        <v>0</v>
      </c>
      <c r="D181" s="733">
        <f ca="1">SUMIF(DE!$S$7:$AE$326,B181,DE!$T$7:$T$298)</f>
        <v>0</v>
      </c>
      <c r="E181" s="733">
        <f ca="1">SUMIF(DE!$S$7:$AE$326,B181,DE!$U$7:$U$298)</f>
        <v>0</v>
      </c>
      <c r="F181" s="733">
        <f ca="1">SUMIF(DE!$S$7:$AE$326,B181,DE!$V$7:$V$298)</f>
        <v>0</v>
      </c>
      <c r="G181" s="733">
        <f ca="1">SUMIF(DE!$S$7:$AE$326,B181,DE!$W$7:$W$298)</f>
        <v>0</v>
      </c>
      <c r="H181" s="733">
        <f ca="1">SUMIF(DE!$S$7:$AE$326,B181,DE!$X$7:$X$298)</f>
        <v>0</v>
      </c>
      <c r="I181" s="733">
        <f ca="1">SUMIF(DE!$S$7:$AE$326,B181,DE!$Y$7:$Y$298)</f>
        <v>0</v>
      </c>
      <c r="J181" s="733">
        <f ca="1">SUMIF(DE!$S$7:$AE$326,B181,DE!$Z$7:$Z$298)</f>
        <v>0</v>
      </c>
      <c r="K181" s="733">
        <f ca="1">SUMIF(DE!$S$7:$AE$326,B181,DE!$AA$7:$AA$298)</f>
        <v>0</v>
      </c>
      <c r="L181" s="733">
        <f ca="1">SUMIF(DE!$S$7:$AE$326,B181,DE!$AB$7:$AB$298)</f>
        <v>0</v>
      </c>
      <c r="M181" s="733">
        <f ca="1">SUMIF(DE!$S$7:$AE$326,B181,DE!$AC$7:$AC$298)</f>
        <v>0</v>
      </c>
      <c r="N181" s="733">
        <f ca="1">SUMIF(DE!$S$7:$AE$326,B181,DE!$AD$7:$AD$298)</f>
        <v>0</v>
      </c>
      <c r="O181" s="733">
        <f ca="1">SUMIF(DE!$S$7:$AE$326,B181,DE!$AE$7:$AE$298)</f>
        <v>0</v>
      </c>
      <c r="P181" s="11"/>
      <c r="Q181" s="11"/>
    </row>
    <row r="182" spans="1:17">
      <c r="A182" s="374"/>
      <c r="B182" s="1159" t="str">
        <f>+'Pres A'!B702</f>
        <v>Equipo computacional</v>
      </c>
      <c r="C182" s="733">
        <f t="shared" ca="1" si="22"/>
        <v>0</v>
      </c>
      <c r="D182" s="733">
        <f ca="1">SUMIF(DE!$S$7:$AE$326,B182,DE!$T$7:$T$298)</f>
        <v>0</v>
      </c>
      <c r="E182" s="733">
        <f ca="1">SUMIF(DE!$S$7:$AE$326,B182,DE!$U$7:$U$298)</f>
        <v>0</v>
      </c>
      <c r="F182" s="733">
        <f ca="1">SUMIF(DE!$S$7:$AE$326,B182,DE!$V$7:$V$298)</f>
        <v>0</v>
      </c>
      <c r="G182" s="733">
        <f ca="1">SUMIF(DE!$S$7:$AE$326,B182,DE!$W$7:$W$298)</f>
        <v>0</v>
      </c>
      <c r="H182" s="733">
        <f ca="1">SUMIF(DE!$S$7:$AE$326,B182,DE!$X$7:$X$298)</f>
        <v>0</v>
      </c>
      <c r="I182" s="733">
        <f ca="1">SUMIF(DE!$S$7:$AE$326,B182,DE!$Y$7:$Y$298)</f>
        <v>0</v>
      </c>
      <c r="J182" s="733">
        <f ca="1">SUMIF(DE!$S$7:$AE$326,B182,DE!$Z$7:$Z$298)</f>
        <v>0</v>
      </c>
      <c r="K182" s="733">
        <f ca="1">SUMIF(DE!$S$7:$AE$326,B182,DE!$AA$7:$AA$298)</f>
        <v>0</v>
      </c>
      <c r="L182" s="733">
        <f ca="1">SUMIF(DE!$S$7:$AE$326,B182,DE!$AB$7:$AB$298)</f>
        <v>0</v>
      </c>
      <c r="M182" s="733">
        <f ca="1">SUMIF(DE!$S$7:$AE$326,B182,DE!$AC$7:$AC$298)</f>
        <v>0</v>
      </c>
      <c r="N182" s="733">
        <f ca="1">SUMIF(DE!$S$7:$AE$326,B182,DE!$AD$7:$AD$298)</f>
        <v>0</v>
      </c>
      <c r="O182" s="733">
        <f ca="1">SUMIF(DE!$S$7:$AE$326,B182,DE!$AE$7:$AE$298)</f>
        <v>0</v>
      </c>
      <c r="P182" s="11"/>
      <c r="Q182" s="11"/>
    </row>
    <row r="183" spans="1:17">
      <c r="A183" s="374"/>
      <c r="B183" s="1159" t="str">
        <f>+'Pres A'!B703</f>
        <v>Electrodomesticos</v>
      </c>
      <c r="C183" s="733">
        <f t="shared" ca="1" si="22"/>
        <v>0</v>
      </c>
      <c r="D183" s="733">
        <f ca="1">SUMIF(DE!$S$7:$AE$326,B183,DE!$T$7:$T$298)</f>
        <v>0</v>
      </c>
      <c r="E183" s="733">
        <f ca="1">SUMIF(DE!$S$7:$AE$326,B183,DE!$U$7:$U$298)</f>
        <v>0</v>
      </c>
      <c r="F183" s="733">
        <f ca="1">SUMIF(DE!$S$7:$AE$326,B183,DE!$V$7:$V$298)</f>
        <v>0</v>
      </c>
      <c r="G183" s="733">
        <f ca="1">SUMIF(DE!$S$7:$AE$326,B183,DE!$W$7:$W$298)</f>
        <v>0</v>
      </c>
      <c r="H183" s="733">
        <f ca="1">SUMIF(DE!$S$7:$AE$326,B183,DE!$X$7:$X$298)</f>
        <v>0</v>
      </c>
      <c r="I183" s="733">
        <f ca="1">SUMIF(DE!$S$7:$AE$326,B183,DE!$Y$7:$Y$298)</f>
        <v>0</v>
      </c>
      <c r="J183" s="733">
        <f ca="1">SUMIF(DE!$S$7:$AE$326,B183,DE!$Z$7:$Z$298)</f>
        <v>0</v>
      </c>
      <c r="K183" s="733">
        <f ca="1">SUMIF(DE!$S$7:$AE$326,B183,DE!$AA$7:$AA$298)</f>
        <v>0</v>
      </c>
      <c r="L183" s="733">
        <f ca="1">SUMIF(DE!$S$7:$AE$326,B183,DE!$AB$7:$AB$298)</f>
        <v>0</v>
      </c>
      <c r="M183" s="733">
        <f ca="1">SUMIF(DE!$S$7:$AE$326,B183,DE!$AC$7:$AC$298)</f>
        <v>0</v>
      </c>
      <c r="N183" s="733">
        <f ca="1">SUMIF(DE!$S$7:$AE$326,B183,DE!$AD$7:$AD$298)</f>
        <v>0</v>
      </c>
      <c r="O183" s="733">
        <f ca="1">SUMIF(DE!$S$7:$AE$326,B183,DE!$AE$7:$AE$298)</f>
        <v>0</v>
      </c>
      <c r="P183" s="11"/>
      <c r="Q183" s="11"/>
    </row>
    <row r="184" spans="1:17">
      <c r="A184" s="374"/>
      <c r="B184" s="1159" t="str">
        <f>+'Pres A'!B704</f>
        <v>Automoviles y camiones</v>
      </c>
      <c r="C184" s="733">
        <f t="shared" ca="1" si="22"/>
        <v>0</v>
      </c>
      <c r="D184" s="733">
        <f ca="1">SUMIF(DE!$S$7:$AE$326,B184,DE!$T$7:$T$326)</f>
        <v>0</v>
      </c>
      <c r="E184" s="733">
        <f ca="1">SUMIF(DE!$S$7:$AE$326,B184,DE!$U$7:$U$298)</f>
        <v>0</v>
      </c>
      <c r="F184" s="733">
        <f ca="1">SUMIF(DE!$S$7:$AE$326,B184,DE!$V$7:$V$298)</f>
        <v>0</v>
      </c>
      <c r="G184" s="733">
        <f ca="1">SUMIF(DE!$S$7:$AE$326,B184,DE!$W$7:$W$298)</f>
        <v>0</v>
      </c>
      <c r="H184" s="733">
        <f ca="1">SUMIF(DE!$S$7:$AE$326,B184,DE!$X$7:$X$298)</f>
        <v>0</v>
      </c>
      <c r="I184" s="733">
        <f ca="1">SUMIF(DE!$S$7:$AE$326,B184,DE!$Y$7:$Y$298)</f>
        <v>0</v>
      </c>
      <c r="J184" s="733">
        <f ca="1">SUMIF(DE!$S$7:$AE$326,B184,DE!$Z$7:$Z$298)</f>
        <v>0</v>
      </c>
      <c r="K184" s="733">
        <f ca="1">SUMIF(DE!$S$7:$AE$326,B184,DE!$AA$7:$AA$298)</f>
        <v>0</v>
      </c>
      <c r="L184" s="733">
        <f ca="1">SUMIF(DE!$S$7:$AE$326,B184,DE!$AB$7:$AB$298)</f>
        <v>0</v>
      </c>
      <c r="M184" s="733">
        <f ca="1">SUMIF(DE!$S$7:$AE$326,B184,DE!$AC$7:$AC$298)</f>
        <v>0</v>
      </c>
      <c r="N184" s="733">
        <f ca="1">SUMIF(DE!$S$7:$AE$326,B184,DE!$AD$7:$AD$298)</f>
        <v>0</v>
      </c>
      <c r="O184" s="733">
        <f ca="1">SUMIF(DE!$S$7:$AE$326,B184,DE!$AE$7:$AE$298)</f>
        <v>0</v>
      </c>
      <c r="P184" s="11"/>
      <c r="Q184" s="11"/>
    </row>
    <row r="185" spans="1:17">
      <c r="A185" s="374"/>
      <c r="B185" s="1159" t="str">
        <f>+'Pres A'!B705</f>
        <v>Maquinaria y equipo industrial</v>
      </c>
      <c r="C185" s="733">
        <f t="shared" ca="1" si="22"/>
        <v>0</v>
      </c>
      <c r="D185" s="733">
        <f ca="1">SUMIF(DE!$S$7:$AE$326,B185,DE!$T$7:$T$298)</f>
        <v>0</v>
      </c>
      <c r="E185" s="733">
        <f ca="1">SUMIF(DE!$S$7:$AE$326,B185,DE!$U$7:$U$298)</f>
        <v>0</v>
      </c>
      <c r="F185" s="733">
        <f ca="1">SUMIF(DE!$S$7:$AE$326,B185,DE!$V$7:$V$298)</f>
        <v>0</v>
      </c>
      <c r="G185" s="733">
        <f ca="1">SUMIF(DE!$S$7:$AE$326,B185,DE!$W$7:$W$298)</f>
        <v>0</v>
      </c>
      <c r="H185" s="733">
        <f ca="1">SUMIF(DE!$S$7:$AE$326,B185,DE!$X$7:$X$298)</f>
        <v>0</v>
      </c>
      <c r="I185" s="733">
        <f ca="1">SUMIF(DE!$S$7:$AE$326,B185,DE!$Y$7:$Y$298)</f>
        <v>0</v>
      </c>
      <c r="J185" s="733">
        <f ca="1">SUMIF(DE!$S$7:$AE$326,B185,DE!$Z$7:$Z$298)</f>
        <v>0</v>
      </c>
      <c r="K185" s="733">
        <f ca="1">SUMIF(DE!$S$7:$AE$326,B185,DE!$AA$7:$AA$298)</f>
        <v>0</v>
      </c>
      <c r="L185" s="733">
        <f ca="1">SUMIF(DE!$S$7:$AE$326,B185,DE!$AB$7:$AB$298)</f>
        <v>0</v>
      </c>
      <c r="M185" s="733">
        <f ca="1">SUMIF(DE!$S$7:$AE$326,B185,DE!$AC$7:$AC$298)</f>
        <v>0</v>
      </c>
      <c r="N185" s="733">
        <f ca="1">SUMIF(DE!$S$7:$AE$326,B185,DE!$AD$7:$AD$298)</f>
        <v>0</v>
      </c>
      <c r="O185" s="733">
        <f ca="1">SUMIF(DE!$S$7:$AE$326,B185,DE!$AE$7:$AE$298)</f>
        <v>0</v>
      </c>
      <c r="P185" s="11"/>
      <c r="Q185" s="11"/>
    </row>
    <row r="186" spans="1:17">
      <c r="A186" s="374"/>
      <c r="B186" s="1159" t="str">
        <f>+'Pres A'!B707</f>
        <v xml:space="preserve">EEQUIPOS DE CLIMATIZACIÓN </v>
      </c>
      <c r="C186" s="733">
        <f t="shared" ca="1" si="22"/>
        <v>0</v>
      </c>
      <c r="D186" s="733">
        <f ca="1">SUMIF(DE!$S$7:$AE$326,B186,DE!$T$7:$T$298)</f>
        <v>0</v>
      </c>
      <c r="E186" s="733">
        <f ca="1">SUMIF(DE!$S$7:$AE$326,B186,DE!$U$7:$U$298)</f>
        <v>0</v>
      </c>
      <c r="F186" s="733">
        <f ca="1">SUMIF(DE!$S$7:$AE$326,B186,DE!$V$7:$V$298)</f>
        <v>0</v>
      </c>
      <c r="G186" s="733">
        <f ca="1">SUMIF(DE!$S$7:$AE$326,B186,DE!$W$7:$W$298)</f>
        <v>0</v>
      </c>
      <c r="H186" s="733">
        <f ca="1">SUMIF(DE!$S$7:$AE$326,B186,DE!$X$7:$X$298)</f>
        <v>0</v>
      </c>
      <c r="I186" s="733">
        <f ca="1">SUMIF(DE!$S$7:$AE$326,B186,DE!$Y$7:$Y$298)</f>
        <v>0</v>
      </c>
      <c r="J186" s="733">
        <f ca="1">SUMIF(DE!$S$7:$AE$326,B186,DE!$Z$7:$Z$298)</f>
        <v>0</v>
      </c>
      <c r="K186" s="733">
        <f ca="1">SUMIF(DE!$S$7:$AE$326,B186,DE!$AA$7:$AA$298)</f>
        <v>0</v>
      </c>
      <c r="L186" s="733">
        <f ca="1">SUMIF(DE!$S$7:$AE$326,B186,DE!$AB$7:$AB$298)</f>
        <v>0</v>
      </c>
      <c r="M186" s="733">
        <f ca="1">SUMIF(DE!$S$7:$AE$326,B186,DE!$AC$7:$AC$298)</f>
        <v>0</v>
      </c>
      <c r="N186" s="733">
        <f ca="1">SUMIF(DE!$S$7:$AE$326,B186,DE!$AD$7:$AD$298)</f>
        <v>0</v>
      </c>
      <c r="O186" s="733">
        <f ca="1">SUMIF(DE!$S$7:$AE$326,B186,DE!$AE$7:$AE$298)</f>
        <v>0</v>
      </c>
      <c r="P186" s="11"/>
      <c r="Q186" s="11"/>
    </row>
    <row r="187" spans="1:17">
      <c r="A187" s="374"/>
      <c r="B187" s="1159" t="str">
        <f>+'Pres A'!B708</f>
        <v>Equipo de comunicacion telecomunicaciones y senala</v>
      </c>
      <c r="C187" s="733">
        <f t="shared" ca="1" si="22"/>
        <v>0</v>
      </c>
      <c r="D187" s="733">
        <f ca="1">SUMIF(DE!$S$7:$AE$326,B187,DE!$T$7:$T$298)</f>
        <v>0</v>
      </c>
      <c r="E187" s="733">
        <f ca="1">SUMIF(DE!$S$7:$AE$326,B187,DE!$U$7:$U$298)</f>
        <v>0</v>
      </c>
      <c r="F187" s="733">
        <f ca="1">SUMIF(DE!$S$7:$AE$326,B187,DE!$V$7:$V$298)</f>
        <v>0</v>
      </c>
      <c r="G187" s="733">
        <f ca="1">SUMIF(DE!$S$7:$AE$326,B187,DE!$W$7:$W$298)</f>
        <v>0</v>
      </c>
      <c r="H187" s="733">
        <f ca="1">SUMIF(DE!$S$7:$AE$326,B187,DE!$X$7:$X$298)</f>
        <v>0</v>
      </c>
      <c r="I187" s="733">
        <f ca="1">SUMIF(DE!$S$7:$AE$326,B187,DE!$Y$7:$Y$298)</f>
        <v>0</v>
      </c>
      <c r="J187" s="733">
        <f ca="1">SUMIF(DE!$S$7:$AE$326,B187,DE!$Z$7:$Z$298)</f>
        <v>0</v>
      </c>
      <c r="K187" s="733">
        <f ca="1">SUMIF(DE!$S$7:$AE$326,B187,DE!$AA$7:$AA$298)</f>
        <v>0</v>
      </c>
      <c r="L187" s="733">
        <f ca="1">SUMIF(DE!$S$7:$AE$326,B187,DE!$AB$7:$AB$298)</f>
        <v>0</v>
      </c>
      <c r="M187" s="733">
        <f ca="1">SUMIF(DE!$S$7:$AE$326,B187,DE!$AC$7:$AC$298)</f>
        <v>0</v>
      </c>
      <c r="N187" s="733">
        <f ca="1">SUMIF(DE!$S$7:$AE$326,B187,DE!$AD$7:$AD$298)</f>
        <v>0</v>
      </c>
      <c r="O187" s="733">
        <f ca="1">SUMIF(DE!$S$7:$AE$326,B187,DE!$AE$7:$AE$298)</f>
        <v>0</v>
      </c>
      <c r="P187" s="11"/>
      <c r="Q187" s="11"/>
    </row>
    <row r="188" spans="1:17">
      <c r="A188" s="374"/>
      <c r="B188" s="1159" t="str">
        <f>+'Pres A'!B709</f>
        <v>EQUIPO DE GENERACION ELECTRICA Y A FINES</v>
      </c>
      <c r="C188" s="733">
        <f t="shared" ca="1" si="22"/>
        <v>0</v>
      </c>
      <c r="D188" s="733">
        <f ca="1">SUMIF(DE!$S$7:$AE$326,B188,DE!$T$7:$T$298)</f>
        <v>0</v>
      </c>
      <c r="E188" s="733">
        <f ca="1">SUMIF(DE!$S$7:$AE$326,B188,DE!$U$7:$U$298)</f>
        <v>0</v>
      </c>
      <c r="F188" s="733">
        <f ca="1">SUMIF(DE!$S$7:$AE$326,B188,DE!$V$7:$V$298)</f>
        <v>0</v>
      </c>
      <c r="G188" s="733">
        <f ca="1">SUMIF(DE!$S$7:$AE$326,B188,DE!$W$7:$W$298)</f>
        <v>0</v>
      </c>
      <c r="H188" s="733">
        <f ca="1">SUMIF(DE!$S$7:$AE$326,B188,DE!$X$7:$X$298)</f>
        <v>0</v>
      </c>
      <c r="I188" s="733">
        <f ca="1">SUMIF(DE!$S$7:$AE$326,B188,DE!$Y$7:$Y$298)</f>
        <v>0</v>
      </c>
      <c r="J188" s="733">
        <f ca="1">SUMIF(DE!$S$7:$AE$326,B188,DE!$Z$7:$Z$298)</f>
        <v>0</v>
      </c>
      <c r="K188" s="733">
        <f ca="1">SUMIF(DE!$S$7:$AE$326,B188,DE!$AA$7:$AA$298)</f>
        <v>0</v>
      </c>
      <c r="L188" s="733">
        <f ca="1">SUMIF(DE!$S$7:$AE$326,B188,DE!$AB$7:$AB$298)</f>
        <v>0</v>
      </c>
      <c r="M188" s="733">
        <f ca="1">SUMIF(DE!$S$7:$AE$326,B188,DE!$AC$7:$AC$298)</f>
        <v>0</v>
      </c>
      <c r="N188" s="733">
        <f ca="1">SUMIF(DE!$S$7:$AE$326,B188,DE!$AD$7:$AD$298)</f>
        <v>0</v>
      </c>
      <c r="O188" s="733">
        <f ca="1">SUMIF(DE!$S$7:$AE$326,B188,DE!$AE$7:$AE$298)</f>
        <v>0</v>
      </c>
      <c r="P188" s="11"/>
      <c r="Q188" s="11"/>
    </row>
    <row r="189" spans="1:17">
      <c r="A189" s="374"/>
      <c r="B189" s="1159" t="str">
        <f>+'Pres A'!B710</f>
        <v>Herramientas y maquinas-herramientas</v>
      </c>
      <c r="C189" s="733">
        <f t="shared" ca="1" si="22"/>
        <v>0</v>
      </c>
      <c r="D189" s="733">
        <f ca="1">SUMIF(DE!$S$7:$AE$326,B189,DE!$T$7:$T$298)</f>
        <v>0</v>
      </c>
      <c r="E189" s="733">
        <f ca="1">SUMIF(DE!$S$7:$AE$326,B189,DE!$U$7:$U$298)</f>
        <v>0</v>
      </c>
      <c r="F189" s="733">
        <f ca="1">SUMIF(DE!$S$7:$AE$326,B189,DE!$V$7:$V$298)</f>
        <v>0</v>
      </c>
      <c r="G189" s="733">
        <f ca="1">SUMIF(DE!$S$7:$AE$326,B189,DE!$W$7:$W$298)</f>
        <v>0</v>
      </c>
      <c r="H189" s="733">
        <f ca="1">SUMIF(DE!$S$7:$AE$326,B189,DE!$X$7:$X$298)</f>
        <v>0</v>
      </c>
      <c r="I189" s="733">
        <f ca="1">SUMIF(DE!$S$7:$AE$326,B189,DE!$Y$7:$Y$298)</f>
        <v>0</v>
      </c>
      <c r="J189" s="733">
        <f ca="1">SUMIF(DE!$S$7:$AE$326,B189,DE!$Z$7:$Z$298)</f>
        <v>0</v>
      </c>
      <c r="K189" s="733">
        <f ca="1">SUMIF(DE!$S$7:$AE$326,B189,DE!$AA$7:$AA$298)</f>
        <v>0</v>
      </c>
      <c r="L189" s="733">
        <f ca="1">SUMIF(DE!$S$7:$AE$326,B189,DE!$AB$7:$AB$298)</f>
        <v>0</v>
      </c>
      <c r="M189" s="733">
        <f ca="1">SUMIF(DE!$S$7:$AE$326,B189,DE!$AC$7:$AC$298)</f>
        <v>0</v>
      </c>
      <c r="N189" s="733">
        <f ca="1">SUMIF(DE!$S$7:$AE$326,B189,DE!$AD$7:$AD$298)</f>
        <v>0</v>
      </c>
      <c r="O189" s="733">
        <f ca="1">SUMIF(DE!$S$7:$AE$326,B189,DE!$AE$7:$AE$298)</f>
        <v>0</v>
      </c>
      <c r="P189" s="11"/>
      <c r="Q189" s="11"/>
    </row>
    <row r="190" spans="1:17">
      <c r="A190" s="374"/>
      <c r="B190" s="1159" t="str">
        <f>+'Pres A'!B712</f>
        <v>Otros equipos</v>
      </c>
      <c r="C190" s="733">
        <f t="shared" ca="1" si="22"/>
        <v>0</v>
      </c>
      <c r="D190" s="733">
        <f ca="1">SUMIF(DE!$S$7:$AE$326,B190,DE!$T$7:$T$298)</f>
        <v>0</v>
      </c>
      <c r="E190" s="733">
        <f ca="1">SUMIF(DE!$S$7:$AE$326,B190,DE!$U$7:$U$298)</f>
        <v>0</v>
      </c>
      <c r="F190" s="733">
        <f ca="1">SUMIF(DE!$S$7:$AE$326,B190,DE!$V$7:$V$298)</f>
        <v>0</v>
      </c>
      <c r="G190" s="733">
        <f ca="1">SUMIF(DE!$S$7:$AE$326,B190,DE!$W$7:$W$298)</f>
        <v>0</v>
      </c>
      <c r="H190" s="733">
        <f ca="1">SUMIF(DE!$S$7:$AE$326,B190,DE!$X$7:$X$298)</f>
        <v>0</v>
      </c>
      <c r="I190" s="733">
        <f ca="1">SUMIF(DE!$S$7:$AE$326,B190,DE!$Y$7:$Y$298)</f>
        <v>0</v>
      </c>
      <c r="J190" s="733">
        <f ca="1">SUMIF(DE!$S$7:$AE$326,B190,DE!$Z$7:$Z$298)</f>
        <v>0</v>
      </c>
      <c r="K190" s="733">
        <f ca="1">SUMIF(DE!$S$7:$AE$326,B190,DE!$AA$7:$AA$298)</f>
        <v>0</v>
      </c>
      <c r="L190" s="733">
        <f ca="1">SUMIF(DE!$S$7:$AE$326,B190,DE!$AB$7:$AB$298)</f>
        <v>0</v>
      </c>
      <c r="M190" s="733">
        <f ca="1">SUMIF(DE!$S$7:$AE$326,B190,DE!$AC$7:$AC$298)</f>
        <v>0</v>
      </c>
      <c r="N190" s="733">
        <f ca="1">SUMIF(DE!$S$7:$AE$326,B190,DE!$AD$7:$AD$298)</f>
        <v>0</v>
      </c>
      <c r="O190" s="733">
        <f ca="1">SUMIF(DE!$S$7:$AE$326,B190,DE!$AE$7:$AE$298)</f>
        <v>0</v>
      </c>
      <c r="P190" s="11"/>
      <c r="Q190" s="11"/>
    </row>
    <row r="191" spans="1:17">
      <c r="A191" s="374"/>
      <c r="B191" s="1159" t="str">
        <f>+'Pres A'!B713</f>
        <v>Edificios no residenciales</v>
      </c>
      <c r="C191" s="733">
        <f ca="1">SUM(D191:O191)</f>
        <v>0</v>
      </c>
      <c r="D191" s="733">
        <f ca="1">SUMIF(DE!$S$7:$AE$326,B191,DE!$T$7:$T$298)</f>
        <v>0</v>
      </c>
      <c r="E191" s="733">
        <f ca="1">SUMIF(DE!$S$7:$AE$326,B191,DE!$U$7:$U$298)</f>
        <v>0</v>
      </c>
      <c r="F191" s="733">
        <f ca="1">SUMIF(DE!$S$7:$AE$326,B191,DE!$V$7:$V$298)</f>
        <v>0</v>
      </c>
      <c r="G191" s="733">
        <f ca="1">SUMIF(DE!$S$7:$AE$326,B191,DE!$W$7:$W$298)</f>
        <v>0</v>
      </c>
      <c r="H191" s="733">
        <f ca="1">SUMIF(DE!$S$7:$AE$326,B191,DE!$X$7:$X$298)</f>
        <v>0</v>
      </c>
      <c r="I191" s="733">
        <f ca="1">SUMIF(DE!$S$7:$AE$326,B191,DE!$Y$7:$Y$298)</f>
        <v>0</v>
      </c>
      <c r="J191" s="733">
        <f ca="1">SUMIF(DE!$S$7:$AE$326,B191,DE!$Z$7:$Z$298)</f>
        <v>0</v>
      </c>
      <c r="K191" s="733">
        <f ca="1">SUMIF(DE!$S$7:$AE$326,B191,DE!$AA$7:$AA$298)</f>
        <v>0</v>
      </c>
      <c r="L191" s="733">
        <f ca="1">SUMIF(DE!$S$7:$AE$326,B191,DE!$AB$7:$AB$298)</f>
        <v>0</v>
      </c>
      <c r="M191" s="733">
        <f ca="1">SUMIF(DE!$S$7:$AE$326,B191,DE!$AC$7:$AC$298)</f>
        <v>0</v>
      </c>
      <c r="N191" s="733">
        <f ca="1">SUMIF(DE!$S$7:$AE$326,B191,DE!$AD$7:$AD$298)</f>
        <v>0</v>
      </c>
      <c r="O191" s="733">
        <f ca="1">SUMIF(DE!$S$7:$AE$326,B191,DE!$AE$7:$AE$298)</f>
        <v>0</v>
      </c>
      <c r="P191" s="11"/>
      <c r="Q191" s="11"/>
    </row>
    <row r="192" spans="1:17">
      <c r="A192" s="374"/>
      <c r="B192" s="1159" t="str">
        <f>+'Pres A'!B714</f>
        <v>Obras hidraulicas y sanitarias</v>
      </c>
      <c r="C192" s="733">
        <f ca="1">SUM(D192:O192)</f>
        <v>5541311.1799999997</v>
      </c>
      <c r="D192" s="733">
        <f ca="1">SUMIF(DE!$S$7:$AE$326,B192,DE!$T$7:$T$298)</f>
        <v>0</v>
      </c>
      <c r="E192" s="733">
        <f ca="1">SUMIF(DE!$S$7:$AE$326,B192,DE!$U$7:$U$298)</f>
        <v>0</v>
      </c>
      <c r="F192" s="733">
        <f ca="1">SUMIF(DE!$S$7:$AE$326,B192,DE!$V$7:$V$298)</f>
        <v>5541311.1799999997</v>
      </c>
      <c r="G192" s="733">
        <f ca="1">SUMIF(DE!$S$7:$AE$326,B192,DE!$W$7:$W$298)</f>
        <v>0</v>
      </c>
      <c r="H192" s="733">
        <f ca="1">SUMIF(DE!$S$7:$AE$326,B192,DE!$X$7:$X$298)</f>
        <v>0</v>
      </c>
      <c r="I192" s="733">
        <f ca="1">SUMIF(DE!$S$7:$AE$326,B192,DE!$Y$7:$Y$298)</f>
        <v>0</v>
      </c>
      <c r="J192" s="733">
        <f ca="1">SUMIF(DE!$S$7:$AE$326,B192,DE!$Z$7:$Z$298)</f>
        <v>0</v>
      </c>
      <c r="K192" s="733">
        <f ca="1">SUMIF(DE!$S$7:$AE$326,B192,DE!$AA$7:$AA$298)</f>
        <v>0</v>
      </c>
      <c r="L192" s="733">
        <f ca="1">SUMIF(DE!$S$7:$AE$326,B192,DE!$AB$7:$AB$298)</f>
        <v>0</v>
      </c>
      <c r="M192" s="733">
        <f ca="1">SUMIF(DE!$S$7:$AE$326,B192,DE!$AC$7:$AC$298)</f>
        <v>0</v>
      </c>
      <c r="N192" s="733">
        <f ca="1">SUMIF(DE!$S$7:$AE$326,B192,DE!$AD$7:$AD$298)</f>
        <v>0</v>
      </c>
      <c r="O192" s="733">
        <f ca="1">SUMIF(DE!$S$7:$AE$326,B192,DE!$AE$7:$AE$298)</f>
        <v>0</v>
      </c>
      <c r="P192" s="11"/>
      <c r="Q192" s="11"/>
    </row>
    <row r="193" spans="1:17">
      <c r="A193" s="374"/>
      <c r="B193" s="1159"/>
      <c r="C193" s="733"/>
      <c r="D193" s="733"/>
      <c r="E193" s="733"/>
      <c r="F193" s="733"/>
      <c r="G193" s="733"/>
      <c r="H193" s="733"/>
      <c r="I193" s="733"/>
      <c r="J193" s="733"/>
      <c r="K193" s="733"/>
      <c r="L193" s="733"/>
      <c r="M193" s="733"/>
      <c r="N193" s="733"/>
      <c r="O193" s="733"/>
      <c r="P193" s="11"/>
      <c r="Q193" s="11"/>
    </row>
    <row r="194" spans="1:17">
      <c r="A194" s="374"/>
      <c r="B194" s="1159"/>
      <c r="C194" s="733"/>
      <c r="D194" s="733"/>
      <c r="E194" s="733"/>
      <c r="F194" s="733"/>
      <c r="G194" s="733"/>
      <c r="H194" s="733"/>
      <c r="I194" s="733"/>
      <c r="J194" s="733"/>
      <c r="K194" s="733"/>
      <c r="L194" s="733"/>
      <c r="M194" s="733"/>
      <c r="N194" s="733"/>
      <c r="O194" s="733"/>
      <c r="P194" s="11"/>
      <c r="Q194" s="11"/>
    </row>
    <row r="195" spans="1:17">
      <c r="A195" s="374"/>
      <c r="B195" s="1159"/>
      <c r="C195" s="733"/>
      <c r="D195" s="733"/>
      <c r="E195" s="733"/>
      <c r="F195" s="733"/>
      <c r="G195" s="733"/>
      <c r="H195" s="733"/>
      <c r="I195" s="733"/>
      <c r="J195" s="733"/>
      <c r="K195" s="733"/>
      <c r="L195" s="733"/>
      <c r="M195" s="733"/>
      <c r="N195" s="733"/>
      <c r="O195" s="733"/>
      <c r="P195" s="11"/>
      <c r="Q195" s="11"/>
    </row>
    <row r="196" spans="1:17">
      <c r="A196" s="374"/>
      <c r="B196" s="1159"/>
      <c r="C196" s="733"/>
      <c r="D196" s="733"/>
      <c r="E196" s="733"/>
      <c r="F196" s="733"/>
      <c r="G196" s="733"/>
      <c r="H196" s="733"/>
      <c r="I196" s="733"/>
      <c r="J196" s="733"/>
      <c r="K196" s="733"/>
      <c r="L196" s="733"/>
      <c r="M196" s="733"/>
      <c r="N196" s="733"/>
      <c r="O196" s="733"/>
      <c r="P196" s="11"/>
      <c r="Q196" s="11"/>
    </row>
    <row r="197" spans="1:17" s="23" customFormat="1">
      <c r="A197" s="1153"/>
      <c r="B197" s="981" t="s">
        <v>2709</v>
      </c>
      <c r="C197" s="24">
        <f t="shared" ref="C197:O197" ca="1" si="23">+C180+C174+C133+C92+C67</f>
        <v>36374825.199999996</v>
      </c>
      <c r="D197" s="24">
        <f t="shared" ca="1" si="23"/>
        <v>5282121.9600000009</v>
      </c>
      <c r="E197" s="24">
        <f t="shared" ca="1" si="23"/>
        <v>10610182.689999999</v>
      </c>
      <c r="F197" s="24">
        <f t="shared" ca="1" si="23"/>
        <v>20482520.550000001</v>
      </c>
      <c r="G197" s="24">
        <f t="shared" ca="1" si="23"/>
        <v>0</v>
      </c>
      <c r="H197" s="24">
        <f t="shared" ca="1" si="23"/>
        <v>0</v>
      </c>
      <c r="I197" s="24">
        <f t="shared" ca="1" si="23"/>
        <v>0</v>
      </c>
      <c r="J197" s="24">
        <f t="shared" ca="1" si="23"/>
        <v>0</v>
      </c>
      <c r="K197" s="24">
        <f t="shared" ca="1" si="23"/>
        <v>0</v>
      </c>
      <c r="L197" s="24">
        <f t="shared" ca="1" si="23"/>
        <v>0</v>
      </c>
      <c r="M197" s="24">
        <f t="shared" ca="1" si="23"/>
        <v>0</v>
      </c>
      <c r="N197" s="24">
        <f t="shared" ca="1" si="23"/>
        <v>0</v>
      </c>
      <c r="O197" s="24">
        <f t="shared" ca="1" si="23"/>
        <v>0</v>
      </c>
      <c r="P197" s="24"/>
      <c r="Q197" s="24"/>
    </row>
    <row r="198" spans="1:17">
      <c r="A198" s="374"/>
      <c r="B198" s="961"/>
      <c r="C198" s="11"/>
      <c r="D198" s="11"/>
      <c r="E198" s="400"/>
      <c r="F198" s="1155"/>
      <c r="G198" s="1155"/>
      <c r="H198" s="1154"/>
      <c r="I198" s="400"/>
      <c r="J198" s="11"/>
      <c r="K198" s="11"/>
      <c r="L198" s="11"/>
      <c r="M198" s="11"/>
      <c r="N198" s="11"/>
      <c r="O198" s="11"/>
      <c r="P198" s="11"/>
      <c r="Q198" s="11"/>
    </row>
    <row r="199" spans="1:17">
      <c r="A199" s="374"/>
      <c r="B199" s="961"/>
      <c r="C199" s="11">
        <f ca="1">+C197-C58</f>
        <v>0</v>
      </c>
      <c r="D199" s="11"/>
      <c r="E199" s="400"/>
      <c r="F199" s="1155"/>
      <c r="G199" s="1155"/>
      <c r="H199" s="1154"/>
      <c r="I199" s="400">
        <f>+I195/2</f>
        <v>0</v>
      </c>
      <c r="J199" s="11"/>
      <c r="K199" s="11"/>
      <c r="L199" s="11"/>
      <c r="M199" s="11"/>
      <c r="N199" s="11"/>
      <c r="O199" s="11"/>
      <c r="P199" s="11"/>
      <c r="Q199" s="11"/>
    </row>
    <row r="200" spans="1:17">
      <c r="A200" s="374"/>
      <c r="B200" s="961"/>
      <c r="C200" s="11">
        <f ca="1">+C180-nota12!K23</f>
        <v>7.4505805969238281E-9</v>
      </c>
      <c r="D200" s="11"/>
      <c r="E200" s="400"/>
      <c r="F200" s="1155"/>
      <c r="G200" s="1155"/>
      <c r="H200" s="1154"/>
      <c r="I200" s="400"/>
      <c r="J200" s="11"/>
      <c r="K200" s="11"/>
      <c r="L200" s="11"/>
      <c r="M200" s="11"/>
      <c r="N200" s="11"/>
      <c r="O200" s="11"/>
      <c r="P200" s="11"/>
      <c r="Q200" s="11"/>
    </row>
    <row r="201" spans="1:17" ht="24" customHeight="1" thickBot="1">
      <c r="A201" s="374"/>
      <c r="B201" s="961" t="s">
        <v>1573</v>
      </c>
      <c r="E201" s="961"/>
      <c r="F201" s="960"/>
      <c r="G201" s="960"/>
      <c r="H201" s="1152"/>
      <c r="I201" s="961"/>
    </row>
    <row r="202" spans="1:17" s="961" customFormat="1" ht="15.75" thickBot="1">
      <c r="B202" s="1892" t="s">
        <v>2757</v>
      </c>
      <c r="C202" s="555" t="s">
        <v>1425</v>
      </c>
    </row>
    <row r="203" spans="1:17" s="961" customFormat="1" ht="18.75" customHeight="1">
      <c r="B203" s="1893"/>
      <c r="C203" s="556" t="s">
        <v>1477</v>
      </c>
      <c r="D203" s="959" t="s">
        <v>1478</v>
      </c>
      <c r="E203" s="959" t="s">
        <v>6</v>
      </c>
      <c r="F203" s="1891" t="s">
        <v>1356</v>
      </c>
      <c r="G203" s="1891"/>
      <c r="H203" s="1891"/>
      <c r="I203" s="1891"/>
      <c r="J203" s="1891"/>
      <c r="K203" s="559" t="s">
        <v>1357</v>
      </c>
      <c r="L203" s="560" t="s">
        <v>1358</v>
      </c>
    </row>
    <row r="204" spans="1:17" s="961" customFormat="1" ht="9.75" customHeight="1">
      <c r="B204" s="1893"/>
      <c r="C204" s="540"/>
      <c r="D204" s="451"/>
      <c r="E204" s="451"/>
      <c r="F204" s="451"/>
      <c r="G204" s="457"/>
      <c r="H204" s="457"/>
      <c r="I204" s="393"/>
      <c r="J204" s="393"/>
      <c r="K204" s="393"/>
      <c r="L204" s="418"/>
    </row>
    <row r="205" spans="1:17" s="961" customFormat="1" ht="18.75" customHeight="1">
      <c r="B205" s="1893"/>
      <c r="C205" s="561">
        <v>19</v>
      </c>
      <c r="D205" s="543">
        <f>F37</f>
        <v>0</v>
      </c>
      <c r="E205" s="544"/>
      <c r="F205" s="545" t="s">
        <v>1570</v>
      </c>
      <c r="G205" s="546"/>
      <c r="H205" s="546"/>
      <c r="I205" s="546"/>
      <c r="J205" s="547"/>
      <c r="K205" s="544">
        <v>0</v>
      </c>
      <c r="L205" s="548"/>
    </row>
    <row r="206" spans="1:17" s="961" customFormat="1" ht="18.75" customHeight="1">
      <c r="B206" s="1893"/>
      <c r="C206" s="549"/>
      <c r="D206" s="550"/>
      <c r="E206" s="544"/>
      <c r="F206" s="545" t="s">
        <v>1570</v>
      </c>
      <c r="G206" s="546"/>
      <c r="H206" s="546"/>
      <c r="I206" s="546"/>
      <c r="J206" s="547"/>
      <c r="K206" s="544"/>
      <c r="L206" s="551">
        <f>K205</f>
        <v>0</v>
      </c>
    </row>
    <row r="207" spans="1:17" s="961" customFormat="1" ht="18.75" customHeight="1" thickBot="1">
      <c r="B207" s="1893"/>
      <c r="C207" s="552" t="s">
        <v>1562</v>
      </c>
      <c r="D207" s="553"/>
      <c r="E207" s="553"/>
      <c r="F207" s="553"/>
      <c r="G207" s="553"/>
      <c r="H207" s="553"/>
      <c r="I207" s="553"/>
      <c r="J207" s="553"/>
      <c r="K207" s="553"/>
      <c r="L207" s="554"/>
    </row>
    <row r="208" spans="1:17" s="961" customFormat="1">
      <c r="B208" s="1893"/>
    </row>
    <row r="209" spans="1:12" s="961" customFormat="1" ht="15.75" thickBot="1">
      <c r="B209" s="1893"/>
    </row>
    <row r="210" spans="1:12" s="961" customFormat="1" ht="15.75" thickBot="1">
      <c r="B210" s="1893"/>
      <c r="C210" s="555" t="s">
        <v>1561</v>
      </c>
    </row>
    <row r="211" spans="1:12" s="961" customFormat="1" ht="18.75" customHeight="1">
      <c r="B211" s="1893"/>
      <c r="C211" s="556" t="s">
        <v>1477</v>
      </c>
      <c r="D211" s="959" t="s">
        <v>1478</v>
      </c>
      <c r="E211" s="959" t="s">
        <v>6</v>
      </c>
      <c r="F211" s="1891" t="s">
        <v>1356</v>
      </c>
      <c r="G211" s="1891"/>
      <c r="H211" s="1891"/>
      <c r="I211" s="1891"/>
      <c r="J211" s="1891"/>
      <c r="K211" s="559" t="s">
        <v>1357</v>
      </c>
      <c r="L211" s="560" t="s">
        <v>1358</v>
      </c>
    </row>
    <row r="212" spans="1:12" s="961" customFormat="1" ht="9.75" customHeight="1">
      <c r="B212" s="1893"/>
      <c r="C212" s="540"/>
      <c r="D212" s="451"/>
      <c r="E212" s="451"/>
      <c r="F212" s="451"/>
      <c r="G212" s="457"/>
      <c r="H212" s="457"/>
      <c r="I212" s="393"/>
      <c r="J212" s="393"/>
      <c r="K212" s="393"/>
      <c r="L212" s="418"/>
    </row>
    <row r="213" spans="1:12" s="961" customFormat="1" ht="18.75" customHeight="1">
      <c r="B213" s="1893"/>
      <c r="C213" s="561">
        <f>C205</f>
        <v>19</v>
      </c>
      <c r="D213" s="543">
        <f>D205</f>
        <v>0</v>
      </c>
      <c r="E213" s="544"/>
      <c r="F213" s="545" t="s">
        <v>1570</v>
      </c>
      <c r="G213" s="546"/>
      <c r="H213" s="546"/>
      <c r="I213" s="546"/>
      <c r="J213" s="547"/>
      <c r="K213" s="544"/>
      <c r="L213" s="548"/>
    </row>
    <row r="214" spans="1:12" s="961" customFormat="1" ht="18.75" customHeight="1">
      <c r="B214" s="1893"/>
      <c r="C214" s="549"/>
      <c r="D214" s="550"/>
      <c r="E214" s="544"/>
      <c r="F214" s="545" t="s">
        <v>1570</v>
      </c>
      <c r="G214" s="546"/>
      <c r="H214" s="546"/>
      <c r="I214" s="546"/>
      <c r="J214" s="547"/>
      <c r="K214" s="544"/>
      <c r="L214" s="551">
        <f>K213</f>
        <v>0</v>
      </c>
    </row>
    <row r="215" spans="1:12" s="961" customFormat="1" ht="18.75" customHeight="1" thickBot="1">
      <c r="B215" s="1894"/>
      <c r="C215" s="552" t="s">
        <v>1569</v>
      </c>
      <c r="D215" s="553"/>
      <c r="E215" s="553"/>
      <c r="F215" s="553"/>
      <c r="G215" s="553"/>
      <c r="H215" s="553"/>
      <c r="I215" s="553"/>
      <c r="J215" s="553"/>
      <c r="K215" s="553"/>
      <c r="L215" s="554"/>
    </row>
    <row r="216" spans="1:12" ht="15.75">
      <c r="A216" s="961"/>
      <c r="B216" s="150"/>
      <c r="E216" s="206"/>
      <c r="G216" s="961"/>
      <c r="H216" s="961"/>
      <c r="I216" s="961"/>
      <c r="J216" s="961"/>
      <c r="K216" s="961"/>
    </row>
    <row r="217" spans="1:12" ht="15.75">
      <c r="A217" s="961"/>
      <c r="B217" s="150"/>
      <c r="E217" s="206"/>
      <c r="G217" s="961"/>
      <c r="H217" s="961"/>
      <c r="I217" s="961"/>
      <c r="J217" s="961"/>
      <c r="K217" s="961"/>
    </row>
    <row r="218" spans="1:12" ht="15.75">
      <c r="A218" s="961"/>
      <c r="B218" s="150"/>
      <c r="E218" s="206"/>
      <c r="G218" s="961"/>
      <c r="H218" s="961"/>
      <c r="I218" s="961"/>
      <c r="J218" s="961"/>
      <c r="K218" s="961"/>
    </row>
    <row r="219" spans="1:12" ht="15.75">
      <c r="A219" s="961"/>
      <c r="B219" s="150"/>
      <c r="E219" s="206"/>
      <c r="G219" s="961"/>
      <c r="H219" s="961"/>
      <c r="I219" s="961"/>
      <c r="J219" s="961"/>
      <c r="K219" s="961"/>
    </row>
    <row r="220" spans="1:12" ht="15.75">
      <c r="A220" s="961"/>
      <c r="B220" s="150"/>
      <c r="E220" s="206"/>
      <c r="G220" s="961"/>
      <c r="H220" s="961"/>
      <c r="I220" s="961"/>
      <c r="J220" s="961"/>
      <c r="K220" s="961"/>
    </row>
    <row r="221" spans="1:12" ht="15.75">
      <c r="A221" s="961"/>
      <c r="B221" s="150"/>
      <c r="E221" s="206"/>
      <c r="G221" s="961"/>
      <c r="H221" s="961"/>
      <c r="I221" s="961"/>
      <c r="J221" s="961"/>
      <c r="K221" s="961"/>
    </row>
    <row r="222" spans="1:12" ht="15.75">
      <c r="A222" s="961"/>
      <c r="B222" s="150"/>
      <c r="E222" s="206"/>
      <c r="G222" s="961"/>
      <c r="H222" s="961"/>
      <c r="I222" s="961"/>
      <c r="J222" s="961"/>
      <c r="K222" s="961"/>
    </row>
    <row r="223" spans="1:12" ht="15.75">
      <c r="A223" s="961"/>
      <c r="B223" s="150"/>
      <c r="E223" s="206"/>
      <c r="G223" s="961"/>
      <c r="H223" s="961"/>
      <c r="I223" s="961"/>
      <c r="J223" s="961"/>
      <c r="K223" s="961"/>
    </row>
    <row r="224" spans="1:12" ht="15.75">
      <c r="A224" s="961"/>
      <c r="B224" s="150"/>
      <c r="E224" s="206"/>
      <c r="G224" s="961"/>
      <c r="H224" s="961"/>
      <c r="I224" s="961"/>
      <c r="J224" s="961"/>
      <c r="K224" s="961"/>
    </row>
    <row r="225" spans="1:11" ht="15.75">
      <c r="A225" s="961"/>
      <c r="B225" s="150"/>
      <c r="E225" s="206"/>
      <c r="G225" s="961"/>
      <c r="H225" s="961"/>
      <c r="I225" s="961"/>
      <c r="J225" s="961"/>
      <c r="K225" s="961"/>
    </row>
    <row r="226" spans="1:11" ht="15.75">
      <c r="A226" s="961"/>
      <c r="B226" s="150"/>
      <c r="E226" s="206"/>
      <c r="G226" s="961"/>
      <c r="H226" s="961"/>
      <c r="I226" s="961"/>
      <c r="J226" s="961"/>
      <c r="K226" s="961"/>
    </row>
    <row r="227" spans="1:11" ht="15.75">
      <c r="A227" s="961"/>
      <c r="B227" s="150"/>
      <c r="E227" s="206"/>
      <c r="G227" s="961"/>
      <c r="H227" s="961"/>
      <c r="I227" s="961"/>
      <c r="J227" s="961"/>
      <c r="K227" s="961"/>
    </row>
    <row r="228" spans="1:11" ht="15.75">
      <c r="A228" s="961"/>
      <c r="B228" s="150"/>
      <c r="E228" s="206"/>
      <c r="G228" s="961"/>
      <c r="H228" s="961"/>
      <c r="I228" s="961"/>
      <c r="J228" s="961"/>
      <c r="K228" s="961"/>
    </row>
    <row r="229" spans="1:11" ht="15.75">
      <c r="A229" s="961"/>
      <c r="B229" s="150"/>
      <c r="E229" s="206"/>
      <c r="G229" s="961"/>
      <c r="H229" s="961"/>
      <c r="I229" s="961"/>
      <c r="J229" s="961"/>
      <c r="K229" s="961"/>
    </row>
    <row r="230" spans="1:11" ht="15.75">
      <c r="A230" s="961"/>
      <c r="B230" s="150"/>
      <c r="E230" s="206"/>
      <c r="G230" s="961"/>
      <c r="H230" s="961"/>
      <c r="I230" s="961"/>
      <c r="J230" s="961"/>
      <c r="K230" s="961"/>
    </row>
    <row r="231" spans="1:11" ht="15.75">
      <c r="A231" s="961"/>
      <c r="B231" s="150"/>
      <c r="E231" s="206"/>
      <c r="G231" s="961"/>
      <c r="H231" s="961"/>
      <c r="I231" s="961"/>
      <c r="J231" s="961"/>
      <c r="K231" s="961"/>
    </row>
    <row r="232" spans="1:11" ht="15.75">
      <c r="A232" s="961"/>
      <c r="B232" s="150"/>
      <c r="E232" s="206"/>
      <c r="G232" s="961"/>
      <c r="H232" s="961"/>
      <c r="I232" s="961"/>
      <c r="J232" s="961"/>
      <c r="K232" s="961"/>
    </row>
    <row r="233" spans="1:11" ht="15.75">
      <c r="A233" s="961"/>
      <c r="B233" s="150"/>
      <c r="E233" s="206"/>
      <c r="G233" s="961"/>
      <c r="H233" s="961"/>
      <c r="I233" s="961"/>
      <c r="J233" s="961"/>
      <c r="K233" s="961"/>
    </row>
    <row r="234" spans="1:11" ht="15.75">
      <c r="A234" s="961"/>
      <c r="B234" s="150"/>
      <c r="E234" s="206"/>
      <c r="G234" s="961"/>
      <c r="H234" s="961"/>
      <c r="I234" s="961"/>
      <c r="J234" s="961"/>
      <c r="K234" s="961"/>
    </row>
    <row r="235" spans="1:11" ht="15.75">
      <c r="A235" s="961"/>
      <c r="B235" s="150"/>
      <c r="E235" s="206"/>
      <c r="G235" s="961"/>
      <c r="H235" s="961"/>
      <c r="I235" s="961"/>
      <c r="J235" s="961"/>
      <c r="K235" s="961"/>
    </row>
    <row r="236" spans="1:11" ht="15.75">
      <c r="A236" s="961"/>
      <c r="B236" s="150"/>
      <c r="E236" s="206"/>
      <c r="G236" s="961"/>
      <c r="H236" s="961"/>
      <c r="I236" s="961"/>
      <c r="J236" s="961"/>
      <c r="K236" s="961"/>
    </row>
    <row r="237" spans="1:11" ht="15.75">
      <c r="A237" s="961"/>
      <c r="B237" s="150"/>
      <c r="E237" s="206"/>
      <c r="G237" s="961"/>
      <c r="H237" s="961"/>
      <c r="I237" s="961"/>
      <c r="J237" s="961"/>
      <c r="K237" s="961"/>
    </row>
    <row r="238" spans="1:11" ht="15.75">
      <c r="A238" s="961"/>
      <c r="B238" s="150"/>
      <c r="E238" s="206"/>
      <c r="G238" s="961"/>
      <c r="H238" s="961"/>
      <c r="I238" s="961"/>
      <c r="J238" s="961"/>
      <c r="K238" s="961"/>
    </row>
    <row r="239" spans="1:11" ht="15.75">
      <c r="A239" s="961"/>
      <c r="B239" s="150"/>
      <c r="E239" s="206"/>
      <c r="G239" s="961"/>
      <c r="H239" s="961"/>
      <c r="I239" s="961"/>
      <c r="J239" s="961"/>
      <c r="K239" s="961"/>
    </row>
    <row r="240" spans="1:11" ht="15.75">
      <c r="A240" s="961"/>
      <c r="B240" s="150"/>
      <c r="E240" s="206"/>
      <c r="G240" s="961"/>
      <c r="H240" s="961"/>
      <c r="I240" s="961"/>
      <c r="J240" s="961"/>
      <c r="K240" s="961"/>
    </row>
    <row r="241" spans="1:12">
      <c r="A241" s="961"/>
      <c r="B241" s="961"/>
      <c r="C241" s="961"/>
      <c r="D241" s="961"/>
      <c r="E241" s="961"/>
      <c r="F241" s="961"/>
      <c r="G241" s="961"/>
      <c r="H241" s="961"/>
      <c r="I241" s="961"/>
    </row>
    <row r="242" spans="1:12" ht="15.75" thickBot="1">
      <c r="A242" s="961"/>
      <c r="B242" s="961"/>
      <c r="C242" s="961"/>
      <c r="D242" s="961"/>
      <c r="E242" s="961"/>
      <c r="F242" s="961"/>
      <c r="G242" s="961"/>
      <c r="H242" s="961"/>
      <c r="I242" s="961"/>
    </row>
    <row r="243" spans="1:12" ht="15.75" thickBot="1">
      <c r="A243" s="989"/>
      <c r="B243" s="989"/>
      <c r="C243" s="1887" t="s">
        <v>2413</v>
      </c>
      <c r="D243" s="1888"/>
      <c r="E243" s="1889"/>
      <c r="F243" s="1889"/>
      <c r="G243" s="1890"/>
      <c r="H243" s="1883" t="s">
        <v>2414</v>
      </c>
      <c r="I243" s="1884"/>
      <c r="J243" s="1884"/>
      <c r="K243" s="1884"/>
      <c r="L243" s="1885"/>
    </row>
    <row r="244" spans="1:12" ht="15.75" thickBot="1">
      <c r="A244" s="990" t="s">
        <v>1481</v>
      </c>
      <c r="B244" s="990" t="s">
        <v>8</v>
      </c>
      <c r="C244" s="991" t="s">
        <v>2415</v>
      </c>
      <c r="D244" s="992" t="s">
        <v>2416</v>
      </c>
      <c r="E244" s="993" t="s">
        <v>2417</v>
      </c>
      <c r="F244" s="992" t="s">
        <v>2416</v>
      </c>
      <c r="G244" s="994" t="s">
        <v>2418</v>
      </c>
      <c r="H244" s="1123" t="s">
        <v>2415</v>
      </c>
      <c r="I244" s="995" t="s">
        <v>2416</v>
      </c>
      <c r="J244" s="996" t="s">
        <v>2417</v>
      </c>
      <c r="K244" s="995" t="s">
        <v>2416</v>
      </c>
      <c r="L244" s="997" t="s">
        <v>2418</v>
      </c>
    </row>
    <row r="245" spans="1:12" ht="15.75" thickBot="1"/>
    <row r="246" spans="1:12" ht="45.75" thickBot="1">
      <c r="A246" s="982">
        <v>1</v>
      </c>
      <c r="B246" s="1135" t="s">
        <v>2658</v>
      </c>
      <c r="C246" s="1000"/>
      <c r="D246" s="1025"/>
      <c r="E246" s="1000"/>
      <c r="F246" s="1025"/>
      <c r="G246" s="1000"/>
      <c r="H246" s="1025"/>
      <c r="I246" s="1000"/>
      <c r="J246" s="1025"/>
      <c r="K246" s="1000"/>
      <c r="L246" s="1094"/>
    </row>
    <row r="247" spans="1:12" ht="15.75" thickBot="1">
      <c r="A247" s="982"/>
    </row>
    <row r="248" spans="1:12" ht="45">
      <c r="A248" s="982">
        <v>2</v>
      </c>
      <c r="B248" s="1147" t="s">
        <v>2671</v>
      </c>
      <c r="C248" s="1021"/>
      <c r="D248" s="1022"/>
      <c r="E248" s="1021"/>
      <c r="F248" s="1022"/>
      <c r="G248" s="1021"/>
      <c r="H248" s="1022"/>
      <c r="I248" s="1021"/>
      <c r="J248" s="1022"/>
      <c r="K248" s="1021"/>
      <c r="L248" s="1105"/>
    </row>
    <row r="249" spans="1:12">
      <c r="A249" s="982"/>
      <c r="B249" s="1148" t="s">
        <v>2672</v>
      </c>
      <c r="C249" s="243"/>
      <c r="D249" s="1023"/>
      <c r="E249" s="243"/>
      <c r="F249" s="1023"/>
      <c r="G249" s="243"/>
      <c r="H249" s="1023"/>
      <c r="I249" s="243"/>
      <c r="J249" s="1023"/>
      <c r="K249" s="243"/>
      <c r="L249" s="1107"/>
    </row>
    <row r="250" spans="1:12">
      <c r="A250" s="982"/>
      <c r="B250" s="1148" t="s">
        <v>2673</v>
      </c>
      <c r="C250" s="243"/>
      <c r="D250" s="1023"/>
      <c r="E250" s="243"/>
      <c r="F250" s="1023"/>
      <c r="G250" s="243"/>
      <c r="H250" s="1023"/>
      <c r="I250" s="243"/>
      <c r="J250" s="1023"/>
      <c r="K250" s="243"/>
      <c r="L250" s="1107"/>
    </row>
    <row r="251" spans="1:12" ht="15.75" thickBot="1">
      <c r="A251" s="982"/>
      <c r="B251" s="7" t="s">
        <v>2674</v>
      </c>
      <c r="C251" s="1012"/>
      <c r="D251" s="8"/>
      <c r="E251" s="1012"/>
      <c r="F251" s="8"/>
      <c r="G251" s="1012"/>
      <c r="H251" s="8"/>
      <c r="I251" s="1012"/>
      <c r="J251" s="8"/>
      <c r="K251" s="1012"/>
      <c r="L251" s="9"/>
    </row>
    <row r="252" spans="1:12" ht="15.75" thickBot="1">
      <c r="A252" s="982"/>
    </row>
    <row r="253" spans="1:12" ht="75.75" thickBot="1">
      <c r="A253" s="982">
        <v>3</v>
      </c>
      <c r="B253" s="1135" t="s">
        <v>2675</v>
      </c>
      <c r="C253" s="1000"/>
      <c r="D253" s="1025"/>
      <c r="E253" s="1000"/>
      <c r="F253" s="1025"/>
      <c r="G253" s="1000"/>
      <c r="H253" s="1025"/>
      <c r="I253" s="1000"/>
      <c r="J253" s="1025"/>
      <c r="K253" s="1000"/>
      <c r="L253" s="1094"/>
    </row>
    <row r="254" spans="1:12" ht="15.75" thickBot="1">
      <c r="A254" s="982"/>
    </row>
    <row r="255" spans="1:12" ht="45">
      <c r="A255" s="982">
        <v>4</v>
      </c>
      <c r="B255" s="1145" t="s">
        <v>2676</v>
      </c>
      <c r="C255" s="1021"/>
      <c r="D255" s="1022"/>
      <c r="E255" s="1021"/>
      <c r="F255" s="1022"/>
      <c r="G255" s="1021"/>
      <c r="H255" s="1022"/>
      <c r="I255" s="1021"/>
      <c r="J255" s="1022"/>
      <c r="K255" s="1021"/>
      <c r="L255" s="1105"/>
    </row>
    <row r="256" spans="1:12" ht="30">
      <c r="A256" s="982"/>
      <c r="B256" s="1149" t="s">
        <v>2696</v>
      </c>
      <c r="C256" s="1009"/>
      <c r="E256" s="1009"/>
      <c r="G256" s="1009"/>
      <c r="I256" s="1009"/>
      <c r="K256" s="1009"/>
      <c r="L256" s="6"/>
    </row>
    <row r="257" spans="1:12">
      <c r="A257" s="982"/>
      <c r="B257" s="1019" t="s">
        <v>2695</v>
      </c>
      <c r="C257" s="746"/>
      <c r="D257" s="1024"/>
      <c r="E257" s="746"/>
      <c r="F257" s="1024"/>
      <c r="G257" s="746"/>
      <c r="H257" s="1024"/>
      <c r="I257" s="746"/>
      <c r="J257" s="1024"/>
      <c r="K257" s="746"/>
      <c r="L257" s="1109"/>
    </row>
    <row r="258" spans="1:12" ht="30">
      <c r="A258" s="982"/>
      <c r="B258" s="1149" t="s">
        <v>2677</v>
      </c>
      <c r="C258" s="1009"/>
      <c r="E258" s="1009"/>
      <c r="G258" s="1009"/>
      <c r="I258" s="1009"/>
      <c r="K258" s="1009"/>
      <c r="L258" s="6"/>
    </row>
    <row r="259" spans="1:12">
      <c r="A259" s="982"/>
      <c r="B259" s="1008" t="s">
        <v>2678</v>
      </c>
      <c r="C259" s="1009"/>
      <c r="E259" s="1009"/>
      <c r="G259" s="1009"/>
      <c r="I259" s="1009"/>
      <c r="K259" s="1009"/>
      <c r="L259" s="6"/>
    </row>
    <row r="260" spans="1:12">
      <c r="A260" s="982"/>
      <c r="B260" s="1019" t="s">
        <v>2679</v>
      </c>
      <c r="C260" s="746"/>
      <c r="D260" s="1024"/>
      <c r="E260" s="746"/>
      <c r="F260" s="1024"/>
      <c r="G260" s="746"/>
      <c r="H260" s="1024"/>
      <c r="I260" s="746"/>
      <c r="J260" s="1024"/>
      <c r="K260" s="746"/>
      <c r="L260" s="1109"/>
    </row>
    <row r="261" spans="1:12">
      <c r="A261" s="982"/>
      <c r="B261" s="1008" t="s">
        <v>2680</v>
      </c>
      <c r="C261" s="1009"/>
      <c r="E261" s="1009"/>
      <c r="G261" s="1009"/>
      <c r="I261" s="1009"/>
      <c r="K261" s="1009"/>
      <c r="L261" s="6"/>
    </row>
    <row r="262" spans="1:12">
      <c r="A262" s="982"/>
      <c r="B262" s="1019" t="s">
        <v>2681</v>
      </c>
      <c r="C262" s="746"/>
      <c r="D262" s="1024"/>
      <c r="E262" s="746"/>
      <c r="F262" s="1024"/>
      <c r="G262" s="746"/>
      <c r="H262" s="1024"/>
      <c r="I262" s="746"/>
      <c r="J262" s="1024"/>
      <c r="K262" s="746"/>
      <c r="L262" s="1109"/>
    </row>
    <row r="263" spans="1:12">
      <c r="A263" s="982"/>
      <c r="B263" s="1008" t="s">
        <v>2682</v>
      </c>
      <c r="C263" s="1009"/>
      <c r="E263" s="1009"/>
      <c r="G263" s="1009"/>
      <c r="I263" s="1009"/>
      <c r="K263" s="1009"/>
      <c r="L263" s="6"/>
    </row>
    <row r="264" spans="1:12">
      <c r="A264" s="982"/>
      <c r="B264" s="1019" t="s">
        <v>2683</v>
      </c>
      <c r="C264" s="746"/>
      <c r="D264" s="1024"/>
      <c r="E264" s="746"/>
      <c r="F264" s="1024"/>
      <c r="G264" s="746"/>
      <c r="H264" s="1024"/>
      <c r="I264" s="746"/>
      <c r="J264" s="1024"/>
      <c r="K264" s="746"/>
      <c r="L264" s="1109"/>
    </row>
    <row r="265" spans="1:12">
      <c r="A265" s="982"/>
      <c r="B265" s="1008" t="s">
        <v>2684</v>
      </c>
      <c r="C265" s="1009"/>
      <c r="E265" s="1009"/>
      <c r="G265" s="1009"/>
      <c r="I265" s="1009"/>
      <c r="K265" s="1009"/>
      <c r="L265" s="6"/>
    </row>
    <row r="266" spans="1:12">
      <c r="A266" s="982"/>
      <c r="B266" s="1019" t="s">
        <v>2685</v>
      </c>
      <c r="C266" s="746"/>
      <c r="D266" s="1024"/>
      <c r="E266" s="746"/>
      <c r="F266" s="1024"/>
      <c r="G266" s="746"/>
      <c r="H266" s="1024"/>
      <c r="I266" s="746"/>
      <c r="J266" s="1024"/>
      <c r="K266" s="746"/>
      <c r="L266" s="1109"/>
    </row>
    <row r="267" spans="1:12">
      <c r="A267" s="982"/>
      <c r="B267" s="1008" t="s">
        <v>2686</v>
      </c>
      <c r="C267" s="1009"/>
      <c r="E267" s="1009"/>
      <c r="G267" s="1009"/>
      <c r="I267" s="1009"/>
      <c r="K267" s="1009"/>
      <c r="L267" s="6"/>
    </row>
    <row r="268" spans="1:12">
      <c r="A268" s="982"/>
      <c r="B268" s="1008" t="s">
        <v>2687</v>
      </c>
      <c r="C268" s="1009"/>
      <c r="E268" s="1009"/>
      <c r="G268" s="1009"/>
      <c r="I268" s="1009"/>
      <c r="K268" s="1009"/>
      <c r="L268" s="6"/>
    </row>
    <row r="269" spans="1:12">
      <c r="A269" s="982"/>
      <c r="B269" s="1019" t="s">
        <v>2688</v>
      </c>
      <c r="C269" s="746"/>
      <c r="D269" s="1024"/>
      <c r="E269" s="746"/>
      <c r="F269" s="1024"/>
      <c r="G269" s="746"/>
      <c r="H269" s="1024"/>
      <c r="I269" s="746"/>
      <c r="J269" s="1024"/>
      <c r="K269" s="746"/>
      <c r="L269" s="1109"/>
    </row>
    <row r="270" spans="1:12">
      <c r="A270" s="982"/>
      <c r="B270" s="1008" t="s">
        <v>2689</v>
      </c>
      <c r="C270" s="1009"/>
      <c r="E270" s="1009"/>
      <c r="G270" s="1009"/>
      <c r="I270" s="1009"/>
      <c r="K270" s="1009"/>
      <c r="L270" s="6"/>
    </row>
    <row r="271" spans="1:12">
      <c r="A271" s="982"/>
      <c r="B271" s="1008" t="s">
        <v>2690</v>
      </c>
      <c r="C271" s="1009"/>
      <c r="E271" s="1009"/>
      <c r="G271" s="1009"/>
      <c r="I271" s="1009"/>
      <c r="K271" s="1009"/>
      <c r="L271" s="6"/>
    </row>
    <row r="272" spans="1:12" ht="15.75" thickBot="1">
      <c r="A272" s="982"/>
      <c r="B272" s="1011" t="s">
        <v>2691</v>
      </c>
      <c r="C272" s="1012"/>
      <c r="D272" s="8"/>
      <c r="E272" s="1012"/>
      <c r="F272" s="8"/>
      <c r="G272" s="1012"/>
      <c r="H272" s="8"/>
      <c r="I272" s="1012"/>
      <c r="J272" s="8"/>
      <c r="K272" s="1012"/>
      <c r="L272" s="9"/>
    </row>
    <row r="273" spans="1:12" ht="15.75" thickBot="1">
      <c r="A273" s="982"/>
    </row>
    <row r="274" spans="1:12" ht="45.75" thickBot="1">
      <c r="A274" s="982">
        <v>5</v>
      </c>
      <c r="B274" s="1135" t="s">
        <v>2692</v>
      </c>
      <c r="C274" s="1000"/>
      <c r="D274" s="1025"/>
      <c r="E274" s="1000"/>
      <c r="F274" s="1025"/>
      <c r="G274" s="1000"/>
      <c r="H274" s="1025"/>
      <c r="I274" s="1000"/>
      <c r="J274" s="1025"/>
      <c r="K274" s="1000"/>
      <c r="L274" s="1094"/>
    </row>
    <row r="275" spans="1:12" ht="15.75" thickBot="1">
      <c r="A275" s="982"/>
    </row>
    <row r="276" spans="1:12" ht="60.75" thickBot="1">
      <c r="A276" s="982">
        <v>6</v>
      </c>
      <c r="B276" s="1135" t="s">
        <v>2693</v>
      </c>
      <c r="C276" s="1000"/>
      <c r="D276" s="1025"/>
      <c r="E276" s="1000"/>
      <c r="F276" s="1025"/>
      <c r="G276" s="1000"/>
      <c r="H276" s="1025"/>
      <c r="I276" s="1000"/>
      <c r="J276" s="1025"/>
      <c r="K276" s="1000"/>
      <c r="L276" s="1094"/>
    </row>
    <row r="277" spans="1:12" ht="15.75" thickBot="1">
      <c r="A277" s="982"/>
    </row>
    <row r="278" spans="1:12" ht="75.75" thickBot="1">
      <c r="A278" s="982">
        <v>7</v>
      </c>
      <c r="B278" s="1135" t="s">
        <v>2668</v>
      </c>
      <c r="C278" s="1000"/>
      <c r="D278" s="1025"/>
      <c r="E278" s="1000"/>
      <c r="F278" s="1025"/>
      <c r="G278" s="1000"/>
      <c r="H278" s="1025"/>
      <c r="I278" s="1000"/>
      <c r="J278" s="1025"/>
      <c r="K278" s="1000"/>
      <c r="L278" s="1094"/>
    </row>
    <row r="279" spans="1:12" ht="15.75" thickBot="1">
      <c r="A279" s="982"/>
    </row>
    <row r="280" spans="1:12" ht="60.75" thickBot="1">
      <c r="A280" s="982">
        <v>8</v>
      </c>
      <c r="B280" s="1135" t="s">
        <v>2694</v>
      </c>
      <c r="C280" s="1000"/>
      <c r="D280" s="1025"/>
      <c r="E280" s="1000"/>
      <c r="F280" s="1025"/>
      <c r="G280" s="1000"/>
      <c r="H280" s="1025"/>
      <c r="I280" s="1000"/>
      <c r="J280" s="1025"/>
      <c r="K280" s="1000"/>
      <c r="L280" s="1094"/>
    </row>
    <row r="281" spans="1:12" ht="15.75" thickBot="1">
      <c r="A281" s="982"/>
    </row>
    <row r="282" spans="1:12" ht="45.75" thickBot="1">
      <c r="A282" s="982">
        <v>9</v>
      </c>
      <c r="B282" s="1135" t="s">
        <v>2670</v>
      </c>
      <c r="C282" s="1000"/>
      <c r="D282" s="1025"/>
      <c r="E282" s="1000"/>
      <c r="F282" s="1025"/>
      <c r="G282" s="1000"/>
      <c r="H282" s="1025"/>
      <c r="I282" s="1000"/>
      <c r="J282" s="1025"/>
      <c r="K282" s="1000"/>
      <c r="L282" s="1094"/>
    </row>
    <row r="283" spans="1:12">
      <c r="A283" s="65"/>
    </row>
    <row r="284" spans="1:12">
      <c r="A284" s="65"/>
    </row>
    <row r="285" spans="1:12">
      <c r="A285" s="65"/>
      <c r="B285" s="1902" t="s">
        <v>2576</v>
      </c>
      <c r="C285" s="1902"/>
      <c r="D285" s="1902"/>
      <c r="E285" s="1902"/>
      <c r="F285" s="1902"/>
      <c r="G285" s="1902"/>
      <c r="H285" s="1902"/>
      <c r="I285" s="1902"/>
      <c r="J285" s="1902"/>
      <c r="K285" s="1902"/>
      <c r="L285" s="1902"/>
    </row>
    <row r="286" spans="1:12">
      <c r="A286" s="961"/>
      <c r="B286" s="961"/>
      <c r="C286" s="961"/>
      <c r="D286" s="961"/>
      <c r="E286" s="961"/>
      <c r="F286" s="961"/>
      <c r="G286" s="961"/>
      <c r="H286" s="961"/>
      <c r="I286" s="961"/>
    </row>
    <row r="287" spans="1:12" ht="15" customHeight="1">
      <c r="A287" s="961"/>
      <c r="B287" s="961"/>
      <c r="C287" s="961"/>
      <c r="D287" s="961"/>
      <c r="E287" s="961"/>
      <c r="F287" s="961"/>
      <c r="G287" s="961"/>
      <c r="H287" s="961"/>
      <c r="I287" s="961"/>
    </row>
    <row r="288" spans="1:12">
      <c r="A288" s="961"/>
      <c r="B288" s="961"/>
      <c r="C288" s="961"/>
      <c r="D288" s="961"/>
      <c r="E288" s="961"/>
      <c r="F288" s="961"/>
      <c r="G288" s="961"/>
      <c r="H288" s="961"/>
      <c r="I288" s="961"/>
    </row>
    <row r="289" spans="1:9">
      <c r="A289" s="961"/>
      <c r="B289" s="961"/>
      <c r="C289" s="961"/>
      <c r="D289" s="961"/>
      <c r="E289" s="961"/>
      <c r="F289" s="961"/>
      <c r="G289" s="961"/>
      <c r="H289" s="961"/>
      <c r="I289" s="961"/>
    </row>
    <row r="290" spans="1:9">
      <c r="A290" s="961"/>
      <c r="B290" s="961"/>
      <c r="C290" s="961"/>
      <c r="D290" s="961"/>
      <c r="E290" s="961"/>
      <c r="F290" s="961"/>
      <c r="G290" s="961"/>
      <c r="H290" s="961"/>
      <c r="I290" s="961"/>
    </row>
    <row r="291" spans="1:9">
      <c r="A291" s="961"/>
      <c r="B291" s="961"/>
      <c r="C291" s="961"/>
      <c r="D291" s="961"/>
      <c r="E291" s="961"/>
      <c r="F291" s="961"/>
      <c r="G291" s="961"/>
      <c r="H291" s="961"/>
      <c r="I291" s="961"/>
    </row>
    <row r="292" spans="1:9">
      <c r="A292" s="961"/>
      <c r="B292" s="961"/>
      <c r="C292" s="961"/>
      <c r="D292" s="961"/>
      <c r="E292" s="961"/>
      <c r="F292" s="961"/>
      <c r="G292" s="961"/>
      <c r="H292" s="961"/>
      <c r="I292" s="961"/>
    </row>
    <row r="293" spans="1:9">
      <c r="A293" s="961"/>
      <c r="B293" s="961"/>
      <c r="C293" s="961"/>
      <c r="D293" s="961"/>
      <c r="E293" s="961"/>
      <c r="F293" s="961"/>
      <c r="G293" s="961"/>
      <c r="H293" s="961"/>
      <c r="I293" s="961"/>
    </row>
    <row r="294" spans="1:9">
      <c r="A294" s="961"/>
      <c r="B294" s="961"/>
      <c r="C294" s="961"/>
      <c r="D294" s="961"/>
      <c r="E294" s="961"/>
      <c r="F294" s="961"/>
      <c r="G294" s="961"/>
      <c r="H294" s="961"/>
      <c r="I294" s="961"/>
    </row>
    <row r="295" spans="1:9">
      <c r="A295" s="961"/>
      <c r="B295" s="961"/>
      <c r="C295" s="961"/>
      <c r="D295" s="961"/>
      <c r="E295" s="961"/>
      <c r="F295" s="961"/>
      <c r="G295" s="961"/>
      <c r="H295" s="961"/>
      <c r="I295" s="961"/>
    </row>
    <row r="296" spans="1:9">
      <c r="A296" s="961"/>
      <c r="B296" s="961"/>
      <c r="C296" s="961"/>
      <c r="D296" s="961"/>
      <c r="E296" s="961"/>
      <c r="F296" s="961"/>
      <c r="G296" s="961"/>
      <c r="H296" s="961"/>
      <c r="I296" s="961"/>
    </row>
    <row r="297" spans="1:9">
      <c r="A297" s="961"/>
      <c r="B297" s="961"/>
      <c r="C297" s="961"/>
      <c r="D297" s="961"/>
      <c r="E297" s="961"/>
      <c r="F297" s="961"/>
      <c r="G297" s="961"/>
      <c r="H297" s="961"/>
      <c r="I297" s="961"/>
    </row>
    <row r="298" spans="1:9">
      <c r="A298" s="961"/>
      <c r="B298" s="961"/>
      <c r="C298" s="961"/>
      <c r="D298" s="961"/>
      <c r="E298" s="961"/>
      <c r="F298" s="961"/>
      <c r="G298" s="961"/>
      <c r="H298" s="961"/>
      <c r="I298" s="961"/>
    </row>
    <row r="299" spans="1:9">
      <c r="A299" s="961"/>
      <c r="B299" s="961"/>
      <c r="C299" s="961"/>
      <c r="D299" s="961"/>
      <c r="E299" s="961"/>
      <c r="F299" s="961"/>
      <c r="G299" s="961"/>
      <c r="H299" s="961"/>
      <c r="I299" s="961"/>
    </row>
    <row r="300" spans="1:9">
      <c r="A300" s="961"/>
      <c r="B300" s="961"/>
      <c r="C300" s="961"/>
      <c r="D300" s="961"/>
      <c r="E300" s="961"/>
      <c r="F300" s="961"/>
      <c r="G300" s="961"/>
      <c r="H300" s="961"/>
      <c r="I300" s="961"/>
    </row>
    <row r="301" spans="1:9">
      <c r="A301" s="961"/>
      <c r="B301" s="961"/>
      <c r="C301" s="961"/>
      <c r="D301" s="961"/>
      <c r="E301" s="961"/>
      <c r="F301" s="961"/>
      <c r="G301" s="961"/>
      <c r="H301" s="961"/>
      <c r="I301" s="961"/>
    </row>
    <row r="302" spans="1:9">
      <c r="A302" s="961"/>
      <c r="B302" s="961"/>
      <c r="C302" s="961"/>
      <c r="D302" s="961"/>
      <c r="E302" s="961"/>
      <c r="F302" s="961"/>
      <c r="G302" s="961"/>
      <c r="H302" s="961"/>
      <c r="I302" s="961"/>
    </row>
    <row r="303" spans="1:9">
      <c r="A303" s="961"/>
      <c r="B303" s="961"/>
      <c r="C303" s="961"/>
      <c r="D303" s="961"/>
      <c r="E303" s="961"/>
      <c r="F303" s="961"/>
      <c r="G303" s="961"/>
      <c r="H303" s="961"/>
      <c r="I303" s="961"/>
    </row>
    <row r="304" spans="1:9">
      <c r="A304" s="961"/>
      <c r="B304" s="961"/>
      <c r="C304" s="961"/>
      <c r="D304" s="961"/>
      <c r="E304" s="961"/>
      <c r="F304" s="961"/>
      <c r="G304" s="961"/>
      <c r="H304" s="961"/>
      <c r="I304" s="961"/>
    </row>
    <row r="305" spans="1:9">
      <c r="A305" s="961"/>
      <c r="B305" s="961"/>
      <c r="C305" s="961"/>
      <c r="D305" s="961"/>
      <c r="E305" s="961"/>
      <c r="F305" s="961"/>
      <c r="G305" s="961"/>
      <c r="H305" s="961"/>
      <c r="I305" s="961"/>
    </row>
    <row r="306" spans="1:9">
      <c r="A306" s="961"/>
      <c r="B306" s="961"/>
      <c r="C306" s="961"/>
      <c r="D306" s="961"/>
      <c r="E306" s="961"/>
      <c r="F306" s="961"/>
      <c r="G306" s="961"/>
      <c r="H306" s="961"/>
      <c r="I306" s="961"/>
    </row>
    <row r="307" spans="1:9">
      <c r="A307" s="961"/>
      <c r="B307" s="961"/>
      <c r="C307" s="961"/>
      <c r="D307" s="961"/>
      <c r="E307" s="961"/>
      <c r="F307" s="961"/>
      <c r="G307" s="961"/>
      <c r="H307" s="961"/>
      <c r="I307" s="961"/>
    </row>
    <row r="308" spans="1:9">
      <c r="A308" s="961"/>
      <c r="B308" s="961"/>
      <c r="C308" s="961"/>
      <c r="D308" s="961"/>
      <c r="E308" s="961"/>
      <c r="F308" s="961"/>
      <c r="G308" s="961"/>
      <c r="H308" s="961"/>
      <c r="I308" s="961"/>
    </row>
    <row r="309" spans="1:9">
      <c r="A309" s="961"/>
      <c r="B309" s="961"/>
      <c r="C309" s="961"/>
      <c r="D309" s="961"/>
      <c r="E309" s="961"/>
      <c r="F309" s="961"/>
      <c r="G309" s="961"/>
      <c r="H309" s="961"/>
      <c r="I309" s="961"/>
    </row>
    <row r="310" spans="1:9">
      <c r="A310" s="961"/>
      <c r="B310" s="961"/>
      <c r="C310" s="961"/>
      <c r="D310" s="961"/>
      <c r="E310" s="961"/>
      <c r="F310" s="961"/>
      <c r="G310" s="961"/>
      <c r="H310" s="961"/>
      <c r="I310" s="961"/>
    </row>
    <row r="311" spans="1:9">
      <c r="A311" s="961"/>
      <c r="B311" s="961"/>
      <c r="C311" s="961"/>
      <c r="D311" s="961"/>
      <c r="E311" s="961"/>
      <c r="F311" s="961"/>
      <c r="G311" s="961"/>
      <c r="H311" s="961"/>
      <c r="I311" s="961"/>
    </row>
    <row r="312" spans="1:9">
      <c r="A312" s="961"/>
      <c r="B312" s="961"/>
      <c r="C312" s="961"/>
      <c r="D312" s="961"/>
      <c r="E312" s="961"/>
      <c r="F312" s="961"/>
      <c r="G312" s="961"/>
      <c r="H312" s="961"/>
      <c r="I312" s="961"/>
    </row>
    <row r="313" spans="1:9">
      <c r="A313" s="961"/>
      <c r="B313" s="961"/>
      <c r="C313" s="961"/>
      <c r="D313" s="961"/>
      <c r="E313" s="961"/>
      <c r="F313" s="961"/>
      <c r="G313" s="961"/>
      <c r="H313" s="961"/>
      <c r="I313" s="961"/>
    </row>
    <row r="314" spans="1:9">
      <c r="A314" s="961"/>
      <c r="B314" s="961"/>
      <c r="C314" s="961"/>
      <c r="D314" s="961"/>
      <c r="E314" s="961"/>
      <c r="F314" s="961"/>
      <c r="G314" s="961"/>
      <c r="H314" s="961"/>
      <c r="I314" s="961"/>
    </row>
    <row r="315" spans="1:9">
      <c r="A315" s="961"/>
      <c r="B315" s="961"/>
      <c r="C315" s="961"/>
      <c r="D315" s="961"/>
      <c r="E315" s="961"/>
      <c r="F315" s="961"/>
      <c r="G315" s="961"/>
      <c r="H315" s="961"/>
      <c r="I315" s="961"/>
    </row>
    <row r="316" spans="1:9">
      <c r="A316" s="961"/>
      <c r="B316" s="961"/>
      <c r="C316" s="961"/>
      <c r="D316" s="961"/>
      <c r="E316" s="961"/>
      <c r="F316" s="961"/>
      <c r="G316" s="961"/>
      <c r="H316" s="961"/>
      <c r="I316" s="961"/>
    </row>
    <row r="317" spans="1:9">
      <c r="A317" s="961"/>
      <c r="B317" s="961"/>
      <c r="C317" s="961"/>
      <c r="D317" s="961"/>
      <c r="E317" s="961"/>
      <c r="F317" s="961"/>
      <c r="G317" s="961"/>
      <c r="H317" s="961"/>
      <c r="I317" s="961"/>
    </row>
    <row r="318" spans="1:9">
      <c r="A318" s="961"/>
      <c r="B318" s="961"/>
      <c r="C318" s="961"/>
      <c r="D318" s="961"/>
      <c r="E318" s="961"/>
      <c r="F318" s="961"/>
      <c r="G318" s="961"/>
      <c r="H318" s="961"/>
      <c r="I318" s="961"/>
    </row>
    <row r="319" spans="1:9">
      <c r="A319" s="961"/>
      <c r="B319" s="961"/>
      <c r="C319" s="961"/>
      <c r="D319" s="961"/>
      <c r="E319" s="961"/>
      <c r="F319" s="961"/>
      <c r="G319" s="961"/>
      <c r="H319" s="961"/>
      <c r="I319" s="961"/>
    </row>
    <row r="320" spans="1:9">
      <c r="A320" s="961"/>
      <c r="B320" s="961"/>
      <c r="C320" s="961"/>
      <c r="D320" s="961"/>
      <c r="E320" s="961"/>
      <c r="F320" s="961"/>
      <c r="G320" s="961"/>
      <c r="H320" s="961"/>
      <c r="I320" s="961"/>
    </row>
    <row r="321" spans="1:9">
      <c r="A321" s="961"/>
      <c r="B321" s="961"/>
      <c r="C321" s="961"/>
      <c r="D321" s="961"/>
      <c r="E321" s="961"/>
      <c r="F321" s="961"/>
      <c r="G321" s="961"/>
      <c r="H321" s="961"/>
      <c r="I321" s="961"/>
    </row>
    <row r="322" spans="1:9">
      <c r="A322" s="961"/>
      <c r="B322" s="961"/>
      <c r="C322" s="961"/>
      <c r="D322" s="961"/>
      <c r="E322" s="961"/>
      <c r="F322" s="961"/>
      <c r="G322" s="961"/>
      <c r="H322" s="961"/>
      <c r="I322" s="961"/>
    </row>
    <row r="323" spans="1:9">
      <c r="A323" s="961"/>
      <c r="B323" s="961"/>
      <c r="C323" s="961"/>
      <c r="D323" s="961"/>
      <c r="E323" s="961"/>
      <c r="F323" s="961"/>
      <c r="G323" s="961"/>
      <c r="H323" s="961"/>
      <c r="I323" s="961"/>
    </row>
    <row r="324" spans="1:9">
      <c r="A324" s="961"/>
      <c r="B324" s="961"/>
      <c r="C324" s="961"/>
      <c r="D324" s="961"/>
      <c r="E324" s="961"/>
      <c r="F324" s="961"/>
      <c r="G324" s="961"/>
      <c r="H324" s="961"/>
      <c r="I324" s="961"/>
    </row>
    <row r="325" spans="1:9">
      <c r="A325" s="961"/>
      <c r="B325" s="961"/>
      <c r="C325" s="961"/>
      <c r="D325" s="961"/>
      <c r="E325" s="961"/>
      <c r="F325" s="961"/>
      <c r="G325" s="961"/>
      <c r="H325" s="961"/>
      <c r="I325" s="961"/>
    </row>
    <row r="326" spans="1:9">
      <c r="A326" s="961"/>
      <c r="B326" s="961"/>
      <c r="C326" s="961"/>
      <c r="D326" s="961"/>
      <c r="E326" s="961"/>
      <c r="F326" s="961"/>
      <c r="G326" s="961"/>
      <c r="H326" s="961"/>
      <c r="I326" s="961"/>
    </row>
    <row r="327" spans="1:9">
      <c r="A327" s="961"/>
      <c r="B327" s="961"/>
      <c r="C327" s="961"/>
      <c r="D327" s="961"/>
      <c r="E327" s="961"/>
      <c r="F327" s="961"/>
      <c r="G327" s="961"/>
      <c r="H327" s="961"/>
      <c r="I327" s="961"/>
    </row>
    <row r="328" spans="1:9">
      <c r="A328" s="961"/>
      <c r="B328" s="961"/>
      <c r="C328" s="961"/>
      <c r="D328" s="961"/>
      <c r="E328" s="961"/>
      <c r="F328" s="961"/>
      <c r="G328" s="961"/>
      <c r="H328" s="961"/>
      <c r="I328" s="961"/>
    </row>
    <row r="329" spans="1:9">
      <c r="A329" s="961"/>
      <c r="B329" s="961"/>
      <c r="C329" s="961"/>
      <c r="D329" s="961"/>
      <c r="E329" s="961"/>
      <c r="F329" s="961"/>
      <c r="G329" s="961"/>
      <c r="H329" s="961"/>
      <c r="I329" s="961"/>
    </row>
    <row r="330" spans="1:9">
      <c r="A330" s="961"/>
      <c r="B330" s="961"/>
      <c r="C330" s="961"/>
      <c r="D330" s="961"/>
      <c r="E330" s="961"/>
      <c r="F330" s="961"/>
      <c r="G330" s="961"/>
      <c r="H330" s="961"/>
      <c r="I330" s="961"/>
    </row>
    <row r="331" spans="1:9">
      <c r="A331" s="961"/>
      <c r="B331" s="961"/>
      <c r="C331" s="961"/>
      <c r="D331" s="961"/>
      <c r="E331" s="961"/>
      <c r="F331" s="961"/>
      <c r="G331" s="961"/>
      <c r="H331" s="961"/>
      <c r="I331" s="961"/>
    </row>
    <row r="332" spans="1:9">
      <c r="A332" s="961"/>
      <c r="B332" s="961"/>
      <c r="C332" s="961"/>
      <c r="D332" s="961"/>
      <c r="E332" s="961"/>
      <c r="F332" s="961"/>
      <c r="G332" s="961"/>
      <c r="H332" s="961"/>
      <c r="I332" s="961"/>
    </row>
    <row r="333" spans="1:9">
      <c r="A333" s="961"/>
      <c r="B333" s="961"/>
      <c r="C333" s="961"/>
      <c r="D333" s="961"/>
      <c r="E333" s="961"/>
      <c r="F333" s="961"/>
      <c r="G333" s="961"/>
      <c r="H333" s="961"/>
      <c r="I333" s="961"/>
    </row>
    <row r="334" spans="1:9">
      <c r="A334" s="961"/>
      <c r="B334" s="961"/>
      <c r="C334" s="961"/>
      <c r="D334" s="961"/>
      <c r="E334" s="961"/>
      <c r="F334" s="961"/>
      <c r="G334" s="961"/>
      <c r="H334" s="961"/>
      <c r="I334" s="961"/>
    </row>
    <row r="335" spans="1:9">
      <c r="A335" s="961"/>
      <c r="B335" s="961"/>
      <c r="C335" s="961"/>
      <c r="D335" s="961"/>
      <c r="E335" s="961"/>
      <c r="F335" s="961"/>
      <c r="G335" s="961"/>
      <c r="H335" s="961"/>
      <c r="I335" s="961"/>
    </row>
    <row r="336" spans="1:9">
      <c r="A336" s="961"/>
      <c r="B336" s="961"/>
      <c r="C336" s="961"/>
      <c r="D336" s="961"/>
      <c r="E336" s="961"/>
      <c r="F336" s="961"/>
      <c r="G336" s="961"/>
      <c r="H336" s="961"/>
      <c r="I336" s="961"/>
    </row>
    <row r="337" spans="1:9">
      <c r="A337" s="961"/>
      <c r="B337" s="961"/>
      <c r="C337" s="961"/>
      <c r="D337" s="961"/>
      <c r="E337" s="961"/>
      <c r="F337" s="961"/>
      <c r="G337" s="961"/>
      <c r="H337" s="961"/>
      <c r="I337" s="961"/>
    </row>
    <row r="338" spans="1:9">
      <c r="A338" s="961"/>
      <c r="B338" s="961"/>
      <c r="C338" s="961"/>
      <c r="D338" s="961"/>
      <c r="E338" s="961"/>
      <c r="F338" s="961"/>
      <c r="G338" s="961"/>
      <c r="H338" s="961"/>
      <c r="I338" s="961"/>
    </row>
    <row r="339" spans="1:9">
      <c r="A339" s="961"/>
      <c r="B339" s="961"/>
      <c r="C339" s="961"/>
      <c r="D339" s="961"/>
      <c r="E339" s="961"/>
      <c r="F339" s="961"/>
      <c r="G339" s="961"/>
      <c r="H339" s="961"/>
      <c r="I339" s="961"/>
    </row>
    <row r="340" spans="1:9">
      <c r="A340" s="961"/>
      <c r="B340" s="961"/>
      <c r="C340" s="961"/>
      <c r="D340" s="961"/>
      <c r="E340" s="961"/>
      <c r="F340" s="961"/>
      <c r="G340" s="961"/>
      <c r="H340" s="961"/>
      <c r="I340" s="961"/>
    </row>
    <row r="341" spans="1:9">
      <c r="A341" s="961"/>
      <c r="B341" s="961"/>
      <c r="C341" s="961"/>
      <c r="D341" s="961"/>
      <c r="E341" s="961"/>
      <c r="F341" s="961"/>
      <c r="G341" s="961"/>
      <c r="H341" s="961"/>
      <c r="I341" s="961"/>
    </row>
    <row r="342" spans="1:9">
      <c r="A342" s="961"/>
      <c r="B342" s="961"/>
      <c r="C342" s="961"/>
      <c r="D342" s="961"/>
      <c r="E342" s="961"/>
      <c r="F342" s="961"/>
      <c r="G342" s="961"/>
      <c r="H342" s="961"/>
      <c r="I342" s="961"/>
    </row>
    <row r="343" spans="1:9">
      <c r="A343" s="961"/>
      <c r="B343" s="961"/>
      <c r="C343" s="961"/>
      <c r="D343" s="961"/>
      <c r="E343" s="961"/>
      <c r="F343" s="961"/>
      <c r="G343" s="961"/>
      <c r="H343" s="961"/>
      <c r="I343" s="961"/>
    </row>
    <row r="344" spans="1:9">
      <c r="A344" s="961"/>
      <c r="B344" s="961"/>
      <c r="C344" s="961"/>
      <c r="D344" s="961"/>
      <c r="E344" s="961"/>
      <c r="F344" s="961"/>
      <c r="G344" s="961"/>
      <c r="H344" s="961"/>
      <c r="I344" s="961"/>
    </row>
    <row r="345" spans="1:9">
      <c r="A345" s="961"/>
      <c r="B345" s="961"/>
      <c r="C345" s="961"/>
      <c r="D345" s="961"/>
      <c r="E345" s="961"/>
      <c r="F345" s="961"/>
      <c r="G345" s="961"/>
      <c r="H345" s="961"/>
      <c r="I345" s="961"/>
    </row>
    <row r="346" spans="1:9">
      <c r="A346" s="961"/>
      <c r="B346" s="961"/>
      <c r="C346" s="961"/>
      <c r="D346" s="961"/>
      <c r="E346" s="961"/>
      <c r="F346" s="961"/>
      <c r="G346" s="961"/>
      <c r="H346" s="961"/>
      <c r="I346" s="961"/>
    </row>
    <row r="347" spans="1:9">
      <c r="A347" s="961"/>
      <c r="B347" s="961"/>
      <c r="C347" s="961"/>
      <c r="D347" s="961"/>
      <c r="E347" s="961"/>
      <c r="F347" s="961"/>
      <c r="G347" s="961"/>
      <c r="H347" s="961"/>
      <c r="I347" s="961"/>
    </row>
    <row r="348" spans="1:9">
      <c r="A348" s="961"/>
      <c r="B348" s="961"/>
      <c r="C348" s="961"/>
      <c r="D348" s="961"/>
      <c r="E348" s="961"/>
      <c r="F348" s="961"/>
      <c r="G348" s="961"/>
      <c r="H348" s="961"/>
      <c r="I348" s="961"/>
    </row>
    <row r="349" spans="1:9">
      <c r="A349" s="961"/>
      <c r="B349" s="961"/>
      <c r="C349" s="961"/>
      <c r="D349" s="961"/>
      <c r="E349" s="961"/>
      <c r="F349" s="961"/>
      <c r="G349" s="961"/>
      <c r="H349" s="961"/>
      <c r="I349" s="961"/>
    </row>
    <row r="350" spans="1:9">
      <c r="A350" s="961"/>
      <c r="B350" s="961"/>
      <c r="C350" s="961"/>
      <c r="D350" s="961"/>
      <c r="E350" s="961"/>
      <c r="F350" s="961"/>
      <c r="G350" s="961"/>
      <c r="H350" s="961"/>
      <c r="I350" s="961"/>
    </row>
    <row r="351" spans="1:9">
      <c r="A351" s="961"/>
      <c r="B351" s="961"/>
      <c r="C351" s="961"/>
      <c r="D351" s="961"/>
      <c r="E351" s="961"/>
      <c r="F351" s="961"/>
      <c r="G351" s="961"/>
      <c r="H351" s="961"/>
      <c r="I351" s="961"/>
    </row>
    <row r="352" spans="1:9">
      <c r="A352" s="961"/>
      <c r="B352" s="961"/>
      <c r="C352" s="961"/>
      <c r="D352" s="961"/>
      <c r="E352" s="961"/>
      <c r="F352" s="961"/>
      <c r="G352" s="961"/>
      <c r="H352" s="961"/>
      <c r="I352" s="961"/>
    </row>
    <row r="353" spans="1:9">
      <c r="A353" s="961"/>
      <c r="B353" s="961"/>
      <c r="C353" s="961"/>
      <c r="D353" s="961"/>
      <c r="E353" s="961"/>
      <c r="F353" s="961"/>
      <c r="G353" s="961"/>
      <c r="H353" s="961"/>
      <c r="I353" s="961"/>
    </row>
    <row r="354" spans="1:9">
      <c r="A354" s="961"/>
      <c r="B354" s="961"/>
      <c r="C354" s="961"/>
      <c r="D354" s="961"/>
      <c r="E354" s="961"/>
      <c r="F354" s="961"/>
      <c r="G354" s="961"/>
      <c r="H354" s="961"/>
      <c r="I354" s="961"/>
    </row>
    <row r="355" spans="1:9">
      <c r="A355" s="961"/>
      <c r="B355" s="961"/>
      <c r="C355" s="961"/>
      <c r="D355" s="961"/>
      <c r="E355" s="961"/>
      <c r="F355" s="961"/>
      <c r="G355" s="961"/>
      <c r="H355" s="961"/>
      <c r="I355" s="961"/>
    </row>
    <row r="356" spans="1:9">
      <c r="A356" s="961"/>
      <c r="B356" s="961"/>
      <c r="C356" s="961"/>
      <c r="D356" s="961"/>
      <c r="E356" s="961"/>
      <c r="F356" s="961"/>
      <c r="G356" s="961"/>
      <c r="H356" s="961"/>
      <c r="I356" s="961"/>
    </row>
    <row r="357" spans="1:9">
      <c r="A357" s="961"/>
      <c r="B357" s="961"/>
      <c r="C357" s="961"/>
      <c r="D357" s="961"/>
      <c r="E357" s="961"/>
      <c r="F357" s="961"/>
      <c r="G357" s="961"/>
      <c r="H357" s="961"/>
      <c r="I357" s="961"/>
    </row>
    <row r="358" spans="1:9">
      <c r="A358" s="961"/>
      <c r="B358" s="961"/>
      <c r="C358" s="961"/>
      <c r="D358" s="961"/>
      <c r="E358" s="961"/>
      <c r="F358" s="961"/>
      <c r="G358" s="961"/>
      <c r="H358" s="961"/>
      <c r="I358" s="961"/>
    </row>
    <row r="359" spans="1:9">
      <c r="A359" s="961"/>
      <c r="B359" s="961"/>
      <c r="C359" s="961"/>
      <c r="D359" s="961"/>
      <c r="E359" s="961"/>
      <c r="F359" s="961"/>
      <c r="G359" s="961"/>
      <c r="H359" s="961"/>
      <c r="I359" s="961"/>
    </row>
    <row r="360" spans="1:9">
      <c r="A360" s="961"/>
      <c r="B360" s="961"/>
      <c r="C360" s="961"/>
      <c r="D360" s="961"/>
      <c r="E360" s="961"/>
      <c r="F360" s="961"/>
      <c r="G360" s="961"/>
      <c r="H360" s="961"/>
      <c r="I360" s="961"/>
    </row>
    <row r="361" spans="1:9">
      <c r="A361" s="961"/>
      <c r="B361" s="961"/>
      <c r="C361" s="961"/>
      <c r="D361" s="961"/>
      <c r="E361" s="961"/>
      <c r="F361" s="961"/>
      <c r="G361" s="961"/>
      <c r="H361" s="961"/>
      <c r="I361" s="961"/>
    </row>
    <row r="362" spans="1:9">
      <c r="A362" s="961"/>
      <c r="B362" s="961"/>
      <c r="C362" s="961"/>
      <c r="D362" s="961"/>
      <c r="E362" s="961"/>
      <c r="F362" s="961"/>
      <c r="G362" s="961"/>
      <c r="H362" s="961"/>
      <c r="I362" s="961"/>
    </row>
    <row r="363" spans="1:9">
      <c r="A363" s="961"/>
      <c r="B363" s="961"/>
      <c r="C363" s="961"/>
      <c r="D363" s="961"/>
      <c r="E363" s="961"/>
      <c r="F363" s="961"/>
      <c r="G363" s="961"/>
      <c r="H363" s="961"/>
      <c r="I363" s="961"/>
    </row>
    <row r="364" spans="1:9">
      <c r="A364" s="961"/>
      <c r="B364" s="961"/>
      <c r="C364" s="961"/>
      <c r="D364" s="961"/>
      <c r="E364" s="961"/>
      <c r="F364" s="961"/>
      <c r="G364" s="961"/>
      <c r="H364" s="961"/>
      <c r="I364" s="961"/>
    </row>
    <row r="365" spans="1:9">
      <c r="A365" s="961"/>
      <c r="B365" s="961"/>
      <c r="C365" s="961"/>
      <c r="D365" s="961"/>
      <c r="E365" s="961"/>
      <c r="F365" s="961"/>
      <c r="G365" s="961"/>
      <c r="H365" s="961"/>
      <c r="I365" s="961"/>
    </row>
    <row r="366" spans="1:9">
      <c r="A366" s="961"/>
      <c r="B366" s="961"/>
      <c r="C366" s="961"/>
      <c r="D366" s="961"/>
      <c r="E366" s="961"/>
      <c r="F366" s="961"/>
      <c r="G366" s="961"/>
      <c r="H366" s="961"/>
      <c r="I366" s="961"/>
    </row>
    <row r="367" spans="1:9">
      <c r="A367" s="961"/>
      <c r="B367" s="961"/>
      <c r="C367" s="961"/>
      <c r="D367" s="961"/>
      <c r="E367" s="961"/>
      <c r="F367" s="961"/>
      <c r="G367" s="961"/>
      <c r="H367" s="961"/>
      <c r="I367" s="961"/>
    </row>
    <row r="368" spans="1:9">
      <c r="A368" s="961"/>
      <c r="B368" s="961"/>
      <c r="C368" s="961"/>
      <c r="D368" s="961"/>
      <c r="E368" s="961"/>
      <c r="F368" s="961"/>
      <c r="G368" s="961"/>
      <c r="H368" s="961"/>
      <c r="I368" s="961"/>
    </row>
    <row r="369" spans="1:9">
      <c r="A369" s="961"/>
      <c r="B369" s="961"/>
      <c r="C369" s="961"/>
      <c r="D369" s="961"/>
      <c r="E369" s="961"/>
      <c r="F369" s="961"/>
      <c r="G369" s="961"/>
      <c r="H369" s="961"/>
      <c r="I369" s="961"/>
    </row>
    <row r="370" spans="1:9">
      <c r="A370" s="961"/>
      <c r="B370" s="961"/>
      <c r="C370" s="961"/>
      <c r="D370" s="961"/>
      <c r="E370" s="961"/>
      <c r="F370" s="961"/>
      <c r="G370" s="961"/>
      <c r="H370" s="961"/>
      <c r="I370" s="961"/>
    </row>
    <row r="371" spans="1:9">
      <c r="A371" s="961"/>
      <c r="B371" s="961"/>
      <c r="C371" s="961"/>
      <c r="D371" s="961"/>
      <c r="E371" s="961"/>
      <c r="F371" s="961"/>
      <c r="G371" s="961"/>
      <c r="H371" s="961"/>
      <c r="I371" s="961"/>
    </row>
    <row r="372" spans="1:9">
      <c r="A372" s="961"/>
      <c r="B372" s="961"/>
      <c r="C372" s="961"/>
      <c r="D372" s="961"/>
      <c r="E372" s="961"/>
      <c r="F372" s="961"/>
      <c r="G372" s="961"/>
      <c r="H372" s="961"/>
      <c r="I372" s="961"/>
    </row>
    <row r="373" spans="1:9">
      <c r="A373" s="961"/>
      <c r="B373" s="961"/>
      <c r="C373" s="961"/>
      <c r="D373" s="961"/>
      <c r="E373" s="961"/>
      <c r="F373" s="961"/>
      <c r="G373" s="961"/>
      <c r="H373" s="961"/>
      <c r="I373" s="961"/>
    </row>
    <row r="374" spans="1:9">
      <c r="A374" s="961"/>
      <c r="B374" s="961"/>
      <c r="C374" s="961"/>
      <c r="D374" s="961"/>
      <c r="E374" s="961"/>
      <c r="F374" s="961"/>
      <c r="G374" s="961"/>
      <c r="H374" s="961"/>
      <c r="I374" s="961"/>
    </row>
    <row r="375" spans="1:9">
      <c r="A375" s="961"/>
      <c r="B375" s="961"/>
      <c r="C375" s="961"/>
      <c r="D375" s="961"/>
      <c r="E375" s="961"/>
      <c r="F375" s="961"/>
      <c r="G375" s="961"/>
      <c r="H375" s="961"/>
      <c r="I375" s="961"/>
    </row>
    <row r="376" spans="1:9">
      <c r="A376" s="961"/>
      <c r="B376" s="961"/>
      <c r="C376" s="961"/>
      <c r="D376" s="961"/>
      <c r="E376" s="961"/>
      <c r="F376" s="961"/>
      <c r="G376" s="961"/>
      <c r="H376" s="961"/>
      <c r="I376" s="961"/>
    </row>
    <row r="377" spans="1:9">
      <c r="A377" s="961"/>
      <c r="B377" s="961"/>
      <c r="C377" s="961"/>
      <c r="D377" s="961"/>
      <c r="E377" s="961"/>
      <c r="F377" s="961"/>
      <c r="G377" s="961"/>
      <c r="H377" s="961"/>
      <c r="I377" s="961"/>
    </row>
    <row r="378" spans="1:9">
      <c r="A378" s="961"/>
      <c r="B378" s="961"/>
      <c r="C378" s="961"/>
      <c r="D378" s="961"/>
      <c r="E378" s="961"/>
      <c r="F378" s="961"/>
      <c r="G378" s="961"/>
      <c r="H378" s="961"/>
      <c r="I378" s="961"/>
    </row>
    <row r="379" spans="1:9">
      <c r="A379" s="961"/>
      <c r="B379" s="961"/>
      <c r="C379" s="961"/>
      <c r="D379" s="961"/>
      <c r="E379" s="961"/>
      <c r="F379" s="961"/>
      <c r="G379" s="961"/>
      <c r="H379" s="961"/>
      <c r="I379" s="961"/>
    </row>
    <row r="380" spans="1:9">
      <c r="A380" s="961"/>
      <c r="B380" s="961"/>
      <c r="C380" s="961"/>
      <c r="D380" s="961"/>
      <c r="E380" s="961"/>
      <c r="F380" s="961"/>
      <c r="G380" s="961"/>
      <c r="H380" s="961"/>
      <c r="I380" s="961"/>
    </row>
    <row r="381" spans="1:9">
      <c r="A381" s="961"/>
      <c r="B381" s="961"/>
      <c r="C381" s="961"/>
      <c r="D381" s="961"/>
      <c r="E381" s="961"/>
      <c r="F381" s="961"/>
      <c r="G381" s="961"/>
      <c r="H381" s="961"/>
      <c r="I381" s="961"/>
    </row>
    <row r="382" spans="1:9">
      <c r="A382" s="961"/>
      <c r="B382" s="961"/>
      <c r="C382" s="961"/>
      <c r="D382" s="961"/>
      <c r="E382" s="961"/>
      <c r="F382" s="961"/>
      <c r="G382" s="961"/>
      <c r="H382" s="961"/>
      <c r="I382" s="961"/>
    </row>
    <row r="383" spans="1:9">
      <c r="A383" s="961"/>
      <c r="B383" s="961"/>
      <c r="C383" s="961"/>
      <c r="D383" s="961"/>
      <c r="E383" s="961"/>
      <c r="F383" s="961"/>
      <c r="G383" s="961"/>
      <c r="H383" s="961"/>
      <c r="I383" s="961"/>
    </row>
    <row r="384" spans="1:9">
      <c r="A384" s="961"/>
      <c r="B384" s="961"/>
      <c r="C384" s="961"/>
      <c r="D384" s="961"/>
      <c r="E384" s="961"/>
      <c r="F384" s="961"/>
      <c r="G384" s="961"/>
      <c r="H384" s="961"/>
      <c r="I384" s="961"/>
    </row>
    <row r="385" spans="1:9">
      <c r="A385" s="961"/>
      <c r="B385" s="961"/>
      <c r="C385" s="961"/>
      <c r="D385" s="961"/>
      <c r="E385" s="961"/>
      <c r="F385" s="961"/>
      <c r="G385" s="961"/>
      <c r="H385" s="961"/>
      <c r="I385" s="961"/>
    </row>
    <row r="386" spans="1:9">
      <c r="A386" s="961"/>
      <c r="B386" s="961"/>
      <c r="C386" s="961"/>
      <c r="D386" s="961"/>
      <c r="E386" s="961"/>
      <c r="F386" s="961"/>
      <c r="G386" s="961"/>
      <c r="H386" s="961"/>
      <c r="I386" s="961"/>
    </row>
    <row r="387" spans="1:9">
      <c r="A387" s="961"/>
      <c r="B387" s="961"/>
      <c r="C387" s="961"/>
      <c r="D387" s="961"/>
      <c r="E387" s="961"/>
      <c r="F387" s="961"/>
      <c r="G387" s="961"/>
      <c r="H387" s="961"/>
      <c r="I387" s="961"/>
    </row>
    <row r="388" spans="1:9">
      <c r="A388" s="961"/>
      <c r="B388" s="961"/>
      <c r="C388" s="961"/>
      <c r="D388" s="961"/>
      <c r="E388" s="961"/>
      <c r="F388" s="961"/>
      <c r="G388" s="961"/>
      <c r="H388" s="961"/>
      <c r="I388" s="961"/>
    </row>
    <row r="389" spans="1:9">
      <c r="A389" s="961"/>
      <c r="B389" s="961"/>
      <c r="C389" s="961"/>
      <c r="D389" s="961"/>
      <c r="E389" s="961"/>
      <c r="F389" s="961"/>
      <c r="G389" s="961"/>
      <c r="H389" s="961"/>
      <c r="I389" s="961"/>
    </row>
    <row r="390" spans="1:9">
      <c r="A390" s="961"/>
      <c r="B390" s="961"/>
      <c r="C390" s="961"/>
      <c r="D390" s="961"/>
      <c r="E390" s="961"/>
      <c r="F390" s="961"/>
      <c r="G390" s="961"/>
      <c r="H390" s="961"/>
      <c r="I390" s="961"/>
    </row>
    <row r="391" spans="1:9">
      <c r="A391" s="961"/>
      <c r="B391" s="961"/>
      <c r="C391" s="961"/>
      <c r="D391" s="961"/>
      <c r="E391" s="961"/>
      <c r="F391" s="961"/>
      <c r="G391" s="961"/>
      <c r="H391" s="961"/>
      <c r="I391" s="961"/>
    </row>
    <row r="392" spans="1:9">
      <c r="A392" s="961"/>
      <c r="B392" s="961"/>
      <c r="C392" s="961"/>
      <c r="D392" s="961"/>
      <c r="E392" s="961"/>
      <c r="F392" s="961"/>
      <c r="G392" s="961"/>
      <c r="H392" s="961"/>
      <c r="I392" s="961"/>
    </row>
    <row r="393" spans="1:9">
      <c r="A393" s="961"/>
      <c r="B393" s="961"/>
      <c r="C393" s="961"/>
      <c r="D393" s="961"/>
      <c r="E393" s="961"/>
      <c r="F393" s="961"/>
      <c r="G393" s="961"/>
      <c r="H393" s="961"/>
      <c r="I393" s="961"/>
    </row>
    <row r="394" spans="1:9">
      <c r="A394" s="961"/>
      <c r="B394" s="961"/>
      <c r="C394" s="961"/>
      <c r="D394" s="961"/>
      <c r="E394" s="961"/>
      <c r="F394" s="961"/>
      <c r="G394" s="961"/>
      <c r="H394" s="961"/>
      <c r="I394" s="961"/>
    </row>
    <row r="395" spans="1:9">
      <c r="A395" s="961"/>
      <c r="B395" s="961"/>
      <c r="C395" s="961"/>
      <c r="D395" s="961"/>
      <c r="E395" s="961"/>
      <c r="F395" s="961"/>
      <c r="G395" s="961"/>
      <c r="H395" s="961"/>
      <c r="I395" s="961"/>
    </row>
    <row r="396" spans="1:9">
      <c r="A396" s="961"/>
      <c r="B396" s="961"/>
      <c r="C396" s="961"/>
      <c r="D396" s="961"/>
      <c r="E396" s="961"/>
      <c r="F396" s="961"/>
      <c r="G396" s="961"/>
      <c r="H396" s="961"/>
      <c r="I396" s="961"/>
    </row>
    <row r="397" spans="1:9">
      <c r="A397" s="961"/>
      <c r="B397" s="961"/>
      <c r="C397" s="961"/>
      <c r="D397" s="961"/>
      <c r="E397" s="961"/>
      <c r="F397" s="961"/>
      <c r="G397" s="961"/>
      <c r="H397" s="961"/>
      <c r="I397" s="961"/>
    </row>
    <row r="398" spans="1:9">
      <c r="A398" s="961"/>
      <c r="B398" s="961"/>
      <c r="C398" s="961"/>
      <c r="D398" s="961"/>
      <c r="E398" s="961"/>
      <c r="F398" s="961"/>
      <c r="G398" s="961"/>
      <c r="H398" s="961"/>
      <c r="I398" s="961"/>
    </row>
    <row r="399" spans="1:9">
      <c r="A399" s="961"/>
      <c r="B399" s="961"/>
      <c r="C399" s="961"/>
      <c r="D399" s="961"/>
      <c r="E399" s="961"/>
      <c r="F399" s="961"/>
      <c r="G399" s="961"/>
      <c r="H399" s="961"/>
      <c r="I399" s="961"/>
    </row>
    <row r="400" spans="1:9">
      <c r="A400" s="961"/>
      <c r="B400" s="961"/>
      <c r="C400" s="961"/>
      <c r="D400" s="961"/>
      <c r="E400" s="961"/>
      <c r="F400" s="961"/>
      <c r="G400" s="961"/>
      <c r="H400" s="961"/>
      <c r="I400" s="961"/>
    </row>
    <row r="401" spans="1:9">
      <c r="A401" s="961"/>
      <c r="B401" s="961"/>
      <c r="C401" s="961"/>
      <c r="D401" s="961"/>
      <c r="E401" s="961"/>
      <c r="F401" s="961"/>
      <c r="G401" s="961"/>
      <c r="H401" s="961"/>
      <c r="I401" s="961"/>
    </row>
    <row r="402" spans="1:9">
      <c r="A402" s="961"/>
      <c r="B402" s="961"/>
      <c r="C402" s="961"/>
      <c r="D402" s="961"/>
      <c r="E402" s="961"/>
      <c r="F402" s="961"/>
      <c r="G402" s="961"/>
      <c r="H402" s="961"/>
      <c r="I402" s="961"/>
    </row>
    <row r="403" spans="1:9">
      <c r="A403" s="961"/>
      <c r="B403" s="961"/>
      <c r="C403" s="961"/>
      <c r="D403" s="961"/>
      <c r="E403" s="961"/>
      <c r="F403" s="961"/>
      <c r="G403" s="961"/>
      <c r="H403" s="961"/>
      <c r="I403" s="961"/>
    </row>
    <row r="404" spans="1:9">
      <c r="A404" s="961"/>
      <c r="B404" s="961"/>
      <c r="C404" s="961"/>
      <c r="D404" s="961"/>
      <c r="E404" s="961"/>
      <c r="F404" s="961"/>
      <c r="G404" s="961"/>
      <c r="H404" s="961"/>
      <c r="I404" s="961"/>
    </row>
    <row r="405" spans="1:9">
      <c r="A405" s="961"/>
      <c r="B405" s="961"/>
      <c r="C405" s="961"/>
      <c r="D405" s="961"/>
      <c r="E405" s="961"/>
      <c r="F405" s="961"/>
      <c r="G405" s="961"/>
      <c r="H405" s="961"/>
      <c r="I405" s="961"/>
    </row>
    <row r="406" spans="1:9">
      <c r="A406" s="961"/>
      <c r="B406" s="961"/>
      <c r="C406" s="961"/>
      <c r="D406" s="961"/>
      <c r="E406" s="961"/>
      <c r="F406" s="961"/>
      <c r="G406" s="961"/>
      <c r="H406" s="961"/>
      <c r="I406" s="961"/>
    </row>
    <row r="407" spans="1:9">
      <c r="A407" s="961"/>
      <c r="B407" s="961"/>
      <c r="C407" s="961"/>
      <c r="D407" s="961"/>
      <c r="E407" s="961"/>
      <c r="F407" s="961"/>
      <c r="G407" s="961"/>
      <c r="H407" s="961"/>
      <c r="I407" s="961"/>
    </row>
    <row r="408" spans="1:9">
      <c r="A408" s="961"/>
      <c r="B408" s="961"/>
      <c r="C408" s="961"/>
      <c r="D408" s="961"/>
      <c r="E408" s="961"/>
      <c r="F408" s="961"/>
      <c r="G408" s="961"/>
      <c r="H408" s="961"/>
      <c r="I408" s="961"/>
    </row>
    <row r="409" spans="1:9">
      <c r="A409" s="961"/>
      <c r="B409" s="961"/>
      <c r="C409" s="961"/>
      <c r="D409" s="961"/>
      <c r="E409" s="961"/>
      <c r="F409" s="961"/>
      <c r="G409" s="961"/>
      <c r="H409" s="961"/>
      <c r="I409" s="961"/>
    </row>
    <row r="410" spans="1:9">
      <c r="A410" s="961"/>
      <c r="B410" s="961"/>
      <c r="C410" s="961"/>
      <c r="D410" s="961"/>
      <c r="E410" s="961"/>
      <c r="F410" s="961"/>
      <c r="G410" s="961"/>
      <c r="H410" s="961"/>
      <c r="I410" s="961"/>
    </row>
    <row r="411" spans="1:9">
      <c r="A411" s="961"/>
      <c r="B411" s="961"/>
      <c r="C411" s="961"/>
      <c r="D411" s="961"/>
      <c r="E411" s="961"/>
      <c r="F411" s="961"/>
      <c r="G411" s="961"/>
      <c r="H411" s="961"/>
      <c r="I411" s="961"/>
    </row>
    <row r="412" spans="1:9">
      <c r="A412" s="961"/>
      <c r="B412" s="961"/>
      <c r="C412" s="961"/>
      <c r="D412" s="961"/>
      <c r="E412" s="961"/>
      <c r="F412" s="961"/>
      <c r="G412" s="961"/>
      <c r="H412" s="961"/>
      <c r="I412" s="961"/>
    </row>
    <row r="413" spans="1:9">
      <c r="A413" s="961"/>
      <c r="B413" s="961"/>
      <c r="C413" s="961"/>
      <c r="D413" s="961"/>
      <c r="E413" s="961"/>
      <c r="F413" s="961"/>
      <c r="G413" s="961"/>
      <c r="H413" s="961"/>
      <c r="I413" s="961"/>
    </row>
    <row r="414" spans="1:9">
      <c r="A414" s="961"/>
      <c r="B414" s="961"/>
      <c r="C414" s="961"/>
      <c r="D414" s="961"/>
      <c r="E414" s="961"/>
      <c r="F414" s="961"/>
      <c r="G414" s="961"/>
      <c r="H414" s="961"/>
      <c r="I414" s="961"/>
    </row>
    <row r="415" spans="1:9">
      <c r="A415" s="961"/>
      <c r="B415" s="961"/>
      <c r="C415" s="961"/>
      <c r="D415" s="961"/>
      <c r="E415" s="961"/>
      <c r="F415" s="961"/>
      <c r="G415" s="961"/>
      <c r="H415" s="961"/>
      <c r="I415" s="961"/>
    </row>
    <row r="416" spans="1:9">
      <c r="A416" s="961"/>
      <c r="B416" s="961"/>
      <c r="C416" s="961"/>
      <c r="D416" s="961"/>
      <c r="E416" s="961"/>
      <c r="F416" s="961"/>
      <c r="G416" s="961"/>
      <c r="H416" s="961"/>
      <c r="I416" s="961"/>
    </row>
    <row r="417" spans="1:9">
      <c r="A417" s="961"/>
      <c r="B417" s="961"/>
      <c r="C417" s="961"/>
      <c r="D417" s="961"/>
      <c r="E417" s="961"/>
      <c r="F417" s="961"/>
      <c r="G417" s="961"/>
      <c r="H417" s="961"/>
      <c r="I417" s="961"/>
    </row>
    <row r="418" spans="1:9">
      <c r="A418" s="961"/>
      <c r="B418" s="961"/>
      <c r="C418" s="961"/>
      <c r="D418" s="961"/>
      <c r="E418" s="961"/>
      <c r="F418" s="961"/>
      <c r="G418" s="961"/>
      <c r="H418" s="961"/>
      <c r="I418" s="961"/>
    </row>
    <row r="419" spans="1:9">
      <c r="A419" s="961"/>
      <c r="B419" s="961"/>
      <c r="C419" s="961"/>
      <c r="D419" s="961"/>
      <c r="E419" s="961"/>
      <c r="F419" s="961"/>
      <c r="G419" s="961"/>
      <c r="H419" s="961"/>
      <c r="I419" s="961"/>
    </row>
    <row r="420" spans="1:9">
      <c r="A420" s="961"/>
      <c r="B420" s="961"/>
      <c r="C420" s="961"/>
      <c r="D420" s="961"/>
      <c r="E420" s="961"/>
      <c r="F420" s="961"/>
      <c r="G420" s="961"/>
      <c r="H420" s="961"/>
      <c r="I420" s="961"/>
    </row>
    <row r="421" spans="1:9">
      <c r="A421" s="961"/>
      <c r="B421" s="961"/>
      <c r="C421" s="961"/>
      <c r="D421" s="961"/>
      <c r="E421" s="961"/>
      <c r="F421" s="961"/>
      <c r="G421" s="961"/>
      <c r="H421" s="961"/>
      <c r="I421" s="961"/>
    </row>
    <row r="422" spans="1:9">
      <c r="A422" s="961"/>
      <c r="B422" s="961"/>
      <c r="C422" s="961"/>
      <c r="D422" s="961"/>
      <c r="E422" s="961"/>
      <c r="F422" s="961"/>
      <c r="G422" s="961"/>
      <c r="H422" s="961"/>
      <c r="I422" s="961"/>
    </row>
    <row r="423" spans="1:9">
      <c r="A423" s="961"/>
      <c r="B423" s="961"/>
      <c r="C423" s="961"/>
      <c r="D423" s="961"/>
      <c r="E423" s="961"/>
      <c r="F423" s="961"/>
      <c r="G423" s="961"/>
      <c r="H423" s="961"/>
      <c r="I423" s="961"/>
    </row>
    <row r="424" spans="1:9">
      <c r="A424" s="961"/>
      <c r="B424" s="961"/>
      <c r="C424" s="961"/>
      <c r="D424" s="961"/>
      <c r="E424" s="961"/>
      <c r="F424" s="961"/>
      <c r="G424" s="961"/>
      <c r="H424" s="961"/>
      <c r="I424" s="961"/>
    </row>
    <row r="425" spans="1:9">
      <c r="A425" s="961"/>
      <c r="B425" s="961"/>
      <c r="C425" s="961"/>
      <c r="D425" s="961"/>
      <c r="E425" s="961"/>
      <c r="F425" s="961"/>
      <c r="G425" s="961"/>
      <c r="H425" s="961"/>
      <c r="I425" s="961"/>
    </row>
    <row r="426" spans="1:9">
      <c r="A426" s="961"/>
      <c r="B426" s="961"/>
      <c r="C426" s="961"/>
      <c r="D426" s="961"/>
      <c r="E426" s="961"/>
      <c r="F426" s="961"/>
      <c r="G426" s="961"/>
      <c r="H426" s="961"/>
      <c r="I426" s="961"/>
    </row>
    <row r="427" spans="1:9">
      <c r="A427" s="961"/>
      <c r="B427" s="961"/>
      <c r="C427" s="961"/>
      <c r="D427" s="961"/>
      <c r="E427" s="961"/>
      <c r="F427" s="961"/>
      <c r="G427" s="961"/>
      <c r="H427" s="961"/>
      <c r="I427" s="961"/>
    </row>
    <row r="428" spans="1:9">
      <c r="A428" s="961"/>
      <c r="B428" s="961"/>
      <c r="C428" s="961"/>
      <c r="D428" s="961"/>
      <c r="E428" s="961"/>
      <c r="F428" s="961"/>
      <c r="G428" s="961"/>
      <c r="H428" s="961"/>
      <c r="I428" s="961"/>
    </row>
    <row r="429" spans="1:9">
      <c r="A429" s="961"/>
      <c r="B429" s="961"/>
      <c r="C429" s="961"/>
      <c r="D429" s="961"/>
      <c r="E429" s="961"/>
      <c r="F429" s="961"/>
      <c r="G429" s="961"/>
      <c r="H429" s="961"/>
      <c r="I429" s="961"/>
    </row>
    <row r="430" spans="1:9">
      <c r="A430" s="961"/>
      <c r="B430" s="961"/>
      <c r="C430" s="961"/>
      <c r="D430" s="961"/>
      <c r="E430" s="961"/>
      <c r="F430" s="961"/>
      <c r="G430" s="961"/>
      <c r="H430" s="961"/>
      <c r="I430" s="961"/>
    </row>
    <row r="431" spans="1:9">
      <c r="A431" s="961"/>
      <c r="B431" s="961"/>
      <c r="C431" s="961"/>
      <c r="D431" s="961"/>
      <c r="E431" s="961"/>
      <c r="F431" s="961"/>
      <c r="G431" s="961"/>
      <c r="H431" s="961"/>
      <c r="I431" s="961"/>
    </row>
    <row r="432" spans="1:9">
      <c r="A432" s="961"/>
      <c r="B432" s="961"/>
      <c r="C432" s="961"/>
      <c r="D432" s="961"/>
      <c r="E432" s="961"/>
      <c r="F432" s="961"/>
      <c r="G432" s="961"/>
      <c r="H432" s="961"/>
      <c r="I432" s="961"/>
    </row>
    <row r="433" spans="1:9">
      <c r="A433" s="961"/>
      <c r="B433" s="961"/>
      <c r="C433" s="961"/>
      <c r="D433" s="961"/>
      <c r="E433" s="961"/>
      <c r="F433" s="961"/>
      <c r="G433" s="961"/>
      <c r="H433" s="961"/>
      <c r="I433" s="961"/>
    </row>
    <row r="434" spans="1:9">
      <c r="A434" s="961"/>
      <c r="B434" s="961"/>
      <c r="C434" s="961"/>
      <c r="D434" s="961"/>
      <c r="E434" s="961"/>
      <c r="F434" s="961"/>
      <c r="G434" s="961"/>
      <c r="H434" s="961"/>
      <c r="I434" s="961"/>
    </row>
    <row r="435" spans="1:9">
      <c r="A435" s="961"/>
      <c r="B435" s="961"/>
      <c r="C435" s="961"/>
      <c r="D435" s="961"/>
      <c r="E435" s="961"/>
      <c r="F435" s="961"/>
      <c r="G435" s="961"/>
      <c r="H435" s="961"/>
      <c r="I435" s="961"/>
    </row>
    <row r="436" spans="1:9">
      <c r="A436" s="961"/>
      <c r="B436" s="961"/>
      <c r="C436" s="961"/>
      <c r="D436" s="961"/>
      <c r="E436" s="961"/>
      <c r="F436" s="961"/>
      <c r="G436" s="961"/>
      <c r="H436" s="961"/>
      <c r="I436" s="961"/>
    </row>
    <row r="437" spans="1:9">
      <c r="A437" s="961"/>
      <c r="B437" s="961"/>
      <c r="C437" s="961"/>
      <c r="D437" s="961"/>
      <c r="E437" s="961"/>
      <c r="F437" s="961"/>
      <c r="G437" s="961"/>
      <c r="H437" s="961"/>
      <c r="I437" s="961"/>
    </row>
    <row r="438" spans="1:9">
      <c r="A438" s="961"/>
      <c r="B438" s="961"/>
      <c r="C438" s="961"/>
      <c r="D438" s="961"/>
      <c r="E438" s="961"/>
      <c r="F438" s="961"/>
      <c r="G438" s="961"/>
      <c r="H438" s="961"/>
      <c r="I438" s="961"/>
    </row>
    <row r="439" spans="1:9">
      <c r="A439" s="961"/>
      <c r="B439" s="961"/>
      <c r="C439" s="961"/>
      <c r="D439" s="961"/>
      <c r="E439" s="961"/>
      <c r="F439" s="961"/>
      <c r="G439" s="961"/>
      <c r="H439" s="961"/>
      <c r="I439" s="961"/>
    </row>
    <row r="440" spans="1:9">
      <c r="A440" s="961"/>
      <c r="B440" s="961"/>
      <c r="C440" s="961"/>
      <c r="D440" s="961"/>
      <c r="E440" s="961"/>
      <c r="F440" s="961"/>
      <c r="G440" s="961"/>
      <c r="H440" s="961"/>
      <c r="I440" s="961"/>
    </row>
    <row r="441" spans="1:9">
      <c r="A441" s="961"/>
      <c r="B441" s="961"/>
      <c r="C441" s="961"/>
      <c r="D441" s="961"/>
      <c r="E441" s="961"/>
      <c r="F441" s="961"/>
      <c r="G441" s="961"/>
      <c r="H441" s="961"/>
      <c r="I441" s="961"/>
    </row>
    <row r="442" spans="1:9">
      <c r="A442" s="961"/>
      <c r="B442" s="961"/>
      <c r="C442" s="961"/>
      <c r="D442" s="961"/>
      <c r="E442" s="961"/>
      <c r="F442" s="961"/>
      <c r="G442" s="961"/>
      <c r="H442" s="961"/>
      <c r="I442" s="961"/>
    </row>
    <row r="443" spans="1:9">
      <c r="A443" s="961"/>
      <c r="B443" s="961"/>
      <c r="C443" s="961"/>
      <c r="D443" s="961"/>
      <c r="E443" s="961"/>
      <c r="F443" s="961"/>
      <c r="G443" s="961"/>
      <c r="H443" s="961"/>
      <c r="I443" s="961"/>
    </row>
    <row r="444" spans="1:9">
      <c r="A444" s="961"/>
      <c r="B444" s="961"/>
      <c r="C444" s="961"/>
      <c r="D444" s="961"/>
      <c r="E444" s="961"/>
      <c r="F444" s="961"/>
      <c r="G444" s="961"/>
      <c r="H444" s="961"/>
      <c r="I444" s="961"/>
    </row>
    <row r="445" spans="1:9">
      <c r="A445" s="961"/>
      <c r="B445" s="961"/>
      <c r="C445" s="961"/>
      <c r="D445" s="961"/>
      <c r="E445" s="961"/>
      <c r="F445" s="961"/>
      <c r="G445" s="961"/>
      <c r="H445" s="961"/>
      <c r="I445" s="961"/>
    </row>
    <row r="446" spans="1:9">
      <c r="A446" s="961"/>
      <c r="B446" s="961"/>
      <c r="C446" s="961"/>
      <c r="D446" s="961"/>
      <c r="E446" s="961"/>
      <c r="F446" s="961"/>
      <c r="G446" s="961"/>
      <c r="H446" s="961"/>
      <c r="I446" s="961"/>
    </row>
    <row r="447" spans="1:9">
      <c r="A447" s="961"/>
      <c r="B447" s="961"/>
      <c r="C447" s="961"/>
      <c r="D447" s="961"/>
      <c r="E447" s="961"/>
      <c r="F447" s="961"/>
      <c r="G447" s="961"/>
      <c r="H447" s="961"/>
      <c r="I447" s="961"/>
    </row>
    <row r="448" spans="1:9">
      <c r="A448" s="961"/>
      <c r="B448" s="961"/>
      <c r="C448" s="961"/>
      <c r="D448" s="961"/>
      <c r="E448" s="961"/>
      <c r="F448" s="961"/>
      <c r="G448" s="961"/>
      <c r="H448" s="961"/>
      <c r="I448" s="961"/>
    </row>
    <row r="449" spans="1:9">
      <c r="A449" s="961"/>
      <c r="B449" s="961"/>
      <c r="C449" s="961"/>
      <c r="D449" s="961"/>
      <c r="E449" s="961"/>
      <c r="F449" s="961"/>
      <c r="G449" s="961"/>
      <c r="H449" s="961"/>
      <c r="I449" s="961"/>
    </row>
    <row r="450" spans="1:9">
      <c r="A450" s="961"/>
      <c r="B450" s="961"/>
      <c r="C450" s="961"/>
      <c r="D450" s="961"/>
      <c r="E450" s="961"/>
      <c r="F450" s="961"/>
      <c r="G450" s="961"/>
      <c r="H450" s="961"/>
      <c r="I450" s="961"/>
    </row>
    <row r="451" spans="1:9">
      <c r="A451" s="961"/>
      <c r="B451" s="961"/>
      <c r="C451" s="961"/>
      <c r="D451" s="961"/>
      <c r="E451" s="961"/>
      <c r="F451" s="961"/>
      <c r="G451" s="961"/>
      <c r="H451" s="961"/>
      <c r="I451" s="961"/>
    </row>
    <row r="452" spans="1:9">
      <c r="A452" s="961"/>
      <c r="B452" s="961"/>
      <c r="C452" s="961"/>
      <c r="D452" s="961"/>
      <c r="E452" s="961"/>
      <c r="F452" s="961"/>
      <c r="G452" s="961"/>
      <c r="H452" s="961"/>
      <c r="I452" s="961"/>
    </row>
    <row r="453" spans="1:9">
      <c r="A453" s="961"/>
      <c r="B453" s="961"/>
      <c r="C453" s="961"/>
      <c r="D453" s="961"/>
      <c r="E453" s="961"/>
      <c r="F453" s="961"/>
      <c r="G453" s="961"/>
      <c r="H453" s="961"/>
      <c r="I453" s="961"/>
    </row>
    <row r="454" spans="1:9">
      <c r="A454" s="961"/>
      <c r="B454" s="961"/>
      <c r="C454" s="961"/>
      <c r="D454" s="961"/>
      <c r="E454" s="961"/>
      <c r="F454" s="961"/>
      <c r="G454" s="961"/>
      <c r="H454" s="961"/>
      <c r="I454" s="961"/>
    </row>
    <row r="455" spans="1:9">
      <c r="A455" s="961"/>
      <c r="B455" s="961"/>
      <c r="C455" s="961"/>
      <c r="D455" s="961"/>
      <c r="E455" s="961"/>
      <c r="F455" s="961"/>
      <c r="G455" s="961"/>
      <c r="H455" s="961"/>
      <c r="I455" s="961"/>
    </row>
    <row r="456" spans="1:9">
      <c r="A456" s="961"/>
      <c r="B456" s="961"/>
      <c r="C456" s="961"/>
      <c r="D456" s="961"/>
      <c r="E456" s="961"/>
      <c r="F456" s="961"/>
      <c r="G456" s="961"/>
      <c r="H456" s="961"/>
      <c r="I456" s="961"/>
    </row>
    <row r="457" spans="1:9">
      <c r="A457" s="961"/>
      <c r="B457" s="961"/>
      <c r="C457" s="961"/>
      <c r="D457" s="961"/>
      <c r="E457" s="961"/>
      <c r="F457" s="961"/>
      <c r="G457" s="961"/>
      <c r="H457" s="961"/>
      <c r="I457" s="961"/>
    </row>
    <row r="458" spans="1:9">
      <c r="A458" s="961"/>
      <c r="B458" s="961"/>
      <c r="C458" s="961"/>
      <c r="D458" s="961"/>
      <c r="E458" s="961"/>
      <c r="F458" s="961"/>
      <c r="G458" s="961"/>
      <c r="H458" s="961"/>
      <c r="I458" s="961"/>
    </row>
    <row r="459" spans="1:9">
      <c r="A459" s="961"/>
      <c r="B459" s="961"/>
      <c r="C459" s="961"/>
      <c r="D459" s="961"/>
      <c r="E459" s="961"/>
      <c r="F459" s="961"/>
      <c r="G459" s="961"/>
      <c r="H459" s="961"/>
      <c r="I459" s="961"/>
    </row>
    <row r="460" spans="1:9">
      <c r="A460" s="961"/>
      <c r="B460" s="961"/>
      <c r="C460" s="961"/>
      <c r="D460" s="961"/>
      <c r="E460" s="961"/>
      <c r="F460" s="961"/>
      <c r="G460" s="961"/>
      <c r="H460" s="961"/>
      <c r="I460" s="961"/>
    </row>
    <row r="461" spans="1:9">
      <c r="A461" s="961"/>
      <c r="B461" s="961"/>
      <c r="C461" s="961"/>
      <c r="D461" s="961"/>
      <c r="E461" s="961"/>
      <c r="F461" s="961"/>
      <c r="G461" s="961"/>
      <c r="H461" s="961"/>
      <c r="I461" s="961"/>
    </row>
    <row r="462" spans="1:9">
      <c r="A462" s="961"/>
      <c r="B462" s="961"/>
      <c r="C462" s="961"/>
      <c r="D462" s="961"/>
      <c r="E462" s="961"/>
      <c r="F462" s="961"/>
      <c r="G462" s="961"/>
      <c r="H462" s="961"/>
      <c r="I462" s="961"/>
    </row>
    <row r="463" spans="1:9">
      <c r="A463" s="961"/>
      <c r="B463" s="961"/>
      <c r="C463" s="961"/>
      <c r="D463" s="961"/>
      <c r="E463" s="961"/>
      <c r="F463" s="961"/>
      <c r="G463" s="961"/>
      <c r="H463" s="961"/>
      <c r="I463" s="961"/>
    </row>
    <row r="464" spans="1:9">
      <c r="A464" s="961"/>
      <c r="B464" s="961"/>
      <c r="C464" s="961"/>
      <c r="D464" s="961"/>
      <c r="E464" s="961"/>
      <c r="F464" s="961"/>
      <c r="G464" s="961"/>
      <c r="H464" s="961"/>
      <c r="I464" s="961"/>
    </row>
    <row r="465" spans="1:9">
      <c r="A465" s="961"/>
      <c r="B465" s="961"/>
      <c r="C465" s="961"/>
      <c r="D465" s="961"/>
      <c r="E465" s="961"/>
      <c r="F465" s="961"/>
      <c r="G465" s="961"/>
      <c r="H465" s="961"/>
      <c r="I465" s="961"/>
    </row>
    <row r="466" spans="1:9">
      <c r="A466" s="961"/>
      <c r="B466" s="961"/>
      <c r="C466" s="961"/>
      <c r="D466" s="961"/>
      <c r="E466" s="961"/>
      <c r="F466" s="961"/>
      <c r="G466" s="961"/>
      <c r="H466" s="961"/>
      <c r="I466" s="961"/>
    </row>
    <row r="467" spans="1:9">
      <c r="A467" s="961"/>
      <c r="B467" s="961"/>
      <c r="C467" s="961"/>
      <c r="D467" s="961"/>
      <c r="E467" s="961"/>
      <c r="F467" s="961"/>
      <c r="G467" s="961"/>
      <c r="H467" s="961"/>
      <c r="I467" s="961"/>
    </row>
    <row r="468" spans="1:9">
      <c r="A468" s="961"/>
      <c r="B468" s="961"/>
      <c r="C468" s="961"/>
      <c r="D468" s="961"/>
      <c r="E468" s="961"/>
      <c r="F468" s="961"/>
      <c r="G468" s="961"/>
      <c r="H468" s="961"/>
      <c r="I468" s="961"/>
    </row>
    <row r="469" spans="1:9">
      <c r="A469" s="961"/>
      <c r="B469" s="961"/>
      <c r="C469" s="961"/>
      <c r="D469" s="961"/>
      <c r="E469" s="961"/>
      <c r="F469" s="961"/>
      <c r="G469" s="961"/>
      <c r="H469" s="961"/>
      <c r="I469" s="961"/>
    </row>
    <row r="470" spans="1:9">
      <c r="A470" s="961"/>
      <c r="B470" s="961"/>
      <c r="C470" s="961"/>
      <c r="D470" s="961"/>
      <c r="E470" s="961"/>
      <c r="F470" s="961"/>
      <c r="G470" s="961"/>
      <c r="H470" s="961"/>
      <c r="I470" s="961"/>
    </row>
    <row r="471" spans="1:9">
      <c r="A471" s="961"/>
      <c r="B471" s="961"/>
      <c r="C471" s="961"/>
      <c r="D471" s="961"/>
      <c r="E471" s="961"/>
      <c r="F471" s="961"/>
      <c r="G471" s="961"/>
      <c r="H471" s="961"/>
      <c r="I471" s="961"/>
    </row>
    <row r="472" spans="1:9">
      <c r="A472" s="961"/>
      <c r="B472" s="961"/>
      <c r="C472" s="961"/>
      <c r="D472" s="961"/>
      <c r="E472" s="961"/>
      <c r="F472" s="961"/>
      <c r="G472" s="961"/>
      <c r="H472" s="961"/>
      <c r="I472" s="961"/>
    </row>
    <row r="473" spans="1:9">
      <c r="A473" s="961"/>
      <c r="B473" s="961"/>
      <c r="C473" s="961"/>
      <c r="D473" s="961"/>
      <c r="E473" s="961"/>
      <c r="F473" s="961"/>
      <c r="G473" s="961"/>
      <c r="H473" s="961"/>
      <c r="I473" s="961"/>
    </row>
    <row r="474" spans="1:9">
      <c r="A474" s="961"/>
      <c r="B474" s="961"/>
      <c r="C474" s="961"/>
      <c r="D474" s="961"/>
      <c r="E474" s="961"/>
      <c r="F474" s="961"/>
      <c r="G474" s="961"/>
      <c r="H474" s="961"/>
      <c r="I474" s="961"/>
    </row>
    <row r="475" spans="1:9">
      <c r="A475" s="961"/>
      <c r="B475" s="961"/>
      <c r="C475" s="961"/>
      <c r="D475" s="961"/>
      <c r="E475" s="961"/>
      <c r="F475" s="961"/>
      <c r="G475" s="961"/>
      <c r="H475" s="961"/>
      <c r="I475" s="961"/>
    </row>
    <row r="476" spans="1:9">
      <c r="A476" s="961"/>
      <c r="B476" s="961"/>
      <c r="C476" s="961"/>
      <c r="D476" s="961"/>
      <c r="E476" s="961"/>
      <c r="F476" s="961"/>
      <c r="G476" s="961"/>
      <c r="H476" s="961"/>
      <c r="I476" s="961"/>
    </row>
    <row r="477" spans="1:9">
      <c r="A477" s="961"/>
      <c r="B477" s="961"/>
      <c r="C477" s="961"/>
      <c r="D477" s="961"/>
      <c r="E477" s="961"/>
      <c r="F477" s="961"/>
      <c r="G477" s="961"/>
      <c r="H477" s="961"/>
      <c r="I477" s="961"/>
    </row>
    <row r="478" spans="1:9">
      <c r="A478" s="961"/>
      <c r="B478" s="961"/>
      <c r="C478" s="961"/>
      <c r="D478" s="961"/>
      <c r="E478" s="961"/>
      <c r="F478" s="961"/>
      <c r="G478" s="961"/>
      <c r="H478" s="961"/>
      <c r="I478" s="961"/>
    </row>
    <row r="479" spans="1:9">
      <c r="A479" s="961"/>
      <c r="B479" s="961"/>
      <c r="C479" s="961"/>
      <c r="D479" s="961"/>
      <c r="E479" s="961"/>
      <c r="F479" s="961"/>
      <c r="G479" s="961"/>
      <c r="H479" s="961"/>
      <c r="I479" s="961"/>
    </row>
    <row r="480" spans="1:9">
      <c r="A480" s="961"/>
      <c r="B480" s="961"/>
      <c r="C480" s="961"/>
      <c r="D480" s="961"/>
      <c r="E480" s="961"/>
      <c r="F480" s="961"/>
      <c r="G480" s="961"/>
      <c r="H480" s="961"/>
      <c r="I480" s="961"/>
    </row>
    <row r="481" spans="1:9">
      <c r="A481" s="961"/>
      <c r="B481" s="961"/>
      <c r="C481" s="961"/>
      <c r="D481" s="961"/>
      <c r="E481" s="961"/>
      <c r="F481" s="961"/>
      <c r="G481" s="961"/>
      <c r="H481" s="961"/>
      <c r="I481" s="961"/>
    </row>
    <row r="482" spans="1:9">
      <c r="A482" s="961"/>
      <c r="B482" s="961"/>
      <c r="C482" s="961"/>
      <c r="D482" s="961"/>
      <c r="E482" s="961"/>
      <c r="F482" s="961"/>
      <c r="G482" s="961"/>
      <c r="H482" s="961"/>
      <c r="I482" s="961"/>
    </row>
    <row r="483" spans="1:9">
      <c r="A483" s="961"/>
      <c r="B483" s="961"/>
      <c r="C483" s="961"/>
      <c r="D483" s="961"/>
      <c r="E483" s="961"/>
      <c r="F483" s="961"/>
      <c r="G483" s="961"/>
      <c r="H483" s="961"/>
      <c r="I483" s="961"/>
    </row>
    <row r="484" spans="1:9">
      <c r="A484" s="961"/>
      <c r="B484" s="961"/>
      <c r="C484" s="961"/>
      <c r="D484" s="961"/>
      <c r="E484" s="961"/>
      <c r="F484" s="961"/>
      <c r="G484" s="961"/>
      <c r="H484" s="961"/>
      <c r="I484" s="961"/>
    </row>
    <row r="485" spans="1:9">
      <c r="A485" s="961"/>
      <c r="B485" s="961"/>
      <c r="C485" s="961"/>
      <c r="D485" s="961"/>
      <c r="E485" s="961"/>
      <c r="F485" s="961"/>
      <c r="G485" s="961"/>
      <c r="H485" s="961"/>
      <c r="I485" s="961"/>
    </row>
    <row r="486" spans="1:9">
      <c r="A486" s="961"/>
      <c r="B486" s="961"/>
      <c r="C486" s="961"/>
      <c r="D486" s="961"/>
      <c r="E486" s="961"/>
      <c r="F486" s="961"/>
      <c r="G486" s="961"/>
      <c r="H486" s="961"/>
      <c r="I486" s="961"/>
    </row>
    <row r="487" spans="1:9">
      <c r="A487" s="961"/>
      <c r="B487" s="961"/>
      <c r="C487" s="961"/>
      <c r="D487" s="961"/>
      <c r="E487" s="961"/>
      <c r="F487" s="961"/>
      <c r="G487" s="961"/>
      <c r="H487" s="961"/>
      <c r="I487" s="961"/>
    </row>
    <row r="488" spans="1:9">
      <c r="A488" s="961"/>
      <c r="B488" s="961"/>
      <c r="C488" s="961"/>
      <c r="D488" s="961"/>
      <c r="E488" s="961"/>
      <c r="F488" s="961"/>
      <c r="G488" s="961"/>
      <c r="H488" s="961"/>
      <c r="I488" s="961"/>
    </row>
    <row r="489" spans="1:9">
      <c r="A489" s="961"/>
      <c r="B489" s="961"/>
      <c r="C489" s="961"/>
      <c r="D489" s="961"/>
      <c r="E489" s="961"/>
      <c r="F489" s="961"/>
      <c r="G489" s="961"/>
      <c r="H489" s="961"/>
      <c r="I489" s="961"/>
    </row>
    <row r="490" spans="1:9">
      <c r="A490" s="961"/>
      <c r="B490" s="961"/>
      <c r="C490" s="961"/>
      <c r="D490" s="961"/>
      <c r="E490" s="961"/>
      <c r="F490" s="961"/>
      <c r="G490" s="961"/>
      <c r="H490" s="961"/>
      <c r="I490" s="961"/>
    </row>
    <row r="491" spans="1:9">
      <c r="A491" s="961"/>
      <c r="B491" s="961"/>
      <c r="C491" s="961"/>
      <c r="D491" s="961"/>
      <c r="E491" s="961"/>
      <c r="F491" s="961"/>
      <c r="G491" s="961"/>
      <c r="H491" s="961"/>
      <c r="I491" s="961"/>
    </row>
    <row r="492" spans="1:9">
      <c r="A492" s="961"/>
      <c r="B492" s="961"/>
      <c r="C492" s="961"/>
      <c r="D492" s="961"/>
      <c r="E492" s="961"/>
      <c r="F492" s="961"/>
      <c r="G492" s="961"/>
      <c r="H492" s="961"/>
      <c r="I492" s="961"/>
    </row>
    <row r="493" spans="1:9">
      <c r="A493" s="961"/>
      <c r="B493" s="961"/>
      <c r="C493" s="961"/>
      <c r="D493" s="961"/>
      <c r="E493" s="961"/>
      <c r="F493" s="961"/>
      <c r="G493" s="961"/>
      <c r="H493" s="961"/>
      <c r="I493" s="961"/>
    </row>
    <row r="494" spans="1:9">
      <c r="A494" s="961"/>
      <c r="B494" s="961"/>
      <c r="C494" s="961"/>
      <c r="D494" s="961"/>
      <c r="E494" s="961"/>
      <c r="F494" s="961"/>
      <c r="G494" s="961"/>
      <c r="H494" s="961"/>
      <c r="I494" s="961"/>
    </row>
    <row r="495" spans="1:9">
      <c r="A495" s="961"/>
      <c r="B495" s="961"/>
      <c r="C495" s="961"/>
      <c r="D495" s="961"/>
      <c r="E495" s="961"/>
      <c r="F495" s="961"/>
      <c r="G495" s="961"/>
      <c r="H495" s="961"/>
      <c r="I495" s="961"/>
    </row>
    <row r="496" spans="1:9">
      <c r="A496" s="961"/>
      <c r="B496" s="961"/>
      <c r="C496" s="961"/>
      <c r="D496" s="961"/>
      <c r="E496" s="961"/>
      <c r="F496" s="961"/>
      <c r="G496" s="961"/>
      <c r="H496" s="961"/>
      <c r="I496" s="961"/>
    </row>
    <row r="497" spans="1:9">
      <c r="A497" s="961"/>
      <c r="B497" s="961"/>
      <c r="C497" s="961"/>
      <c r="D497" s="961"/>
      <c r="E497" s="961"/>
      <c r="F497" s="961"/>
      <c r="G497" s="961"/>
      <c r="H497" s="961"/>
      <c r="I497" s="961"/>
    </row>
    <row r="498" spans="1:9">
      <c r="A498" s="961"/>
      <c r="B498" s="961"/>
      <c r="C498" s="961"/>
      <c r="D498" s="961"/>
      <c r="E498" s="961"/>
      <c r="F498" s="961"/>
      <c r="G498" s="961"/>
      <c r="H498" s="961"/>
      <c r="I498" s="961"/>
    </row>
    <row r="499" spans="1:9">
      <c r="A499" s="961"/>
      <c r="B499" s="961"/>
      <c r="C499" s="961"/>
      <c r="D499" s="961"/>
      <c r="E499" s="961"/>
      <c r="F499" s="961"/>
      <c r="G499" s="961"/>
      <c r="H499" s="961"/>
      <c r="I499" s="961"/>
    </row>
    <row r="500" spans="1:9">
      <c r="A500" s="961"/>
      <c r="B500" s="961"/>
      <c r="C500" s="961"/>
      <c r="D500" s="961"/>
      <c r="E500" s="961"/>
      <c r="F500" s="961"/>
      <c r="G500" s="961"/>
      <c r="H500" s="961"/>
      <c r="I500" s="961"/>
    </row>
    <row r="501" spans="1:9">
      <c r="A501" s="961"/>
      <c r="B501" s="961"/>
      <c r="C501" s="961"/>
      <c r="D501" s="961"/>
      <c r="E501" s="961"/>
      <c r="F501" s="961"/>
      <c r="G501" s="961"/>
      <c r="H501" s="961"/>
      <c r="I501" s="961"/>
    </row>
    <row r="502" spans="1:9">
      <c r="A502" s="961"/>
      <c r="B502" s="961"/>
      <c r="C502" s="961"/>
      <c r="D502" s="961"/>
      <c r="E502" s="961"/>
      <c r="F502" s="961"/>
      <c r="G502" s="961"/>
      <c r="H502" s="961"/>
      <c r="I502" s="961"/>
    </row>
    <row r="503" spans="1:9">
      <c r="A503" s="961"/>
      <c r="B503" s="961"/>
      <c r="C503" s="961"/>
      <c r="D503" s="961"/>
      <c r="E503" s="961"/>
      <c r="F503" s="961"/>
      <c r="G503" s="961"/>
      <c r="H503" s="961"/>
      <c r="I503" s="961"/>
    </row>
    <row r="504" spans="1:9">
      <c r="A504" s="961"/>
      <c r="B504" s="961"/>
      <c r="C504" s="961"/>
      <c r="D504" s="961"/>
      <c r="E504" s="961"/>
      <c r="F504" s="961"/>
      <c r="G504" s="961"/>
      <c r="H504" s="961"/>
      <c r="I504" s="961"/>
    </row>
    <row r="505" spans="1:9">
      <c r="A505" s="961"/>
      <c r="B505" s="961"/>
      <c r="C505" s="961"/>
      <c r="D505" s="961"/>
      <c r="E505" s="961"/>
      <c r="F505" s="961"/>
      <c r="G505" s="961"/>
      <c r="H505" s="961"/>
      <c r="I505" s="961"/>
    </row>
    <row r="506" spans="1:9">
      <c r="A506" s="961"/>
      <c r="B506" s="961"/>
      <c r="C506" s="961"/>
      <c r="D506" s="961"/>
      <c r="E506" s="961"/>
      <c r="F506" s="961"/>
      <c r="G506" s="961"/>
      <c r="H506" s="961"/>
      <c r="I506" s="961"/>
    </row>
    <row r="507" spans="1:9">
      <c r="A507" s="961"/>
      <c r="B507" s="961"/>
      <c r="C507" s="961"/>
      <c r="D507" s="961"/>
      <c r="E507" s="961"/>
      <c r="F507" s="961"/>
      <c r="G507" s="961"/>
      <c r="H507" s="961"/>
      <c r="I507" s="961"/>
    </row>
    <row r="508" spans="1:9">
      <c r="A508" s="961"/>
      <c r="B508" s="961"/>
      <c r="C508" s="961"/>
      <c r="D508" s="961"/>
      <c r="E508" s="961"/>
      <c r="F508" s="961"/>
      <c r="G508" s="961"/>
      <c r="H508" s="961"/>
      <c r="I508" s="961"/>
    </row>
    <row r="509" spans="1:9">
      <c r="A509" s="961"/>
      <c r="B509" s="961"/>
      <c r="C509" s="961"/>
      <c r="D509" s="961"/>
      <c r="E509" s="961"/>
      <c r="F509" s="961"/>
      <c r="G509" s="961"/>
      <c r="H509" s="961"/>
      <c r="I509" s="961"/>
    </row>
    <row r="510" spans="1:9">
      <c r="A510" s="961"/>
      <c r="B510" s="961"/>
      <c r="C510" s="961"/>
      <c r="D510" s="961"/>
      <c r="E510" s="961"/>
      <c r="F510" s="961"/>
      <c r="G510" s="961"/>
      <c r="H510" s="961"/>
      <c r="I510" s="961"/>
    </row>
    <row r="511" spans="1:9">
      <c r="A511" s="961"/>
      <c r="B511" s="961"/>
      <c r="C511" s="961"/>
      <c r="D511" s="961"/>
      <c r="E511" s="961"/>
      <c r="F511" s="961"/>
      <c r="G511" s="961"/>
      <c r="H511" s="961"/>
      <c r="I511" s="961"/>
    </row>
    <row r="512" spans="1:9">
      <c r="A512" s="961"/>
      <c r="B512" s="961"/>
      <c r="C512" s="961"/>
      <c r="D512" s="961"/>
      <c r="E512" s="961"/>
      <c r="F512" s="961"/>
      <c r="G512" s="961"/>
      <c r="H512" s="961"/>
      <c r="I512" s="961"/>
    </row>
    <row r="513" spans="1:9">
      <c r="A513" s="961"/>
      <c r="B513" s="961"/>
      <c r="C513" s="961"/>
      <c r="D513" s="961"/>
      <c r="E513" s="961"/>
      <c r="F513" s="961"/>
      <c r="G513" s="961"/>
      <c r="H513" s="961"/>
      <c r="I513" s="961"/>
    </row>
    <row r="514" spans="1:9">
      <c r="A514" s="961"/>
      <c r="B514" s="961"/>
      <c r="C514" s="961"/>
      <c r="D514" s="961"/>
      <c r="E514" s="961"/>
      <c r="F514" s="961"/>
      <c r="G514" s="961"/>
      <c r="H514" s="961"/>
      <c r="I514" s="961"/>
    </row>
    <row r="515" spans="1:9">
      <c r="A515" s="961"/>
      <c r="B515" s="961"/>
      <c r="C515" s="961"/>
      <c r="D515" s="961"/>
      <c r="E515" s="961"/>
      <c r="F515" s="961"/>
      <c r="G515" s="961"/>
      <c r="H515" s="961"/>
      <c r="I515" s="961"/>
    </row>
    <row r="516" spans="1:9">
      <c r="A516" s="961"/>
      <c r="B516" s="961"/>
      <c r="C516" s="961"/>
      <c r="D516" s="961"/>
      <c r="E516" s="961"/>
      <c r="F516" s="961"/>
      <c r="G516" s="961"/>
      <c r="H516" s="961"/>
      <c r="I516" s="961"/>
    </row>
    <row r="517" spans="1:9">
      <c r="A517" s="961"/>
      <c r="B517" s="961"/>
      <c r="C517" s="961"/>
      <c r="D517" s="961"/>
      <c r="E517" s="961"/>
      <c r="F517" s="961"/>
      <c r="G517" s="961"/>
      <c r="H517" s="961"/>
      <c r="I517" s="961"/>
    </row>
    <row r="518" spans="1:9">
      <c r="A518" s="961"/>
      <c r="B518" s="961"/>
      <c r="C518" s="961"/>
      <c r="D518" s="961"/>
      <c r="E518" s="961"/>
      <c r="F518" s="961"/>
      <c r="G518" s="961"/>
      <c r="H518" s="961"/>
      <c r="I518" s="961"/>
    </row>
    <row r="519" spans="1:9">
      <c r="A519" s="961"/>
      <c r="B519" s="961"/>
      <c r="C519" s="961"/>
      <c r="D519" s="961"/>
      <c r="E519" s="961"/>
      <c r="F519" s="961"/>
      <c r="G519" s="961"/>
      <c r="H519" s="961"/>
      <c r="I519" s="961"/>
    </row>
    <row r="520" spans="1:9">
      <c r="A520" s="961"/>
      <c r="B520" s="961"/>
      <c r="C520" s="961"/>
      <c r="D520" s="961"/>
      <c r="E520" s="961"/>
      <c r="F520" s="961"/>
      <c r="G520" s="961"/>
      <c r="H520" s="961"/>
      <c r="I520" s="961"/>
    </row>
    <row r="521" spans="1:9">
      <c r="A521" s="961"/>
      <c r="B521" s="961"/>
      <c r="C521" s="961"/>
      <c r="D521" s="961"/>
      <c r="E521" s="961"/>
      <c r="F521" s="961"/>
      <c r="G521" s="961"/>
      <c r="H521" s="961"/>
      <c r="I521" s="961"/>
    </row>
    <row r="522" spans="1:9">
      <c r="A522" s="961"/>
      <c r="B522" s="961"/>
      <c r="C522" s="961"/>
      <c r="D522" s="961"/>
      <c r="E522" s="961"/>
      <c r="F522" s="961"/>
      <c r="G522" s="961"/>
      <c r="H522" s="961"/>
      <c r="I522" s="961"/>
    </row>
    <row r="523" spans="1:9">
      <c r="A523" s="961"/>
      <c r="B523" s="961"/>
      <c r="C523" s="961"/>
      <c r="D523" s="961"/>
      <c r="E523" s="961"/>
      <c r="F523" s="961"/>
      <c r="G523" s="961"/>
      <c r="H523" s="961"/>
      <c r="I523" s="961"/>
    </row>
    <row r="524" spans="1:9">
      <c r="A524" s="961"/>
      <c r="B524" s="961"/>
      <c r="C524" s="961"/>
      <c r="D524" s="961"/>
      <c r="E524" s="961"/>
      <c r="F524" s="961"/>
      <c r="G524" s="961"/>
      <c r="H524" s="961"/>
      <c r="I524" s="961"/>
    </row>
    <row r="525" spans="1:9">
      <c r="A525" s="961"/>
      <c r="B525" s="961"/>
      <c r="C525" s="961"/>
      <c r="D525" s="961"/>
      <c r="E525" s="961"/>
      <c r="F525" s="961"/>
      <c r="G525" s="961"/>
      <c r="H525" s="961"/>
      <c r="I525" s="961"/>
    </row>
    <row r="526" spans="1:9">
      <c r="A526" s="961"/>
      <c r="B526" s="961"/>
      <c r="C526" s="961"/>
      <c r="D526" s="961"/>
      <c r="E526" s="961"/>
      <c r="F526" s="961"/>
      <c r="G526" s="961"/>
      <c r="H526" s="961"/>
      <c r="I526" s="961"/>
    </row>
    <row r="527" spans="1:9">
      <c r="A527" s="961"/>
      <c r="B527" s="961"/>
      <c r="C527" s="961"/>
      <c r="D527" s="961"/>
      <c r="E527" s="961"/>
      <c r="F527" s="961"/>
      <c r="G527" s="961"/>
      <c r="H527" s="961"/>
      <c r="I527" s="961"/>
    </row>
    <row r="528" spans="1:9">
      <c r="A528" s="961"/>
      <c r="B528" s="961"/>
      <c r="C528" s="961"/>
      <c r="D528" s="961"/>
      <c r="E528" s="961"/>
      <c r="F528" s="961"/>
      <c r="G528" s="961"/>
      <c r="H528" s="961"/>
      <c r="I528" s="961"/>
    </row>
    <row r="529" spans="1:9">
      <c r="A529" s="961"/>
      <c r="B529" s="961"/>
      <c r="C529" s="961"/>
      <c r="D529" s="961"/>
      <c r="E529" s="961"/>
      <c r="F529" s="961"/>
      <c r="G529" s="961"/>
      <c r="H529" s="961"/>
      <c r="I529" s="961"/>
    </row>
    <row r="530" spans="1:9">
      <c r="A530" s="961"/>
      <c r="B530" s="961"/>
      <c r="C530" s="961"/>
      <c r="D530" s="961"/>
      <c r="E530" s="961"/>
      <c r="F530" s="961"/>
      <c r="G530" s="961"/>
      <c r="H530" s="961"/>
      <c r="I530" s="961"/>
    </row>
    <row r="531" spans="1:9">
      <c r="A531" s="961"/>
      <c r="B531" s="961"/>
      <c r="C531" s="961"/>
      <c r="D531" s="961"/>
      <c r="E531" s="961"/>
      <c r="F531" s="961"/>
      <c r="G531" s="961"/>
      <c r="H531" s="961"/>
      <c r="I531" s="961"/>
    </row>
    <row r="532" spans="1:9">
      <c r="A532" s="961"/>
      <c r="B532" s="961"/>
      <c r="C532" s="961"/>
      <c r="D532" s="961"/>
      <c r="E532" s="961"/>
      <c r="F532" s="961"/>
      <c r="G532" s="961"/>
      <c r="H532" s="961"/>
      <c r="I532" s="961"/>
    </row>
    <row r="533" spans="1:9">
      <c r="A533" s="961"/>
      <c r="B533" s="961"/>
      <c r="C533" s="961"/>
      <c r="D533" s="961"/>
      <c r="E533" s="961"/>
      <c r="F533" s="961"/>
      <c r="G533" s="961"/>
      <c r="H533" s="961"/>
      <c r="I533" s="961"/>
    </row>
    <row r="534" spans="1:9">
      <c r="A534" s="961"/>
      <c r="B534" s="961"/>
      <c r="C534" s="961"/>
      <c r="D534" s="961"/>
      <c r="E534" s="961"/>
      <c r="F534" s="961"/>
      <c r="G534" s="961"/>
      <c r="H534" s="961"/>
      <c r="I534" s="961"/>
    </row>
    <row r="535" spans="1:9">
      <c r="A535" s="961"/>
      <c r="B535" s="961"/>
      <c r="C535" s="961"/>
      <c r="D535" s="961"/>
      <c r="E535" s="961"/>
      <c r="F535" s="961"/>
      <c r="G535" s="961"/>
      <c r="H535" s="961"/>
      <c r="I535" s="961"/>
    </row>
    <row r="536" spans="1:9">
      <c r="A536" s="961"/>
      <c r="B536" s="961"/>
      <c r="C536" s="961"/>
      <c r="D536" s="961"/>
      <c r="E536" s="961"/>
      <c r="F536" s="961"/>
      <c r="G536" s="961"/>
      <c r="H536" s="961"/>
      <c r="I536" s="961"/>
    </row>
    <row r="537" spans="1:9">
      <c r="A537" s="961"/>
      <c r="B537" s="961"/>
      <c r="C537" s="961"/>
      <c r="D537" s="961"/>
      <c r="E537" s="961"/>
      <c r="F537" s="961"/>
      <c r="G537" s="961"/>
      <c r="H537" s="961"/>
      <c r="I537" s="961"/>
    </row>
    <row r="538" spans="1:9">
      <c r="A538" s="961"/>
      <c r="B538" s="961"/>
      <c r="C538" s="961"/>
      <c r="D538" s="961"/>
      <c r="E538" s="961"/>
      <c r="F538" s="961"/>
      <c r="G538" s="961"/>
      <c r="H538" s="961"/>
      <c r="I538" s="961"/>
    </row>
    <row r="539" spans="1:9">
      <c r="A539" s="961"/>
      <c r="B539" s="961"/>
      <c r="C539" s="961"/>
      <c r="D539" s="961"/>
      <c r="E539" s="961"/>
      <c r="F539" s="961"/>
      <c r="G539" s="961"/>
      <c r="H539" s="961"/>
      <c r="I539" s="961"/>
    </row>
    <row r="540" spans="1:9">
      <c r="A540" s="961"/>
      <c r="B540" s="961"/>
      <c r="C540" s="961"/>
      <c r="D540" s="961"/>
      <c r="E540" s="961"/>
      <c r="F540" s="961"/>
      <c r="G540" s="961"/>
      <c r="H540" s="961"/>
      <c r="I540" s="961"/>
    </row>
    <row r="541" spans="1:9">
      <c r="A541" s="961"/>
      <c r="B541" s="961"/>
      <c r="C541" s="961"/>
      <c r="D541" s="961"/>
      <c r="E541" s="961"/>
      <c r="F541" s="961"/>
      <c r="G541" s="961"/>
      <c r="H541" s="961"/>
      <c r="I541" s="961"/>
    </row>
    <row r="542" spans="1:9">
      <c r="A542" s="961"/>
      <c r="B542" s="961"/>
      <c r="C542" s="961"/>
      <c r="D542" s="961"/>
      <c r="E542" s="961"/>
      <c r="F542" s="961"/>
      <c r="G542" s="961"/>
      <c r="H542" s="961"/>
      <c r="I542" s="961"/>
    </row>
    <row r="543" spans="1:9">
      <c r="A543" s="961"/>
      <c r="B543" s="961"/>
      <c r="C543" s="961"/>
      <c r="D543" s="961"/>
      <c r="E543" s="961"/>
      <c r="F543" s="961"/>
      <c r="G543" s="961"/>
      <c r="H543" s="961"/>
      <c r="I543" s="961"/>
    </row>
    <row r="544" spans="1:9">
      <c r="A544" s="961"/>
      <c r="B544" s="961"/>
      <c r="C544" s="961"/>
      <c r="D544" s="961"/>
      <c r="E544" s="961"/>
      <c r="F544" s="961"/>
      <c r="G544" s="961"/>
      <c r="H544" s="961"/>
      <c r="I544" s="961"/>
    </row>
    <row r="545" spans="1:9">
      <c r="A545" s="961"/>
      <c r="B545" s="961"/>
      <c r="C545" s="961"/>
      <c r="D545" s="961"/>
      <c r="E545" s="961"/>
      <c r="F545" s="961"/>
      <c r="G545" s="961"/>
      <c r="H545" s="961"/>
      <c r="I545" s="961"/>
    </row>
    <row r="546" spans="1:9">
      <c r="A546" s="961"/>
      <c r="B546" s="961"/>
      <c r="C546" s="961"/>
      <c r="D546" s="961"/>
      <c r="E546" s="961"/>
      <c r="F546" s="961"/>
      <c r="G546" s="961"/>
      <c r="H546" s="961"/>
      <c r="I546" s="961"/>
    </row>
    <row r="547" spans="1:9">
      <c r="A547" s="961"/>
      <c r="B547" s="961"/>
      <c r="C547" s="961"/>
      <c r="D547" s="961"/>
      <c r="E547" s="961"/>
      <c r="F547" s="961"/>
      <c r="G547" s="961"/>
      <c r="H547" s="961"/>
      <c r="I547" s="961"/>
    </row>
    <row r="548" spans="1:9">
      <c r="A548" s="961"/>
      <c r="B548" s="961"/>
      <c r="C548" s="961"/>
      <c r="D548" s="961"/>
      <c r="E548" s="961"/>
      <c r="F548" s="961"/>
      <c r="G548" s="961"/>
      <c r="H548" s="961"/>
      <c r="I548" s="961"/>
    </row>
    <row r="549" spans="1:9">
      <c r="A549" s="961"/>
      <c r="B549" s="961"/>
      <c r="C549" s="961"/>
      <c r="D549" s="961"/>
      <c r="E549" s="961"/>
      <c r="F549" s="961"/>
      <c r="G549" s="961"/>
      <c r="H549" s="961"/>
      <c r="I549" s="961"/>
    </row>
    <row r="550" spans="1:9">
      <c r="A550" s="961"/>
      <c r="B550" s="961"/>
      <c r="C550" s="961"/>
      <c r="D550" s="961"/>
      <c r="E550" s="961"/>
      <c r="F550" s="961"/>
      <c r="G550" s="961"/>
      <c r="H550" s="961"/>
      <c r="I550" s="961"/>
    </row>
    <row r="551" spans="1:9">
      <c r="A551" s="961"/>
      <c r="B551" s="961"/>
      <c r="C551" s="961"/>
      <c r="D551" s="961"/>
      <c r="E551" s="961"/>
      <c r="F551" s="961"/>
      <c r="G551" s="961"/>
      <c r="H551" s="961"/>
      <c r="I551" s="961"/>
    </row>
    <row r="552" spans="1:9">
      <c r="A552" s="961"/>
      <c r="B552" s="961"/>
      <c r="C552" s="961"/>
      <c r="D552" s="961"/>
      <c r="E552" s="961"/>
      <c r="F552" s="961"/>
      <c r="G552" s="961"/>
      <c r="H552" s="961"/>
      <c r="I552" s="961"/>
    </row>
    <row r="553" spans="1:9">
      <c r="A553" s="961"/>
      <c r="B553" s="961"/>
      <c r="C553" s="961"/>
      <c r="D553" s="961"/>
      <c r="E553" s="961"/>
      <c r="F553" s="961"/>
      <c r="G553" s="961"/>
      <c r="H553" s="961"/>
      <c r="I553" s="961"/>
    </row>
    <row r="554" spans="1:9">
      <c r="A554" s="961"/>
      <c r="B554" s="961"/>
      <c r="C554" s="961"/>
      <c r="D554" s="961"/>
      <c r="E554" s="961"/>
      <c r="F554" s="961"/>
      <c r="G554" s="961"/>
      <c r="H554" s="961"/>
      <c r="I554" s="961"/>
    </row>
    <row r="555" spans="1:9">
      <c r="A555" s="961"/>
      <c r="B555" s="961"/>
      <c r="C555" s="961"/>
      <c r="D555" s="961"/>
      <c r="E555" s="961"/>
      <c r="F555" s="961"/>
      <c r="G555" s="961"/>
      <c r="H555" s="961"/>
      <c r="I555" s="961"/>
    </row>
    <row r="556" spans="1:9">
      <c r="A556" s="961"/>
      <c r="B556" s="961"/>
      <c r="C556" s="961"/>
      <c r="D556" s="961"/>
      <c r="E556" s="961"/>
      <c r="F556" s="961"/>
      <c r="G556" s="961"/>
      <c r="H556" s="961"/>
      <c r="I556" s="961"/>
    </row>
    <row r="557" spans="1:9">
      <c r="A557" s="961"/>
      <c r="B557" s="961"/>
      <c r="C557" s="961"/>
      <c r="D557" s="961"/>
      <c r="E557" s="961"/>
      <c r="F557" s="961"/>
      <c r="G557" s="961"/>
      <c r="H557" s="961"/>
      <c r="I557" s="961"/>
    </row>
    <row r="558" spans="1:9">
      <c r="A558" s="961"/>
      <c r="B558" s="961"/>
      <c r="C558" s="961"/>
      <c r="D558" s="961"/>
      <c r="E558" s="961"/>
      <c r="F558" s="961"/>
      <c r="G558" s="961"/>
      <c r="H558" s="961"/>
      <c r="I558" s="961"/>
    </row>
    <row r="559" spans="1:9">
      <c r="A559" s="961"/>
      <c r="B559" s="961"/>
      <c r="C559" s="961"/>
      <c r="D559" s="961"/>
      <c r="E559" s="961"/>
      <c r="F559" s="961"/>
      <c r="G559" s="961"/>
      <c r="H559" s="961"/>
      <c r="I559" s="961"/>
    </row>
    <row r="560" spans="1:9">
      <c r="A560" s="961"/>
      <c r="B560" s="961"/>
      <c r="C560" s="961"/>
      <c r="D560" s="961"/>
      <c r="E560" s="961"/>
      <c r="F560" s="961"/>
      <c r="G560" s="961"/>
      <c r="H560" s="961"/>
      <c r="I560" s="961"/>
    </row>
    <row r="561" spans="1:9">
      <c r="A561" s="961"/>
      <c r="B561" s="961"/>
      <c r="C561" s="961"/>
      <c r="D561" s="961"/>
      <c r="E561" s="961"/>
      <c r="F561" s="961"/>
      <c r="G561" s="961"/>
      <c r="H561" s="961"/>
      <c r="I561" s="961"/>
    </row>
    <row r="562" spans="1:9">
      <c r="A562" s="961"/>
      <c r="B562" s="961"/>
      <c r="C562" s="961"/>
      <c r="D562" s="961"/>
      <c r="E562" s="961"/>
      <c r="F562" s="961"/>
      <c r="G562" s="961"/>
      <c r="H562" s="961"/>
      <c r="I562" s="961"/>
    </row>
    <row r="563" spans="1:9">
      <c r="A563" s="961"/>
      <c r="B563" s="961"/>
      <c r="C563" s="961"/>
      <c r="D563" s="961"/>
      <c r="E563" s="961"/>
      <c r="F563" s="961"/>
      <c r="G563" s="961"/>
      <c r="H563" s="961"/>
      <c r="I563" s="961"/>
    </row>
    <row r="564" spans="1:9">
      <c r="A564" s="961"/>
      <c r="B564" s="961"/>
      <c r="C564" s="961"/>
      <c r="D564" s="961"/>
      <c r="E564" s="961"/>
      <c r="F564" s="961"/>
      <c r="G564" s="961"/>
      <c r="H564" s="961"/>
      <c r="I564" s="961"/>
    </row>
    <row r="565" spans="1:9">
      <c r="A565" s="961"/>
      <c r="B565" s="961"/>
      <c r="C565" s="961"/>
      <c r="D565" s="961"/>
      <c r="E565" s="961"/>
      <c r="F565" s="961"/>
      <c r="G565" s="961"/>
      <c r="H565" s="961"/>
      <c r="I565" s="961"/>
    </row>
    <row r="566" spans="1:9">
      <c r="A566" s="961"/>
      <c r="B566" s="961"/>
      <c r="C566" s="961"/>
      <c r="D566" s="961"/>
      <c r="E566" s="961"/>
      <c r="F566" s="961"/>
      <c r="G566" s="961"/>
      <c r="H566" s="961"/>
      <c r="I566" s="961"/>
    </row>
    <row r="567" spans="1:9">
      <c r="A567" s="961"/>
      <c r="B567" s="961"/>
      <c r="C567" s="961"/>
      <c r="D567" s="961"/>
      <c r="E567" s="961"/>
      <c r="F567" s="961"/>
      <c r="G567" s="961"/>
      <c r="H567" s="961"/>
      <c r="I567" s="961"/>
    </row>
    <row r="568" spans="1:9">
      <c r="A568" s="961"/>
      <c r="B568" s="961"/>
      <c r="C568" s="961"/>
      <c r="D568" s="961"/>
      <c r="E568" s="961"/>
      <c r="F568" s="961"/>
      <c r="G568" s="961"/>
      <c r="H568" s="961"/>
      <c r="I568" s="961"/>
    </row>
    <row r="569" spans="1:9">
      <c r="A569" s="961"/>
      <c r="B569" s="961"/>
      <c r="C569" s="961"/>
      <c r="D569" s="961"/>
      <c r="E569" s="961"/>
      <c r="F569" s="961"/>
      <c r="G569" s="961"/>
      <c r="H569" s="961"/>
      <c r="I569" s="961"/>
    </row>
    <row r="570" spans="1:9">
      <c r="A570" s="961"/>
      <c r="B570" s="961"/>
      <c r="C570" s="961"/>
      <c r="D570" s="961"/>
      <c r="E570" s="961"/>
      <c r="F570" s="961"/>
      <c r="G570" s="961"/>
      <c r="H570" s="961"/>
      <c r="I570" s="961"/>
    </row>
    <row r="571" spans="1:9">
      <c r="A571" s="961"/>
      <c r="B571" s="961"/>
      <c r="C571" s="961"/>
      <c r="D571" s="961"/>
      <c r="E571" s="961"/>
      <c r="F571" s="961"/>
      <c r="G571" s="961"/>
      <c r="H571" s="961"/>
      <c r="I571" s="961"/>
    </row>
    <row r="572" spans="1:9">
      <c r="A572" s="961"/>
      <c r="B572" s="961"/>
      <c r="C572" s="961"/>
      <c r="D572" s="961"/>
      <c r="E572" s="961"/>
      <c r="F572" s="961"/>
      <c r="G572" s="961"/>
      <c r="H572" s="961"/>
      <c r="I572" s="961"/>
    </row>
    <row r="573" spans="1:9">
      <c r="A573" s="961"/>
      <c r="B573" s="961"/>
      <c r="C573" s="961"/>
      <c r="D573" s="961"/>
      <c r="E573" s="961"/>
      <c r="F573" s="961"/>
      <c r="G573" s="961"/>
      <c r="H573" s="961"/>
      <c r="I573" s="961"/>
    </row>
    <row r="574" spans="1:9">
      <c r="A574" s="961"/>
      <c r="B574" s="961"/>
      <c r="C574" s="961"/>
      <c r="D574" s="961"/>
      <c r="E574" s="961"/>
      <c r="F574" s="961"/>
      <c r="G574" s="961"/>
      <c r="H574" s="961"/>
      <c r="I574" s="961"/>
    </row>
    <row r="575" spans="1:9">
      <c r="A575" s="961"/>
      <c r="B575" s="961"/>
      <c r="C575" s="961"/>
      <c r="D575" s="961"/>
      <c r="E575" s="961"/>
      <c r="F575" s="961"/>
      <c r="G575" s="961"/>
      <c r="H575" s="961"/>
      <c r="I575" s="961"/>
    </row>
    <row r="576" spans="1:9">
      <c r="A576" s="961"/>
      <c r="B576" s="961"/>
      <c r="C576" s="961"/>
      <c r="D576" s="961"/>
      <c r="E576" s="961"/>
      <c r="F576" s="961"/>
      <c r="G576" s="961"/>
      <c r="H576" s="961"/>
      <c r="I576" s="961"/>
    </row>
    <row r="577" spans="1:9">
      <c r="A577" s="961"/>
      <c r="B577" s="961"/>
      <c r="C577" s="961"/>
      <c r="D577" s="961"/>
      <c r="E577" s="961"/>
      <c r="F577" s="961"/>
      <c r="G577" s="961"/>
      <c r="H577" s="961"/>
      <c r="I577" s="961"/>
    </row>
    <row r="578" spans="1:9">
      <c r="A578" s="961"/>
      <c r="B578" s="961"/>
      <c r="C578" s="961"/>
      <c r="D578" s="961"/>
      <c r="E578" s="961"/>
      <c r="F578" s="961"/>
      <c r="G578" s="961"/>
      <c r="H578" s="961"/>
      <c r="I578" s="961"/>
    </row>
    <row r="579" spans="1:9">
      <c r="A579" s="961"/>
      <c r="B579" s="961"/>
      <c r="C579" s="961"/>
      <c r="D579" s="961"/>
      <c r="E579" s="961"/>
      <c r="F579" s="961"/>
      <c r="G579" s="961"/>
      <c r="H579" s="961"/>
      <c r="I579" s="961"/>
    </row>
    <row r="580" spans="1:9">
      <c r="A580" s="961"/>
      <c r="B580" s="961"/>
      <c r="C580" s="961"/>
      <c r="D580" s="961"/>
      <c r="E580" s="961"/>
      <c r="F580" s="961"/>
      <c r="G580" s="961"/>
      <c r="H580" s="961"/>
      <c r="I580" s="961"/>
    </row>
    <row r="581" spans="1:9">
      <c r="A581" s="961"/>
      <c r="B581" s="961"/>
      <c r="C581" s="961"/>
      <c r="D581" s="961"/>
      <c r="E581" s="961"/>
      <c r="F581" s="961"/>
      <c r="G581" s="961"/>
      <c r="H581" s="961"/>
      <c r="I581" s="961"/>
    </row>
    <row r="582" spans="1:9">
      <c r="A582" s="961"/>
      <c r="B582" s="961"/>
      <c r="C582" s="961"/>
      <c r="D582" s="961"/>
      <c r="E582" s="961"/>
      <c r="F582" s="961"/>
      <c r="G582" s="961"/>
      <c r="H582" s="961"/>
      <c r="I582" s="961"/>
    </row>
    <row r="583" spans="1:9">
      <c r="A583" s="961"/>
      <c r="B583" s="961"/>
      <c r="C583" s="961"/>
      <c r="D583" s="961"/>
      <c r="E583" s="961"/>
      <c r="F583" s="961"/>
      <c r="G583" s="961"/>
      <c r="H583" s="961"/>
      <c r="I583" s="961"/>
    </row>
    <row r="584" spans="1:9">
      <c r="A584" s="961"/>
      <c r="B584" s="961"/>
      <c r="C584" s="961"/>
      <c r="D584" s="961"/>
      <c r="E584" s="961"/>
      <c r="F584" s="961"/>
      <c r="G584" s="961"/>
      <c r="H584" s="961"/>
      <c r="I584" s="961"/>
    </row>
    <row r="585" spans="1:9">
      <c r="A585" s="961"/>
      <c r="B585" s="961"/>
      <c r="C585" s="961"/>
      <c r="D585" s="961"/>
      <c r="E585" s="961"/>
      <c r="F585" s="961"/>
      <c r="G585" s="961"/>
      <c r="H585" s="961"/>
      <c r="I585" s="961"/>
    </row>
    <row r="586" spans="1:9">
      <c r="A586" s="961"/>
      <c r="B586" s="961"/>
      <c r="C586" s="961"/>
      <c r="D586" s="961"/>
      <c r="E586" s="961"/>
      <c r="F586" s="961"/>
      <c r="G586" s="961"/>
      <c r="H586" s="961"/>
      <c r="I586" s="961"/>
    </row>
    <row r="587" spans="1:9">
      <c r="A587" s="961"/>
      <c r="B587" s="961"/>
      <c r="C587" s="961"/>
      <c r="D587" s="961"/>
      <c r="E587" s="961"/>
      <c r="F587" s="961"/>
      <c r="G587" s="961"/>
      <c r="H587" s="961"/>
      <c r="I587" s="961"/>
    </row>
    <row r="588" spans="1:9">
      <c r="A588" s="961"/>
      <c r="B588" s="961"/>
      <c r="C588" s="961"/>
      <c r="D588" s="961"/>
      <c r="E588" s="961"/>
      <c r="F588" s="961"/>
      <c r="G588" s="961"/>
      <c r="H588" s="961"/>
      <c r="I588" s="961"/>
    </row>
    <row r="589" spans="1:9">
      <c r="A589" s="961"/>
      <c r="B589" s="961"/>
      <c r="C589" s="961"/>
      <c r="D589" s="961"/>
      <c r="E589" s="961"/>
      <c r="F589" s="961"/>
      <c r="G589" s="961"/>
      <c r="H589" s="961"/>
      <c r="I589" s="961"/>
    </row>
    <row r="590" spans="1:9">
      <c r="A590" s="961"/>
      <c r="B590" s="961"/>
      <c r="C590" s="961"/>
      <c r="D590" s="961"/>
      <c r="E590" s="961"/>
      <c r="F590" s="961"/>
      <c r="G590" s="961"/>
      <c r="H590" s="961"/>
      <c r="I590" s="961"/>
    </row>
    <row r="591" spans="1:9">
      <c r="A591" s="961"/>
      <c r="B591" s="961"/>
      <c r="C591" s="961"/>
      <c r="D591" s="961"/>
      <c r="E591" s="961"/>
      <c r="F591" s="961"/>
      <c r="G591" s="961"/>
      <c r="H591" s="961"/>
      <c r="I591" s="961"/>
    </row>
    <row r="592" spans="1:9">
      <c r="A592" s="961"/>
      <c r="B592" s="961"/>
      <c r="C592" s="961"/>
      <c r="D592" s="961"/>
      <c r="E592" s="961"/>
      <c r="F592" s="961"/>
      <c r="G592" s="961"/>
      <c r="H592" s="961"/>
      <c r="I592" s="961"/>
    </row>
    <row r="593" spans="1:9">
      <c r="A593" s="961"/>
      <c r="B593" s="961"/>
      <c r="C593" s="961"/>
      <c r="D593" s="961"/>
      <c r="E593" s="961"/>
      <c r="F593" s="961"/>
      <c r="G593" s="961"/>
      <c r="H593" s="961"/>
      <c r="I593" s="961"/>
    </row>
    <row r="594" spans="1:9">
      <c r="A594" s="961"/>
      <c r="B594" s="961"/>
      <c r="C594" s="961"/>
      <c r="D594" s="961"/>
      <c r="E594" s="961"/>
      <c r="F594" s="961"/>
      <c r="G594" s="961"/>
      <c r="H594" s="961"/>
      <c r="I594" s="961"/>
    </row>
    <row r="595" spans="1:9">
      <c r="A595" s="961"/>
      <c r="B595" s="961"/>
      <c r="C595" s="961"/>
      <c r="D595" s="961"/>
      <c r="E595" s="961"/>
      <c r="F595" s="961"/>
      <c r="G595" s="961"/>
      <c r="H595" s="961"/>
      <c r="I595" s="961"/>
    </row>
    <row r="596" spans="1:9">
      <c r="A596" s="961"/>
      <c r="B596" s="961"/>
      <c r="C596" s="961"/>
      <c r="D596" s="961"/>
      <c r="E596" s="961"/>
      <c r="F596" s="961"/>
      <c r="G596" s="961"/>
      <c r="H596" s="961"/>
      <c r="I596" s="961"/>
    </row>
    <row r="597" spans="1:9">
      <c r="A597" s="961"/>
      <c r="B597" s="961"/>
      <c r="C597" s="961"/>
      <c r="D597" s="961"/>
      <c r="E597" s="961"/>
      <c r="F597" s="961"/>
      <c r="G597" s="961"/>
      <c r="H597" s="961"/>
      <c r="I597" s="961"/>
    </row>
    <row r="598" spans="1:9">
      <c r="A598" s="961"/>
      <c r="B598" s="961"/>
      <c r="C598" s="961"/>
      <c r="D598" s="961"/>
      <c r="E598" s="961"/>
      <c r="F598" s="961"/>
      <c r="G598" s="961"/>
      <c r="H598" s="961"/>
      <c r="I598" s="961"/>
    </row>
    <row r="599" spans="1:9">
      <c r="A599" s="961"/>
      <c r="B599" s="961"/>
      <c r="C599" s="961"/>
      <c r="D599" s="961"/>
      <c r="E599" s="961"/>
      <c r="F599" s="961"/>
      <c r="G599" s="961"/>
      <c r="H599" s="961"/>
      <c r="I599" s="961"/>
    </row>
    <row r="600" spans="1:9">
      <c r="A600" s="961"/>
      <c r="B600" s="961"/>
      <c r="C600" s="961"/>
      <c r="D600" s="961"/>
      <c r="E600" s="961"/>
      <c r="F600" s="961"/>
      <c r="G600" s="961"/>
      <c r="H600" s="961"/>
      <c r="I600" s="961"/>
    </row>
    <row r="601" spans="1:9">
      <c r="A601" s="961"/>
      <c r="B601" s="961"/>
      <c r="C601" s="961"/>
      <c r="D601" s="961"/>
      <c r="E601" s="961"/>
      <c r="F601" s="961"/>
      <c r="G601" s="961"/>
      <c r="H601" s="961"/>
      <c r="I601" s="961"/>
    </row>
    <row r="602" spans="1:9">
      <c r="A602" s="961"/>
      <c r="B602" s="961"/>
      <c r="C602" s="961"/>
      <c r="D602" s="961"/>
      <c r="E602" s="961"/>
      <c r="F602" s="961"/>
      <c r="G602" s="961"/>
      <c r="H602" s="961"/>
      <c r="I602" s="961"/>
    </row>
    <row r="603" spans="1:9">
      <c r="A603" s="961"/>
      <c r="B603" s="961"/>
      <c r="C603" s="961"/>
      <c r="D603" s="961"/>
      <c r="E603" s="961"/>
      <c r="F603" s="961"/>
      <c r="G603" s="961"/>
      <c r="H603" s="961"/>
      <c r="I603" s="961"/>
    </row>
    <row r="604" spans="1:9">
      <c r="A604" s="961"/>
      <c r="B604" s="961"/>
      <c r="C604" s="961"/>
      <c r="D604" s="961"/>
      <c r="E604" s="961"/>
      <c r="F604" s="961"/>
      <c r="G604" s="961"/>
      <c r="H604" s="961"/>
      <c r="I604" s="961"/>
    </row>
    <row r="605" spans="1:9">
      <c r="A605" s="961"/>
      <c r="B605" s="961"/>
      <c r="C605" s="961"/>
      <c r="D605" s="961"/>
      <c r="E605" s="961"/>
      <c r="F605" s="961"/>
      <c r="G605" s="961"/>
      <c r="H605" s="961"/>
      <c r="I605" s="961"/>
    </row>
    <row r="606" spans="1:9">
      <c r="A606" s="961"/>
      <c r="B606" s="961"/>
      <c r="C606" s="961"/>
      <c r="D606" s="961"/>
      <c r="E606" s="961"/>
      <c r="F606" s="961"/>
      <c r="G606" s="961"/>
      <c r="H606" s="961"/>
      <c r="I606" s="961"/>
    </row>
    <row r="607" spans="1:9">
      <c r="A607" s="961"/>
      <c r="B607" s="961"/>
      <c r="C607" s="961"/>
      <c r="D607" s="961"/>
      <c r="E607" s="961"/>
      <c r="F607" s="961"/>
      <c r="G607" s="961"/>
      <c r="H607" s="961"/>
      <c r="I607" s="961"/>
    </row>
    <row r="608" spans="1:9">
      <c r="A608" s="961"/>
      <c r="B608" s="961"/>
      <c r="C608" s="961"/>
      <c r="D608" s="961"/>
      <c r="E608" s="961"/>
      <c r="F608" s="961"/>
      <c r="G608" s="961"/>
      <c r="H608" s="961"/>
      <c r="I608" s="961"/>
    </row>
    <row r="609" spans="1:9">
      <c r="A609" s="961"/>
      <c r="B609" s="961"/>
      <c r="C609" s="961"/>
      <c r="D609" s="961"/>
      <c r="E609" s="961"/>
      <c r="F609" s="961"/>
      <c r="G609" s="961"/>
      <c r="H609" s="961"/>
      <c r="I609" s="961"/>
    </row>
    <row r="610" spans="1:9">
      <c r="A610" s="961"/>
      <c r="B610" s="961"/>
      <c r="C610" s="961"/>
      <c r="D610" s="961"/>
      <c r="E610" s="961"/>
      <c r="F610" s="961"/>
      <c r="G610" s="961"/>
      <c r="H610" s="961"/>
      <c r="I610" s="961"/>
    </row>
    <row r="611" spans="1:9">
      <c r="A611" s="961"/>
      <c r="B611" s="961"/>
      <c r="C611" s="961"/>
      <c r="D611" s="961"/>
      <c r="E611" s="961"/>
      <c r="F611" s="961"/>
      <c r="G611" s="961"/>
      <c r="H611" s="961"/>
      <c r="I611" s="961"/>
    </row>
    <row r="612" spans="1:9">
      <c r="A612" s="961"/>
      <c r="B612" s="961"/>
      <c r="C612" s="961"/>
      <c r="D612" s="961"/>
      <c r="E612" s="961"/>
      <c r="F612" s="961"/>
      <c r="G612" s="961"/>
      <c r="H612" s="961"/>
      <c r="I612" s="961"/>
    </row>
    <row r="613" spans="1:9">
      <c r="A613" s="961"/>
      <c r="B613" s="961"/>
      <c r="C613" s="961"/>
      <c r="D613" s="961"/>
      <c r="E613" s="961"/>
      <c r="F613" s="961"/>
      <c r="G613" s="961"/>
      <c r="H613" s="961"/>
      <c r="I613" s="961"/>
    </row>
    <row r="614" spans="1:9">
      <c r="A614" s="961"/>
      <c r="B614" s="961"/>
      <c r="C614" s="961"/>
      <c r="D614" s="961"/>
      <c r="E614" s="961"/>
      <c r="F614" s="961"/>
      <c r="G614" s="961"/>
      <c r="H614" s="961"/>
      <c r="I614" s="961"/>
    </row>
    <row r="615" spans="1:9">
      <c r="A615" s="961"/>
      <c r="B615" s="961"/>
      <c r="C615" s="961"/>
      <c r="D615" s="961"/>
      <c r="E615" s="961"/>
      <c r="F615" s="961"/>
      <c r="G615" s="961"/>
      <c r="H615" s="961"/>
      <c r="I615" s="961"/>
    </row>
    <row r="616" spans="1:9">
      <c r="A616" s="961"/>
      <c r="B616" s="961"/>
      <c r="C616" s="961"/>
      <c r="D616" s="961"/>
      <c r="E616" s="961"/>
      <c r="F616" s="961"/>
      <c r="G616" s="961"/>
      <c r="H616" s="961"/>
      <c r="I616" s="961"/>
    </row>
    <row r="617" spans="1:9">
      <c r="A617" s="961"/>
      <c r="B617" s="961"/>
      <c r="C617" s="961"/>
      <c r="D617" s="961"/>
      <c r="E617" s="961"/>
      <c r="F617" s="961"/>
      <c r="G617" s="961"/>
      <c r="H617" s="961"/>
      <c r="I617" s="961"/>
    </row>
    <row r="618" spans="1:9">
      <c r="A618" s="961"/>
      <c r="B618" s="961"/>
      <c r="C618" s="961"/>
      <c r="D618" s="961"/>
      <c r="E618" s="961"/>
      <c r="F618" s="961"/>
      <c r="G618" s="961"/>
      <c r="H618" s="961"/>
      <c r="I618" s="961"/>
    </row>
    <row r="619" spans="1:9">
      <c r="A619" s="961"/>
      <c r="B619" s="961"/>
      <c r="C619" s="961"/>
      <c r="D619" s="961"/>
      <c r="E619" s="961"/>
      <c r="F619" s="961"/>
      <c r="G619" s="961"/>
      <c r="H619" s="961"/>
      <c r="I619" s="961"/>
    </row>
    <row r="620" spans="1:9">
      <c r="A620" s="961"/>
      <c r="B620" s="961"/>
      <c r="C620" s="961"/>
      <c r="D620" s="961"/>
      <c r="E620" s="961"/>
      <c r="F620" s="961"/>
      <c r="G620" s="961"/>
      <c r="H620" s="961"/>
      <c r="I620" s="961"/>
    </row>
    <row r="621" spans="1:9">
      <c r="A621" s="961"/>
      <c r="B621" s="961"/>
      <c r="C621" s="961"/>
      <c r="D621" s="961"/>
      <c r="E621" s="961"/>
      <c r="F621" s="961"/>
      <c r="G621" s="961"/>
      <c r="H621" s="961"/>
      <c r="I621" s="961"/>
    </row>
    <row r="622" spans="1:9">
      <c r="A622" s="961"/>
      <c r="B622" s="961"/>
      <c r="C622" s="961"/>
      <c r="D622" s="961"/>
      <c r="E622" s="961"/>
      <c r="F622" s="961"/>
      <c r="G622" s="961"/>
      <c r="H622" s="961"/>
      <c r="I622" s="961"/>
    </row>
    <row r="623" spans="1:9">
      <c r="A623" s="961"/>
      <c r="B623" s="961"/>
      <c r="C623" s="961"/>
      <c r="D623" s="961"/>
      <c r="E623" s="961"/>
      <c r="F623" s="961"/>
      <c r="G623" s="961"/>
      <c r="H623" s="961"/>
      <c r="I623" s="961"/>
    </row>
    <row r="624" spans="1:9">
      <c r="A624" s="961"/>
      <c r="B624" s="961"/>
      <c r="C624" s="961"/>
      <c r="D624" s="961"/>
      <c r="E624" s="961"/>
      <c r="F624" s="961"/>
      <c r="G624" s="961"/>
      <c r="H624" s="961"/>
      <c r="I624" s="961"/>
    </row>
    <row r="625" spans="1:9">
      <c r="A625" s="961"/>
      <c r="B625" s="961"/>
      <c r="C625" s="961"/>
      <c r="D625" s="961"/>
      <c r="E625" s="961"/>
      <c r="F625" s="961"/>
      <c r="G625" s="961"/>
      <c r="H625" s="961"/>
      <c r="I625" s="961"/>
    </row>
    <row r="626" spans="1:9">
      <c r="A626" s="961"/>
      <c r="B626" s="961"/>
      <c r="C626" s="961"/>
      <c r="D626" s="961"/>
      <c r="E626" s="961"/>
      <c r="F626" s="961"/>
      <c r="G626" s="961"/>
      <c r="H626" s="961"/>
      <c r="I626" s="961"/>
    </row>
    <row r="627" spans="1:9">
      <c r="A627" s="961"/>
      <c r="B627" s="961"/>
      <c r="C627" s="961"/>
      <c r="D627" s="961"/>
      <c r="E627" s="961"/>
      <c r="F627" s="961"/>
      <c r="G627" s="961"/>
      <c r="H627" s="961"/>
      <c r="I627" s="961"/>
    </row>
    <row r="628" spans="1:9">
      <c r="A628" s="961"/>
      <c r="B628" s="961"/>
      <c r="C628" s="961"/>
      <c r="D628" s="961"/>
      <c r="E628" s="961"/>
      <c r="F628" s="961"/>
      <c r="G628" s="961"/>
      <c r="H628" s="961"/>
      <c r="I628" s="961"/>
    </row>
    <row r="629" spans="1:9">
      <c r="A629" s="961"/>
      <c r="B629" s="961"/>
      <c r="C629" s="961"/>
      <c r="D629" s="961"/>
      <c r="E629" s="961"/>
      <c r="F629" s="961"/>
      <c r="G629" s="961"/>
      <c r="H629" s="961"/>
      <c r="I629" s="961"/>
    </row>
    <row r="630" spans="1:9">
      <c r="A630" s="961"/>
      <c r="B630" s="961"/>
      <c r="C630" s="961"/>
      <c r="D630" s="961"/>
      <c r="E630" s="961"/>
      <c r="F630" s="961"/>
      <c r="G630" s="961"/>
      <c r="H630" s="961"/>
      <c r="I630" s="961"/>
    </row>
    <row r="631" spans="1:9">
      <c r="A631" s="961"/>
      <c r="B631" s="961"/>
      <c r="C631" s="961"/>
      <c r="D631" s="961"/>
      <c r="E631" s="961"/>
      <c r="F631" s="961"/>
      <c r="G631" s="961"/>
      <c r="H631" s="961"/>
      <c r="I631" s="961"/>
    </row>
    <row r="632" spans="1:9">
      <c r="A632" s="961"/>
      <c r="B632" s="961"/>
      <c r="C632" s="961"/>
      <c r="D632" s="961"/>
      <c r="E632" s="961"/>
      <c r="F632" s="961"/>
      <c r="G632" s="961"/>
      <c r="H632" s="961"/>
      <c r="I632" s="961"/>
    </row>
    <row r="633" spans="1:9">
      <c r="A633" s="961"/>
      <c r="B633" s="961"/>
      <c r="C633" s="961"/>
      <c r="D633" s="961"/>
      <c r="E633" s="961"/>
      <c r="F633" s="961"/>
      <c r="G633" s="961"/>
      <c r="H633" s="961"/>
      <c r="I633" s="961"/>
    </row>
    <row r="634" spans="1:9">
      <c r="A634" s="961"/>
      <c r="B634" s="961"/>
      <c r="C634" s="961"/>
      <c r="D634" s="961"/>
      <c r="E634" s="961"/>
      <c r="F634" s="961"/>
      <c r="G634" s="961"/>
      <c r="H634" s="961"/>
      <c r="I634" s="961"/>
    </row>
    <row r="635" spans="1:9">
      <c r="A635" s="961"/>
      <c r="B635" s="961"/>
      <c r="C635" s="961"/>
      <c r="D635" s="961"/>
      <c r="E635" s="961"/>
      <c r="F635" s="961"/>
      <c r="G635" s="961"/>
      <c r="H635" s="961"/>
      <c r="I635" s="961"/>
    </row>
    <row r="636" spans="1:9">
      <c r="A636" s="961"/>
      <c r="B636" s="961"/>
      <c r="C636" s="961"/>
      <c r="D636" s="961"/>
      <c r="E636" s="961"/>
      <c r="F636" s="961"/>
      <c r="G636" s="961"/>
      <c r="H636" s="961"/>
      <c r="I636" s="961"/>
    </row>
    <row r="637" spans="1:9">
      <c r="A637" s="961"/>
      <c r="B637" s="961"/>
      <c r="C637" s="961"/>
      <c r="D637" s="961"/>
      <c r="E637" s="961"/>
      <c r="F637" s="961"/>
      <c r="G637" s="961"/>
      <c r="H637" s="961"/>
      <c r="I637" s="961"/>
    </row>
    <row r="638" spans="1:9">
      <c r="A638" s="961"/>
      <c r="B638" s="961"/>
      <c r="C638" s="961"/>
      <c r="D638" s="961"/>
      <c r="E638" s="961"/>
      <c r="F638" s="961"/>
      <c r="G638" s="961"/>
      <c r="H638" s="961"/>
      <c r="I638" s="961"/>
    </row>
    <row r="639" spans="1:9">
      <c r="A639" s="961"/>
      <c r="B639" s="961"/>
      <c r="C639" s="961"/>
      <c r="D639" s="961"/>
      <c r="E639" s="961"/>
      <c r="F639" s="961"/>
      <c r="G639" s="961"/>
      <c r="H639" s="961"/>
      <c r="I639" s="961"/>
    </row>
    <row r="640" spans="1:9">
      <c r="A640" s="961"/>
      <c r="B640" s="961"/>
      <c r="C640" s="961"/>
      <c r="D640" s="961"/>
      <c r="E640" s="961"/>
      <c r="F640" s="961"/>
      <c r="G640" s="961"/>
      <c r="H640" s="961"/>
      <c r="I640" s="961"/>
    </row>
    <row r="641" spans="1:9">
      <c r="A641" s="961"/>
      <c r="B641" s="961"/>
      <c r="C641" s="961"/>
      <c r="D641" s="961"/>
      <c r="E641" s="961"/>
      <c r="F641" s="961"/>
      <c r="G641" s="961"/>
      <c r="H641" s="961"/>
      <c r="I641" s="961"/>
    </row>
    <row r="642" spans="1:9">
      <c r="A642" s="961"/>
      <c r="B642" s="961"/>
      <c r="C642" s="961"/>
      <c r="D642" s="961"/>
      <c r="E642" s="961"/>
      <c r="F642" s="961"/>
      <c r="G642" s="961"/>
      <c r="H642" s="961"/>
      <c r="I642" s="961"/>
    </row>
    <row r="643" spans="1:9">
      <c r="A643" s="961"/>
      <c r="B643" s="961"/>
      <c r="C643" s="961"/>
      <c r="D643" s="961"/>
      <c r="E643" s="961"/>
      <c r="F643" s="961"/>
      <c r="G643" s="961"/>
      <c r="H643" s="961"/>
      <c r="I643" s="961"/>
    </row>
    <row r="644" spans="1:9">
      <c r="A644" s="961"/>
      <c r="B644" s="961"/>
      <c r="C644" s="961"/>
      <c r="D644" s="961"/>
      <c r="E644" s="961"/>
      <c r="F644" s="961"/>
      <c r="G644" s="961"/>
      <c r="H644" s="961"/>
      <c r="I644" s="961"/>
    </row>
    <row r="645" spans="1:9">
      <c r="A645" s="961"/>
      <c r="B645" s="961"/>
      <c r="C645" s="961"/>
      <c r="D645" s="961"/>
      <c r="E645" s="961"/>
      <c r="F645" s="961"/>
      <c r="G645" s="961"/>
      <c r="H645" s="961"/>
      <c r="I645" s="961"/>
    </row>
    <row r="646" spans="1:9">
      <c r="A646" s="961"/>
      <c r="B646" s="961"/>
      <c r="C646" s="961"/>
      <c r="D646" s="961"/>
      <c r="E646" s="961"/>
      <c r="F646" s="961"/>
      <c r="G646" s="961"/>
      <c r="H646" s="961"/>
      <c r="I646" s="961"/>
    </row>
    <row r="647" spans="1:9">
      <c r="A647" s="961"/>
      <c r="B647" s="961"/>
      <c r="C647" s="961"/>
      <c r="D647" s="961"/>
      <c r="E647" s="961"/>
      <c r="F647" s="961"/>
      <c r="G647" s="961"/>
      <c r="H647" s="961"/>
      <c r="I647" s="961"/>
    </row>
    <row r="648" spans="1:9">
      <c r="A648" s="961"/>
      <c r="B648" s="961"/>
      <c r="C648" s="961"/>
      <c r="D648" s="961"/>
      <c r="E648" s="961"/>
      <c r="F648" s="961"/>
      <c r="G648" s="961"/>
      <c r="H648" s="961"/>
      <c r="I648" s="961"/>
    </row>
    <row r="649" spans="1:9">
      <c r="A649" s="961"/>
      <c r="B649" s="961"/>
      <c r="C649" s="961"/>
      <c r="D649" s="961"/>
      <c r="E649" s="961"/>
      <c r="F649" s="961"/>
      <c r="G649" s="961"/>
      <c r="H649" s="961"/>
      <c r="I649" s="961"/>
    </row>
    <row r="650" spans="1:9">
      <c r="A650" s="961"/>
      <c r="B650" s="961"/>
      <c r="C650" s="961"/>
      <c r="D650" s="961"/>
      <c r="E650" s="961"/>
      <c r="F650" s="961"/>
      <c r="G650" s="961"/>
      <c r="H650" s="961"/>
      <c r="I650" s="961"/>
    </row>
    <row r="651" spans="1:9">
      <c r="A651" s="961"/>
      <c r="B651" s="961"/>
      <c r="C651" s="961"/>
      <c r="D651" s="961"/>
      <c r="E651" s="961"/>
      <c r="F651" s="961"/>
      <c r="G651" s="961"/>
      <c r="H651" s="961"/>
      <c r="I651" s="961"/>
    </row>
    <row r="652" spans="1:9">
      <c r="A652" s="961"/>
      <c r="B652" s="961"/>
      <c r="C652" s="961"/>
      <c r="D652" s="961"/>
      <c r="E652" s="961"/>
      <c r="F652" s="961"/>
      <c r="G652" s="961"/>
      <c r="H652" s="961"/>
      <c r="I652" s="961"/>
    </row>
    <row r="653" spans="1:9">
      <c r="A653" s="961"/>
      <c r="B653" s="961"/>
      <c r="C653" s="961"/>
      <c r="D653" s="961"/>
      <c r="E653" s="961"/>
      <c r="F653" s="961"/>
      <c r="G653" s="961"/>
      <c r="H653" s="961"/>
      <c r="I653" s="961"/>
    </row>
    <row r="654" spans="1:9">
      <c r="A654" s="961"/>
      <c r="B654" s="961"/>
      <c r="C654" s="961"/>
      <c r="D654" s="961"/>
      <c r="E654" s="961"/>
      <c r="F654" s="961"/>
      <c r="G654" s="961"/>
      <c r="H654" s="961"/>
      <c r="I654" s="961"/>
    </row>
    <row r="655" spans="1:9">
      <c r="A655" s="961"/>
      <c r="B655" s="961"/>
      <c r="C655" s="961"/>
      <c r="D655" s="961"/>
      <c r="E655" s="961"/>
      <c r="F655" s="961"/>
      <c r="G655" s="961"/>
      <c r="H655" s="961"/>
      <c r="I655" s="961"/>
    </row>
    <row r="656" spans="1:9">
      <c r="A656" s="961"/>
      <c r="B656" s="961"/>
      <c r="C656" s="961"/>
      <c r="D656" s="961"/>
      <c r="E656" s="961"/>
      <c r="F656" s="961"/>
      <c r="G656" s="961"/>
      <c r="H656" s="961"/>
      <c r="I656" s="961"/>
    </row>
    <row r="657" spans="1:9">
      <c r="A657" s="961"/>
      <c r="B657" s="961"/>
      <c r="C657" s="961"/>
      <c r="D657" s="961"/>
      <c r="E657" s="961"/>
      <c r="F657" s="961"/>
      <c r="G657" s="961"/>
      <c r="H657" s="961"/>
      <c r="I657" s="961"/>
    </row>
    <row r="658" spans="1:9">
      <c r="A658" s="961"/>
      <c r="B658" s="961"/>
      <c r="C658" s="961"/>
      <c r="D658" s="961"/>
      <c r="E658" s="961"/>
      <c r="F658" s="961"/>
      <c r="G658" s="961"/>
      <c r="H658" s="961"/>
      <c r="I658" s="961"/>
    </row>
    <row r="659" spans="1:9">
      <c r="A659" s="961"/>
      <c r="B659" s="961"/>
      <c r="C659" s="961"/>
      <c r="D659" s="961"/>
      <c r="E659" s="961"/>
      <c r="F659" s="961"/>
      <c r="G659" s="961"/>
      <c r="H659" s="961"/>
      <c r="I659" s="961"/>
    </row>
    <row r="660" spans="1:9">
      <c r="A660" s="961"/>
      <c r="B660" s="961"/>
      <c r="C660" s="961"/>
      <c r="D660" s="961"/>
      <c r="E660" s="961"/>
      <c r="F660" s="961"/>
      <c r="G660" s="961"/>
      <c r="H660" s="961"/>
      <c r="I660" s="961"/>
    </row>
    <row r="661" spans="1:9">
      <c r="A661" s="961"/>
      <c r="B661" s="961"/>
      <c r="C661" s="961"/>
      <c r="D661" s="961"/>
      <c r="E661" s="961"/>
      <c r="F661" s="961"/>
      <c r="G661" s="961"/>
      <c r="H661" s="961"/>
      <c r="I661" s="961"/>
    </row>
    <row r="662" spans="1:9">
      <c r="A662" s="961"/>
      <c r="B662" s="961"/>
      <c r="C662" s="961"/>
      <c r="D662" s="961"/>
      <c r="E662" s="961"/>
      <c r="F662" s="961"/>
      <c r="G662" s="961"/>
      <c r="H662" s="961"/>
      <c r="I662" s="961"/>
    </row>
    <row r="663" spans="1:9">
      <c r="A663" s="961"/>
      <c r="B663" s="961"/>
      <c r="C663" s="961"/>
      <c r="D663" s="961"/>
      <c r="E663" s="961"/>
      <c r="F663" s="961"/>
      <c r="G663" s="961"/>
      <c r="H663" s="961"/>
      <c r="I663" s="961"/>
    </row>
    <row r="664" spans="1:9">
      <c r="A664" s="961"/>
      <c r="B664" s="961"/>
      <c r="C664" s="961"/>
      <c r="D664" s="961"/>
      <c r="E664" s="961"/>
      <c r="F664" s="961"/>
      <c r="G664" s="961"/>
      <c r="H664" s="961"/>
      <c r="I664" s="961"/>
    </row>
    <row r="665" spans="1:9">
      <c r="A665" s="961"/>
      <c r="B665" s="961"/>
      <c r="C665" s="961"/>
      <c r="D665" s="961"/>
      <c r="E665" s="961"/>
      <c r="F665" s="961"/>
      <c r="G665" s="961"/>
      <c r="H665" s="961"/>
      <c r="I665" s="961"/>
    </row>
    <row r="666" spans="1:9">
      <c r="A666" s="961"/>
      <c r="B666" s="961"/>
      <c r="C666" s="961"/>
      <c r="D666" s="961"/>
      <c r="E666" s="961"/>
      <c r="F666" s="961"/>
      <c r="G666" s="961"/>
      <c r="H666" s="961"/>
      <c r="I666" s="961"/>
    </row>
    <row r="667" spans="1:9">
      <c r="A667" s="961"/>
      <c r="B667" s="961"/>
      <c r="C667" s="961"/>
      <c r="D667" s="961"/>
      <c r="E667" s="961"/>
      <c r="F667" s="961"/>
      <c r="G667" s="961"/>
      <c r="H667" s="961"/>
      <c r="I667" s="961"/>
    </row>
    <row r="668" spans="1:9">
      <c r="A668" s="961"/>
      <c r="B668" s="961"/>
      <c r="C668" s="961"/>
      <c r="D668" s="961"/>
      <c r="E668" s="961"/>
      <c r="F668" s="961"/>
      <c r="G668" s="961"/>
      <c r="H668" s="961"/>
      <c r="I668" s="961"/>
    </row>
    <row r="669" spans="1:9">
      <c r="A669" s="961"/>
      <c r="B669" s="961"/>
      <c r="C669" s="961"/>
      <c r="D669" s="961"/>
      <c r="E669" s="961"/>
      <c r="F669" s="961"/>
      <c r="G669" s="961"/>
      <c r="H669" s="961"/>
      <c r="I669" s="961"/>
    </row>
    <row r="670" spans="1:9">
      <c r="A670" s="961"/>
      <c r="B670" s="961"/>
      <c r="C670" s="961"/>
      <c r="D670" s="961"/>
      <c r="E670" s="961"/>
      <c r="F670" s="961"/>
      <c r="G670" s="961"/>
      <c r="H670" s="961"/>
      <c r="I670" s="961"/>
    </row>
    <row r="671" spans="1:9">
      <c r="A671" s="961"/>
      <c r="B671" s="961"/>
      <c r="C671" s="961"/>
      <c r="D671" s="961"/>
      <c r="E671" s="961"/>
      <c r="F671" s="961"/>
      <c r="G671" s="961"/>
      <c r="H671" s="961"/>
      <c r="I671" s="961"/>
    </row>
    <row r="672" spans="1:9">
      <c r="A672" s="961"/>
      <c r="B672" s="961"/>
      <c r="C672" s="961"/>
      <c r="D672" s="961"/>
      <c r="E672" s="961"/>
      <c r="F672" s="961"/>
      <c r="G672" s="961"/>
      <c r="H672" s="961"/>
      <c r="I672" s="961"/>
    </row>
    <row r="673" spans="1:9">
      <c r="A673" s="961"/>
      <c r="B673" s="961"/>
      <c r="C673" s="961"/>
      <c r="D673" s="961"/>
      <c r="E673" s="961"/>
      <c r="F673" s="961"/>
      <c r="G673" s="961"/>
      <c r="H673" s="961"/>
      <c r="I673" s="961"/>
    </row>
    <row r="674" spans="1:9">
      <c r="A674" s="961"/>
      <c r="B674" s="961"/>
      <c r="C674" s="961"/>
      <c r="D674" s="961"/>
      <c r="E674" s="961"/>
      <c r="F674" s="961"/>
      <c r="G674" s="961"/>
      <c r="H674" s="961"/>
      <c r="I674" s="961"/>
    </row>
    <row r="675" spans="1:9">
      <c r="A675" s="961"/>
      <c r="B675" s="961"/>
      <c r="C675" s="961"/>
      <c r="D675" s="961"/>
      <c r="E675" s="961"/>
      <c r="F675" s="961"/>
      <c r="G675" s="961"/>
      <c r="H675" s="961"/>
      <c r="I675" s="961"/>
    </row>
    <row r="676" spans="1:9">
      <c r="A676" s="961"/>
      <c r="B676" s="961"/>
      <c r="C676" s="961"/>
      <c r="D676" s="961"/>
      <c r="E676" s="961"/>
      <c r="F676" s="961"/>
      <c r="G676" s="961"/>
      <c r="H676" s="961"/>
      <c r="I676" s="961"/>
    </row>
    <row r="677" spans="1:9">
      <c r="A677" s="961"/>
      <c r="B677" s="961"/>
      <c r="C677" s="961"/>
      <c r="D677" s="961"/>
      <c r="E677" s="961"/>
      <c r="F677" s="961"/>
      <c r="G677" s="961"/>
      <c r="H677" s="961"/>
      <c r="I677" s="961"/>
    </row>
    <row r="678" spans="1:9">
      <c r="A678" s="961"/>
      <c r="B678" s="961"/>
      <c r="C678" s="961"/>
      <c r="D678" s="961"/>
      <c r="E678" s="961"/>
      <c r="F678" s="961"/>
      <c r="G678" s="961"/>
      <c r="H678" s="961"/>
      <c r="I678" s="961"/>
    </row>
    <row r="679" spans="1:9">
      <c r="A679" s="961"/>
      <c r="B679" s="961"/>
      <c r="C679" s="961"/>
      <c r="D679" s="961"/>
      <c r="E679" s="961"/>
      <c r="F679" s="961"/>
      <c r="G679" s="961"/>
      <c r="H679" s="961"/>
      <c r="I679" s="961"/>
    </row>
    <row r="680" spans="1:9">
      <c r="A680" s="961"/>
      <c r="B680" s="961"/>
      <c r="C680" s="961"/>
      <c r="D680" s="961"/>
      <c r="E680" s="961"/>
      <c r="F680" s="961"/>
      <c r="G680" s="961"/>
      <c r="H680" s="961"/>
      <c r="I680" s="961"/>
    </row>
    <row r="681" spans="1:9">
      <c r="A681" s="961"/>
      <c r="B681" s="961"/>
      <c r="C681" s="961"/>
      <c r="D681" s="961"/>
      <c r="E681" s="961"/>
      <c r="F681" s="961"/>
      <c r="G681" s="961"/>
      <c r="H681" s="961"/>
      <c r="I681" s="961"/>
    </row>
    <row r="682" spans="1:9">
      <c r="A682" s="961"/>
      <c r="B682" s="961"/>
      <c r="C682" s="961"/>
      <c r="D682" s="961"/>
      <c r="E682" s="961"/>
      <c r="F682" s="961"/>
      <c r="G682" s="961"/>
      <c r="H682" s="961"/>
      <c r="I682" s="961"/>
    </row>
    <row r="683" spans="1:9">
      <c r="A683" s="961"/>
      <c r="B683" s="961"/>
      <c r="C683" s="961"/>
      <c r="D683" s="961"/>
      <c r="E683" s="961"/>
      <c r="F683" s="961"/>
      <c r="G683" s="961"/>
      <c r="H683" s="961"/>
      <c r="I683" s="961"/>
    </row>
    <row r="684" spans="1:9">
      <c r="A684" s="961"/>
      <c r="B684" s="961"/>
      <c r="C684" s="961"/>
      <c r="D684" s="961"/>
      <c r="E684" s="961"/>
      <c r="F684" s="961"/>
      <c r="G684" s="961"/>
      <c r="H684" s="961"/>
      <c r="I684" s="961"/>
    </row>
    <row r="685" spans="1:9">
      <c r="A685" s="961"/>
      <c r="B685" s="961"/>
      <c r="C685" s="961"/>
      <c r="D685" s="961"/>
      <c r="E685" s="961"/>
      <c r="F685" s="961"/>
      <c r="G685" s="961"/>
      <c r="H685" s="961"/>
      <c r="I685" s="961"/>
    </row>
    <row r="686" spans="1:9">
      <c r="A686" s="961"/>
      <c r="B686" s="961"/>
      <c r="C686" s="961"/>
      <c r="D686" s="961"/>
      <c r="E686" s="961"/>
      <c r="F686" s="961"/>
      <c r="G686" s="961"/>
      <c r="H686" s="961"/>
      <c r="I686" s="961"/>
    </row>
    <row r="687" spans="1:9">
      <c r="A687" s="961"/>
      <c r="B687" s="961"/>
      <c r="C687" s="961"/>
      <c r="D687" s="961"/>
      <c r="E687" s="961"/>
      <c r="F687" s="961"/>
      <c r="G687" s="961"/>
      <c r="H687" s="961"/>
      <c r="I687" s="961"/>
    </row>
    <row r="688" spans="1:9">
      <c r="A688" s="961"/>
      <c r="B688" s="961"/>
      <c r="C688" s="961"/>
      <c r="D688" s="961"/>
      <c r="E688" s="961"/>
      <c r="F688" s="961"/>
      <c r="G688" s="961"/>
      <c r="H688" s="961"/>
      <c r="I688" s="961"/>
    </row>
    <row r="689" spans="1:9">
      <c r="A689" s="961"/>
      <c r="B689" s="961"/>
      <c r="C689" s="961"/>
      <c r="D689" s="961"/>
      <c r="E689" s="961"/>
      <c r="F689" s="961"/>
      <c r="G689" s="961"/>
      <c r="H689" s="961"/>
      <c r="I689" s="961"/>
    </row>
    <row r="690" spans="1:9">
      <c r="A690" s="961"/>
      <c r="B690" s="961"/>
      <c r="C690" s="961"/>
      <c r="D690" s="961"/>
      <c r="E690" s="961"/>
      <c r="F690" s="961"/>
      <c r="G690" s="961"/>
      <c r="H690" s="961"/>
      <c r="I690" s="961"/>
    </row>
    <row r="691" spans="1:9">
      <c r="A691" s="961"/>
      <c r="B691" s="961"/>
      <c r="C691" s="961"/>
      <c r="D691" s="961"/>
      <c r="E691" s="961"/>
      <c r="F691" s="961"/>
      <c r="G691" s="961"/>
      <c r="H691" s="961"/>
      <c r="I691" s="961"/>
    </row>
    <row r="692" spans="1:9">
      <c r="A692" s="961"/>
      <c r="B692" s="961"/>
      <c r="C692" s="961"/>
      <c r="D692" s="961"/>
      <c r="E692" s="961"/>
      <c r="F692" s="961"/>
      <c r="G692" s="961"/>
      <c r="H692" s="961"/>
      <c r="I692" s="961"/>
    </row>
    <row r="693" spans="1:9">
      <c r="A693" s="961"/>
      <c r="B693" s="961"/>
      <c r="C693" s="961"/>
      <c r="D693" s="961"/>
      <c r="E693" s="961"/>
      <c r="F693" s="961"/>
      <c r="G693" s="961"/>
      <c r="H693" s="961"/>
      <c r="I693" s="961"/>
    </row>
    <row r="694" spans="1:9">
      <c r="A694" s="961"/>
      <c r="B694" s="961"/>
      <c r="C694" s="961"/>
      <c r="D694" s="961"/>
      <c r="E694" s="961"/>
      <c r="F694" s="961"/>
      <c r="G694" s="961"/>
      <c r="H694" s="961"/>
      <c r="I694" s="961"/>
    </row>
    <row r="695" spans="1:9">
      <c r="A695" s="961"/>
      <c r="B695" s="961"/>
      <c r="C695" s="961"/>
      <c r="D695" s="961"/>
      <c r="E695" s="961"/>
      <c r="F695" s="961"/>
      <c r="G695" s="961"/>
      <c r="H695" s="961"/>
      <c r="I695" s="961"/>
    </row>
    <row r="696" spans="1:9">
      <c r="A696" s="961"/>
      <c r="B696" s="961"/>
      <c r="C696" s="961"/>
      <c r="D696" s="961"/>
      <c r="E696" s="961"/>
      <c r="F696" s="961"/>
      <c r="G696" s="961"/>
      <c r="H696" s="961"/>
      <c r="I696" s="961"/>
    </row>
    <row r="697" spans="1:9">
      <c r="A697" s="961"/>
      <c r="B697" s="961"/>
      <c r="C697" s="961"/>
      <c r="D697" s="961"/>
      <c r="E697" s="961"/>
      <c r="F697" s="961"/>
      <c r="G697" s="961"/>
      <c r="H697" s="961"/>
      <c r="I697" s="961"/>
    </row>
    <row r="698" spans="1:9">
      <c r="A698" s="961"/>
      <c r="B698" s="961"/>
      <c r="C698" s="961"/>
      <c r="D698" s="961"/>
      <c r="E698" s="961"/>
      <c r="F698" s="961"/>
      <c r="G698" s="961"/>
      <c r="H698" s="961"/>
      <c r="I698" s="961"/>
    </row>
    <row r="699" spans="1:9">
      <c r="A699" s="961"/>
      <c r="B699" s="961"/>
      <c r="C699" s="961"/>
      <c r="D699" s="961"/>
      <c r="E699" s="961"/>
      <c r="F699" s="961"/>
      <c r="G699" s="961"/>
      <c r="H699" s="961"/>
      <c r="I699" s="961"/>
    </row>
    <row r="700" spans="1:9">
      <c r="A700" s="961"/>
      <c r="B700" s="961"/>
      <c r="C700" s="961"/>
      <c r="D700" s="961"/>
      <c r="E700" s="961"/>
      <c r="F700" s="961"/>
      <c r="G700" s="961"/>
      <c r="H700" s="961"/>
      <c r="I700" s="961"/>
    </row>
    <row r="701" spans="1:9">
      <c r="A701" s="961"/>
      <c r="B701" s="961"/>
      <c r="C701" s="961"/>
      <c r="D701" s="961"/>
      <c r="E701" s="961"/>
      <c r="F701" s="961"/>
      <c r="G701" s="961"/>
      <c r="H701" s="961"/>
      <c r="I701" s="961"/>
    </row>
    <row r="702" spans="1:9">
      <c r="A702" s="961"/>
      <c r="B702" s="961"/>
      <c r="C702" s="961"/>
      <c r="D702" s="961"/>
      <c r="E702" s="961"/>
      <c r="F702" s="961"/>
      <c r="G702" s="961"/>
      <c r="H702" s="961"/>
      <c r="I702" s="961"/>
    </row>
    <row r="703" spans="1:9">
      <c r="A703" s="961"/>
      <c r="B703" s="961"/>
      <c r="C703" s="961"/>
      <c r="D703" s="961"/>
      <c r="E703" s="961"/>
      <c r="F703" s="961"/>
      <c r="G703" s="961"/>
      <c r="H703" s="961"/>
      <c r="I703" s="961"/>
    </row>
    <row r="704" spans="1:9">
      <c r="A704" s="961"/>
      <c r="B704" s="961"/>
      <c r="C704" s="961"/>
      <c r="D704" s="961"/>
      <c r="E704" s="961"/>
      <c r="F704" s="961"/>
      <c r="G704" s="961"/>
      <c r="H704" s="961"/>
      <c r="I704" s="961"/>
    </row>
    <row r="705" spans="1:9">
      <c r="A705" s="961"/>
      <c r="B705" s="961"/>
      <c r="C705" s="961"/>
      <c r="D705" s="961"/>
      <c r="E705" s="961"/>
      <c r="F705" s="961"/>
      <c r="G705" s="961"/>
      <c r="H705" s="961"/>
      <c r="I705" s="961"/>
    </row>
    <row r="706" spans="1:9">
      <c r="A706" s="961"/>
      <c r="B706" s="961"/>
      <c r="C706" s="961"/>
      <c r="D706" s="961"/>
      <c r="E706" s="961"/>
      <c r="F706" s="961"/>
      <c r="G706" s="961"/>
      <c r="H706" s="961"/>
      <c r="I706" s="961"/>
    </row>
    <row r="707" spans="1:9">
      <c r="A707" s="961"/>
      <c r="B707" s="961"/>
      <c r="C707" s="961"/>
      <c r="D707" s="961"/>
      <c r="E707" s="961"/>
      <c r="F707" s="961"/>
      <c r="G707" s="961"/>
      <c r="H707" s="961"/>
      <c r="I707" s="961"/>
    </row>
    <row r="708" spans="1:9">
      <c r="A708" s="961"/>
      <c r="B708" s="961"/>
      <c r="C708" s="961"/>
      <c r="D708" s="961"/>
      <c r="E708" s="961"/>
      <c r="F708" s="961"/>
      <c r="G708" s="961"/>
      <c r="H708" s="961"/>
      <c r="I708" s="961"/>
    </row>
    <row r="709" spans="1:9">
      <c r="A709" s="961"/>
      <c r="B709" s="961"/>
      <c r="C709" s="961"/>
      <c r="D709" s="961"/>
      <c r="E709" s="961"/>
      <c r="F709" s="961"/>
      <c r="G709" s="961"/>
      <c r="H709" s="961"/>
      <c r="I709" s="961"/>
    </row>
    <row r="710" spans="1:9">
      <c r="A710" s="961"/>
      <c r="B710" s="961"/>
      <c r="C710" s="961"/>
      <c r="D710" s="961"/>
      <c r="E710" s="961"/>
      <c r="F710" s="961"/>
      <c r="G710" s="961"/>
      <c r="H710" s="961"/>
      <c r="I710" s="961"/>
    </row>
    <row r="711" spans="1:9">
      <c r="A711" s="961"/>
      <c r="B711" s="961"/>
      <c r="C711" s="961"/>
      <c r="D711" s="961"/>
      <c r="E711" s="961"/>
      <c r="F711" s="961"/>
      <c r="G711" s="961"/>
      <c r="H711" s="961"/>
      <c r="I711" s="961"/>
    </row>
    <row r="712" spans="1:9">
      <c r="A712" s="961"/>
      <c r="B712" s="961"/>
      <c r="C712" s="961"/>
      <c r="D712" s="961"/>
      <c r="E712" s="961"/>
      <c r="F712" s="961"/>
      <c r="G712" s="961"/>
      <c r="H712" s="961"/>
      <c r="I712" s="961"/>
    </row>
    <row r="713" spans="1:9">
      <c r="A713" s="961"/>
      <c r="B713" s="961"/>
      <c r="C713" s="961"/>
      <c r="D713" s="961"/>
      <c r="E713" s="961"/>
      <c r="F713" s="961"/>
      <c r="G713" s="961"/>
      <c r="H713" s="961"/>
      <c r="I713" s="961"/>
    </row>
    <row r="714" spans="1:9">
      <c r="A714" s="961"/>
      <c r="B714" s="961"/>
      <c r="C714" s="961"/>
      <c r="D714" s="961"/>
      <c r="E714" s="961"/>
      <c r="F714" s="961"/>
      <c r="G714" s="961"/>
      <c r="H714" s="961"/>
      <c r="I714" s="961"/>
    </row>
    <row r="715" spans="1:9">
      <c r="A715" s="961"/>
      <c r="B715" s="961"/>
      <c r="C715" s="961"/>
      <c r="D715" s="961"/>
      <c r="E715" s="961"/>
      <c r="F715" s="961"/>
      <c r="G715" s="961"/>
      <c r="H715" s="961"/>
      <c r="I715" s="961"/>
    </row>
    <row r="716" spans="1:9">
      <c r="A716" s="961"/>
      <c r="B716" s="961"/>
      <c r="C716" s="961"/>
      <c r="D716" s="961"/>
      <c r="E716" s="961"/>
      <c r="F716" s="961"/>
      <c r="G716" s="961"/>
      <c r="H716" s="961"/>
      <c r="I716" s="961"/>
    </row>
    <row r="717" spans="1:9">
      <c r="A717" s="961"/>
      <c r="B717" s="961"/>
      <c r="C717" s="961"/>
      <c r="D717" s="961"/>
      <c r="E717" s="961"/>
      <c r="F717" s="961"/>
      <c r="G717" s="961"/>
      <c r="H717" s="961"/>
      <c r="I717" s="961"/>
    </row>
    <row r="718" spans="1:9">
      <c r="A718" s="961"/>
      <c r="B718" s="961"/>
      <c r="C718" s="961"/>
      <c r="D718" s="961"/>
      <c r="E718" s="961"/>
      <c r="F718" s="961"/>
      <c r="G718" s="961"/>
      <c r="H718" s="961"/>
      <c r="I718" s="961"/>
    </row>
    <row r="719" spans="1:9">
      <c r="A719" s="961"/>
      <c r="B719" s="961"/>
      <c r="C719" s="961"/>
      <c r="D719" s="961"/>
      <c r="E719" s="961"/>
      <c r="F719" s="961"/>
      <c r="G719" s="961"/>
      <c r="H719" s="961"/>
      <c r="I719" s="961"/>
    </row>
    <row r="720" spans="1:9">
      <c r="A720" s="961"/>
      <c r="B720" s="961"/>
      <c r="C720" s="961"/>
      <c r="D720" s="961"/>
      <c r="E720" s="961"/>
      <c r="F720" s="961"/>
      <c r="G720" s="961"/>
      <c r="H720" s="961"/>
      <c r="I720" s="961"/>
    </row>
    <row r="721" spans="1:9">
      <c r="A721" s="961"/>
      <c r="B721" s="961"/>
      <c r="C721" s="961"/>
      <c r="D721" s="961"/>
      <c r="E721" s="961"/>
      <c r="F721" s="961"/>
      <c r="G721" s="961"/>
      <c r="H721" s="961"/>
      <c r="I721" s="961"/>
    </row>
    <row r="722" spans="1:9">
      <c r="A722" s="961"/>
      <c r="B722" s="961"/>
      <c r="C722" s="961"/>
      <c r="D722" s="961"/>
      <c r="E722" s="961"/>
      <c r="F722" s="961"/>
      <c r="G722" s="961"/>
      <c r="H722" s="961"/>
      <c r="I722" s="961"/>
    </row>
    <row r="723" spans="1:9">
      <c r="A723" s="961"/>
      <c r="B723" s="961"/>
      <c r="C723" s="961"/>
      <c r="D723" s="961"/>
      <c r="E723" s="961"/>
      <c r="F723" s="961"/>
      <c r="G723" s="961"/>
      <c r="H723" s="961"/>
      <c r="I723" s="961"/>
    </row>
    <row r="724" spans="1:9">
      <c r="A724" s="961"/>
      <c r="B724" s="961"/>
      <c r="C724" s="961"/>
      <c r="D724" s="961"/>
      <c r="E724" s="961"/>
      <c r="F724" s="961"/>
      <c r="G724" s="961"/>
      <c r="H724" s="961"/>
      <c r="I724" s="961"/>
    </row>
    <row r="725" spans="1:9">
      <c r="A725" s="961"/>
      <c r="B725" s="961"/>
      <c r="C725" s="961"/>
      <c r="D725" s="961"/>
      <c r="E725" s="961"/>
      <c r="F725" s="961"/>
      <c r="G725" s="961"/>
      <c r="H725" s="961"/>
      <c r="I725" s="961"/>
    </row>
    <row r="726" spans="1:9">
      <c r="A726" s="961"/>
      <c r="B726" s="961"/>
      <c r="C726" s="961"/>
      <c r="D726" s="961"/>
      <c r="E726" s="961"/>
      <c r="F726" s="961"/>
      <c r="G726" s="961"/>
      <c r="H726" s="961"/>
      <c r="I726" s="961"/>
    </row>
    <row r="727" spans="1:9">
      <c r="A727" s="961"/>
      <c r="B727" s="961"/>
      <c r="C727" s="961"/>
      <c r="D727" s="961"/>
      <c r="E727" s="961"/>
      <c r="F727" s="961"/>
      <c r="G727" s="961"/>
      <c r="H727" s="961"/>
      <c r="I727" s="961"/>
    </row>
    <row r="728" spans="1:9">
      <c r="A728" s="961"/>
      <c r="B728" s="961"/>
      <c r="C728" s="961"/>
      <c r="D728" s="961"/>
      <c r="E728" s="961"/>
      <c r="F728" s="961"/>
      <c r="G728" s="961"/>
      <c r="H728" s="961"/>
      <c r="I728" s="961"/>
    </row>
    <row r="729" spans="1:9">
      <c r="A729" s="961"/>
      <c r="B729" s="961"/>
      <c r="C729" s="961"/>
      <c r="D729" s="961"/>
      <c r="E729" s="961"/>
      <c r="F729" s="961"/>
      <c r="G729" s="961"/>
      <c r="H729" s="961"/>
      <c r="I729" s="961"/>
    </row>
    <row r="730" spans="1:9">
      <c r="A730" s="961"/>
      <c r="B730" s="961"/>
      <c r="C730" s="961"/>
      <c r="D730" s="961"/>
      <c r="E730" s="961"/>
      <c r="F730" s="961"/>
      <c r="G730" s="961"/>
      <c r="H730" s="961"/>
      <c r="I730" s="961"/>
    </row>
    <row r="731" spans="1:9">
      <c r="A731" s="961"/>
      <c r="B731" s="961"/>
      <c r="C731" s="961"/>
      <c r="D731" s="961"/>
      <c r="E731" s="961"/>
      <c r="F731" s="961"/>
      <c r="G731" s="961"/>
      <c r="H731" s="961"/>
      <c r="I731" s="961"/>
    </row>
    <row r="732" spans="1:9">
      <c r="A732" s="961"/>
      <c r="B732" s="961"/>
      <c r="C732" s="961"/>
      <c r="D732" s="961"/>
      <c r="E732" s="961"/>
      <c r="F732" s="961"/>
      <c r="G732" s="961"/>
      <c r="H732" s="961"/>
      <c r="I732" s="961"/>
    </row>
    <row r="733" spans="1:9">
      <c r="A733" s="961"/>
      <c r="B733" s="961"/>
      <c r="C733" s="961"/>
      <c r="D733" s="961"/>
      <c r="E733" s="961"/>
      <c r="F733" s="961"/>
      <c r="G733" s="961"/>
      <c r="H733" s="961"/>
      <c r="I733" s="961"/>
    </row>
    <row r="734" spans="1:9">
      <c r="A734" s="961"/>
      <c r="B734" s="961"/>
      <c r="C734" s="961"/>
      <c r="D734" s="961"/>
      <c r="E734" s="961"/>
      <c r="F734" s="961"/>
      <c r="G734" s="961"/>
      <c r="H734" s="961"/>
      <c r="I734" s="961"/>
    </row>
    <row r="735" spans="1:9">
      <c r="A735" s="961"/>
      <c r="B735" s="961"/>
      <c r="C735" s="961"/>
      <c r="D735" s="961"/>
      <c r="E735" s="961"/>
      <c r="F735" s="961"/>
      <c r="G735" s="961"/>
      <c r="H735" s="961"/>
      <c r="I735" s="961"/>
    </row>
    <row r="736" spans="1:9">
      <c r="A736" s="961"/>
      <c r="B736" s="961"/>
      <c r="C736" s="961"/>
      <c r="D736" s="961"/>
      <c r="E736" s="961"/>
      <c r="F736" s="961"/>
      <c r="G736" s="961"/>
      <c r="H736" s="961"/>
      <c r="I736" s="961"/>
    </row>
    <row r="737" spans="1:9">
      <c r="A737" s="961"/>
      <c r="B737" s="961"/>
      <c r="C737" s="961"/>
      <c r="D737" s="961"/>
      <c r="E737" s="961"/>
      <c r="F737" s="961"/>
      <c r="G737" s="961"/>
      <c r="H737" s="961"/>
      <c r="I737" s="961"/>
    </row>
    <row r="738" spans="1:9">
      <c r="A738" s="961"/>
      <c r="B738" s="961"/>
      <c r="C738" s="961"/>
      <c r="D738" s="961"/>
      <c r="E738" s="961"/>
      <c r="F738" s="961"/>
      <c r="G738" s="961"/>
      <c r="H738" s="961"/>
      <c r="I738" s="961"/>
    </row>
    <row r="739" spans="1:9">
      <c r="A739" s="961"/>
      <c r="B739" s="961"/>
      <c r="C739" s="961"/>
      <c r="D739" s="961"/>
      <c r="E739" s="961"/>
      <c r="F739" s="961"/>
      <c r="G739" s="961"/>
      <c r="H739" s="961"/>
      <c r="I739" s="961"/>
    </row>
    <row r="740" spans="1:9">
      <c r="A740" s="961"/>
      <c r="B740" s="961"/>
      <c r="C740" s="961"/>
      <c r="D740" s="961"/>
      <c r="E740" s="961"/>
      <c r="F740" s="961"/>
      <c r="G740" s="961"/>
      <c r="H740" s="961"/>
      <c r="I740" s="961"/>
    </row>
    <row r="741" spans="1:9">
      <c r="A741" s="961"/>
      <c r="B741" s="961"/>
      <c r="C741" s="961"/>
      <c r="D741" s="961"/>
      <c r="E741" s="961"/>
      <c r="F741" s="961"/>
      <c r="G741" s="961"/>
      <c r="H741" s="961"/>
      <c r="I741" s="961"/>
    </row>
    <row r="742" spans="1:9">
      <c r="A742" s="961"/>
      <c r="B742" s="961"/>
      <c r="C742" s="961"/>
      <c r="D742" s="961"/>
      <c r="E742" s="961"/>
      <c r="F742" s="961"/>
      <c r="G742" s="961"/>
      <c r="H742" s="961"/>
      <c r="I742" s="961"/>
    </row>
    <row r="743" spans="1:9">
      <c r="A743" s="961"/>
      <c r="B743" s="961"/>
      <c r="C743" s="961"/>
      <c r="D743" s="961"/>
      <c r="E743" s="961"/>
      <c r="F743" s="961"/>
      <c r="G743" s="961"/>
      <c r="H743" s="961"/>
      <c r="I743" s="961"/>
    </row>
    <row r="744" spans="1:9">
      <c r="A744" s="961"/>
      <c r="B744" s="961"/>
      <c r="C744" s="961"/>
      <c r="D744" s="961"/>
      <c r="E744" s="961"/>
      <c r="F744" s="961"/>
      <c r="G744" s="961"/>
      <c r="H744" s="961"/>
      <c r="I744" s="961"/>
    </row>
    <row r="745" spans="1:9">
      <c r="A745" s="961"/>
      <c r="B745" s="961"/>
      <c r="C745" s="961"/>
      <c r="D745" s="961"/>
      <c r="E745" s="961"/>
      <c r="F745" s="961"/>
      <c r="G745" s="961"/>
      <c r="H745" s="961"/>
      <c r="I745" s="961"/>
    </row>
    <row r="746" spans="1:9">
      <c r="A746" s="961"/>
      <c r="B746" s="961"/>
      <c r="C746" s="961"/>
      <c r="D746" s="961"/>
      <c r="E746" s="961"/>
      <c r="F746" s="961"/>
      <c r="G746" s="961"/>
      <c r="H746" s="961"/>
      <c r="I746" s="961"/>
    </row>
    <row r="747" spans="1:9">
      <c r="A747" s="961"/>
      <c r="B747" s="961"/>
      <c r="C747" s="961"/>
      <c r="D747" s="961"/>
      <c r="E747" s="961"/>
      <c r="F747" s="961"/>
      <c r="G747" s="961"/>
      <c r="H747" s="961"/>
      <c r="I747" s="961"/>
    </row>
    <row r="748" spans="1:9">
      <c r="A748" s="961"/>
      <c r="B748" s="961"/>
      <c r="C748" s="961"/>
      <c r="D748" s="961"/>
      <c r="E748" s="961"/>
      <c r="F748" s="961"/>
      <c r="G748" s="961"/>
      <c r="H748" s="961"/>
      <c r="I748" s="961"/>
    </row>
    <row r="749" spans="1:9">
      <c r="A749" s="961"/>
      <c r="B749" s="961"/>
      <c r="C749" s="961"/>
      <c r="D749" s="961"/>
      <c r="E749" s="961"/>
      <c r="F749" s="961"/>
      <c r="G749" s="961"/>
      <c r="H749" s="961"/>
      <c r="I749" s="961"/>
    </row>
    <row r="750" spans="1:9">
      <c r="A750" s="961"/>
      <c r="B750" s="961"/>
      <c r="C750" s="961"/>
      <c r="D750" s="961"/>
      <c r="E750" s="961"/>
      <c r="F750" s="961"/>
      <c r="G750" s="961"/>
      <c r="H750" s="961"/>
      <c r="I750" s="961"/>
    </row>
    <row r="751" spans="1:9">
      <c r="A751" s="961"/>
      <c r="B751" s="961"/>
      <c r="C751" s="961"/>
      <c r="D751" s="961"/>
      <c r="E751" s="961"/>
      <c r="F751" s="961"/>
      <c r="G751" s="961"/>
      <c r="H751" s="961"/>
      <c r="I751" s="961"/>
    </row>
    <row r="752" spans="1:9">
      <c r="A752" s="961"/>
      <c r="B752" s="961"/>
      <c r="C752" s="961"/>
      <c r="D752" s="961"/>
      <c r="E752" s="961"/>
      <c r="F752" s="961"/>
      <c r="G752" s="961"/>
      <c r="H752" s="961"/>
      <c r="I752" s="961"/>
    </row>
    <row r="753" spans="1:9">
      <c r="A753" s="961"/>
      <c r="B753" s="961"/>
      <c r="C753" s="961"/>
      <c r="D753" s="961"/>
      <c r="E753" s="961"/>
      <c r="F753" s="961"/>
      <c r="G753" s="961"/>
      <c r="H753" s="961"/>
      <c r="I753" s="961"/>
    </row>
    <row r="754" spans="1:9">
      <c r="A754" s="961"/>
      <c r="B754" s="961"/>
      <c r="C754" s="961"/>
      <c r="D754" s="961"/>
      <c r="E754" s="961"/>
      <c r="F754" s="961"/>
      <c r="G754" s="961"/>
      <c r="H754" s="961"/>
      <c r="I754" s="961"/>
    </row>
    <row r="755" spans="1:9">
      <c r="A755" s="961"/>
      <c r="B755" s="961"/>
      <c r="C755" s="961"/>
      <c r="D755" s="961"/>
      <c r="E755" s="961"/>
      <c r="F755" s="961"/>
      <c r="G755" s="961"/>
      <c r="H755" s="961"/>
      <c r="I755" s="961"/>
    </row>
    <row r="756" spans="1:9">
      <c r="A756" s="961"/>
      <c r="B756" s="961"/>
      <c r="C756" s="961"/>
      <c r="D756" s="961"/>
      <c r="E756" s="961"/>
      <c r="F756" s="961"/>
      <c r="G756" s="961"/>
      <c r="H756" s="961"/>
      <c r="I756" s="961"/>
    </row>
    <row r="757" spans="1:9">
      <c r="A757" s="961"/>
      <c r="B757" s="961"/>
      <c r="C757" s="961"/>
      <c r="D757" s="961"/>
      <c r="E757" s="961"/>
      <c r="F757" s="961"/>
      <c r="G757" s="961"/>
      <c r="H757" s="961"/>
      <c r="I757" s="961"/>
    </row>
    <row r="758" spans="1:9">
      <c r="A758" s="961"/>
      <c r="B758" s="961"/>
      <c r="C758" s="961"/>
      <c r="D758" s="961"/>
      <c r="E758" s="961"/>
      <c r="F758" s="961"/>
      <c r="G758" s="961"/>
      <c r="H758" s="961"/>
      <c r="I758" s="961"/>
    </row>
    <row r="759" spans="1:9">
      <c r="A759" s="961"/>
      <c r="B759" s="961"/>
      <c r="C759" s="961"/>
      <c r="D759" s="961"/>
      <c r="E759" s="961"/>
      <c r="F759" s="961"/>
      <c r="G759" s="961"/>
      <c r="H759" s="961"/>
      <c r="I759" s="961"/>
    </row>
    <row r="760" spans="1:9">
      <c r="A760" s="961"/>
      <c r="B760" s="961"/>
      <c r="C760" s="961"/>
      <c r="D760" s="961"/>
      <c r="E760" s="961"/>
      <c r="F760" s="961"/>
      <c r="G760" s="961"/>
      <c r="H760" s="961"/>
      <c r="I760" s="961"/>
    </row>
    <row r="761" spans="1:9">
      <c r="A761" s="961"/>
      <c r="B761" s="961"/>
      <c r="C761" s="961"/>
      <c r="D761" s="961"/>
      <c r="E761" s="961"/>
      <c r="F761" s="961"/>
      <c r="G761" s="961"/>
      <c r="H761" s="961"/>
      <c r="I761" s="961"/>
    </row>
    <row r="762" spans="1:9">
      <c r="A762" s="961"/>
      <c r="B762" s="961"/>
      <c r="C762" s="961"/>
      <c r="D762" s="961"/>
      <c r="E762" s="961"/>
      <c r="F762" s="961"/>
      <c r="G762" s="961"/>
      <c r="H762" s="961"/>
      <c r="I762" s="961"/>
    </row>
    <row r="763" spans="1:9">
      <c r="A763" s="961"/>
      <c r="B763" s="961"/>
      <c r="C763" s="961"/>
      <c r="D763" s="961"/>
      <c r="E763" s="961"/>
      <c r="F763" s="961"/>
      <c r="G763" s="961"/>
      <c r="H763" s="961"/>
      <c r="I763" s="961"/>
    </row>
    <row r="764" spans="1:9">
      <c r="A764" s="961"/>
      <c r="B764" s="961"/>
      <c r="C764" s="961"/>
      <c r="D764" s="961"/>
      <c r="E764" s="961"/>
      <c r="F764" s="961"/>
      <c r="G764" s="961"/>
      <c r="H764" s="961"/>
      <c r="I764" s="961"/>
    </row>
    <row r="765" spans="1:9">
      <c r="A765" s="961"/>
      <c r="B765" s="961"/>
      <c r="C765" s="961"/>
      <c r="D765" s="961"/>
      <c r="E765" s="961"/>
      <c r="F765" s="961"/>
      <c r="G765" s="961"/>
      <c r="H765" s="961"/>
      <c r="I765" s="961"/>
    </row>
    <row r="766" spans="1:9">
      <c r="A766" s="961"/>
      <c r="B766" s="961"/>
      <c r="C766" s="961"/>
      <c r="D766" s="961"/>
      <c r="E766" s="961"/>
      <c r="F766" s="961"/>
      <c r="G766" s="961"/>
      <c r="H766" s="961"/>
      <c r="I766" s="961"/>
    </row>
    <row r="767" spans="1:9">
      <c r="A767" s="961"/>
      <c r="B767" s="961"/>
      <c r="C767" s="961"/>
      <c r="D767" s="961"/>
      <c r="E767" s="961"/>
      <c r="F767" s="961"/>
      <c r="G767" s="961"/>
      <c r="H767" s="961"/>
      <c r="I767" s="961"/>
    </row>
    <row r="768" spans="1:9">
      <c r="A768" s="961"/>
      <c r="B768" s="961"/>
      <c r="C768" s="961"/>
      <c r="D768" s="961"/>
      <c r="E768" s="961"/>
      <c r="F768" s="961"/>
      <c r="G768" s="961"/>
      <c r="H768" s="961"/>
      <c r="I768" s="961"/>
    </row>
    <row r="769" spans="1:9">
      <c r="A769" s="961"/>
      <c r="B769" s="961"/>
      <c r="C769" s="961"/>
      <c r="D769" s="961"/>
      <c r="E769" s="961"/>
      <c r="F769" s="961"/>
      <c r="G769" s="961"/>
      <c r="H769" s="961"/>
      <c r="I769" s="961"/>
    </row>
    <row r="770" spans="1:9">
      <c r="A770" s="961"/>
      <c r="B770" s="961"/>
      <c r="C770" s="961"/>
      <c r="D770" s="961"/>
      <c r="E770" s="961"/>
      <c r="F770" s="961"/>
      <c r="G770" s="961"/>
      <c r="H770" s="961"/>
      <c r="I770" s="961"/>
    </row>
    <row r="771" spans="1:9">
      <c r="A771" s="961"/>
      <c r="B771" s="961"/>
      <c r="C771" s="961"/>
      <c r="D771" s="961"/>
      <c r="E771" s="961"/>
      <c r="F771" s="961"/>
      <c r="G771" s="961"/>
      <c r="H771" s="961"/>
      <c r="I771" s="961"/>
    </row>
    <row r="772" spans="1:9">
      <c r="A772" s="961"/>
      <c r="B772" s="961"/>
      <c r="C772" s="961"/>
      <c r="D772" s="961"/>
      <c r="E772" s="961"/>
      <c r="F772" s="961"/>
      <c r="G772" s="961"/>
      <c r="H772" s="961"/>
      <c r="I772" s="961"/>
    </row>
    <row r="773" spans="1:9">
      <c r="A773" s="961"/>
      <c r="B773" s="961"/>
      <c r="C773" s="961"/>
      <c r="D773" s="961"/>
      <c r="E773" s="961"/>
      <c r="F773" s="961"/>
      <c r="G773" s="961"/>
      <c r="H773" s="961"/>
      <c r="I773" s="961"/>
    </row>
    <row r="774" spans="1:9">
      <c r="A774" s="961"/>
      <c r="B774" s="961"/>
      <c r="C774" s="961"/>
      <c r="D774" s="961"/>
      <c r="E774" s="961"/>
      <c r="F774" s="961"/>
      <c r="G774" s="961"/>
      <c r="H774" s="961"/>
      <c r="I774" s="961"/>
    </row>
    <row r="775" spans="1:9">
      <c r="A775" s="961"/>
      <c r="B775" s="961"/>
      <c r="C775" s="961"/>
      <c r="D775" s="961"/>
      <c r="E775" s="961"/>
      <c r="F775" s="961"/>
      <c r="G775" s="961"/>
      <c r="H775" s="961"/>
      <c r="I775" s="961"/>
    </row>
    <row r="776" spans="1:9">
      <c r="A776" s="961"/>
      <c r="B776" s="961"/>
      <c r="C776" s="961"/>
      <c r="D776" s="961"/>
      <c r="E776" s="961"/>
      <c r="F776" s="961"/>
      <c r="G776" s="961"/>
      <c r="H776" s="961"/>
      <c r="I776" s="961"/>
    </row>
    <row r="777" spans="1:9">
      <c r="A777" s="961"/>
      <c r="B777" s="961"/>
      <c r="C777" s="961"/>
      <c r="D777" s="961"/>
      <c r="E777" s="961"/>
      <c r="F777" s="961"/>
      <c r="G777" s="961"/>
      <c r="H777" s="961"/>
      <c r="I777" s="961"/>
    </row>
    <row r="778" spans="1:9">
      <c r="A778" s="961"/>
      <c r="B778" s="961"/>
      <c r="C778" s="961"/>
      <c r="D778" s="961"/>
      <c r="E778" s="961"/>
      <c r="F778" s="961"/>
      <c r="G778" s="961"/>
      <c r="H778" s="961"/>
      <c r="I778" s="961"/>
    </row>
    <row r="779" spans="1:9">
      <c r="A779" s="961"/>
      <c r="B779" s="961"/>
      <c r="C779" s="961"/>
      <c r="D779" s="961"/>
      <c r="E779" s="961"/>
      <c r="F779" s="961"/>
      <c r="G779" s="961"/>
      <c r="H779" s="961"/>
      <c r="I779" s="961"/>
    </row>
    <row r="780" spans="1:9">
      <c r="A780" s="961"/>
      <c r="B780" s="961"/>
      <c r="C780" s="961"/>
      <c r="D780" s="961"/>
      <c r="E780" s="961"/>
      <c r="F780" s="961"/>
      <c r="G780" s="961"/>
      <c r="H780" s="961"/>
      <c r="I780" s="961"/>
    </row>
    <row r="781" spans="1:9">
      <c r="A781" s="961"/>
      <c r="B781" s="961"/>
      <c r="C781" s="961"/>
      <c r="D781" s="961"/>
      <c r="E781" s="961"/>
      <c r="F781" s="961"/>
      <c r="G781" s="961"/>
      <c r="H781" s="961"/>
      <c r="I781" s="961"/>
    </row>
    <row r="782" spans="1:9">
      <c r="A782" s="961"/>
      <c r="B782" s="961"/>
      <c r="C782" s="961"/>
      <c r="D782" s="961"/>
      <c r="E782" s="961"/>
      <c r="F782" s="961"/>
      <c r="G782" s="961"/>
      <c r="H782" s="961"/>
      <c r="I782" s="961"/>
    </row>
    <row r="783" spans="1:9">
      <c r="A783" s="961"/>
      <c r="B783" s="961"/>
      <c r="C783" s="961"/>
      <c r="D783" s="961"/>
      <c r="E783" s="961"/>
      <c r="F783" s="961"/>
      <c r="G783" s="961"/>
      <c r="H783" s="961"/>
      <c r="I783" s="961"/>
    </row>
    <row r="784" spans="1:9">
      <c r="A784" s="961"/>
      <c r="B784" s="961"/>
      <c r="C784" s="961"/>
      <c r="D784" s="961"/>
      <c r="E784" s="961"/>
      <c r="F784" s="961"/>
      <c r="G784" s="961"/>
      <c r="H784" s="961"/>
      <c r="I784" s="961"/>
    </row>
    <row r="785" spans="1:9">
      <c r="A785" s="961"/>
      <c r="B785" s="961"/>
      <c r="C785" s="961"/>
      <c r="D785" s="961"/>
      <c r="E785" s="961"/>
      <c r="F785" s="961"/>
      <c r="G785" s="961"/>
      <c r="H785" s="961"/>
      <c r="I785" s="961"/>
    </row>
    <row r="786" spans="1:9">
      <c r="A786" s="961"/>
      <c r="B786" s="961"/>
      <c r="C786" s="961"/>
      <c r="D786" s="961"/>
      <c r="E786" s="961"/>
      <c r="F786" s="961"/>
      <c r="G786" s="961"/>
      <c r="H786" s="961"/>
      <c r="I786" s="961"/>
    </row>
    <row r="787" spans="1:9">
      <c r="A787" s="961"/>
      <c r="B787" s="961"/>
      <c r="C787" s="961"/>
      <c r="D787" s="961"/>
      <c r="E787" s="961"/>
      <c r="F787" s="961"/>
      <c r="G787" s="961"/>
      <c r="H787" s="961"/>
      <c r="I787" s="961"/>
    </row>
    <row r="788" spans="1:9">
      <c r="A788" s="961"/>
      <c r="B788" s="961"/>
      <c r="C788" s="961"/>
      <c r="D788" s="961"/>
      <c r="E788" s="961"/>
      <c r="F788" s="961"/>
      <c r="G788" s="961"/>
      <c r="H788" s="961"/>
      <c r="I788" s="961"/>
    </row>
    <row r="789" spans="1:9">
      <c r="A789" s="961"/>
      <c r="B789" s="961"/>
      <c r="C789" s="961"/>
      <c r="D789" s="961"/>
      <c r="E789" s="961"/>
      <c r="F789" s="961"/>
      <c r="G789" s="961"/>
      <c r="H789" s="961"/>
      <c r="I789" s="961"/>
    </row>
    <row r="790" spans="1:9">
      <c r="A790" s="961"/>
      <c r="B790" s="961"/>
      <c r="C790" s="961"/>
      <c r="D790" s="961"/>
      <c r="E790" s="961"/>
      <c r="F790" s="961"/>
      <c r="G790" s="961"/>
      <c r="H790" s="961"/>
      <c r="I790" s="961"/>
    </row>
    <row r="791" spans="1:9">
      <c r="A791" s="961"/>
      <c r="B791" s="961"/>
      <c r="C791" s="961"/>
      <c r="D791" s="961"/>
      <c r="E791" s="961"/>
      <c r="F791" s="961"/>
      <c r="G791" s="961"/>
      <c r="H791" s="961"/>
      <c r="I791" s="961"/>
    </row>
    <row r="792" spans="1:9">
      <c r="A792" s="961"/>
      <c r="B792" s="961"/>
      <c r="C792" s="961"/>
      <c r="D792" s="961"/>
      <c r="E792" s="961"/>
      <c r="F792" s="961"/>
      <c r="G792" s="961"/>
      <c r="H792" s="961"/>
      <c r="I792" s="961"/>
    </row>
    <row r="793" spans="1:9">
      <c r="A793" s="961"/>
      <c r="B793" s="961"/>
      <c r="C793" s="961"/>
      <c r="D793" s="961"/>
      <c r="E793" s="961"/>
      <c r="F793" s="961"/>
      <c r="G793" s="961"/>
      <c r="H793" s="961"/>
      <c r="I793" s="961"/>
    </row>
    <row r="794" spans="1:9">
      <c r="A794" s="961"/>
      <c r="B794" s="961"/>
      <c r="C794" s="961"/>
      <c r="D794" s="961"/>
      <c r="E794" s="961"/>
      <c r="F794" s="961"/>
      <c r="G794" s="961"/>
      <c r="H794" s="961"/>
      <c r="I794" s="961"/>
    </row>
    <row r="795" spans="1:9">
      <c r="A795" s="961"/>
      <c r="B795" s="961"/>
      <c r="C795" s="961"/>
      <c r="D795" s="961"/>
      <c r="E795" s="961"/>
      <c r="F795" s="961"/>
      <c r="G795" s="961"/>
      <c r="H795" s="961"/>
      <c r="I795" s="961"/>
    </row>
    <row r="796" spans="1:9">
      <c r="A796" s="961"/>
      <c r="B796" s="961"/>
      <c r="C796" s="961"/>
      <c r="D796" s="961"/>
      <c r="E796" s="961"/>
      <c r="F796" s="961"/>
      <c r="G796" s="961"/>
      <c r="H796" s="961"/>
      <c r="I796" s="961"/>
    </row>
    <row r="797" spans="1:9">
      <c r="A797" s="961"/>
      <c r="B797" s="961"/>
      <c r="C797" s="961"/>
      <c r="D797" s="961"/>
      <c r="E797" s="961"/>
      <c r="F797" s="961"/>
      <c r="G797" s="961"/>
      <c r="H797" s="961"/>
      <c r="I797" s="961"/>
    </row>
    <row r="798" spans="1:9">
      <c r="A798" s="961"/>
      <c r="B798" s="961"/>
      <c r="C798" s="961"/>
      <c r="D798" s="961"/>
      <c r="E798" s="961"/>
      <c r="F798" s="961"/>
      <c r="G798" s="961"/>
      <c r="H798" s="961"/>
      <c r="I798" s="961"/>
    </row>
    <row r="799" spans="1:9">
      <c r="A799" s="961"/>
      <c r="B799" s="961"/>
      <c r="C799" s="961"/>
      <c r="D799" s="961"/>
      <c r="E799" s="961"/>
      <c r="F799" s="961"/>
      <c r="G799" s="961"/>
      <c r="H799" s="961"/>
      <c r="I799" s="961"/>
    </row>
    <row r="800" spans="1:9">
      <c r="A800" s="961"/>
      <c r="B800" s="961"/>
      <c r="C800" s="961"/>
      <c r="D800" s="961"/>
      <c r="E800" s="961"/>
      <c r="F800" s="961"/>
      <c r="G800" s="961"/>
      <c r="H800" s="961"/>
      <c r="I800" s="961"/>
    </row>
    <row r="801" spans="1:9">
      <c r="A801" s="961"/>
      <c r="B801" s="961"/>
      <c r="C801" s="961"/>
      <c r="D801" s="961"/>
      <c r="E801" s="961"/>
      <c r="F801" s="961"/>
      <c r="G801" s="961"/>
      <c r="H801" s="961"/>
      <c r="I801" s="961"/>
    </row>
    <row r="802" spans="1:9">
      <c r="A802" s="961"/>
      <c r="B802" s="961"/>
      <c r="C802" s="961"/>
      <c r="D802" s="961"/>
      <c r="E802" s="961"/>
      <c r="F802" s="961"/>
      <c r="G802" s="961"/>
      <c r="H802" s="961"/>
      <c r="I802" s="961"/>
    </row>
    <row r="803" spans="1:9">
      <c r="A803" s="961"/>
      <c r="B803" s="961"/>
      <c r="C803" s="961"/>
      <c r="D803" s="961"/>
      <c r="E803" s="961"/>
      <c r="F803" s="961"/>
      <c r="G803" s="961"/>
      <c r="H803" s="961"/>
      <c r="I803" s="961"/>
    </row>
    <row r="804" spans="1:9">
      <c r="A804" s="961"/>
      <c r="B804" s="961"/>
      <c r="C804" s="961"/>
      <c r="D804" s="961"/>
      <c r="E804" s="961"/>
      <c r="F804" s="961"/>
      <c r="G804" s="961"/>
      <c r="H804" s="961"/>
      <c r="I804" s="961"/>
    </row>
    <row r="805" spans="1:9">
      <c r="A805" s="961"/>
      <c r="B805" s="961"/>
      <c r="C805" s="961"/>
      <c r="D805" s="961"/>
      <c r="E805" s="961"/>
      <c r="F805" s="961"/>
      <c r="G805" s="961"/>
      <c r="H805" s="961"/>
      <c r="I805" s="961"/>
    </row>
    <row r="806" spans="1:9">
      <c r="A806" s="961"/>
      <c r="B806" s="961"/>
      <c r="C806" s="961"/>
      <c r="D806" s="961"/>
      <c r="E806" s="961"/>
      <c r="F806" s="961"/>
      <c r="G806" s="961"/>
      <c r="H806" s="961"/>
      <c r="I806" s="961"/>
    </row>
    <row r="807" spans="1:9">
      <c r="A807" s="961"/>
      <c r="B807" s="961"/>
      <c r="C807" s="961"/>
      <c r="D807" s="961"/>
      <c r="E807" s="961"/>
      <c r="F807" s="961"/>
      <c r="G807" s="961"/>
      <c r="H807" s="961"/>
      <c r="I807" s="961"/>
    </row>
    <row r="808" spans="1:9">
      <c r="A808" s="961"/>
      <c r="B808" s="961"/>
      <c r="C808" s="961"/>
      <c r="D808" s="961"/>
      <c r="E808" s="961"/>
      <c r="F808" s="961"/>
      <c r="G808" s="961"/>
      <c r="H808" s="961"/>
      <c r="I808" s="961"/>
    </row>
    <row r="809" spans="1:9">
      <c r="A809" s="961"/>
      <c r="B809" s="961"/>
      <c r="C809" s="961"/>
      <c r="D809" s="961"/>
      <c r="E809" s="961"/>
      <c r="F809" s="961"/>
      <c r="G809" s="961"/>
      <c r="H809" s="961"/>
      <c r="I809" s="961"/>
    </row>
    <row r="810" spans="1:9">
      <c r="A810" s="961"/>
      <c r="B810" s="961"/>
      <c r="C810" s="961"/>
      <c r="D810" s="961"/>
      <c r="E810" s="961"/>
      <c r="F810" s="961"/>
      <c r="G810" s="961"/>
      <c r="H810" s="961"/>
      <c r="I810" s="961"/>
    </row>
    <row r="811" spans="1:9">
      <c r="A811" s="961"/>
      <c r="B811" s="961"/>
      <c r="C811" s="961"/>
      <c r="D811" s="961"/>
      <c r="E811" s="961"/>
      <c r="F811" s="961"/>
      <c r="G811" s="961"/>
      <c r="H811" s="961"/>
      <c r="I811" s="961"/>
    </row>
    <row r="812" spans="1:9">
      <c r="A812" s="961"/>
      <c r="B812" s="961"/>
      <c r="C812" s="961"/>
      <c r="D812" s="961"/>
      <c r="E812" s="961"/>
      <c r="F812" s="961"/>
      <c r="G812" s="961"/>
      <c r="H812" s="961"/>
      <c r="I812" s="961"/>
    </row>
    <row r="813" spans="1:9">
      <c r="A813" s="961"/>
      <c r="B813" s="961"/>
      <c r="C813" s="961"/>
      <c r="D813" s="961"/>
      <c r="E813" s="961"/>
      <c r="F813" s="961"/>
      <c r="G813" s="961"/>
      <c r="H813" s="961"/>
      <c r="I813" s="961"/>
    </row>
    <row r="814" spans="1:9">
      <c r="A814" s="961"/>
      <c r="B814" s="961"/>
      <c r="C814" s="961"/>
      <c r="D814" s="961"/>
      <c r="E814" s="961"/>
      <c r="F814" s="961"/>
      <c r="G814" s="961"/>
      <c r="H814" s="961"/>
      <c r="I814" s="961"/>
    </row>
    <row r="815" spans="1:9">
      <c r="A815" s="961"/>
      <c r="B815" s="961"/>
      <c r="C815" s="961"/>
      <c r="D815" s="961"/>
      <c r="E815" s="961"/>
      <c r="F815" s="961"/>
      <c r="G815" s="961"/>
      <c r="H815" s="961"/>
      <c r="I815" s="961"/>
    </row>
    <row r="816" spans="1:9">
      <c r="A816" s="961"/>
      <c r="B816" s="961"/>
      <c r="C816" s="961"/>
      <c r="D816" s="961"/>
      <c r="E816" s="961"/>
      <c r="F816" s="961"/>
      <c r="G816" s="961"/>
      <c r="H816" s="961"/>
      <c r="I816" s="961"/>
    </row>
    <row r="817" spans="1:9">
      <c r="A817" s="961"/>
      <c r="B817" s="961"/>
      <c r="C817" s="961"/>
      <c r="D817" s="961"/>
      <c r="E817" s="961"/>
      <c r="F817" s="961"/>
      <c r="G817" s="961"/>
      <c r="H817" s="961"/>
      <c r="I817" s="961"/>
    </row>
    <row r="818" spans="1:9">
      <c r="A818" s="961"/>
      <c r="B818" s="961"/>
      <c r="C818" s="961"/>
      <c r="D818" s="961"/>
      <c r="E818" s="961"/>
      <c r="F818" s="961"/>
      <c r="G818" s="961"/>
      <c r="H818" s="961"/>
      <c r="I818" s="961"/>
    </row>
    <row r="819" spans="1:9">
      <c r="A819" s="961"/>
      <c r="B819" s="961"/>
      <c r="C819" s="961"/>
      <c r="D819" s="961"/>
      <c r="E819" s="961"/>
      <c r="F819" s="961"/>
      <c r="G819" s="961"/>
      <c r="H819" s="961"/>
      <c r="I819" s="961"/>
    </row>
    <row r="820" spans="1:9">
      <c r="A820" s="961"/>
      <c r="B820" s="961"/>
      <c r="C820" s="961"/>
      <c r="D820" s="961"/>
      <c r="E820" s="961"/>
      <c r="F820" s="961"/>
      <c r="G820" s="961"/>
      <c r="H820" s="961"/>
      <c r="I820" s="961"/>
    </row>
    <row r="821" spans="1:9">
      <c r="A821" s="961"/>
      <c r="B821" s="961"/>
      <c r="C821" s="961"/>
      <c r="D821" s="961"/>
      <c r="E821" s="961"/>
      <c r="F821" s="961"/>
      <c r="G821" s="961"/>
      <c r="H821" s="961"/>
      <c r="I821" s="961"/>
    </row>
    <row r="822" spans="1:9">
      <c r="A822" s="961"/>
      <c r="B822" s="961"/>
      <c r="C822" s="961"/>
      <c r="D822" s="961"/>
      <c r="E822" s="961"/>
      <c r="F822" s="961"/>
      <c r="G822" s="961"/>
      <c r="H822" s="961"/>
      <c r="I822" s="961"/>
    </row>
    <row r="823" spans="1:9">
      <c r="A823" s="961"/>
      <c r="B823" s="961"/>
      <c r="C823" s="961"/>
      <c r="D823" s="961"/>
      <c r="E823" s="961"/>
      <c r="F823" s="961"/>
      <c r="G823" s="961"/>
      <c r="H823" s="961"/>
      <c r="I823" s="961"/>
    </row>
    <row r="824" spans="1:9">
      <c r="A824" s="961"/>
      <c r="B824" s="961"/>
      <c r="C824" s="961"/>
      <c r="D824" s="961"/>
      <c r="E824" s="961"/>
      <c r="F824" s="961"/>
      <c r="G824" s="961"/>
      <c r="H824" s="961"/>
      <c r="I824" s="961"/>
    </row>
    <row r="825" spans="1:9">
      <c r="A825" s="961"/>
      <c r="B825" s="961"/>
      <c r="C825" s="961"/>
      <c r="D825" s="961"/>
      <c r="E825" s="961"/>
      <c r="F825" s="961"/>
      <c r="G825" s="961"/>
      <c r="H825" s="961"/>
      <c r="I825" s="961"/>
    </row>
    <row r="826" spans="1:9">
      <c r="A826" s="961"/>
      <c r="B826" s="961"/>
      <c r="C826" s="961"/>
      <c r="D826" s="961"/>
      <c r="E826" s="961"/>
      <c r="F826" s="961"/>
      <c r="G826" s="961"/>
      <c r="H826" s="961"/>
      <c r="I826" s="961"/>
    </row>
    <row r="827" spans="1:9">
      <c r="A827" s="961"/>
      <c r="B827" s="961"/>
      <c r="C827" s="961"/>
      <c r="D827" s="961"/>
      <c r="E827" s="961"/>
      <c r="F827" s="961"/>
      <c r="G827" s="961"/>
      <c r="H827" s="961"/>
      <c r="I827" s="961"/>
    </row>
    <row r="828" spans="1:9">
      <c r="A828" s="961"/>
      <c r="B828" s="961"/>
      <c r="C828" s="961"/>
      <c r="D828" s="961"/>
      <c r="E828" s="961"/>
      <c r="F828" s="961"/>
      <c r="G828" s="961"/>
      <c r="H828" s="961"/>
      <c r="I828" s="961"/>
    </row>
    <row r="829" spans="1:9">
      <c r="A829" s="961"/>
      <c r="B829" s="961"/>
      <c r="C829" s="961"/>
      <c r="D829" s="961"/>
      <c r="E829" s="961"/>
      <c r="F829" s="961"/>
      <c r="G829" s="961"/>
      <c r="H829" s="961"/>
      <c r="I829" s="961"/>
    </row>
    <row r="830" spans="1:9">
      <c r="A830" s="961"/>
      <c r="B830" s="961"/>
      <c r="C830" s="961"/>
      <c r="D830" s="961"/>
      <c r="E830" s="961"/>
      <c r="F830" s="961"/>
      <c r="G830" s="961"/>
      <c r="H830" s="961"/>
      <c r="I830" s="961"/>
    </row>
    <row r="831" spans="1:9">
      <c r="A831" s="961"/>
      <c r="B831" s="961"/>
      <c r="C831" s="961"/>
      <c r="D831" s="961"/>
      <c r="E831" s="961"/>
      <c r="F831" s="961"/>
      <c r="G831" s="961"/>
      <c r="H831" s="961"/>
      <c r="I831" s="961"/>
    </row>
    <row r="832" spans="1:9">
      <c r="A832" s="961"/>
      <c r="B832" s="961"/>
      <c r="C832" s="961"/>
      <c r="D832" s="961"/>
      <c r="E832" s="961"/>
      <c r="F832" s="961"/>
      <c r="G832" s="961"/>
      <c r="H832" s="961"/>
      <c r="I832" s="961"/>
    </row>
    <row r="833" spans="1:9">
      <c r="A833" s="961"/>
      <c r="B833" s="961"/>
      <c r="C833" s="961"/>
      <c r="D833" s="961"/>
      <c r="E833" s="961"/>
      <c r="F833" s="961"/>
      <c r="G833" s="961"/>
      <c r="H833" s="961"/>
      <c r="I833" s="961"/>
    </row>
    <row r="834" spans="1:9">
      <c r="A834" s="961"/>
      <c r="B834" s="961"/>
      <c r="C834" s="961"/>
      <c r="D834" s="961"/>
      <c r="E834" s="961"/>
      <c r="F834" s="961"/>
      <c r="G834" s="961"/>
      <c r="H834" s="961"/>
      <c r="I834" s="961"/>
    </row>
    <row r="835" spans="1:9">
      <c r="A835" s="961"/>
      <c r="B835" s="961"/>
      <c r="C835" s="961"/>
      <c r="D835" s="961"/>
      <c r="E835" s="961"/>
      <c r="F835" s="961"/>
      <c r="G835" s="961"/>
      <c r="H835" s="961"/>
      <c r="I835" s="961"/>
    </row>
    <row r="836" spans="1:9">
      <c r="A836" s="961"/>
      <c r="B836" s="961"/>
      <c r="C836" s="961"/>
      <c r="D836" s="961"/>
      <c r="E836" s="961"/>
      <c r="F836" s="961"/>
      <c r="G836" s="961"/>
      <c r="H836" s="961"/>
      <c r="I836" s="961"/>
    </row>
    <row r="837" spans="1:9">
      <c r="A837" s="961"/>
      <c r="B837" s="961"/>
      <c r="C837" s="961"/>
      <c r="D837" s="961"/>
      <c r="E837" s="961"/>
      <c r="F837" s="961"/>
      <c r="G837" s="961"/>
      <c r="H837" s="961"/>
      <c r="I837" s="961"/>
    </row>
    <row r="838" spans="1:9">
      <c r="A838" s="961"/>
      <c r="B838" s="961"/>
      <c r="C838" s="961"/>
      <c r="D838" s="961"/>
      <c r="E838" s="961"/>
      <c r="F838" s="961"/>
      <c r="G838" s="961"/>
      <c r="H838" s="961"/>
      <c r="I838" s="961"/>
    </row>
    <row r="839" spans="1:9">
      <c r="A839" s="961"/>
      <c r="B839" s="961"/>
      <c r="C839" s="961"/>
      <c r="D839" s="961"/>
      <c r="E839" s="961"/>
      <c r="F839" s="961"/>
      <c r="G839" s="961"/>
      <c r="H839" s="961"/>
      <c r="I839" s="961"/>
    </row>
    <row r="840" spans="1:9">
      <c r="A840" s="961"/>
      <c r="B840" s="961"/>
      <c r="C840" s="961"/>
      <c r="D840" s="961"/>
      <c r="E840" s="961"/>
      <c r="F840" s="961"/>
      <c r="G840" s="961"/>
      <c r="H840" s="961"/>
      <c r="I840" s="961"/>
    </row>
    <row r="841" spans="1:9">
      <c r="A841" s="961"/>
      <c r="B841" s="961"/>
      <c r="C841" s="961"/>
      <c r="D841" s="961"/>
      <c r="E841" s="961"/>
      <c r="F841" s="961"/>
      <c r="G841" s="961"/>
      <c r="H841" s="961"/>
      <c r="I841" s="961"/>
    </row>
    <row r="842" spans="1:9">
      <c r="A842" s="961"/>
      <c r="B842" s="961"/>
      <c r="C842" s="961"/>
      <c r="D842" s="961"/>
      <c r="E842" s="961"/>
      <c r="F842" s="961"/>
      <c r="G842" s="961"/>
      <c r="H842" s="961"/>
      <c r="I842" s="961"/>
    </row>
    <row r="843" spans="1:9">
      <c r="A843" s="961"/>
      <c r="B843" s="961"/>
      <c r="C843" s="961"/>
      <c r="D843" s="961"/>
      <c r="E843" s="961"/>
      <c r="F843" s="961"/>
      <c r="G843" s="961"/>
      <c r="H843" s="961"/>
      <c r="I843" s="961"/>
    </row>
    <row r="844" spans="1:9">
      <c r="A844" s="961"/>
      <c r="B844" s="961"/>
      <c r="C844" s="961"/>
      <c r="D844" s="961"/>
      <c r="E844" s="961"/>
      <c r="F844" s="961"/>
      <c r="G844" s="961"/>
      <c r="H844" s="961"/>
      <c r="I844" s="961"/>
    </row>
    <row r="845" spans="1:9">
      <c r="A845" s="961"/>
      <c r="B845" s="961"/>
      <c r="C845" s="961"/>
      <c r="D845" s="961"/>
      <c r="E845" s="961"/>
      <c r="F845" s="961"/>
      <c r="G845" s="961"/>
      <c r="H845" s="961"/>
      <c r="I845" s="961"/>
    </row>
    <row r="846" spans="1:9">
      <c r="A846" s="961"/>
      <c r="B846" s="961"/>
      <c r="C846" s="961"/>
      <c r="D846" s="961"/>
      <c r="E846" s="961"/>
      <c r="F846" s="961"/>
      <c r="G846" s="961"/>
      <c r="H846" s="961"/>
      <c r="I846" s="961"/>
    </row>
    <row r="847" spans="1:9">
      <c r="A847" s="961"/>
      <c r="B847" s="961"/>
      <c r="C847" s="961"/>
      <c r="D847" s="961"/>
      <c r="E847" s="961"/>
      <c r="F847" s="961"/>
      <c r="G847" s="961"/>
      <c r="H847" s="961"/>
      <c r="I847" s="961"/>
    </row>
    <row r="848" spans="1:9">
      <c r="A848" s="961"/>
      <c r="B848" s="961"/>
      <c r="C848" s="961"/>
      <c r="D848" s="961"/>
      <c r="E848" s="961"/>
      <c r="F848" s="961"/>
      <c r="G848" s="961"/>
      <c r="H848" s="961"/>
      <c r="I848" s="961"/>
    </row>
    <row r="849" spans="1:9">
      <c r="A849" s="961"/>
      <c r="B849" s="961"/>
      <c r="C849" s="961"/>
      <c r="D849" s="961"/>
      <c r="E849" s="961"/>
      <c r="F849" s="961"/>
      <c r="G849" s="961"/>
      <c r="H849" s="961"/>
      <c r="I849" s="961"/>
    </row>
    <row r="850" spans="1:9">
      <c r="A850" s="961"/>
      <c r="B850" s="961"/>
      <c r="C850" s="961"/>
      <c r="D850" s="961"/>
      <c r="E850" s="961"/>
      <c r="F850" s="961"/>
      <c r="G850" s="961"/>
      <c r="H850" s="961"/>
      <c r="I850" s="961"/>
    </row>
    <row r="851" spans="1:9">
      <c r="A851" s="961"/>
      <c r="B851" s="961"/>
      <c r="C851" s="961"/>
      <c r="D851" s="961"/>
      <c r="E851" s="961"/>
      <c r="F851" s="961"/>
      <c r="G851" s="961"/>
      <c r="H851" s="961"/>
      <c r="I851" s="961"/>
    </row>
    <row r="852" spans="1:9">
      <c r="A852" s="961"/>
      <c r="B852" s="961"/>
      <c r="C852" s="961"/>
      <c r="D852" s="961"/>
      <c r="E852" s="961"/>
      <c r="F852" s="961"/>
      <c r="G852" s="961"/>
      <c r="H852" s="961"/>
      <c r="I852" s="961"/>
    </row>
    <row r="853" spans="1:9">
      <c r="A853" s="961"/>
      <c r="B853" s="961"/>
      <c r="C853" s="961"/>
      <c r="D853" s="961"/>
      <c r="E853" s="961"/>
      <c r="F853" s="961"/>
      <c r="G853" s="961"/>
      <c r="H853" s="961"/>
      <c r="I853" s="961"/>
    </row>
    <row r="854" spans="1:9">
      <c r="A854" s="961"/>
      <c r="B854" s="961"/>
      <c r="C854" s="961"/>
      <c r="D854" s="961"/>
      <c r="E854" s="961"/>
      <c r="F854" s="961"/>
      <c r="G854" s="961"/>
      <c r="H854" s="961"/>
      <c r="I854" s="961"/>
    </row>
    <row r="855" spans="1:9">
      <c r="A855" s="961"/>
      <c r="B855" s="961"/>
      <c r="C855" s="961"/>
      <c r="D855" s="961"/>
      <c r="E855" s="961"/>
      <c r="F855" s="961"/>
      <c r="G855" s="961"/>
      <c r="H855" s="961"/>
      <c r="I855" s="961"/>
    </row>
    <row r="856" spans="1:9">
      <c r="A856" s="961"/>
      <c r="B856" s="961"/>
      <c r="C856" s="961"/>
      <c r="D856" s="961"/>
      <c r="E856" s="961"/>
      <c r="F856" s="961"/>
      <c r="G856" s="961"/>
      <c r="H856" s="961"/>
      <c r="I856" s="961"/>
    </row>
    <row r="857" spans="1:9">
      <c r="A857" s="961"/>
      <c r="B857" s="961"/>
      <c r="C857" s="961"/>
      <c r="D857" s="961"/>
      <c r="E857" s="961"/>
      <c r="F857" s="961"/>
      <c r="G857" s="961"/>
      <c r="H857" s="961"/>
      <c r="I857" s="961"/>
    </row>
    <row r="858" spans="1:9">
      <c r="A858" s="961"/>
      <c r="B858" s="961"/>
      <c r="C858" s="961"/>
      <c r="D858" s="961"/>
      <c r="E858" s="961"/>
      <c r="F858" s="961"/>
      <c r="G858" s="961"/>
      <c r="H858" s="961"/>
      <c r="I858" s="961"/>
    </row>
    <row r="859" spans="1:9">
      <c r="A859" s="961"/>
      <c r="B859" s="961"/>
      <c r="C859" s="961"/>
      <c r="D859" s="961"/>
      <c r="E859" s="961"/>
      <c r="F859" s="961"/>
      <c r="G859" s="961"/>
      <c r="H859" s="961"/>
      <c r="I859" s="961"/>
    </row>
    <row r="860" spans="1:9">
      <c r="A860" s="961"/>
      <c r="B860" s="961"/>
      <c r="C860" s="961"/>
      <c r="D860" s="961"/>
      <c r="E860" s="961"/>
      <c r="F860" s="961"/>
      <c r="G860" s="961"/>
      <c r="H860" s="961"/>
      <c r="I860" s="961"/>
    </row>
    <row r="861" spans="1:9">
      <c r="A861" s="961"/>
      <c r="B861" s="961"/>
      <c r="C861" s="961"/>
      <c r="D861" s="961"/>
      <c r="E861" s="961"/>
      <c r="F861" s="961"/>
      <c r="G861" s="961"/>
      <c r="H861" s="961"/>
      <c r="I861" s="961"/>
    </row>
    <row r="862" spans="1:9">
      <c r="A862" s="961"/>
      <c r="B862" s="961"/>
      <c r="C862" s="961"/>
      <c r="D862" s="961"/>
      <c r="E862" s="961"/>
      <c r="F862" s="961"/>
      <c r="G862" s="961"/>
      <c r="H862" s="961"/>
      <c r="I862" s="961"/>
    </row>
    <row r="863" spans="1:9">
      <c r="A863" s="961"/>
      <c r="B863" s="961"/>
      <c r="C863" s="961"/>
      <c r="D863" s="961"/>
      <c r="E863" s="961"/>
      <c r="F863" s="961"/>
      <c r="G863" s="961"/>
      <c r="H863" s="961"/>
      <c r="I863" s="961"/>
    </row>
    <row r="864" spans="1:9">
      <c r="A864" s="961"/>
      <c r="B864" s="961"/>
      <c r="C864" s="961"/>
      <c r="D864" s="961"/>
      <c r="E864" s="961"/>
      <c r="F864" s="961"/>
      <c r="G864" s="961"/>
      <c r="H864" s="961"/>
      <c r="I864" s="961"/>
    </row>
    <row r="865" spans="1:9">
      <c r="A865" s="961"/>
      <c r="B865" s="961"/>
      <c r="C865" s="961"/>
      <c r="D865" s="961"/>
      <c r="E865" s="961"/>
      <c r="F865" s="961"/>
      <c r="G865" s="961"/>
      <c r="H865" s="961"/>
      <c r="I865" s="961"/>
    </row>
    <row r="866" spans="1:9">
      <c r="A866" s="961"/>
      <c r="B866" s="961"/>
      <c r="C866" s="961"/>
      <c r="D866" s="961"/>
      <c r="E866" s="961"/>
      <c r="F866" s="961"/>
      <c r="G866" s="961"/>
      <c r="H866" s="961"/>
      <c r="I866" s="961"/>
    </row>
    <row r="867" spans="1:9">
      <c r="A867" s="961"/>
      <c r="B867" s="961"/>
      <c r="C867" s="961"/>
      <c r="D867" s="961"/>
      <c r="E867" s="961"/>
      <c r="F867" s="961"/>
      <c r="G867" s="961"/>
      <c r="H867" s="961"/>
      <c r="I867" s="961"/>
    </row>
    <row r="868" spans="1:9">
      <c r="A868" s="961"/>
      <c r="B868" s="961"/>
      <c r="C868" s="961"/>
      <c r="D868" s="961"/>
      <c r="E868" s="961"/>
      <c r="F868" s="961"/>
      <c r="G868" s="961"/>
      <c r="H868" s="961"/>
      <c r="I868" s="961"/>
    </row>
    <row r="869" spans="1:9">
      <c r="A869" s="961"/>
      <c r="B869" s="961"/>
      <c r="C869" s="961"/>
      <c r="D869" s="961"/>
      <c r="E869" s="961"/>
      <c r="F869" s="961"/>
      <c r="G869" s="961"/>
      <c r="H869" s="961"/>
      <c r="I869" s="961"/>
    </row>
    <row r="870" spans="1:9">
      <c r="A870" s="961"/>
      <c r="B870" s="961"/>
      <c r="C870" s="961"/>
      <c r="D870" s="961"/>
      <c r="E870" s="961"/>
      <c r="F870" s="961"/>
      <c r="G870" s="961"/>
      <c r="H870" s="961"/>
      <c r="I870" s="961"/>
    </row>
    <row r="871" spans="1:9">
      <c r="A871" s="961"/>
      <c r="B871" s="961"/>
      <c r="C871" s="961"/>
      <c r="D871" s="961"/>
      <c r="E871" s="961"/>
      <c r="F871" s="961"/>
      <c r="G871" s="961"/>
      <c r="H871" s="961"/>
      <c r="I871" s="961"/>
    </row>
    <row r="872" spans="1:9">
      <c r="A872" s="961"/>
      <c r="B872" s="961"/>
      <c r="C872" s="961"/>
      <c r="D872" s="961"/>
      <c r="E872" s="961"/>
      <c r="F872" s="961"/>
      <c r="G872" s="961"/>
      <c r="H872" s="961"/>
      <c r="I872" s="961"/>
    </row>
    <row r="873" spans="1:9">
      <c r="A873" s="961"/>
      <c r="B873" s="961"/>
      <c r="C873" s="961"/>
      <c r="D873" s="961"/>
      <c r="E873" s="961"/>
      <c r="F873" s="961"/>
      <c r="G873" s="961"/>
      <c r="H873" s="961"/>
      <c r="I873" s="961"/>
    </row>
    <row r="874" spans="1:9">
      <c r="A874" s="961"/>
      <c r="B874" s="961"/>
      <c r="C874" s="961"/>
      <c r="D874" s="961"/>
      <c r="E874" s="961"/>
      <c r="F874" s="961"/>
      <c r="G874" s="961"/>
      <c r="H874" s="961"/>
      <c r="I874" s="961"/>
    </row>
    <row r="875" spans="1:9">
      <c r="A875" s="961"/>
      <c r="B875" s="961"/>
      <c r="C875" s="961"/>
      <c r="D875" s="961"/>
      <c r="E875" s="961"/>
      <c r="F875" s="961"/>
      <c r="G875" s="961"/>
      <c r="H875" s="961"/>
      <c r="I875" s="961"/>
    </row>
    <row r="876" spans="1:9">
      <c r="A876" s="961"/>
      <c r="B876" s="961"/>
      <c r="C876" s="961"/>
      <c r="D876" s="961"/>
      <c r="E876" s="961"/>
      <c r="F876" s="961"/>
      <c r="G876" s="961"/>
      <c r="H876" s="961"/>
      <c r="I876" s="961"/>
    </row>
    <row r="877" spans="1:9">
      <c r="A877" s="961"/>
      <c r="B877" s="961"/>
      <c r="C877" s="961"/>
      <c r="D877" s="961"/>
      <c r="E877" s="961"/>
      <c r="F877" s="961"/>
      <c r="G877" s="961"/>
      <c r="H877" s="961"/>
      <c r="I877" s="961"/>
    </row>
    <row r="878" spans="1:9">
      <c r="A878" s="961"/>
      <c r="B878" s="961"/>
      <c r="C878" s="961"/>
      <c r="D878" s="961"/>
      <c r="E878" s="961"/>
      <c r="F878" s="961"/>
      <c r="G878" s="961"/>
      <c r="H878" s="961"/>
      <c r="I878" s="961"/>
    </row>
    <row r="879" spans="1:9">
      <c r="A879" s="961"/>
      <c r="B879" s="961"/>
      <c r="C879" s="961"/>
      <c r="D879" s="961"/>
      <c r="E879" s="961"/>
      <c r="F879" s="961"/>
      <c r="G879" s="961"/>
      <c r="H879" s="961"/>
      <c r="I879" s="961"/>
    </row>
    <row r="880" spans="1:9">
      <c r="A880" s="961"/>
      <c r="B880" s="961"/>
      <c r="C880" s="961"/>
      <c r="D880" s="961"/>
      <c r="E880" s="961"/>
      <c r="F880" s="961"/>
      <c r="G880" s="961"/>
      <c r="H880" s="961"/>
      <c r="I880" s="961"/>
    </row>
    <row r="881" spans="1:9">
      <c r="A881" s="961"/>
      <c r="B881" s="961"/>
      <c r="C881" s="961"/>
      <c r="D881" s="961"/>
      <c r="E881" s="961"/>
      <c r="F881" s="961"/>
      <c r="G881" s="961"/>
      <c r="H881" s="961"/>
      <c r="I881" s="961"/>
    </row>
    <row r="882" spans="1:9">
      <c r="A882" s="961"/>
      <c r="B882" s="961"/>
      <c r="C882" s="961"/>
      <c r="D882" s="961"/>
      <c r="E882" s="961"/>
      <c r="F882" s="961"/>
      <c r="G882" s="961"/>
      <c r="H882" s="961"/>
      <c r="I882" s="961"/>
    </row>
    <row r="883" spans="1:9">
      <c r="A883" s="961"/>
      <c r="B883" s="961"/>
      <c r="C883" s="961"/>
      <c r="D883" s="961"/>
      <c r="E883" s="961"/>
      <c r="F883" s="961"/>
      <c r="G883" s="961"/>
      <c r="H883" s="961"/>
      <c r="I883" s="961"/>
    </row>
    <row r="884" spans="1:9">
      <c r="A884" s="961"/>
      <c r="B884" s="961"/>
      <c r="C884" s="961"/>
      <c r="D884" s="961"/>
      <c r="E884" s="961"/>
      <c r="F884" s="961"/>
      <c r="G884" s="961"/>
      <c r="H884" s="961"/>
      <c r="I884" s="961"/>
    </row>
    <row r="885" spans="1:9">
      <c r="A885" s="961"/>
      <c r="B885" s="961"/>
      <c r="C885" s="961"/>
      <c r="D885" s="961"/>
      <c r="E885" s="961"/>
      <c r="F885" s="961"/>
      <c r="G885" s="961"/>
      <c r="H885" s="961"/>
      <c r="I885" s="961"/>
    </row>
    <row r="886" spans="1:9">
      <c r="A886" s="961"/>
      <c r="B886" s="961"/>
      <c r="C886" s="961"/>
      <c r="D886" s="961"/>
      <c r="E886" s="961"/>
      <c r="F886" s="961"/>
      <c r="G886" s="961"/>
      <c r="H886" s="961"/>
      <c r="I886" s="961"/>
    </row>
    <row r="887" spans="1:9">
      <c r="A887" s="961"/>
      <c r="B887" s="961"/>
      <c r="C887" s="961"/>
      <c r="D887" s="961"/>
      <c r="E887" s="961"/>
      <c r="F887" s="961"/>
      <c r="G887" s="961"/>
      <c r="H887" s="961"/>
      <c r="I887" s="961"/>
    </row>
    <row r="888" spans="1:9">
      <c r="A888" s="961"/>
      <c r="B888" s="961"/>
      <c r="C888" s="961"/>
      <c r="D888" s="961"/>
      <c r="E888" s="961"/>
      <c r="F888" s="961"/>
      <c r="G888" s="961"/>
      <c r="H888" s="961"/>
      <c r="I888" s="961"/>
    </row>
    <row r="889" spans="1:9">
      <c r="A889" s="961"/>
      <c r="B889" s="961"/>
      <c r="C889" s="961"/>
      <c r="D889" s="961"/>
      <c r="E889" s="961"/>
      <c r="F889" s="961"/>
      <c r="G889" s="961"/>
      <c r="H889" s="961"/>
      <c r="I889" s="961"/>
    </row>
    <row r="890" spans="1:9">
      <c r="A890" s="961"/>
      <c r="B890" s="961"/>
      <c r="C890" s="961"/>
      <c r="D890" s="961"/>
      <c r="E890" s="961"/>
      <c r="F890" s="961"/>
      <c r="G890" s="961"/>
      <c r="H890" s="961"/>
      <c r="I890" s="961"/>
    </row>
    <row r="891" spans="1:9">
      <c r="A891" s="961"/>
      <c r="B891" s="961"/>
      <c r="C891" s="961"/>
      <c r="D891" s="961"/>
      <c r="E891" s="961"/>
      <c r="F891" s="961"/>
      <c r="G891" s="961"/>
      <c r="H891" s="961"/>
      <c r="I891" s="961"/>
    </row>
    <row r="892" spans="1:9">
      <c r="A892" s="961"/>
      <c r="B892" s="961"/>
      <c r="C892" s="961"/>
      <c r="D892" s="961"/>
      <c r="E892" s="961"/>
      <c r="F892" s="961"/>
      <c r="G892" s="961"/>
      <c r="H892" s="961"/>
      <c r="I892" s="961"/>
    </row>
    <row r="893" spans="1:9">
      <c r="A893" s="961"/>
      <c r="B893" s="961"/>
      <c r="C893" s="961"/>
      <c r="D893" s="961"/>
      <c r="E893" s="961"/>
      <c r="F893" s="961"/>
      <c r="G893" s="961"/>
      <c r="H893" s="961"/>
      <c r="I893" s="961"/>
    </row>
    <row r="894" spans="1:9">
      <c r="A894" s="961"/>
      <c r="B894" s="961"/>
      <c r="C894" s="961"/>
      <c r="D894" s="961"/>
      <c r="E894" s="961"/>
      <c r="F894" s="961"/>
      <c r="G894" s="961"/>
      <c r="H894" s="961"/>
      <c r="I894" s="961"/>
    </row>
    <row r="895" spans="1:9">
      <c r="A895" s="961"/>
      <c r="B895" s="961"/>
      <c r="C895" s="961"/>
      <c r="D895" s="961"/>
      <c r="E895" s="961"/>
      <c r="F895" s="961"/>
      <c r="G895" s="961"/>
      <c r="H895" s="961"/>
      <c r="I895" s="961"/>
    </row>
    <row r="896" spans="1:9">
      <c r="A896" s="961"/>
      <c r="B896" s="961"/>
      <c r="C896" s="961"/>
      <c r="D896" s="961"/>
      <c r="E896" s="961"/>
      <c r="F896" s="961"/>
      <c r="G896" s="961"/>
      <c r="H896" s="961"/>
      <c r="I896" s="961"/>
    </row>
    <row r="897" spans="1:9">
      <c r="A897" s="961"/>
      <c r="B897" s="961"/>
      <c r="C897" s="961"/>
      <c r="D897" s="961"/>
      <c r="E897" s="961"/>
      <c r="F897" s="961"/>
      <c r="G897" s="961"/>
      <c r="H897" s="961"/>
      <c r="I897" s="961"/>
    </row>
    <row r="898" spans="1:9">
      <c r="A898" s="961"/>
      <c r="B898" s="961"/>
      <c r="C898" s="961"/>
      <c r="D898" s="961"/>
      <c r="E898" s="961"/>
      <c r="F898" s="961"/>
      <c r="G898" s="961"/>
      <c r="H898" s="961"/>
      <c r="I898" s="961"/>
    </row>
    <row r="899" spans="1:9">
      <c r="A899" s="961"/>
      <c r="B899" s="961"/>
      <c r="C899" s="961"/>
      <c r="D899" s="961"/>
      <c r="E899" s="961"/>
      <c r="F899" s="961"/>
      <c r="G899" s="961"/>
      <c r="H899" s="961"/>
      <c r="I899" s="961"/>
    </row>
    <row r="900" spans="1:9">
      <c r="A900" s="961"/>
      <c r="B900" s="961"/>
      <c r="C900" s="961"/>
      <c r="D900" s="961"/>
      <c r="E900" s="961"/>
      <c r="F900" s="961"/>
      <c r="G900" s="961"/>
      <c r="H900" s="961"/>
      <c r="I900" s="961"/>
    </row>
    <row r="901" spans="1:9">
      <c r="A901" s="961"/>
      <c r="B901" s="961"/>
      <c r="C901" s="961"/>
      <c r="D901" s="961"/>
      <c r="E901" s="961"/>
      <c r="F901" s="961"/>
      <c r="G901" s="961"/>
      <c r="H901" s="961"/>
      <c r="I901" s="961"/>
    </row>
    <row r="902" spans="1:9">
      <c r="A902" s="961"/>
      <c r="B902" s="961"/>
      <c r="C902" s="961"/>
      <c r="D902" s="961"/>
      <c r="E902" s="961"/>
      <c r="F902" s="961"/>
      <c r="G902" s="961"/>
      <c r="H902" s="961"/>
      <c r="I902" s="961"/>
    </row>
    <row r="903" spans="1:9">
      <c r="A903" s="961"/>
      <c r="B903" s="961"/>
      <c r="C903" s="961"/>
      <c r="D903" s="961"/>
      <c r="E903" s="961"/>
      <c r="F903" s="961"/>
      <c r="G903" s="961"/>
      <c r="H903" s="961"/>
      <c r="I903" s="961"/>
    </row>
    <row r="904" spans="1:9">
      <c r="A904" s="961"/>
      <c r="B904" s="961"/>
      <c r="C904" s="961"/>
      <c r="D904" s="961"/>
      <c r="E904" s="961"/>
      <c r="F904" s="961"/>
      <c r="G904" s="961"/>
      <c r="H904" s="961"/>
      <c r="I904" s="961"/>
    </row>
    <row r="905" spans="1:9">
      <c r="A905" s="961"/>
      <c r="B905" s="961"/>
      <c r="C905" s="961"/>
      <c r="D905" s="961"/>
      <c r="E905" s="961"/>
      <c r="F905" s="961"/>
      <c r="G905" s="961"/>
      <c r="H905" s="961"/>
      <c r="I905" s="961"/>
    </row>
    <row r="906" spans="1:9">
      <c r="A906" s="961"/>
      <c r="B906" s="961"/>
      <c r="C906" s="961"/>
      <c r="D906" s="961"/>
      <c r="E906" s="961"/>
      <c r="F906" s="961"/>
      <c r="G906" s="961"/>
      <c r="H906" s="961"/>
      <c r="I906" s="961"/>
    </row>
    <row r="907" spans="1:9">
      <c r="A907" s="961"/>
      <c r="B907" s="961"/>
      <c r="C907" s="961"/>
      <c r="D907" s="961"/>
      <c r="E907" s="961"/>
      <c r="F907" s="961"/>
      <c r="G907" s="961"/>
      <c r="H907" s="961"/>
      <c r="I907" s="961"/>
    </row>
    <row r="908" spans="1:9">
      <c r="A908" s="961"/>
      <c r="B908" s="961"/>
      <c r="C908" s="961"/>
      <c r="D908" s="961"/>
      <c r="E908" s="961"/>
      <c r="F908" s="961"/>
      <c r="G908" s="961"/>
      <c r="H908" s="961"/>
      <c r="I908" s="961"/>
    </row>
    <row r="909" spans="1:9">
      <c r="A909" s="961"/>
      <c r="B909" s="961"/>
      <c r="C909" s="961"/>
      <c r="D909" s="961"/>
      <c r="E909" s="961"/>
      <c r="F909" s="961"/>
      <c r="G909" s="961"/>
      <c r="H909" s="961"/>
      <c r="I909" s="961"/>
    </row>
    <row r="910" spans="1:9">
      <c r="A910" s="961"/>
      <c r="B910" s="961"/>
      <c r="C910" s="961"/>
      <c r="D910" s="961"/>
      <c r="E910" s="961"/>
      <c r="F910" s="961"/>
      <c r="G910" s="961"/>
      <c r="H910" s="961"/>
      <c r="I910" s="961"/>
    </row>
    <row r="911" spans="1:9">
      <c r="A911" s="961"/>
      <c r="B911" s="961"/>
      <c r="C911" s="961"/>
      <c r="D911" s="961"/>
      <c r="E911" s="961"/>
      <c r="F911" s="961"/>
      <c r="G911" s="961"/>
      <c r="H911" s="961"/>
      <c r="I911" s="961"/>
    </row>
    <row r="912" spans="1:9">
      <c r="A912" s="961"/>
      <c r="B912" s="961"/>
      <c r="C912" s="961"/>
      <c r="D912" s="961"/>
      <c r="E912" s="961"/>
      <c r="F912" s="961"/>
      <c r="G912" s="961"/>
      <c r="H912" s="961"/>
      <c r="I912" s="961"/>
    </row>
    <row r="913" spans="1:9">
      <c r="A913" s="961"/>
      <c r="B913" s="961"/>
      <c r="C913" s="961"/>
      <c r="D913" s="961"/>
      <c r="E913" s="961"/>
      <c r="F913" s="961"/>
      <c r="G913" s="961"/>
      <c r="H913" s="961"/>
      <c r="I913" s="961"/>
    </row>
    <row r="914" spans="1:9">
      <c r="A914" s="961"/>
      <c r="B914" s="961"/>
      <c r="C914" s="961"/>
      <c r="D914" s="961"/>
      <c r="E914" s="961"/>
      <c r="F914" s="961"/>
      <c r="G914" s="961"/>
      <c r="H914" s="961"/>
      <c r="I914" s="961"/>
    </row>
    <row r="915" spans="1:9">
      <c r="A915" s="961"/>
      <c r="B915" s="961"/>
      <c r="C915" s="961"/>
      <c r="D915" s="961"/>
      <c r="E915" s="961"/>
      <c r="F915" s="961"/>
      <c r="G915" s="961"/>
      <c r="H915" s="961"/>
      <c r="I915" s="961"/>
    </row>
    <row r="916" spans="1:9">
      <c r="A916" s="961"/>
      <c r="B916" s="961"/>
      <c r="C916" s="961"/>
      <c r="D916" s="961"/>
      <c r="E916" s="961"/>
      <c r="F916" s="961"/>
      <c r="G916" s="961"/>
      <c r="H916" s="961"/>
      <c r="I916" s="961"/>
    </row>
    <row r="917" spans="1:9">
      <c r="A917" s="961"/>
      <c r="B917" s="961"/>
      <c r="C917" s="961"/>
      <c r="D917" s="961"/>
      <c r="E917" s="961"/>
      <c r="F917" s="961"/>
      <c r="G917" s="961"/>
      <c r="H917" s="961"/>
      <c r="I917" s="961"/>
    </row>
    <row r="918" spans="1:9">
      <c r="A918" s="961"/>
      <c r="B918" s="961"/>
      <c r="C918" s="961"/>
      <c r="D918" s="961"/>
      <c r="E918" s="961"/>
      <c r="F918" s="961"/>
      <c r="G918" s="961"/>
      <c r="H918" s="961"/>
      <c r="I918" s="961"/>
    </row>
    <row r="919" spans="1:9">
      <c r="A919" s="961"/>
      <c r="B919" s="961"/>
      <c r="C919" s="961"/>
      <c r="D919" s="961"/>
      <c r="E919" s="961"/>
      <c r="F919" s="961"/>
      <c r="G919" s="961"/>
      <c r="H919" s="961"/>
      <c r="I919" s="961"/>
    </row>
    <row r="920" spans="1:9">
      <c r="A920" s="961"/>
      <c r="B920" s="961"/>
      <c r="C920" s="961"/>
      <c r="D920" s="961"/>
      <c r="E920" s="961"/>
      <c r="F920" s="961"/>
      <c r="G920" s="961"/>
      <c r="H920" s="961"/>
      <c r="I920" s="961"/>
    </row>
    <row r="921" spans="1:9">
      <c r="A921" s="961"/>
      <c r="B921" s="961"/>
      <c r="C921" s="961"/>
      <c r="D921" s="961"/>
      <c r="E921" s="961"/>
      <c r="F921" s="961"/>
      <c r="G921" s="961"/>
      <c r="H921" s="961"/>
      <c r="I921" s="961"/>
    </row>
    <row r="922" spans="1:9">
      <c r="A922" s="961"/>
      <c r="B922" s="961"/>
      <c r="C922" s="961"/>
      <c r="D922" s="961"/>
      <c r="E922" s="961"/>
      <c r="F922" s="961"/>
      <c r="G922" s="961"/>
      <c r="H922" s="961"/>
      <c r="I922" s="961"/>
    </row>
    <row r="923" spans="1:9">
      <c r="A923" s="961"/>
      <c r="B923" s="961"/>
      <c r="C923" s="961"/>
      <c r="D923" s="961"/>
      <c r="E923" s="961"/>
      <c r="F923" s="961"/>
      <c r="G923" s="961"/>
      <c r="H923" s="961"/>
      <c r="I923" s="961"/>
    </row>
    <row r="924" spans="1:9">
      <c r="A924" s="961"/>
      <c r="B924" s="961"/>
      <c r="C924" s="961"/>
      <c r="D924" s="961"/>
      <c r="E924" s="961"/>
      <c r="F924" s="961"/>
      <c r="G924" s="961"/>
      <c r="H924" s="961"/>
      <c r="I924" s="961"/>
    </row>
    <row r="925" spans="1:9">
      <c r="A925" s="961"/>
      <c r="B925" s="961"/>
      <c r="C925" s="961"/>
      <c r="D925" s="961"/>
      <c r="E925" s="961"/>
      <c r="F925" s="961"/>
      <c r="G925" s="961"/>
      <c r="H925" s="961"/>
      <c r="I925" s="961"/>
    </row>
    <row r="926" spans="1:9">
      <c r="A926" s="961"/>
      <c r="B926" s="961"/>
      <c r="C926" s="961"/>
      <c r="D926" s="961"/>
      <c r="E926" s="961"/>
      <c r="F926" s="961"/>
      <c r="G926" s="961"/>
      <c r="H926" s="961"/>
      <c r="I926" s="961"/>
    </row>
    <row r="927" spans="1:9">
      <c r="A927" s="961"/>
      <c r="B927" s="961"/>
      <c r="C927" s="961"/>
      <c r="D927" s="961"/>
      <c r="E927" s="961"/>
      <c r="F927" s="961"/>
      <c r="G927" s="961"/>
      <c r="H927" s="961"/>
      <c r="I927" s="961"/>
    </row>
    <row r="928" spans="1:9">
      <c r="A928" s="961"/>
      <c r="B928" s="961"/>
      <c r="C928" s="961"/>
      <c r="D928" s="961"/>
      <c r="E928" s="961"/>
      <c r="F928" s="961"/>
      <c r="G928" s="961"/>
      <c r="H928" s="961"/>
      <c r="I928" s="961"/>
    </row>
    <row r="929" spans="1:9">
      <c r="A929" s="961"/>
      <c r="B929" s="961"/>
      <c r="C929" s="961"/>
      <c r="D929" s="961"/>
      <c r="E929" s="961"/>
      <c r="F929" s="961"/>
      <c r="G929" s="961"/>
      <c r="H929" s="961"/>
      <c r="I929" s="961"/>
    </row>
    <row r="930" spans="1:9">
      <c r="A930" s="961"/>
      <c r="B930" s="961"/>
      <c r="C930" s="961"/>
      <c r="D930" s="961"/>
      <c r="E930" s="961"/>
      <c r="F930" s="961"/>
      <c r="G930" s="961"/>
      <c r="H930" s="961"/>
      <c r="I930" s="961"/>
    </row>
    <row r="931" spans="1:9">
      <c r="A931" s="961"/>
      <c r="B931" s="961"/>
      <c r="C931" s="961"/>
      <c r="D931" s="961"/>
      <c r="E931" s="961"/>
      <c r="F931" s="961"/>
      <c r="G931" s="961"/>
      <c r="H931" s="961"/>
      <c r="I931" s="961"/>
    </row>
    <row r="932" spans="1:9">
      <c r="A932" s="961"/>
      <c r="B932" s="961"/>
      <c r="C932" s="961"/>
      <c r="D932" s="961"/>
      <c r="E932" s="961"/>
      <c r="F932" s="961"/>
      <c r="G932" s="961"/>
      <c r="H932" s="961"/>
      <c r="I932" s="961"/>
    </row>
    <row r="933" spans="1:9">
      <c r="A933" s="961"/>
      <c r="B933" s="961"/>
      <c r="C933" s="961"/>
      <c r="D933" s="961"/>
      <c r="E933" s="961"/>
      <c r="F933" s="961"/>
      <c r="G933" s="961"/>
      <c r="H933" s="961"/>
      <c r="I933" s="961"/>
    </row>
    <row r="934" spans="1:9">
      <c r="A934" s="961"/>
      <c r="B934" s="961"/>
      <c r="C934" s="961"/>
      <c r="D934" s="961"/>
      <c r="E934" s="961"/>
      <c r="F934" s="961"/>
      <c r="G934" s="961"/>
      <c r="H934" s="961"/>
      <c r="I934" s="961"/>
    </row>
    <row r="935" spans="1:9">
      <c r="A935" s="961"/>
      <c r="B935" s="961"/>
      <c r="C935" s="961"/>
      <c r="D935" s="961"/>
      <c r="E935" s="961"/>
      <c r="F935" s="961"/>
      <c r="G935" s="961"/>
      <c r="H935" s="961"/>
      <c r="I935" s="961"/>
    </row>
    <row r="936" spans="1:9">
      <c r="A936" s="961"/>
      <c r="B936" s="961"/>
      <c r="C936" s="961"/>
      <c r="D936" s="961"/>
      <c r="E936" s="961"/>
      <c r="F936" s="961"/>
      <c r="G936" s="961"/>
      <c r="H936" s="961"/>
      <c r="I936" s="961"/>
    </row>
    <row r="937" spans="1:9">
      <c r="A937" s="961"/>
      <c r="B937" s="961"/>
      <c r="C937" s="961"/>
      <c r="D937" s="961"/>
      <c r="E937" s="961"/>
      <c r="F937" s="961"/>
      <c r="G937" s="961"/>
      <c r="H937" s="961"/>
      <c r="I937" s="961"/>
    </row>
    <row r="938" spans="1:9">
      <c r="A938" s="961"/>
      <c r="B938" s="961"/>
      <c r="C938" s="961"/>
      <c r="D938" s="961"/>
      <c r="E938" s="961"/>
      <c r="F938" s="961"/>
      <c r="G938" s="961"/>
      <c r="H938" s="961"/>
      <c r="I938" s="961"/>
    </row>
    <row r="939" spans="1:9">
      <c r="A939" s="961"/>
      <c r="B939" s="961"/>
      <c r="C939" s="961"/>
      <c r="D939" s="961"/>
      <c r="E939" s="961"/>
      <c r="F939" s="961"/>
      <c r="G939" s="961"/>
      <c r="H939" s="961"/>
      <c r="I939" s="961"/>
    </row>
    <row r="940" spans="1:9">
      <c r="A940" s="961"/>
      <c r="B940" s="961"/>
      <c r="C940" s="961"/>
      <c r="D940" s="961"/>
      <c r="E940" s="961"/>
      <c r="F940" s="961"/>
      <c r="G940" s="961"/>
      <c r="H940" s="961"/>
      <c r="I940" s="961"/>
    </row>
    <row r="941" spans="1:9">
      <c r="A941" s="961"/>
      <c r="B941" s="961"/>
      <c r="C941" s="961"/>
      <c r="D941" s="961"/>
      <c r="E941" s="961"/>
      <c r="F941" s="961"/>
      <c r="G941" s="961"/>
      <c r="H941" s="961"/>
      <c r="I941" s="961"/>
    </row>
    <row r="942" spans="1:9">
      <c r="A942" s="961"/>
      <c r="B942" s="961"/>
      <c r="C942" s="961"/>
      <c r="D942" s="961"/>
      <c r="E942" s="961"/>
      <c r="F942" s="961"/>
      <c r="G942" s="961"/>
      <c r="H942" s="961"/>
      <c r="I942" s="961"/>
    </row>
    <row r="943" spans="1:9">
      <c r="A943" s="961"/>
      <c r="B943" s="961"/>
      <c r="C943" s="961"/>
      <c r="D943" s="961"/>
      <c r="E943" s="961"/>
      <c r="F943" s="961"/>
      <c r="G943" s="961"/>
      <c r="H943" s="961"/>
      <c r="I943" s="961"/>
    </row>
    <row r="944" spans="1:9">
      <c r="A944" s="961"/>
      <c r="B944" s="961"/>
      <c r="C944" s="961"/>
      <c r="D944" s="961"/>
      <c r="E944" s="961"/>
      <c r="F944" s="961"/>
      <c r="G944" s="961"/>
      <c r="H944" s="961"/>
      <c r="I944" s="961"/>
    </row>
    <row r="945" spans="1:9">
      <c r="A945" s="961"/>
      <c r="B945" s="961"/>
      <c r="C945" s="961"/>
      <c r="D945" s="961"/>
      <c r="E945" s="961"/>
      <c r="F945" s="961"/>
      <c r="G945" s="961"/>
      <c r="H945" s="961"/>
      <c r="I945" s="961"/>
    </row>
    <row r="946" spans="1:9">
      <c r="A946" s="961"/>
      <c r="B946" s="961"/>
      <c r="C946" s="961"/>
      <c r="D946" s="961"/>
      <c r="E946" s="961"/>
      <c r="F946" s="961"/>
      <c r="G946" s="961"/>
      <c r="H946" s="961"/>
      <c r="I946" s="961"/>
    </row>
    <row r="947" spans="1:9">
      <c r="A947" s="961"/>
      <c r="B947" s="961"/>
      <c r="C947" s="961"/>
      <c r="D947" s="961"/>
      <c r="E947" s="961"/>
      <c r="F947" s="961"/>
      <c r="G947" s="961"/>
      <c r="H947" s="961"/>
      <c r="I947" s="961"/>
    </row>
    <row r="948" spans="1:9">
      <c r="A948" s="961"/>
      <c r="B948" s="961"/>
      <c r="C948" s="961"/>
      <c r="D948" s="961"/>
      <c r="E948" s="961"/>
      <c r="F948" s="961"/>
      <c r="G948" s="961"/>
      <c r="H948" s="961"/>
      <c r="I948" s="961"/>
    </row>
    <row r="949" spans="1:9">
      <c r="A949" s="961"/>
      <c r="B949" s="961"/>
      <c r="C949" s="961"/>
      <c r="D949" s="961"/>
      <c r="E949" s="961"/>
      <c r="F949" s="961"/>
      <c r="G949" s="961"/>
      <c r="H949" s="961"/>
      <c r="I949" s="961"/>
    </row>
    <row r="950" spans="1:9">
      <c r="A950" s="961"/>
      <c r="B950" s="961"/>
      <c r="C950" s="961"/>
      <c r="D950" s="961"/>
      <c r="E950" s="961"/>
      <c r="F950" s="961"/>
      <c r="G950" s="961"/>
      <c r="H950" s="961"/>
      <c r="I950" s="961"/>
    </row>
    <row r="951" spans="1:9">
      <c r="A951" s="961"/>
      <c r="B951" s="961"/>
      <c r="C951" s="961"/>
      <c r="D951" s="961"/>
      <c r="E951" s="961"/>
      <c r="F951" s="961"/>
      <c r="G951" s="961"/>
      <c r="H951" s="961"/>
      <c r="I951" s="961"/>
    </row>
    <row r="952" spans="1:9">
      <c r="A952" s="961"/>
      <c r="B952" s="961"/>
      <c r="C952" s="961"/>
      <c r="D952" s="961"/>
      <c r="E952" s="961"/>
      <c r="F952" s="961"/>
      <c r="G952" s="961"/>
      <c r="H952" s="961"/>
      <c r="I952" s="961"/>
    </row>
    <row r="953" spans="1:9">
      <c r="A953" s="961"/>
      <c r="B953" s="961"/>
      <c r="C953" s="961"/>
      <c r="D953" s="961"/>
      <c r="E953" s="961"/>
      <c r="F953" s="961"/>
      <c r="G953" s="961"/>
      <c r="H953" s="961"/>
      <c r="I953" s="961"/>
    </row>
    <row r="954" spans="1:9">
      <c r="A954" s="961"/>
      <c r="B954" s="961"/>
      <c r="C954" s="961"/>
      <c r="D954" s="961"/>
      <c r="E954" s="961"/>
      <c r="F954" s="961"/>
      <c r="G954" s="961"/>
      <c r="H954" s="961"/>
      <c r="I954" s="961"/>
    </row>
    <row r="955" spans="1:9">
      <c r="A955" s="961"/>
      <c r="B955" s="961"/>
      <c r="C955" s="961"/>
      <c r="D955" s="961"/>
      <c r="E955" s="961"/>
      <c r="F955" s="961"/>
      <c r="G955" s="961"/>
      <c r="H955" s="961"/>
      <c r="I955" s="961"/>
    </row>
    <row r="956" spans="1:9">
      <c r="A956" s="961"/>
      <c r="B956" s="961"/>
      <c r="C956" s="961"/>
      <c r="D956" s="961"/>
      <c r="E956" s="961"/>
      <c r="F956" s="961"/>
      <c r="G956" s="961"/>
      <c r="H956" s="961"/>
      <c r="I956" s="961"/>
    </row>
    <row r="957" spans="1:9">
      <c r="A957" s="961"/>
      <c r="B957" s="961"/>
      <c r="C957" s="961"/>
      <c r="D957" s="961"/>
      <c r="E957" s="961"/>
      <c r="F957" s="961"/>
      <c r="G957" s="961"/>
      <c r="H957" s="961"/>
      <c r="I957" s="961"/>
    </row>
    <row r="958" spans="1:9">
      <c r="A958" s="961"/>
      <c r="B958" s="961"/>
      <c r="C958" s="961"/>
      <c r="D958" s="961"/>
      <c r="E958" s="961"/>
      <c r="F958" s="961"/>
      <c r="G958" s="961"/>
      <c r="H958" s="961"/>
      <c r="I958" s="961"/>
    </row>
    <row r="959" spans="1:9">
      <c r="A959" s="961"/>
      <c r="B959" s="961"/>
      <c r="C959" s="961"/>
      <c r="D959" s="961"/>
      <c r="E959" s="961"/>
      <c r="F959" s="961"/>
      <c r="G959" s="961"/>
      <c r="H959" s="961"/>
      <c r="I959" s="961"/>
    </row>
    <row r="960" spans="1:9">
      <c r="A960" s="961"/>
      <c r="B960" s="961"/>
      <c r="C960" s="961"/>
      <c r="D960" s="961"/>
      <c r="E960" s="961"/>
      <c r="F960" s="961"/>
      <c r="G960" s="961"/>
      <c r="H960" s="961"/>
      <c r="I960" s="961"/>
    </row>
    <row r="961" spans="1:9">
      <c r="A961" s="961"/>
      <c r="B961" s="961"/>
      <c r="C961" s="961"/>
      <c r="D961" s="961"/>
      <c r="E961" s="961"/>
      <c r="F961" s="961"/>
      <c r="G961" s="961"/>
      <c r="H961" s="961"/>
      <c r="I961" s="961"/>
    </row>
    <row r="962" spans="1:9">
      <c r="A962" s="961"/>
      <c r="B962" s="961"/>
      <c r="C962" s="961"/>
      <c r="D962" s="961"/>
      <c r="E962" s="961"/>
      <c r="F962" s="961"/>
      <c r="G962" s="961"/>
      <c r="H962" s="961"/>
      <c r="I962" s="961"/>
    </row>
    <row r="963" spans="1:9">
      <c r="A963" s="961"/>
      <c r="B963" s="961"/>
      <c r="C963" s="961"/>
      <c r="D963" s="961"/>
      <c r="E963" s="961"/>
      <c r="F963" s="961"/>
      <c r="G963" s="961"/>
      <c r="H963" s="961"/>
      <c r="I963" s="961"/>
    </row>
    <row r="964" spans="1:9">
      <c r="A964" s="961"/>
      <c r="B964" s="961"/>
      <c r="C964" s="961"/>
      <c r="D964" s="961"/>
      <c r="E964" s="961"/>
      <c r="F964" s="961"/>
      <c r="G964" s="961"/>
      <c r="H964" s="961"/>
      <c r="I964" s="961"/>
    </row>
    <row r="965" spans="1:9">
      <c r="A965" s="961"/>
      <c r="B965" s="961"/>
      <c r="C965" s="961"/>
      <c r="D965" s="961"/>
      <c r="E965" s="961"/>
      <c r="F965" s="961"/>
      <c r="G965" s="961"/>
      <c r="H965" s="961"/>
      <c r="I965" s="961"/>
    </row>
    <row r="966" spans="1:9">
      <c r="A966" s="961"/>
      <c r="B966" s="961"/>
      <c r="C966" s="961"/>
      <c r="D966" s="961"/>
      <c r="E966" s="961"/>
      <c r="F966" s="961"/>
      <c r="G966" s="961"/>
      <c r="H966" s="961"/>
      <c r="I966" s="961"/>
    </row>
    <row r="967" spans="1:9">
      <c r="A967" s="961"/>
      <c r="B967" s="961"/>
      <c r="C967" s="961"/>
      <c r="D967" s="961"/>
      <c r="E967" s="961"/>
      <c r="F967" s="961"/>
      <c r="G967" s="961"/>
      <c r="H967" s="961"/>
      <c r="I967" s="961"/>
    </row>
    <row r="968" spans="1:9">
      <c r="A968" s="961"/>
      <c r="B968" s="961"/>
      <c r="C968" s="961"/>
      <c r="D968" s="961"/>
      <c r="E968" s="961"/>
      <c r="F968" s="961"/>
      <c r="G968" s="961"/>
      <c r="H968" s="961"/>
      <c r="I968" s="961"/>
    </row>
    <row r="969" spans="1:9">
      <c r="A969" s="961"/>
      <c r="B969" s="961"/>
      <c r="C969" s="961"/>
      <c r="D969" s="961"/>
      <c r="E969" s="961"/>
      <c r="F969" s="961"/>
      <c r="G969" s="961"/>
      <c r="H969" s="961"/>
      <c r="I969" s="961"/>
    </row>
    <row r="970" spans="1:9">
      <c r="A970" s="961"/>
      <c r="B970" s="961"/>
      <c r="C970" s="961"/>
      <c r="D970" s="961"/>
      <c r="E970" s="961"/>
      <c r="F970" s="961"/>
      <c r="G970" s="961"/>
      <c r="H970" s="961"/>
      <c r="I970" s="961"/>
    </row>
    <row r="971" spans="1:9">
      <c r="A971" s="961"/>
      <c r="B971" s="961"/>
      <c r="C971" s="961"/>
      <c r="D971" s="961"/>
      <c r="E971" s="961"/>
      <c r="F971" s="961"/>
      <c r="G971" s="961"/>
      <c r="H971" s="961"/>
      <c r="I971" s="961"/>
    </row>
    <row r="972" spans="1:9">
      <c r="A972" s="961"/>
      <c r="B972" s="961"/>
      <c r="C972" s="961"/>
      <c r="D972" s="961"/>
      <c r="E972" s="961"/>
      <c r="F972" s="961"/>
      <c r="G972" s="961"/>
      <c r="H972" s="961"/>
      <c r="I972" s="961"/>
    </row>
    <row r="973" spans="1:9">
      <c r="A973" s="961"/>
      <c r="B973" s="961"/>
      <c r="C973" s="961"/>
      <c r="D973" s="961"/>
      <c r="E973" s="961"/>
      <c r="F973" s="961"/>
      <c r="G973" s="961"/>
      <c r="H973" s="961"/>
      <c r="I973" s="961"/>
    </row>
    <row r="974" spans="1:9">
      <c r="A974" s="961"/>
      <c r="B974" s="961"/>
      <c r="C974" s="961"/>
      <c r="D974" s="961"/>
      <c r="E974" s="961"/>
      <c r="F974" s="961"/>
      <c r="G974" s="961"/>
      <c r="H974" s="961"/>
      <c r="I974" s="961"/>
    </row>
    <row r="975" spans="1:9">
      <c r="A975" s="961"/>
      <c r="B975" s="961"/>
      <c r="C975" s="961"/>
      <c r="D975" s="961"/>
      <c r="E975" s="961"/>
      <c r="F975" s="961"/>
      <c r="G975" s="961"/>
      <c r="H975" s="961"/>
      <c r="I975" s="961"/>
    </row>
    <row r="976" spans="1:9">
      <c r="A976" s="961"/>
      <c r="B976" s="961"/>
      <c r="C976" s="961"/>
      <c r="D976" s="961"/>
      <c r="E976" s="961"/>
      <c r="F976" s="961"/>
      <c r="G976" s="961"/>
      <c r="H976" s="961"/>
      <c r="I976" s="961"/>
    </row>
    <row r="977" spans="1:9">
      <c r="A977" s="961"/>
      <c r="B977" s="961"/>
      <c r="C977" s="961"/>
      <c r="D977" s="961"/>
      <c r="E977" s="961"/>
      <c r="F977" s="961"/>
      <c r="G977" s="961"/>
      <c r="H977" s="961"/>
      <c r="I977" s="961"/>
    </row>
    <row r="978" spans="1:9">
      <c r="A978" s="961"/>
      <c r="B978" s="961"/>
      <c r="C978" s="961"/>
      <c r="D978" s="961"/>
      <c r="E978" s="961"/>
      <c r="F978" s="961"/>
      <c r="G978" s="961"/>
      <c r="H978" s="961"/>
      <c r="I978" s="961"/>
    </row>
    <row r="979" spans="1:9">
      <c r="A979" s="961"/>
      <c r="B979" s="961"/>
      <c r="C979" s="961"/>
      <c r="D979" s="961"/>
      <c r="E979" s="961"/>
      <c r="F979" s="961"/>
      <c r="G979" s="961"/>
      <c r="H979" s="961"/>
      <c r="I979" s="961"/>
    </row>
    <row r="980" spans="1:9">
      <c r="A980" s="961"/>
      <c r="B980" s="961"/>
      <c r="C980" s="961"/>
      <c r="D980" s="961"/>
      <c r="E980" s="961"/>
      <c r="F980" s="961"/>
      <c r="G980" s="961"/>
      <c r="H980" s="961"/>
      <c r="I980" s="961"/>
    </row>
    <row r="981" spans="1:9">
      <c r="A981" s="961"/>
      <c r="B981" s="961"/>
      <c r="C981" s="961"/>
      <c r="D981" s="961"/>
      <c r="E981" s="961"/>
      <c r="F981" s="961"/>
      <c r="G981" s="961"/>
      <c r="H981" s="961"/>
      <c r="I981" s="961"/>
    </row>
    <row r="982" spans="1:9">
      <c r="A982" s="961"/>
      <c r="B982" s="961"/>
      <c r="C982" s="961"/>
      <c r="D982" s="961"/>
      <c r="E982" s="961"/>
      <c r="F982" s="961"/>
      <c r="G982" s="961"/>
      <c r="H982" s="961"/>
      <c r="I982" s="961"/>
    </row>
    <row r="983" spans="1:9">
      <c r="A983" s="961"/>
      <c r="B983" s="961"/>
      <c r="C983" s="961"/>
      <c r="D983" s="961"/>
      <c r="E983" s="961"/>
      <c r="F983" s="961"/>
      <c r="G983" s="961"/>
      <c r="H983" s="961"/>
      <c r="I983" s="961"/>
    </row>
    <row r="984" spans="1:9">
      <c r="A984" s="961"/>
      <c r="B984" s="961"/>
      <c r="C984" s="961"/>
      <c r="D984" s="961"/>
      <c r="E984" s="961"/>
      <c r="F984" s="961"/>
      <c r="G984" s="961"/>
      <c r="H984" s="961"/>
      <c r="I984" s="961"/>
    </row>
    <row r="985" spans="1:9">
      <c r="A985" s="961"/>
      <c r="B985" s="961"/>
      <c r="C985" s="961"/>
      <c r="D985" s="961"/>
      <c r="E985" s="961"/>
      <c r="F985" s="961"/>
      <c r="G985" s="961"/>
      <c r="H985" s="961"/>
      <c r="I985" s="961"/>
    </row>
    <row r="986" spans="1:9">
      <c r="A986" s="961"/>
      <c r="B986" s="961"/>
      <c r="C986" s="961"/>
      <c r="D986" s="961"/>
      <c r="E986" s="961"/>
      <c r="F986" s="961"/>
      <c r="G986" s="961"/>
      <c r="H986" s="961"/>
      <c r="I986" s="961"/>
    </row>
    <row r="987" spans="1:9">
      <c r="A987" s="961"/>
      <c r="B987" s="961"/>
      <c r="C987" s="961"/>
      <c r="D987" s="961"/>
      <c r="E987" s="961"/>
      <c r="F987" s="961"/>
      <c r="G987" s="961"/>
      <c r="H987" s="961"/>
      <c r="I987" s="961"/>
    </row>
    <row r="988" spans="1:9">
      <c r="A988" s="961"/>
      <c r="B988" s="961"/>
      <c r="C988" s="961"/>
      <c r="D988" s="961"/>
      <c r="E988" s="961"/>
      <c r="F988" s="961"/>
      <c r="G988" s="961"/>
      <c r="H988" s="961"/>
      <c r="I988" s="961"/>
    </row>
    <row r="989" spans="1:9">
      <c r="A989" s="961"/>
      <c r="B989" s="961"/>
      <c r="C989" s="961"/>
      <c r="D989" s="961"/>
      <c r="E989" s="961"/>
      <c r="F989" s="961"/>
      <c r="G989" s="961"/>
      <c r="H989" s="961"/>
      <c r="I989" s="961"/>
    </row>
    <row r="990" spans="1:9">
      <c r="A990" s="961"/>
      <c r="B990" s="961"/>
      <c r="C990" s="961"/>
      <c r="D990" s="961"/>
      <c r="E990" s="961"/>
      <c r="F990" s="961"/>
      <c r="G990" s="961"/>
      <c r="H990" s="961"/>
      <c r="I990" s="961"/>
    </row>
    <row r="991" spans="1:9">
      <c r="A991" s="961"/>
      <c r="B991" s="961"/>
      <c r="C991" s="961"/>
      <c r="D991" s="961"/>
      <c r="E991" s="961"/>
      <c r="F991" s="961"/>
      <c r="G991" s="961"/>
      <c r="H991" s="961"/>
      <c r="I991" s="961"/>
    </row>
    <row r="992" spans="1:9">
      <c r="A992" s="961"/>
      <c r="B992" s="961"/>
      <c r="C992" s="961"/>
      <c r="D992" s="961"/>
      <c r="E992" s="961"/>
      <c r="F992" s="961"/>
      <c r="G992" s="961"/>
      <c r="H992" s="961"/>
      <c r="I992" s="961"/>
    </row>
    <row r="993" spans="1:9">
      <c r="A993" s="961"/>
      <c r="B993" s="961"/>
      <c r="C993" s="961"/>
      <c r="D993" s="961"/>
      <c r="E993" s="961"/>
      <c r="F993" s="961"/>
      <c r="G993" s="961"/>
      <c r="H993" s="961"/>
      <c r="I993" s="961"/>
    </row>
    <row r="994" spans="1:9">
      <c r="A994" s="961"/>
      <c r="B994" s="961"/>
      <c r="C994" s="961"/>
      <c r="D994" s="961"/>
      <c r="E994" s="961"/>
      <c r="F994" s="961"/>
      <c r="G994" s="961"/>
      <c r="H994" s="961"/>
      <c r="I994" s="961"/>
    </row>
    <row r="995" spans="1:9">
      <c r="A995" s="961"/>
      <c r="B995" s="961"/>
      <c r="C995" s="961"/>
      <c r="D995" s="961"/>
      <c r="E995" s="961"/>
      <c r="F995" s="961"/>
      <c r="G995" s="961"/>
      <c r="H995" s="961"/>
      <c r="I995" s="961"/>
    </row>
    <row r="996" spans="1:9">
      <c r="A996" s="961"/>
      <c r="B996" s="961"/>
      <c r="C996" s="961"/>
      <c r="D996" s="961"/>
      <c r="E996" s="961"/>
      <c r="F996" s="961"/>
      <c r="G996" s="961"/>
      <c r="H996" s="961"/>
      <c r="I996" s="961"/>
    </row>
    <row r="997" spans="1:9">
      <c r="A997" s="961"/>
      <c r="B997" s="961"/>
      <c r="C997" s="961"/>
      <c r="D997" s="961"/>
      <c r="E997" s="961"/>
      <c r="F997" s="961"/>
      <c r="G997" s="961"/>
      <c r="H997" s="961"/>
      <c r="I997" s="961"/>
    </row>
    <row r="998" spans="1:9">
      <c r="A998" s="961"/>
      <c r="B998" s="961"/>
      <c r="C998" s="961"/>
      <c r="D998" s="961"/>
      <c r="E998" s="961"/>
      <c r="F998" s="961"/>
      <c r="G998" s="961"/>
      <c r="H998" s="961"/>
      <c r="I998" s="961"/>
    </row>
    <row r="999" spans="1:9">
      <c r="A999" s="961"/>
      <c r="B999" s="961"/>
      <c r="C999" s="961"/>
      <c r="D999" s="961"/>
      <c r="E999" s="961"/>
      <c r="F999" s="961"/>
      <c r="G999" s="961"/>
      <c r="H999" s="961"/>
      <c r="I999" s="961"/>
    </row>
    <row r="1000" spans="1:9">
      <c r="A1000" s="961"/>
      <c r="B1000" s="961"/>
      <c r="C1000" s="961"/>
      <c r="D1000" s="961"/>
      <c r="E1000" s="961"/>
      <c r="F1000" s="961"/>
      <c r="G1000" s="961"/>
      <c r="H1000" s="961"/>
      <c r="I1000" s="961"/>
    </row>
    <row r="1001" spans="1:9">
      <c r="A1001" s="961"/>
      <c r="B1001" s="961"/>
      <c r="C1001" s="961"/>
      <c r="D1001" s="961"/>
      <c r="E1001" s="961"/>
      <c r="F1001" s="961"/>
      <c r="G1001" s="961"/>
      <c r="H1001" s="961"/>
      <c r="I1001" s="961"/>
    </row>
    <row r="1002" spans="1:9">
      <c r="A1002" s="961"/>
      <c r="B1002" s="961"/>
      <c r="C1002" s="961"/>
      <c r="D1002" s="961"/>
      <c r="E1002" s="961"/>
      <c r="F1002" s="961"/>
      <c r="G1002" s="961"/>
      <c r="H1002" s="961"/>
      <c r="I1002" s="961"/>
    </row>
    <row r="1003" spans="1:9">
      <c r="A1003" s="961"/>
      <c r="B1003" s="961"/>
      <c r="C1003" s="961"/>
      <c r="D1003" s="961"/>
      <c r="E1003" s="961"/>
      <c r="F1003" s="961"/>
      <c r="G1003" s="961"/>
      <c r="H1003" s="961"/>
      <c r="I1003" s="961"/>
    </row>
    <row r="1004" spans="1:9">
      <c r="A1004" s="961"/>
      <c r="B1004" s="961"/>
      <c r="C1004" s="961"/>
      <c r="D1004" s="961"/>
      <c r="E1004" s="961"/>
      <c r="F1004" s="961"/>
      <c r="G1004" s="961"/>
      <c r="H1004" s="961"/>
      <c r="I1004" s="961"/>
    </row>
    <row r="1005" spans="1:9">
      <c r="A1005" s="961"/>
      <c r="B1005" s="961"/>
      <c r="C1005" s="961"/>
      <c r="D1005" s="961"/>
      <c r="E1005" s="961"/>
      <c r="F1005" s="961"/>
      <c r="G1005" s="961"/>
      <c r="H1005" s="961"/>
      <c r="I1005" s="961"/>
    </row>
    <row r="1006" spans="1:9">
      <c r="A1006" s="961"/>
      <c r="B1006" s="961"/>
      <c r="C1006" s="961"/>
      <c r="D1006" s="961"/>
      <c r="E1006" s="961"/>
      <c r="F1006" s="961"/>
      <c r="G1006" s="961"/>
      <c r="H1006" s="961"/>
      <c r="I1006" s="961"/>
    </row>
    <row r="1007" spans="1:9">
      <c r="A1007" s="961"/>
      <c r="B1007" s="961"/>
      <c r="C1007" s="961"/>
      <c r="D1007" s="961"/>
      <c r="E1007" s="961"/>
      <c r="F1007" s="961"/>
      <c r="G1007" s="961"/>
      <c r="H1007" s="961"/>
      <c r="I1007" s="961"/>
    </row>
    <row r="1008" spans="1:9">
      <c r="A1008" s="961"/>
      <c r="B1008" s="961"/>
      <c r="C1008" s="961"/>
      <c r="D1008" s="961"/>
      <c r="E1008" s="961"/>
      <c r="F1008" s="961"/>
      <c r="G1008" s="961"/>
      <c r="H1008" s="961"/>
      <c r="I1008" s="961"/>
    </row>
    <row r="1009" spans="1:9">
      <c r="A1009" s="961"/>
      <c r="B1009" s="961"/>
      <c r="C1009" s="961"/>
      <c r="D1009" s="961"/>
      <c r="E1009" s="961"/>
      <c r="F1009" s="961"/>
      <c r="G1009" s="961"/>
      <c r="H1009" s="961"/>
      <c r="I1009" s="961"/>
    </row>
    <row r="1010" spans="1:9">
      <c r="A1010" s="961"/>
      <c r="B1010" s="961"/>
      <c r="C1010" s="961"/>
      <c r="D1010" s="961"/>
      <c r="E1010" s="961"/>
      <c r="F1010" s="961"/>
      <c r="G1010" s="961"/>
      <c r="H1010" s="961"/>
      <c r="I1010" s="961"/>
    </row>
    <row r="1011" spans="1:9">
      <c r="A1011" s="961"/>
      <c r="B1011" s="961"/>
      <c r="C1011" s="961"/>
      <c r="D1011" s="961"/>
      <c r="E1011" s="961"/>
      <c r="F1011" s="961"/>
      <c r="G1011" s="961"/>
      <c r="H1011" s="961"/>
      <c r="I1011" s="961"/>
    </row>
    <row r="1012" spans="1:9">
      <c r="A1012" s="961"/>
      <c r="B1012" s="961"/>
      <c r="C1012" s="961"/>
      <c r="D1012" s="961"/>
      <c r="E1012" s="961"/>
      <c r="F1012" s="961"/>
      <c r="G1012" s="961"/>
      <c r="H1012" s="961"/>
      <c r="I1012" s="961"/>
    </row>
    <row r="1013" spans="1:9">
      <c r="A1013" s="961"/>
      <c r="B1013" s="961"/>
      <c r="C1013" s="961"/>
      <c r="D1013" s="961"/>
      <c r="E1013" s="961"/>
      <c r="F1013" s="961"/>
      <c r="G1013" s="961"/>
      <c r="H1013" s="961"/>
      <c r="I1013" s="961"/>
    </row>
    <row r="1014" spans="1:9">
      <c r="A1014" s="961"/>
      <c r="B1014" s="961"/>
      <c r="C1014" s="961"/>
      <c r="D1014" s="961"/>
      <c r="E1014" s="961"/>
      <c r="F1014" s="961"/>
      <c r="G1014" s="961"/>
      <c r="H1014" s="961"/>
      <c r="I1014" s="961"/>
    </row>
    <row r="1015" spans="1:9">
      <c r="A1015" s="961"/>
      <c r="B1015" s="961"/>
      <c r="C1015" s="961"/>
      <c r="D1015" s="961"/>
      <c r="E1015" s="961"/>
      <c r="F1015" s="961"/>
      <c r="G1015" s="961"/>
      <c r="H1015" s="961"/>
      <c r="I1015" s="961"/>
    </row>
    <row r="1016" spans="1:9">
      <c r="A1016" s="961"/>
      <c r="B1016" s="961"/>
      <c r="C1016" s="961"/>
      <c r="D1016" s="961"/>
      <c r="E1016" s="961"/>
      <c r="F1016" s="961"/>
      <c r="G1016" s="961"/>
      <c r="H1016" s="961"/>
      <c r="I1016" s="961"/>
    </row>
    <row r="1017" spans="1:9">
      <c r="A1017" s="961"/>
      <c r="B1017" s="961"/>
      <c r="C1017" s="961"/>
      <c r="D1017" s="961"/>
      <c r="E1017" s="961"/>
      <c r="F1017" s="961"/>
      <c r="G1017" s="961"/>
      <c r="H1017" s="961"/>
      <c r="I1017" s="961"/>
    </row>
    <row r="1018" spans="1:9">
      <c r="A1018" s="961"/>
      <c r="B1018" s="961"/>
      <c r="C1018" s="961"/>
      <c r="D1018" s="961"/>
      <c r="E1018" s="961"/>
      <c r="F1018" s="961"/>
      <c r="G1018" s="961"/>
      <c r="H1018" s="961"/>
      <c r="I1018" s="961"/>
    </row>
    <row r="1019" spans="1:9">
      <c r="A1019" s="961"/>
      <c r="B1019" s="961"/>
      <c r="C1019" s="961"/>
      <c r="D1019" s="961"/>
      <c r="E1019" s="961"/>
      <c r="F1019" s="961"/>
      <c r="G1019" s="961"/>
      <c r="H1019" s="961"/>
      <c r="I1019" s="961"/>
    </row>
    <row r="1020" spans="1:9">
      <c r="A1020" s="961"/>
      <c r="B1020" s="961"/>
      <c r="C1020" s="961"/>
      <c r="D1020" s="961"/>
      <c r="E1020" s="961"/>
      <c r="F1020" s="961"/>
      <c r="G1020" s="961"/>
      <c r="H1020" s="961"/>
      <c r="I1020" s="961"/>
    </row>
    <row r="1021" spans="1:9">
      <c r="A1021" s="961"/>
      <c r="B1021" s="961"/>
      <c r="C1021" s="961"/>
      <c r="D1021" s="961"/>
      <c r="E1021" s="961"/>
      <c r="F1021" s="961"/>
      <c r="G1021" s="961"/>
      <c r="H1021" s="961"/>
      <c r="I1021" s="961"/>
    </row>
    <row r="1022" spans="1:9">
      <c r="A1022" s="961"/>
      <c r="B1022" s="961"/>
      <c r="C1022" s="961"/>
      <c r="D1022" s="961"/>
      <c r="E1022" s="961"/>
      <c r="F1022" s="961"/>
      <c r="G1022" s="961"/>
      <c r="H1022" s="961"/>
      <c r="I1022" s="961"/>
    </row>
    <row r="1023" spans="1:9">
      <c r="A1023" s="961"/>
      <c r="B1023" s="961"/>
      <c r="C1023" s="961"/>
      <c r="D1023" s="961"/>
      <c r="E1023" s="961"/>
      <c r="F1023" s="961"/>
      <c r="G1023" s="961"/>
      <c r="H1023" s="961"/>
      <c r="I1023" s="961"/>
    </row>
    <row r="1024" spans="1:9">
      <c r="A1024" s="961"/>
      <c r="B1024" s="961"/>
      <c r="C1024" s="961"/>
      <c r="D1024" s="961"/>
      <c r="E1024" s="961"/>
      <c r="F1024" s="961"/>
      <c r="G1024" s="961"/>
      <c r="H1024" s="961"/>
      <c r="I1024" s="961"/>
    </row>
    <row r="1025" spans="1:9">
      <c r="A1025" s="961"/>
      <c r="B1025" s="961"/>
      <c r="C1025" s="961"/>
      <c r="D1025" s="961"/>
      <c r="E1025" s="961"/>
      <c r="F1025" s="961"/>
      <c r="G1025" s="961"/>
      <c r="H1025" s="961"/>
      <c r="I1025" s="961"/>
    </row>
    <row r="1026" spans="1:9">
      <c r="A1026" s="961"/>
      <c r="B1026" s="961"/>
      <c r="C1026" s="961"/>
      <c r="D1026" s="961"/>
      <c r="E1026" s="961"/>
      <c r="F1026" s="961"/>
      <c r="G1026" s="961"/>
      <c r="H1026" s="961"/>
      <c r="I1026" s="961"/>
    </row>
    <row r="1027" spans="1:9">
      <c r="A1027" s="961"/>
      <c r="B1027" s="961"/>
      <c r="C1027" s="961"/>
      <c r="D1027" s="961"/>
      <c r="E1027" s="961"/>
      <c r="F1027" s="961"/>
      <c r="G1027" s="961"/>
      <c r="H1027" s="961"/>
      <c r="I1027" s="961"/>
    </row>
    <row r="1028" spans="1:9">
      <c r="A1028" s="961"/>
      <c r="B1028" s="961"/>
      <c r="C1028" s="961"/>
      <c r="D1028" s="961"/>
      <c r="E1028" s="961"/>
      <c r="F1028" s="961"/>
      <c r="G1028" s="961"/>
      <c r="H1028" s="961"/>
      <c r="I1028" s="961"/>
    </row>
    <row r="1029" spans="1:9">
      <c r="A1029" s="961"/>
      <c r="B1029" s="961"/>
      <c r="C1029" s="961"/>
      <c r="D1029" s="961"/>
      <c r="E1029" s="961"/>
      <c r="F1029" s="961"/>
      <c r="G1029" s="961"/>
      <c r="H1029" s="961"/>
      <c r="I1029" s="961"/>
    </row>
    <row r="1030" spans="1:9">
      <c r="A1030" s="961"/>
      <c r="B1030" s="961"/>
      <c r="C1030" s="961"/>
      <c r="D1030" s="961"/>
      <c r="E1030" s="961"/>
      <c r="F1030" s="961"/>
      <c r="G1030" s="961"/>
      <c r="H1030" s="961"/>
      <c r="I1030" s="961"/>
    </row>
    <row r="1031" spans="1:9">
      <c r="A1031" s="961"/>
      <c r="B1031" s="961"/>
      <c r="C1031" s="961"/>
      <c r="D1031" s="961"/>
      <c r="E1031" s="961"/>
      <c r="F1031" s="961"/>
      <c r="G1031" s="961"/>
      <c r="H1031" s="961"/>
      <c r="I1031" s="961"/>
    </row>
    <row r="1032" spans="1:9">
      <c r="A1032" s="961"/>
      <c r="B1032" s="961"/>
      <c r="C1032" s="961"/>
      <c r="D1032" s="961"/>
      <c r="E1032" s="961"/>
      <c r="F1032" s="961"/>
      <c r="G1032" s="961"/>
      <c r="H1032" s="961"/>
      <c r="I1032" s="961"/>
    </row>
    <row r="1033" spans="1:9">
      <c r="A1033" s="961"/>
      <c r="B1033" s="961"/>
      <c r="C1033" s="961"/>
      <c r="D1033" s="961"/>
      <c r="E1033" s="961"/>
      <c r="F1033" s="961"/>
      <c r="G1033" s="961"/>
      <c r="H1033" s="961"/>
      <c r="I1033" s="961"/>
    </row>
    <row r="1034" spans="1:9">
      <c r="A1034" s="961"/>
      <c r="B1034" s="961"/>
      <c r="C1034" s="961"/>
      <c r="D1034" s="961"/>
      <c r="E1034" s="961"/>
      <c r="F1034" s="961"/>
      <c r="G1034" s="961"/>
      <c r="H1034" s="961"/>
      <c r="I1034" s="961"/>
    </row>
    <row r="1035" spans="1:9">
      <c r="A1035" s="961"/>
      <c r="B1035" s="961"/>
      <c r="C1035" s="961"/>
      <c r="D1035" s="961"/>
      <c r="E1035" s="961"/>
      <c r="F1035" s="961"/>
      <c r="G1035" s="961"/>
      <c r="H1035" s="961"/>
      <c r="I1035" s="961"/>
    </row>
    <row r="1036" spans="1:9">
      <c r="A1036" s="961"/>
      <c r="B1036" s="961"/>
      <c r="C1036" s="961"/>
      <c r="D1036" s="961"/>
      <c r="E1036" s="961"/>
      <c r="F1036" s="961"/>
      <c r="G1036" s="961"/>
      <c r="H1036" s="961"/>
      <c r="I1036" s="961"/>
    </row>
    <row r="1037" spans="1:9">
      <c r="A1037" s="961"/>
      <c r="B1037" s="961"/>
      <c r="C1037" s="961"/>
      <c r="D1037" s="961"/>
      <c r="E1037" s="961"/>
      <c r="F1037" s="961"/>
      <c r="G1037" s="961"/>
      <c r="H1037" s="961"/>
      <c r="I1037" s="961"/>
    </row>
    <row r="1038" spans="1:9">
      <c r="A1038" s="961"/>
      <c r="B1038" s="961"/>
      <c r="C1038" s="961"/>
      <c r="D1038" s="961"/>
      <c r="E1038" s="961"/>
      <c r="F1038" s="961"/>
      <c r="G1038" s="961"/>
      <c r="H1038" s="961"/>
      <c r="I1038" s="961"/>
    </row>
    <row r="1039" spans="1:9">
      <c r="A1039" s="961"/>
      <c r="B1039" s="961"/>
      <c r="C1039" s="961"/>
      <c r="D1039" s="961"/>
      <c r="E1039" s="961"/>
      <c r="F1039" s="961"/>
      <c r="G1039" s="961"/>
      <c r="H1039" s="961"/>
      <c r="I1039" s="961"/>
    </row>
    <row r="1040" spans="1:9">
      <c r="A1040" s="961"/>
      <c r="B1040" s="961"/>
      <c r="C1040" s="961"/>
      <c r="D1040" s="961"/>
      <c r="E1040" s="961"/>
      <c r="F1040" s="961"/>
      <c r="G1040" s="961"/>
      <c r="H1040" s="961"/>
      <c r="I1040" s="961"/>
    </row>
    <row r="1041" spans="1:9">
      <c r="A1041" s="961"/>
      <c r="B1041" s="961"/>
      <c r="C1041" s="961"/>
      <c r="D1041" s="961"/>
      <c r="E1041" s="961"/>
      <c r="F1041" s="961"/>
      <c r="G1041" s="961"/>
      <c r="H1041" s="961"/>
      <c r="I1041" s="961"/>
    </row>
    <row r="1042" spans="1:9">
      <c r="A1042" s="961"/>
      <c r="B1042" s="961"/>
      <c r="C1042" s="961"/>
      <c r="D1042" s="961"/>
      <c r="E1042" s="961"/>
      <c r="F1042" s="961"/>
      <c r="G1042" s="961"/>
      <c r="H1042" s="961"/>
      <c r="I1042" s="961"/>
    </row>
    <row r="1043" spans="1:9">
      <c r="A1043" s="961"/>
      <c r="B1043" s="961"/>
      <c r="C1043" s="961"/>
      <c r="D1043" s="961"/>
      <c r="E1043" s="961"/>
      <c r="F1043" s="961"/>
      <c r="G1043" s="961"/>
      <c r="H1043" s="961"/>
      <c r="I1043" s="961"/>
    </row>
    <row r="1044" spans="1:9">
      <c r="A1044" s="961"/>
      <c r="B1044" s="961"/>
      <c r="C1044" s="961"/>
      <c r="D1044" s="961"/>
      <c r="E1044" s="961"/>
      <c r="F1044" s="961"/>
      <c r="G1044" s="961"/>
      <c r="H1044" s="961"/>
      <c r="I1044" s="961"/>
    </row>
    <row r="1045" spans="1:9">
      <c r="A1045" s="961"/>
      <c r="B1045" s="961"/>
      <c r="C1045" s="961"/>
      <c r="D1045" s="961"/>
      <c r="E1045" s="961"/>
      <c r="F1045" s="961"/>
      <c r="G1045" s="961"/>
      <c r="H1045" s="961"/>
      <c r="I1045" s="961"/>
    </row>
    <row r="1046" spans="1:9">
      <c r="A1046" s="961"/>
      <c r="B1046" s="961"/>
      <c r="C1046" s="961"/>
      <c r="D1046" s="961"/>
      <c r="E1046" s="961"/>
      <c r="F1046" s="961"/>
      <c r="G1046" s="961"/>
      <c r="H1046" s="961"/>
      <c r="I1046" s="961"/>
    </row>
    <row r="1047" spans="1:9">
      <c r="A1047" s="961"/>
      <c r="B1047" s="961"/>
      <c r="C1047" s="961"/>
      <c r="D1047" s="961"/>
      <c r="E1047" s="961"/>
      <c r="F1047" s="961"/>
      <c r="G1047" s="961"/>
      <c r="H1047" s="961"/>
      <c r="I1047" s="961"/>
    </row>
    <row r="1048" spans="1:9">
      <c r="A1048" s="961"/>
      <c r="B1048" s="961"/>
      <c r="C1048" s="961"/>
      <c r="D1048" s="961"/>
      <c r="E1048" s="961"/>
      <c r="F1048" s="961"/>
      <c r="G1048" s="961"/>
      <c r="H1048" s="961"/>
      <c r="I1048" s="961"/>
    </row>
    <row r="1049" spans="1:9">
      <c r="A1049" s="961"/>
      <c r="B1049" s="961"/>
      <c r="C1049" s="961"/>
      <c r="D1049" s="961"/>
      <c r="E1049" s="961"/>
      <c r="F1049" s="961"/>
      <c r="G1049" s="961"/>
      <c r="H1049" s="961"/>
      <c r="I1049" s="961"/>
    </row>
    <row r="1050" spans="1:9">
      <c r="A1050" s="961"/>
      <c r="B1050" s="961"/>
      <c r="C1050" s="961"/>
      <c r="D1050" s="961"/>
      <c r="E1050" s="961"/>
      <c r="F1050" s="961"/>
      <c r="G1050" s="961"/>
      <c r="H1050" s="961"/>
      <c r="I1050" s="961"/>
    </row>
    <row r="1051" spans="1:9">
      <c r="A1051" s="961"/>
      <c r="B1051" s="961"/>
      <c r="C1051" s="961"/>
      <c r="D1051" s="961"/>
      <c r="E1051" s="961"/>
      <c r="F1051" s="961"/>
      <c r="G1051" s="961"/>
      <c r="H1051" s="961"/>
      <c r="I1051" s="961"/>
    </row>
    <row r="1052" spans="1:9">
      <c r="A1052" s="961"/>
      <c r="B1052" s="961"/>
      <c r="C1052" s="961"/>
      <c r="D1052" s="961"/>
      <c r="E1052" s="961"/>
      <c r="F1052" s="961"/>
      <c r="G1052" s="961"/>
      <c r="H1052" s="961"/>
      <c r="I1052" s="961"/>
    </row>
    <row r="1053" spans="1:9">
      <c r="A1053" s="961"/>
      <c r="B1053" s="961"/>
      <c r="C1053" s="961"/>
      <c r="D1053" s="961"/>
      <c r="E1053" s="961"/>
      <c r="F1053" s="961"/>
      <c r="G1053" s="961"/>
      <c r="H1053" s="961"/>
      <c r="I1053" s="961"/>
    </row>
    <row r="1054" spans="1:9">
      <c r="A1054" s="961"/>
      <c r="B1054" s="961"/>
      <c r="C1054" s="961"/>
      <c r="D1054" s="961"/>
      <c r="E1054" s="961"/>
      <c r="F1054" s="961"/>
      <c r="G1054" s="961"/>
      <c r="H1054" s="961"/>
      <c r="I1054" s="961"/>
    </row>
    <row r="1055" spans="1:9">
      <c r="A1055" s="961"/>
      <c r="B1055" s="961"/>
      <c r="C1055" s="961"/>
      <c r="D1055" s="961"/>
      <c r="E1055" s="961"/>
      <c r="F1055" s="961"/>
      <c r="G1055" s="961"/>
      <c r="H1055" s="961"/>
      <c r="I1055" s="961"/>
    </row>
    <row r="1056" spans="1:9">
      <c r="A1056" s="961"/>
      <c r="B1056" s="961"/>
      <c r="C1056" s="961"/>
      <c r="D1056" s="961"/>
      <c r="E1056" s="961"/>
      <c r="F1056" s="961"/>
      <c r="G1056" s="961"/>
      <c r="H1056" s="961"/>
      <c r="I1056" s="961"/>
    </row>
    <row r="1057" spans="1:9">
      <c r="A1057" s="961"/>
      <c r="B1057" s="961"/>
      <c r="C1057" s="961"/>
      <c r="D1057" s="961"/>
      <c r="E1057" s="961"/>
      <c r="F1057" s="961"/>
      <c r="G1057" s="961"/>
      <c r="H1057" s="961"/>
      <c r="I1057" s="961"/>
    </row>
    <row r="1058" spans="1:9">
      <c r="A1058" s="961"/>
      <c r="B1058" s="961"/>
      <c r="C1058" s="961"/>
      <c r="D1058" s="961"/>
      <c r="E1058" s="961"/>
      <c r="F1058" s="961"/>
      <c r="G1058" s="961"/>
      <c r="H1058" s="961"/>
      <c r="I1058" s="961"/>
    </row>
    <row r="1059" spans="1:9">
      <c r="A1059" s="961"/>
      <c r="B1059" s="961"/>
      <c r="C1059" s="961"/>
      <c r="D1059" s="961"/>
      <c r="E1059" s="961"/>
      <c r="F1059" s="961"/>
      <c r="G1059" s="961"/>
      <c r="H1059" s="961"/>
      <c r="I1059" s="961"/>
    </row>
    <row r="1060" spans="1:9">
      <c r="A1060" s="961"/>
      <c r="B1060" s="961"/>
      <c r="C1060" s="961"/>
      <c r="D1060" s="961"/>
      <c r="E1060" s="961"/>
      <c r="F1060" s="961"/>
      <c r="G1060" s="961"/>
      <c r="H1060" s="961"/>
      <c r="I1060" s="961"/>
    </row>
    <row r="1061" spans="1:9">
      <c r="A1061" s="961"/>
      <c r="B1061" s="961"/>
      <c r="C1061" s="961"/>
      <c r="D1061" s="961"/>
      <c r="E1061" s="961"/>
      <c r="F1061" s="961"/>
      <c r="G1061" s="961"/>
      <c r="H1061" s="961"/>
      <c r="I1061" s="961"/>
    </row>
    <row r="1062" spans="1:9">
      <c r="A1062" s="961"/>
      <c r="B1062" s="961"/>
      <c r="C1062" s="961"/>
      <c r="D1062" s="961"/>
      <c r="E1062" s="961"/>
      <c r="F1062" s="961"/>
      <c r="G1062" s="961"/>
      <c r="H1062" s="961"/>
      <c r="I1062" s="961"/>
    </row>
    <row r="1063" spans="1:9">
      <c r="A1063" s="961"/>
      <c r="B1063" s="961"/>
      <c r="C1063" s="961"/>
      <c r="D1063" s="961"/>
      <c r="E1063" s="961"/>
      <c r="F1063" s="961"/>
      <c r="G1063" s="961"/>
      <c r="H1063" s="961"/>
      <c r="I1063" s="961"/>
    </row>
    <row r="1064" spans="1:9">
      <c r="A1064" s="961"/>
      <c r="B1064" s="961"/>
      <c r="C1064" s="961"/>
      <c r="D1064" s="961"/>
      <c r="E1064" s="961"/>
      <c r="F1064" s="961"/>
      <c r="G1064" s="961"/>
      <c r="H1064" s="961"/>
      <c r="I1064" s="961"/>
    </row>
    <row r="1065" spans="1:9">
      <c r="A1065" s="961"/>
      <c r="B1065" s="961"/>
      <c r="C1065" s="961"/>
      <c r="D1065" s="961"/>
      <c r="E1065" s="961"/>
      <c r="F1065" s="961"/>
      <c r="G1065" s="961"/>
      <c r="H1065" s="961"/>
      <c r="I1065" s="961"/>
    </row>
    <row r="1066" spans="1:9">
      <c r="A1066" s="961"/>
      <c r="B1066" s="961"/>
      <c r="C1066" s="961"/>
      <c r="D1066" s="961"/>
      <c r="E1066" s="961"/>
      <c r="F1066" s="961"/>
      <c r="G1066" s="961"/>
      <c r="H1066" s="961"/>
      <c r="I1066" s="961"/>
    </row>
    <row r="1067" spans="1:9">
      <c r="A1067" s="961"/>
      <c r="B1067" s="961"/>
      <c r="C1067" s="961"/>
      <c r="D1067" s="961"/>
      <c r="E1067" s="961"/>
      <c r="F1067" s="961"/>
      <c r="G1067" s="961"/>
      <c r="H1067" s="961"/>
      <c r="I1067" s="961"/>
    </row>
    <row r="1068" spans="1:9">
      <c r="A1068" s="961"/>
      <c r="B1068" s="961"/>
      <c r="C1068" s="961"/>
      <c r="D1068" s="961"/>
      <c r="E1068" s="961"/>
      <c r="F1068" s="961"/>
      <c r="G1068" s="961"/>
      <c r="H1068" s="961"/>
      <c r="I1068" s="961"/>
    </row>
    <row r="1069" spans="1:9">
      <c r="A1069" s="961"/>
      <c r="B1069" s="961"/>
      <c r="C1069" s="961"/>
      <c r="D1069" s="961"/>
      <c r="E1069" s="961"/>
      <c r="F1069" s="961"/>
      <c r="G1069" s="961"/>
      <c r="H1069" s="961"/>
      <c r="I1069" s="961"/>
    </row>
    <row r="1070" spans="1:9">
      <c r="A1070" s="961"/>
      <c r="B1070" s="961"/>
      <c r="C1070" s="961"/>
      <c r="D1070" s="961"/>
      <c r="E1070" s="961"/>
      <c r="F1070" s="961"/>
      <c r="G1070" s="961"/>
      <c r="H1070" s="961"/>
      <c r="I1070" s="961"/>
    </row>
    <row r="1071" spans="1:9">
      <c r="A1071" s="961"/>
      <c r="B1071" s="961"/>
      <c r="C1071" s="961"/>
      <c r="D1071" s="961"/>
      <c r="E1071" s="961"/>
      <c r="F1071" s="961"/>
      <c r="G1071" s="961"/>
      <c r="H1071" s="961"/>
      <c r="I1071" s="961"/>
    </row>
    <row r="1072" spans="1:9">
      <c r="A1072" s="961"/>
      <c r="B1072" s="961"/>
      <c r="C1072" s="961"/>
      <c r="D1072" s="961"/>
      <c r="E1072" s="961"/>
      <c r="F1072" s="961"/>
      <c r="G1072" s="961"/>
      <c r="H1072" s="961"/>
      <c r="I1072" s="961"/>
    </row>
    <row r="1073" spans="1:9">
      <c r="A1073" s="961"/>
      <c r="B1073" s="961"/>
      <c r="C1073" s="961"/>
      <c r="D1073" s="961"/>
      <c r="E1073" s="961"/>
      <c r="F1073" s="961"/>
      <c r="G1073" s="961"/>
      <c r="H1073" s="961"/>
      <c r="I1073" s="961"/>
    </row>
    <row r="1074" spans="1:9">
      <c r="A1074" s="961"/>
      <c r="B1074" s="961"/>
      <c r="C1074" s="961"/>
      <c r="D1074" s="961"/>
      <c r="E1074" s="961"/>
      <c r="F1074" s="961"/>
      <c r="G1074" s="961"/>
      <c r="H1074" s="961"/>
      <c r="I1074" s="961"/>
    </row>
    <row r="1075" spans="1:9">
      <c r="A1075" s="961"/>
      <c r="B1075" s="961"/>
      <c r="C1075" s="961"/>
      <c r="D1075" s="961"/>
      <c r="E1075" s="961"/>
      <c r="F1075" s="961"/>
      <c r="G1075" s="961"/>
      <c r="H1075" s="961"/>
      <c r="I1075" s="961"/>
    </row>
    <row r="1076" spans="1:9">
      <c r="A1076" s="961"/>
      <c r="B1076" s="961"/>
      <c r="C1076" s="961"/>
      <c r="D1076" s="961"/>
      <c r="E1076" s="961"/>
      <c r="F1076" s="961"/>
      <c r="G1076" s="961"/>
      <c r="H1076" s="961"/>
      <c r="I1076" s="961"/>
    </row>
    <row r="1077" spans="1:9">
      <c r="A1077" s="961"/>
      <c r="B1077" s="961"/>
      <c r="C1077" s="961"/>
      <c r="D1077" s="961"/>
      <c r="E1077" s="961"/>
      <c r="F1077" s="961"/>
      <c r="G1077" s="961"/>
      <c r="H1077" s="961"/>
      <c r="I1077" s="961"/>
    </row>
    <row r="1078" spans="1:9">
      <c r="A1078" s="961"/>
      <c r="B1078" s="961"/>
      <c r="C1078" s="961"/>
      <c r="D1078" s="961"/>
      <c r="E1078" s="961"/>
      <c r="F1078" s="961"/>
      <c r="G1078" s="961"/>
      <c r="H1078" s="961"/>
      <c r="I1078" s="961"/>
    </row>
    <row r="1079" spans="1:9">
      <c r="A1079" s="961"/>
      <c r="B1079" s="961"/>
      <c r="C1079" s="961"/>
      <c r="D1079" s="961"/>
      <c r="E1079" s="961"/>
      <c r="F1079" s="961"/>
      <c r="G1079" s="961"/>
      <c r="H1079" s="961"/>
      <c r="I1079" s="961"/>
    </row>
    <row r="1080" spans="1:9">
      <c r="A1080" s="961"/>
      <c r="B1080" s="961"/>
      <c r="C1080" s="961"/>
      <c r="D1080" s="961"/>
      <c r="E1080" s="961"/>
      <c r="F1080" s="961"/>
      <c r="G1080" s="961"/>
      <c r="H1080" s="961"/>
      <c r="I1080" s="961"/>
    </row>
    <row r="1081" spans="1:9">
      <c r="A1081" s="961"/>
      <c r="B1081" s="961"/>
      <c r="C1081" s="961"/>
      <c r="D1081" s="961"/>
      <c r="E1081" s="961"/>
      <c r="F1081" s="961"/>
      <c r="G1081" s="961"/>
      <c r="H1081" s="961"/>
      <c r="I1081" s="961"/>
    </row>
    <row r="1082" spans="1:9">
      <c r="A1082" s="961"/>
      <c r="B1082" s="961"/>
      <c r="C1082" s="961"/>
      <c r="D1082" s="961"/>
      <c r="E1082" s="961"/>
      <c r="F1082" s="961"/>
      <c r="G1082" s="961"/>
      <c r="H1082" s="961"/>
      <c r="I1082" s="961"/>
    </row>
    <row r="1083" spans="1:9">
      <c r="A1083" s="961"/>
      <c r="B1083" s="961"/>
      <c r="C1083" s="961"/>
      <c r="D1083" s="961"/>
      <c r="E1083" s="961"/>
      <c r="F1083" s="961"/>
      <c r="G1083" s="961"/>
      <c r="H1083" s="961"/>
      <c r="I1083" s="961"/>
    </row>
    <row r="1084" spans="1:9">
      <c r="A1084" s="961"/>
      <c r="B1084" s="961"/>
      <c r="C1084" s="961"/>
      <c r="D1084" s="961"/>
      <c r="E1084" s="961"/>
      <c r="F1084" s="961"/>
      <c r="G1084" s="961"/>
      <c r="H1084" s="961"/>
      <c r="I1084" s="961"/>
    </row>
    <row r="1085" spans="1:9">
      <c r="A1085" s="961"/>
      <c r="B1085" s="961"/>
      <c r="C1085" s="961"/>
      <c r="D1085" s="961"/>
      <c r="E1085" s="961"/>
      <c r="F1085" s="961"/>
      <c r="G1085" s="961"/>
      <c r="H1085" s="961"/>
      <c r="I1085" s="961"/>
    </row>
    <row r="1086" spans="1:9">
      <c r="A1086" s="961"/>
      <c r="B1086" s="961"/>
      <c r="C1086" s="961"/>
      <c r="D1086" s="961"/>
      <c r="E1086" s="961"/>
      <c r="F1086" s="961"/>
      <c r="G1086" s="961"/>
      <c r="H1086" s="961"/>
      <c r="I1086" s="961"/>
    </row>
    <row r="1087" spans="1:9">
      <c r="A1087" s="961"/>
      <c r="B1087" s="961"/>
      <c r="C1087" s="961"/>
      <c r="D1087" s="961"/>
      <c r="E1087" s="961"/>
      <c r="F1087" s="961"/>
      <c r="G1087" s="961"/>
      <c r="H1087" s="961"/>
      <c r="I1087" s="961"/>
    </row>
    <row r="1088" spans="1:9">
      <c r="A1088" s="961"/>
      <c r="B1088" s="961"/>
      <c r="C1088" s="961"/>
      <c r="D1088" s="961"/>
      <c r="E1088" s="961"/>
      <c r="F1088" s="961"/>
      <c r="G1088" s="961"/>
      <c r="H1088" s="961"/>
      <c r="I1088" s="961"/>
    </row>
    <row r="1089" spans="1:9">
      <c r="A1089" s="961"/>
      <c r="B1089" s="961"/>
      <c r="C1089" s="961"/>
      <c r="D1089" s="961"/>
      <c r="E1089" s="961"/>
      <c r="F1089" s="961"/>
      <c r="G1089" s="961"/>
      <c r="H1089" s="961"/>
      <c r="I1089" s="961"/>
    </row>
    <row r="1090" spans="1:9">
      <c r="A1090" s="961"/>
      <c r="B1090" s="961"/>
      <c r="C1090" s="961"/>
      <c r="D1090" s="961"/>
      <c r="E1090" s="961"/>
      <c r="F1090" s="961"/>
      <c r="G1090" s="961"/>
      <c r="H1090" s="961"/>
      <c r="I1090" s="961"/>
    </row>
    <row r="1091" spans="1:9">
      <c r="A1091" s="961"/>
      <c r="B1091" s="961"/>
      <c r="C1091" s="961"/>
      <c r="D1091" s="961"/>
      <c r="E1091" s="961"/>
      <c r="F1091" s="961"/>
      <c r="G1091" s="961"/>
      <c r="H1091" s="961"/>
      <c r="I1091" s="961"/>
    </row>
    <row r="1092" spans="1:9">
      <c r="A1092" s="961"/>
      <c r="B1092" s="961"/>
      <c r="C1092" s="961"/>
      <c r="D1092" s="961"/>
      <c r="E1092" s="961"/>
      <c r="F1092" s="961"/>
      <c r="G1092" s="961"/>
      <c r="H1092" s="961"/>
      <c r="I1092" s="961"/>
    </row>
    <row r="1093" spans="1:9">
      <c r="A1093" s="961"/>
      <c r="B1093" s="961"/>
      <c r="C1093" s="961"/>
      <c r="D1093" s="961"/>
      <c r="E1093" s="961"/>
      <c r="F1093" s="961"/>
      <c r="G1093" s="961"/>
      <c r="H1093" s="961"/>
      <c r="I1093" s="961"/>
    </row>
    <row r="1094" spans="1:9">
      <c r="A1094" s="961"/>
      <c r="B1094" s="961"/>
      <c r="C1094" s="961"/>
      <c r="D1094" s="961"/>
      <c r="E1094" s="961"/>
      <c r="F1094" s="961"/>
      <c r="G1094" s="961"/>
      <c r="H1094" s="961"/>
      <c r="I1094" s="961"/>
    </row>
    <row r="1095" spans="1:9">
      <c r="A1095" s="961"/>
      <c r="B1095" s="961"/>
      <c r="C1095" s="961"/>
      <c r="D1095" s="961"/>
      <c r="E1095" s="961"/>
      <c r="F1095" s="961"/>
      <c r="G1095" s="961"/>
      <c r="H1095" s="961"/>
      <c r="I1095" s="961"/>
    </row>
    <row r="1096" spans="1:9">
      <c r="A1096" s="961"/>
      <c r="B1096" s="961"/>
      <c r="C1096" s="961"/>
      <c r="D1096" s="961"/>
      <c r="E1096" s="961"/>
      <c r="F1096" s="961"/>
      <c r="G1096" s="961"/>
      <c r="H1096" s="961"/>
      <c r="I1096" s="961"/>
    </row>
    <row r="1097" spans="1:9">
      <c r="A1097" s="961"/>
      <c r="B1097" s="961"/>
      <c r="C1097" s="961"/>
      <c r="D1097" s="961"/>
      <c r="E1097" s="961"/>
      <c r="F1097" s="961"/>
      <c r="G1097" s="961"/>
      <c r="H1097" s="961"/>
      <c r="I1097" s="961"/>
    </row>
    <row r="1098" spans="1:9">
      <c r="A1098" s="961"/>
      <c r="B1098" s="961"/>
      <c r="C1098" s="961"/>
      <c r="D1098" s="961"/>
      <c r="E1098" s="961"/>
      <c r="F1098" s="961"/>
      <c r="G1098" s="961"/>
      <c r="H1098" s="961"/>
      <c r="I1098" s="961"/>
    </row>
    <row r="1099" spans="1:9">
      <c r="A1099" s="961"/>
      <c r="B1099" s="961"/>
      <c r="C1099" s="961"/>
      <c r="D1099" s="961"/>
      <c r="E1099" s="961"/>
      <c r="F1099" s="961"/>
      <c r="G1099" s="961"/>
      <c r="H1099" s="961"/>
      <c r="I1099" s="961"/>
    </row>
    <row r="1100" spans="1:9">
      <c r="A1100" s="961"/>
      <c r="B1100" s="961"/>
      <c r="C1100" s="961"/>
      <c r="D1100" s="961"/>
      <c r="E1100" s="961"/>
      <c r="F1100" s="961"/>
      <c r="G1100" s="961"/>
      <c r="H1100" s="961"/>
      <c r="I1100" s="961"/>
    </row>
    <row r="1101" spans="1:9">
      <c r="A1101" s="961"/>
      <c r="B1101" s="961"/>
      <c r="C1101" s="961"/>
      <c r="D1101" s="961"/>
      <c r="E1101" s="961"/>
      <c r="F1101" s="961"/>
      <c r="G1101" s="961"/>
      <c r="H1101" s="961"/>
      <c r="I1101" s="961"/>
    </row>
    <row r="1102" spans="1:9">
      <c r="A1102" s="961"/>
      <c r="B1102" s="961"/>
      <c r="C1102" s="961"/>
      <c r="D1102" s="961"/>
      <c r="E1102" s="961"/>
      <c r="F1102" s="961"/>
      <c r="G1102" s="961"/>
      <c r="H1102" s="961"/>
      <c r="I1102" s="961"/>
    </row>
    <row r="1103" spans="1:9">
      <c r="A1103" s="961"/>
      <c r="B1103" s="961"/>
      <c r="C1103" s="961"/>
      <c r="D1103" s="961"/>
      <c r="E1103" s="961"/>
      <c r="F1103" s="961"/>
      <c r="G1103" s="961"/>
      <c r="H1103" s="961"/>
      <c r="I1103" s="961"/>
    </row>
    <row r="1104" spans="1:9">
      <c r="A1104" s="961"/>
      <c r="B1104" s="961"/>
      <c r="C1104" s="961"/>
      <c r="D1104" s="961"/>
      <c r="E1104" s="961"/>
      <c r="F1104" s="961"/>
      <c r="G1104" s="961"/>
      <c r="H1104" s="961"/>
      <c r="I1104" s="961"/>
    </row>
    <row r="1105" spans="1:9">
      <c r="A1105" s="961"/>
      <c r="B1105" s="961"/>
      <c r="C1105" s="961"/>
      <c r="D1105" s="961"/>
      <c r="E1105" s="961"/>
      <c r="F1105" s="961"/>
      <c r="G1105" s="961"/>
      <c r="H1105" s="961"/>
      <c r="I1105" s="961"/>
    </row>
    <row r="1106" spans="1:9">
      <c r="A1106" s="961"/>
      <c r="B1106" s="961"/>
      <c r="C1106" s="961"/>
      <c r="D1106" s="961"/>
      <c r="E1106" s="961"/>
      <c r="F1106" s="961"/>
      <c r="G1106" s="961"/>
      <c r="H1106" s="961"/>
      <c r="I1106" s="961"/>
    </row>
    <row r="1107" spans="1:9">
      <c r="A1107" s="961"/>
      <c r="B1107" s="961"/>
      <c r="C1107" s="961"/>
      <c r="D1107" s="961"/>
      <c r="E1107" s="961"/>
      <c r="F1107" s="961"/>
      <c r="G1107" s="961"/>
      <c r="H1107" s="961"/>
      <c r="I1107" s="961"/>
    </row>
    <row r="1108" spans="1:9">
      <c r="A1108" s="961"/>
      <c r="B1108" s="961"/>
      <c r="C1108" s="961"/>
      <c r="D1108" s="961"/>
      <c r="E1108" s="961"/>
      <c r="F1108" s="961"/>
      <c r="G1108" s="961"/>
      <c r="H1108" s="961"/>
      <c r="I1108" s="961"/>
    </row>
    <row r="1109" spans="1:9">
      <c r="A1109" s="961"/>
      <c r="B1109" s="961"/>
      <c r="C1109" s="961"/>
      <c r="D1109" s="961"/>
      <c r="E1109" s="961"/>
      <c r="F1109" s="961"/>
      <c r="G1109" s="961"/>
      <c r="H1109" s="961"/>
      <c r="I1109" s="961"/>
    </row>
    <row r="1110" spans="1:9">
      <c r="A1110" s="961"/>
      <c r="B1110" s="961"/>
      <c r="C1110" s="961"/>
      <c r="D1110" s="961"/>
      <c r="E1110" s="961"/>
      <c r="F1110" s="961"/>
      <c r="G1110" s="961"/>
      <c r="H1110" s="961"/>
      <c r="I1110" s="961"/>
    </row>
    <row r="1111" spans="1:9">
      <c r="A1111" s="961"/>
      <c r="B1111" s="961"/>
      <c r="C1111" s="961"/>
      <c r="D1111" s="961"/>
      <c r="E1111" s="961"/>
      <c r="F1111" s="961"/>
      <c r="G1111" s="961"/>
      <c r="H1111" s="961"/>
      <c r="I1111" s="961"/>
    </row>
    <row r="1112" spans="1:9">
      <c r="A1112" s="961"/>
      <c r="B1112" s="961"/>
      <c r="C1112" s="961"/>
      <c r="D1112" s="961"/>
      <c r="E1112" s="961"/>
      <c r="F1112" s="961"/>
      <c r="G1112" s="961"/>
      <c r="H1112" s="961"/>
      <c r="I1112" s="961"/>
    </row>
    <row r="1113" spans="1:9">
      <c r="A1113" s="961"/>
      <c r="B1113" s="961"/>
      <c r="C1113" s="961"/>
      <c r="D1113" s="961"/>
      <c r="E1113" s="961"/>
      <c r="F1113" s="961"/>
      <c r="G1113" s="961"/>
      <c r="H1113" s="961"/>
      <c r="I1113" s="961"/>
    </row>
    <row r="1114" spans="1:9">
      <c r="A1114" s="961"/>
      <c r="B1114" s="961"/>
      <c r="C1114" s="961"/>
      <c r="D1114" s="961"/>
      <c r="E1114" s="961"/>
      <c r="F1114" s="961"/>
      <c r="G1114" s="961"/>
      <c r="H1114" s="961"/>
      <c r="I1114" s="961"/>
    </row>
    <row r="1115" spans="1:9">
      <c r="A1115" s="961"/>
      <c r="B1115" s="961"/>
      <c r="C1115" s="961"/>
      <c r="D1115" s="961"/>
      <c r="E1115" s="961"/>
      <c r="F1115" s="961"/>
      <c r="G1115" s="961"/>
      <c r="H1115" s="961"/>
      <c r="I1115" s="961"/>
    </row>
    <row r="1116" spans="1:9">
      <c r="A1116" s="961"/>
      <c r="B1116" s="961"/>
      <c r="C1116" s="961"/>
      <c r="D1116" s="961"/>
      <c r="E1116" s="961"/>
      <c r="F1116" s="961"/>
      <c r="G1116" s="961"/>
      <c r="H1116" s="961"/>
      <c r="I1116" s="961"/>
    </row>
    <row r="1117" spans="1:9">
      <c r="A1117" s="961"/>
      <c r="B1117" s="961"/>
      <c r="C1117" s="961"/>
      <c r="D1117" s="961"/>
      <c r="E1117" s="961"/>
      <c r="F1117" s="961"/>
      <c r="G1117" s="961"/>
      <c r="H1117" s="961"/>
      <c r="I1117" s="961"/>
    </row>
    <row r="1118" spans="1:9">
      <c r="A1118" s="961"/>
      <c r="B1118" s="961"/>
      <c r="C1118" s="961"/>
      <c r="D1118" s="961"/>
      <c r="E1118" s="961"/>
      <c r="F1118" s="961"/>
      <c r="G1118" s="961"/>
      <c r="H1118" s="961"/>
      <c r="I1118" s="961"/>
    </row>
    <row r="1119" spans="1:9">
      <c r="A1119" s="961"/>
      <c r="B1119" s="961"/>
      <c r="C1119" s="961"/>
      <c r="D1119" s="961"/>
      <c r="E1119" s="961"/>
      <c r="F1119" s="961"/>
      <c r="G1119" s="961"/>
      <c r="H1119" s="961"/>
      <c r="I1119" s="961"/>
    </row>
    <row r="1120" spans="1:9">
      <c r="A1120" s="961"/>
      <c r="B1120" s="961"/>
      <c r="C1120" s="961"/>
      <c r="D1120" s="961"/>
      <c r="E1120" s="961"/>
      <c r="F1120" s="961"/>
      <c r="G1120" s="961"/>
      <c r="H1120" s="961"/>
      <c r="I1120" s="961"/>
    </row>
    <row r="1121" spans="1:9">
      <c r="A1121" s="961"/>
      <c r="B1121" s="961"/>
      <c r="C1121" s="961"/>
      <c r="D1121" s="961"/>
      <c r="E1121" s="961"/>
      <c r="F1121" s="961"/>
      <c r="G1121" s="961"/>
      <c r="H1121" s="961"/>
      <c r="I1121" s="961"/>
    </row>
    <row r="1122" spans="1:9">
      <c r="A1122" s="961"/>
      <c r="B1122" s="961"/>
      <c r="C1122" s="961"/>
      <c r="D1122" s="961"/>
      <c r="E1122" s="961"/>
      <c r="F1122" s="961"/>
      <c r="G1122" s="961"/>
      <c r="H1122" s="961"/>
      <c r="I1122" s="961"/>
    </row>
    <row r="1123" spans="1:9">
      <c r="A1123" s="961"/>
      <c r="B1123" s="961"/>
      <c r="C1123" s="961"/>
      <c r="D1123" s="961"/>
      <c r="E1123" s="961"/>
      <c r="F1123" s="961"/>
      <c r="G1123" s="961"/>
      <c r="H1123" s="961"/>
      <c r="I1123" s="961"/>
    </row>
    <row r="1124" spans="1:9">
      <c r="A1124" s="961"/>
      <c r="B1124" s="961"/>
      <c r="C1124" s="961"/>
      <c r="D1124" s="961"/>
      <c r="E1124" s="961"/>
      <c r="F1124" s="961"/>
      <c r="G1124" s="961"/>
      <c r="H1124" s="961"/>
      <c r="I1124" s="961"/>
    </row>
    <row r="1125" spans="1:9">
      <c r="A1125" s="961"/>
      <c r="B1125" s="961"/>
      <c r="C1125" s="961"/>
      <c r="D1125" s="961"/>
      <c r="E1125" s="961"/>
      <c r="F1125" s="961"/>
      <c r="G1125" s="961"/>
      <c r="H1125" s="961"/>
      <c r="I1125" s="961"/>
    </row>
    <row r="1126" spans="1:9">
      <c r="A1126" s="961"/>
      <c r="B1126" s="961"/>
      <c r="C1126" s="961"/>
      <c r="D1126" s="961"/>
      <c r="E1126" s="961"/>
      <c r="F1126" s="961"/>
      <c r="G1126" s="961"/>
      <c r="H1126" s="961"/>
      <c r="I1126" s="961"/>
    </row>
    <row r="1127" spans="1:9">
      <c r="A1127" s="961"/>
      <c r="B1127" s="961"/>
      <c r="C1127" s="961"/>
      <c r="D1127" s="961"/>
      <c r="E1127" s="961"/>
      <c r="F1127" s="961"/>
      <c r="G1127" s="961"/>
      <c r="H1127" s="961"/>
      <c r="I1127" s="961"/>
    </row>
    <row r="1128" spans="1:9">
      <c r="A1128" s="961"/>
      <c r="B1128" s="961"/>
      <c r="C1128" s="961"/>
      <c r="D1128" s="961"/>
      <c r="E1128" s="961"/>
      <c r="F1128" s="961"/>
      <c r="G1128" s="961"/>
      <c r="H1128" s="961"/>
      <c r="I1128" s="961"/>
    </row>
    <row r="1129" spans="1:9">
      <c r="A1129" s="961"/>
      <c r="B1129" s="961"/>
      <c r="C1129" s="961"/>
      <c r="D1129" s="961"/>
      <c r="E1129" s="961"/>
      <c r="F1129" s="961"/>
      <c r="G1129" s="961"/>
      <c r="H1129" s="961"/>
      <c r="I1129" s="961"/>
    </row>
    <row r="1130" spans="1:9">
      <c r="A1130" s="961"/>
      <c r="B1130" s="961"/>
      <c r="C1130" s="961"/>
      <c r="D1130" s="961"/>
      <c r="E1130" s="961"/>
      <c r="F1130" s="961"/>
      <c r="G1130" s="961"/>
      <c r="H1130" s="961"/>
      <c r="I1130" s="961"/>
    </row>
    <row r="1131" spans="1:9">
      <c r="A1131" s="961"/>
      <c r="B1131" s="961"/>
      <c r="C1131" s="961"/>
      <c r="D1131" s="961"/>
      <c r="E1131" s="961"/>
      <c r="F1131" s="961"/>
      <c r="G1131" s="961"/>
      <c r="H1131" s="961"/>
      <c r="I1131" s="961"/>
    </row>
    <row r="1132" spans="1:9">
      <c r="A1132" s="961"/>
      <c r="B1132" s="961"/>
      <c r="C1132" s="961"/>
      <c r="D1132" s="961"/>
      <c r="E1132" s="961"/>
      <c r="F1132" s="961"/>
      <c r="G1132" s="961"/>
      <c r="H1132" s="961"/>
      <c r="I1132" s="961"/>
    </row>
    <row r="1133" spans="1:9">
      <c r="A1133" s="961"/>
      <c r="B1133" s="961"/>
      <c r="C1133" s="961"/>
      <c r="D1133" s="961"/>
      <c r="E1133" s="961"/>
      <c r="F1133" s="961"/>
      <c r="G1133" s="961"/>
      <c r="H1133" s="961"/>
      <c r="I1133" s="961"/>
    </row>
    <row r="1134" spans="1:9">
      <c r="A1134" s="961"/>
      <c r="B1134" s="961"/>
      <c r="C1134" s="961"/>
      <c r="D1134" s="961"/>
      <c r="E1134" s="961"/>
      <c r="F1134" s="961"/>
      <c r="G1134" s="961"/>
      <c r="H1134" s="961"/>
      <c r="I1134" s="961"/>
    </row>
    <row r="1135" spans="1:9">
      <c r="A1135" s="961"/>
      <c r="B1135" s="961"/>
      <c r="C1135" s="961"/>
      <c r="D1135" s="961"/>
      <c r="E1135" s="961"/>
      <c r="F1135" s="961"/>
      <c r="G1135" s="961"/>
      <c r="H1135" s="961"/>
      <c r="I1135" s="961"/>
    </row>
    <row r="1136" spans="1:9">
      <c r="A1136" s="961"/>
      <c r="B1136" s="961"/>
      <c r="C1136" s="961"/>
      <c r="D1136" s="961"/>
      <c r="E1136" s="961"/>
      <c r="F1136" s="961"/>
      <c r="G1136" s="961"/>
      <c r="H1136" s="961"/>
      <c r="I1136" s="961"/>
    </row>
    <row r="1137" spans="1:9">
      <c r="A1137" s="961"/>
      <c r="B1137" s="961"/>
      <c r="C1137" s="961"/>
      <c r="D1137" s="961"/>
      <c r="E1137" s="961"/>
      <c r="F1137" s="961"/>
      <c r="G1137" s="961"/>
      <c r="H1137" s="961"/>
      <c r="I1137" s="961"/>
    </row>
    <row r="1138" spans="1:9">
      <c r="A1138" s="961"/>
      <c r="B1138" s="961"/>
      <c r="C1138" s="961"/>
      <c r="D1138" s="961"/>
      <c r="E1138" s="961"/>
      <c r="F1138" s="961"/>
      <c r="G1138" s="961"/>
      <c r="H1138" s="961"/>
      <c r="I1138" s="961"/>
    </row>
    <row r="1139" spans="1:9">
      <c r="A1139" s="961"/>
      <c r="B1139" s="961"/>
      <c r="C1139" s="961"/>
      <c r="D1139" s="961"/>
      <c r="E1139" s="961"/>
      <c r="F1139" s="961"/>
      <c r="G1139" s="961"/>
      <c r="H1139" s="961"/>
      <c r="I1139" s="961"/>
    </row>
    <row r="1140" spans="1:9">
      <c r="A1140" s="961"/>
      <c r="B1140" s="961"/>
      <c r="C1140" s="961"/>
      <c r="D1140" s="961"/>
      <c r="E1140" s="961"/>
      <c r="F1140" s="961"/>
      <c r="G1140" s="961"/>
      <c r="H1140" s="961"/>
      <c r="I1140" s="961"/>
    </row>
    <row r="1141" spans="1:9">
      <c r="A1141" s="961"/>
      <c r="B1141" s="961"/>
      <c r="C1141" s="961"/>
      <c r="D1141" s="961"/>
      <c r="E1141" s="961"/>
      <c r="F1141" s="961"/>
      <c r="G1141" s="961"/>
      <c r="H1141" s="961"/>
      <c r="I1141" s="961"/>
    </row>
    <row r="1142" spans="1:9">
      <c r="A1142" s="961"/>
      <c r="B1142" s="961"/>
      <c r="C1142" s="961"/>
      <c r="D1142" s="961"/>
      <c r="E1142" s="961"/>
      <c r="F1142" s="961"/>
      <c r="G1142" s="961"/>
      <c r="H1142" s="961"/>
      <c r="I1142" s="961"/>
    </row>
    <row r="1143" spans="1:9">
      <c r="A1143" s="961"/>
      <c r="B1143" s="961"/>
      <c r="C1143" s="961"/>
      <c r="D1143" s="961"/>
      <c r="E1143" s="961"/>
      <c r="F1143" s="961"/>
      <c r="G1143" s="961"/>
      <c r="H1143" s="961"/>
      <c r="I1143" s="961"/>
    </row>
    <row r="1144" spans="1:9">
      <c r="A1144" s="961"/>
      <c r="B1144" s="961"/>
      <c r="C1144" s="961"/>
      <c r="D1144" s="961"/>
      <c r="E1144" s="961"/>
      <c r="F1144" s="961"/>
      <c r="G1144" s="961"/>
      <c r="H1144" s="961"/>
      <c r="I1144" s="961"/>
    </row>
    <row r="1145" spans="1:9">
      <c r="A1145" s="961"/>
      <c r="B1145" s="961"/>
      <c r="C1145" s="961"/>
      <c r="D1145" s="961"/>
      <c r="E1145" s="961"/>
      <c r="F1145" s="961"/>
      <c r="G1145" s="961"/>
      <c r="H1145" s="961"/>
      <c r="I1145" s="961"/>
    </row>
    <row r="1146" spans="1:9">
      <c r="A1146" s="961"/>
      <c r="B1146" s="961"/>
      <c r="C1146" s="961"/>
      <c r="D1146" s="961"/>
      <c r="E1146" s="961"/>
      <c r="F1146" s="961"/>
      <c r="G1146" s="961"/>
      <c r="H1146" s="961"/>
      <c r="I1146" s="961"/>
    </row>
    <row r="1147" spans="1:9">
      <c r="A1147" s="961"/>
      <c r="B1147" s="961"/>
      <c r="C1147" s="961"/>
      <c r="D1147" s="961"/>
      <c r="E1147" s="961"/>
      <c r="F1147" s="961"/>
      <c r="G1147" s="961"/>
      <c r="H1147" s="961"/>
      <c r="I1147" s="961"/>
    </row>
    <row r="1148" spans="1:9">
      <c r="A1148" s="961"/>
      <c r="B1148" s="961"/>
      <c r="C1148" s="961"/>
      <c r="D1148" s="961"/>
      <c r="E1148" s="961"/>
      <c r="F1148" s="961"/>
      <c r="G1148" s="961"/>
      <c r="H1148" s="961"/>
      <c r="I1148" s="961"/>
    </row>
    <row r="1149" spans="1:9">
      <c r="A1149" s="961"/>
      <c r="B1149" s="961"/>
      <c r="C1149" s="961"/>
      <c r="D1149" s="961"/>
      <c r="E1149" s="961"/>
      <c r="F1149" s="961"/>
      <c r="G1149" s="961"/>
      <c r="H1149" s="961"/>
      <c r="I1149" s="961"/>
    </row>
    <row r="1150" spans="1:9">
      <c r="A1150" s="961"/>
      <c r="B1150" s="961"/>
      <c r="C1150" s="961"/>
      <c r="D1150" s="961"/>
      <c r="E1150" s="961"/>
      <c r="F1150" s="961"/>
      <c r="G1150" s="961"/>
      <c r="H1150" s="961"/>
      <c r="I1150" s="961"/>
    </row>
    <row r="1151" spans="1:9">
      <c r="A1151" s="961"/>
      <c r="B1151" s="961"/>
      <c r="C1151" s="961"/>
      <c r="D1151" s="961"/>
      <c r="E1151" s="961"/>
      <c r="F1151" s="961"/>
      <c r="G1151" s="961"/>
      <c r="H1151" s="961"/>
      <c r="I1151" s="961"/>
    </row>
    <row r="1152" spans="1:9">
      <c r="A1152" s="961"/>
      <c r="B1152" s="961"/>
      <c r="C1152" s="961"/>
      <c r="D1152" s="961"/>
      <c r="E1152" s="961"/>
      <c r="F1152" s="961"/>
      <c r="G1152" s="961"/>
      <c r="H1152" s="961"/>
      <c r="I1152" s="961"/>
    </row>
    <row r="1153" spans="1:9">
      <c r="A1153" s="961"/>
      <c r="B1153" s="961"/>
      <c r="C1153" s="961"/>
      <c r="D1153" s="961"/>
      <c r="E1153" s="961"/>
      <c r="F1153" s="961"/>
      <c r="G1153" s="961"/>
      <c r="H1153" s="961"/>
      <c r="I1153" s="961"/>
    </row>
    <row r="1154" spans="1:9">
      <c r="A1154" s="961"/>
      <c r="B1154" s="961"/>
      <c r="C1154" s="961"/>
      <c r="D1154" s="961"/>
      <c r="E1154" s="961"/>
      <c r="F1154" s="961"/>
      <c r="G1154" s="961"/>
      <c r="H1154" s="961"/>
      <c r="I1154" s="961"/>
    </row>
    <row r="1155" spans="1:9">
      <c r="A1155" s="961"/>
      <c r="B1155" s="961"/>
      <c r="C1155" s="961"/>
      <c r="D1155" s="961"/>
      <c r="E1155" s="961"/>
      <c r="F1155" s="961"/>
      <c r="G1155" s="961"/>
      <c r="H1155" s="961"/>
      <c r="I1155" s="961"/>
    </row>
    <row r="1156" spans="1:9">
      <c r="A1156" s="961"/>
      <c r="B1156" s="961"/>
      <c r="C1156" s="961"/>
      <c r="D1156" s="961"/>
      <c r="E1156" s="961"/>
      <c r="F1156" s="961"/>
      <c r="G1156" s="961"/>
      <c r="H1156" s="961"/>
      <c r="I1156" s="961"/>
    </row>
    <row r="1157" spans="1:9">
      <c r="A1157" s="961"/>
      <c r="B1157" s="961"/>
      <c r="C1157" s="961"/>
      <c r="D1157" s="961"/>
      <c r="E1157" s="961"/>
      <c r="F1157" s="961"/>
      <c r="G1157" s="961"/>
      <c r="H1157" s="961"/>
      <c r="I1157" s="961"/>
    </row>
    <row r="1158" spans="1:9">
      <c r="A1158" s="961"/>
      <c r="B1158" s="961"/>
      <c r="C1158" s="961"/>
      <c r="D1158" s="961"/>
      <c r="E1158" s="961"/>
      <c r="F1158" s="961"/>
      <c r="G1158" s="961"/>
      <c r="H1158" s="961"/>
      <c r="I1158" s="961"/>
    </row>
    <row r="1159" spans="1:9">
      <c r="A1159" s="961"/>
      <c r="B1159" s="961"/>
      <c r="C1159" s="961"/>
      <c r="D1159" s="961"/>
      <c r="E1159" s="961"/>
      <c r="F1159" s="961"/>
      <c r="G1159" s="961"/>
      <c r="H1159" s="961"/>
      <c r="I1159" s="961"/>
    </row>
    <row r="1160" spans="1:9">
      <c r="A1160" s="961"/>
      <c r="B1160" s="961"/>
      <c r="C1160" s="961"/>
      <c r="D1160" s="961"/>
      <c r="E1160" s="961"/>
      <c r="F1160" s="961"/>
      <c r="G1160" s="961"/>
      <c r="H1160" s="961"/>
      <c r="I1160" s="961"/>
    </row>
    <row r="1161" spans="1:9">
      <c r="A1161" s="961"/>
      <c r="B1161" s="961"/>
      <c r="C1161" s="961"/>
      <c r="D1161" s="961"/>
      <c r="E1161" s="961"/>
      <c r="F1161" s="961"/>
      <c r="G1161" s="961"/>
      <c r="H1161" s="961"/>
      <c r="I1161" s="961"/>
    </row>
    <row r="1162" spans="1:9">
      <c r="A1162" s="961"/>
      <c r="B1162" s="961"/>
      <c r="C1162" s="961"/>
      <c r="D1162" s="961"/>
      <c r="E1162" s="961"/>
      <c r="F1162" s="961"/>
      <c r="G1162" s="961"/>
      <c r="H1162" s="961"/>
      <c r="I1162" s="961"/>
    </row>
    <row r="1163" spans="1:9">
      <c r="A1163" s="961"/>
      <c r="B1163" s="961"/>
      <c r="C1163" s="961"/>
      <c r="D1163" s="961"/>
      <c r="E1163" s="961"/>
      <c r="F1163" s="961"/>
      <c r="G1163" s="961"/>
      <c r="H1163" s="961"/>
      <c r="I1163" s="961"/>
    </row>
    <row r="1164" spans="1:9">
      <c r="A1164" s="961"/>
      <c r="B1164" s="961"/>
      <c r="C1164" s="961"/>
      <c r="D1164" s="961"/>
      <c r="E1164" s="961"/>
      <c r="F1164" s="961"/>
      <c r="G1164" s="961"/>
      <c r="H1164" s="961"/>
      <c r="I1164" s="961"/>
    </row>
    <row r="1165" spans="1:9">
      <c r="A1165" s="961"/>
      <c r="B1165" s="961"/>
      <c r="C1165" s="961"/>
      <c r="D1165" s="961"/>
      <c r="E1165" s="961"/>
      <c r="F1165" s="961"/>
      <c r="G1165" s="961"/>
      <c r="H1165" s="961"/>
      <c r="I1165" s="961"/>
    </row>
    <row r="1166" spans="1:9">
      <c r="A1166" s="961"/>
      <c r="B1166" s="961"/>
      <c r="C1166" s="961"/>
      <c r="D1166" s="961"/>
      <c r="E1166" s="961"/>
      <c r="F1166" s="961"/>
      <c r="G1166" s="961"/>
      <c r="H1166" s="961"/>
      <c r="I1166" s="961"/>
    </row>
    <row r="1167" spans="1:9">
      <c r="A1167" s="961"/>
      <c r="B1167" s="961"/>
      <c r="C1167" s="961"/>
      <c r="D1167" s="961"/>
      <c r="E1167" s="961"/>
      <c r="F1167" s="961"/>
      <c r="G1167" s="961"/>
      <c r="H1167" s="961"/>
      <c r="I1167" s="961"/>
    </row>
    <row r="1168" spans="1:9">
      <c r="A1168" s="961"/>
      <c r="B1168" s="961"/>
      <c r="C1168" s="961"/>
      <c r="D1168" s="961"/>
      <c r="E1168" s="961"/>
      <c r="F1168" s="961"/>
      <c r="G1168" s="961"/>
      <c r="H1168" s="961"/>
      <c r="I1168" s="961"/>
    </row>
    <row r="1169" spans="1:9">
      <c r="A1169" s="961"/>
      <c r="B1169" s="961"/>
      <c r="C1169" s="961"/>
      <c r="D1169" s="961"/>
      <c r="E1169" s="961"/>
      <c r="F1169" s="961"/>
      <c r="G1169" s="961"/>
      <c r="H1169" s="961"/>
      <c r="I1169" s="961"/>
    </row>
    <row r="1170" spans="1:9">
      <c r="A1170" s="961"/>
      <c r="B1170" s="961"/>
      <c r="C1170" s="961"/>
      <c r="D1170" s="961"/>
      <c r="E1170" s="961"/>
      <c r="F1170" s="961"/>
      <c r="G1170" s="961"/>
      <c r="H1170" s="961"/>
      <c r="I1170" s="961"/>
    </row>
    <row r="1171" spans="1:9">
      <c r="A1171" s="961"/>
      <c r="B1171" s="961"/>
      <c r="C1171" s="961"/>
      <c r="D1171" s="961"/>
      <c r="E1171" s="961"/>
      <c r="F1171" s="961"/>
      <c r="G1171" s="961"/>
      <c r="H1171" s="961"/>
      <c r="I1171" s="961"/>
    </row>
    <row r="1172" spans="1:9">
      <c r="A1172" s="961"/>
      <c r="B1172" s="961"/>
      <c r="C1172" s="961"/>
      <c r="D1172" s="961"/>
      <c r="E1172" s="961"/>
      <c r="F1172" s="961"/>
      <c r="G1172" s="961"/>
      <c r="H1172" s="961"/>
      <c r="I1172" s="961"/>
    </row>
    <row r="1173" spans="1:9">
      <c r="A1173" s="961"/>
      <c r="B1173" s="961"/>
      <c r="C1173" s="961"/>
      <c r="D1173" s="961"/>
      <c r="E1173" s="961"/>
      <c r="F1173" s="961"/>
      <c r="G1173" s="961"/>
      <c r="H1173" s="961"/>
      <c r="I1173" s="961"/>
    </row>
    <row r="1174" spans="1:9">
      <c r="A1174" s="961"/>
      <c r="B1174" s="961"/>
      <c r="C1174" s="961"/>
      <c r="D1174" s="961"/>
      <c r="E1174" s="961"/>
      <c r="F1174" s="961"/>
      <c r="G1174" s="961"/>
      <c r="H1174" s="961"/>
      <c r="I1174" s="961"/>
    </row>
    <row r="1175" spans="1:9">
      <c r="A1175" s="961"/>
      <c r="B1175" s="961"/>
      <c r="C1175" s="961"/>
      <c r="D1175" s="961"/>
      <c r="E1175" s="961"/>
      <c r="F1175" s="961"/>
      <c r="G1175" s="961"/>
      <c r="H1175" s="961"/>
      <c r="I1175" s="961"/>
    </row>
    <row r="1176" spans="1:9">
      <c r="A1176" s="961"/>
      <c r="B1176" s="961"/>
      <c r="C1176" s="961"/>
      <c r="D1176" s="961"/>
      <c r="E1176" s="961"/>
      <c r="F1176" s="961"/>
      <c r="G1176" s="961"/>
      <c r="H1176" s="961"/>
      <c r="I1176" s="961"/>
    </row>
    <row r="1177" spans="1:9">
      <c r="A1177" s="961"/>
      <c r="B1177" s="961"/>
      <c r="C1177" s="961"/>
      <c r="D1177" s="961"/>
      <c r="E1177" s="961"/>
      <c r="F1177" s="961"/>
      <c r="G1177" s="961"/>
      <c r="H1177" s="961"/>
      <c r="I1177" s="961"/>
    </row>
    <row r="1178" spans="1:9">
      <c r="A1178" s="961"/>
      <c r="B1178" s="961"/>
      <c r="C1178" s="961"/>
      <c r="D1178" s="961"/>
      <c r="E1178" s="961"/>
      <c r="F1178" s="961"/>
      <c r="G1178" s="961"/>
      <c r="H1178" s="961"/>
      <c r="I1178" s="961"/>
    </row>
    <row r="1179" spans="1:9">
      <c r="A1179" s="961"/>
      <c r="B1179" s="961"/>
      <c r="C1179" s="961"/>
      <c r="D1179" s="961"/>
      <c r="E1179" s="961"/>
      <c r="F1179" s="961"/>
      <c r="G1179" s="961"/>
      <c r="H1179" s="961"/>
      <c r="I1179" s="961"/>
    </row>
    <row r="1180" spans="1:9">
      <c r="A1180" s="961"/>
      <c r="B1180" s="961"/>
      <c r="C1180" s="961"/>
      <c r="D1180" s="961"/>
      <c r="E1180" s="961"/>
      <c r="F1180" s="961"/>
      <c r="G1180" s="961"/>
      <c r="H1180" s="961"/>
      <c r="I1180" s="961"/>
    </row>
    <row r="1181" spans="1:9">
      <c r="A1181" s="961"/>
      <c r="B1181" s="961"/>
      <c r="C1181" s="961"/>
      <c r="D1181" s="961"/>
      <c r="E1181" s="961"/>
      <c r="F1181" s="961"/>
      <c r="G1181" s="961"/>
      <c r="H1181" s="961"/>
      <c r="I1181" s="961"/>
    </row>
    <row r="1182" spans="1:9">
      <c r="A1182" s="961"/>
      <c r="B1182" s="961"/>
      <c r="C1182" s="961"/>
      <c r="D1182" s="961"/>
      <c r="E1182" s="961"/>
      <c r="F1182" s="961"/>
      <c r="G1182" s="961"/>
      <c r="H1182" s="961"/>
      <c r="I1182" s="961"/>
    </row>
    <row r="1183" spans="1:9">
      <c r="A1183" s="961"/>
      <c r="B1183" s="961"/>
      <c r="C1183" s="961"/>
      <c r="D1183" s="961"/>
      <c r="E1183" s="961"/>
      <c r="F1183" s="961"/>
      <c r="G1183" s="961"/>
      <c r="H1183" s="961"/>
      <c r="I1183" s="961"/>
    </row>
    <row r="1184" spans="1:9">
      <c r="A1184" s="961"/>
      <c r="B1184" s="961"/>
      <c r="C1184" s="961"/>
      <c r="D1184" s="961"/>
      <c r="E1184" s="961"/>
      <c r="F1184" s="961"/>
      <c r="G1184" s="961"/>
      <c r="H1184" s="961"/>
      <c r="I1184" s="961"/>
    </row>
    <row r="1185" spans="1:9">
      <c r="A1185" s="961"/>
      <c r="B1185" s="961"/>
      <c r="C1185" s="961"/>
      <c r="D1185" s="961"/>
      <c r="E1185" s="961"/>
      <c r="F1185" s="961"/>
      <c r="G1185" s="961"/>
      <c r="H1185" s="961"/>
      <c r="I1185" s="961"/>
    </row>
    <row r="1186" spans="1:9">
      <c r="A1186" s="961"/>
      <c r="B1186" s="961"/>
      <c r="C1186" s="961"/>
      <c r="D1186" s="961"/>
      <c r="E1186" s="961"/>
      <c r="F1186" s="961"/>
      <c r="G1186" s="961"/>
      <c r="H1186" s="961"/>
      <c r="I1186" s="961"/>
    </row>
    <row r="1187" spans="1:9">
      <c r="A1187" s="961"/>
      <c r="B1187" s="961"/>
      <c r="C1187" s="961"/>
      <c r="D1187" s="961"/>
      <c r="E1187" s="961"/>
      <c r="F1187" s="961"/>
      <c r="G1187" s="961"/>
      <c r="H1187" s="961"/>
      <c r="I1187" s="961"/>
    </row>
    <row r="1188" spans="1:9">
      <c r="A1188" s="961"/>
      <c r="B1188" s="961"/>
      <c r="C1188" s="961"/>
      <c r="D1188" s="961"/>
      <c r="E1188" s="961"/>
      <c r="F1188" s="961"/>
      <c r="G1188" s="961"/>
      <c r="H1188" s="961"/>
      <c r="I1188" s="961"/>
    </row>
    <row r="1189" spans="1:9">
      <c r="A1189" s="961"/>
      <c r="B1189" s="961"/>
      <c r="C1189" s="961"/>
      <c r="D1189" s="961"/>
      <c r="E1189" s="961"/>
      <c r="F1189" s="961"/>
      <c r="G1189" s="961"/>
      <c r="H1189" s="961"/>
      <c r="I1189" s="961"/>
    </row>
    <row r="1190" spans="1:9">
      <c r="A1190" s="961"/>
      <c r="B1190" s="961"/>
      <c r="C1190" s="961"/>
      <c r="D1190" s="961"/>
      <c r="E1190" s="961"/>
      <c r="F1190" s="961"/>
      <c r="G1190" s="961"/>
      <c r="H1190" s="961"/>
      <c r="I1190" s="961"/>
    </row>
    <row r="1191" spans="1:9">
      <c r="A1191" s="961"/>
      <c r="B1191" s="961"/>
      <c r="C1191" s="961"/>
      <c r="D1191" s="961"/>
      <c r="E1191" s="961"/>
      <c r="F1191" s="961"/>
      <c r="G1191" s="961"/>
      <c r="H1191" s="961"/>
      <c r="I1191" s="961"/>
    </row>
    <row r="1192" spans="1:9">
      <c r="A1192" s="961"/>
      <c r="B1192" s="961"/>
      <c r="C1192" s="961"/>
      <c r="D1192" s="961"/>
      <c r="E1192" s="961"/>
      <c r="F1192" s="961"/>
      <c r="G1192" s="961"/>
      <c r="H1192" s="961"/>
      <c r="I1192" s="961"/>
    </row>
    <row r="1193" spans="1:9">
      <c r="A1193" s="961"/>
      <c r="B1193" s="961"/>
      <c r="C1193" s="961"/>
      <c r="D1193" s="961"/>
      <c r="E1193" s="961"/>
      <c r="F1193" s="961"/>
      <c r="G1193" s="961"/>
      <c r="H1193" s="961"/>
      <c r="I1193" s="961"/>
    </row>
    <row r="1194" spans="1:9">
      <c r="A1194" s="961"/>
      <c r="B1194" s="961"/>
      <c r="C1194" s="961"/>
      <c r="D1194" s="961"/>
      <c r="E1194" s="961"/>
      <c r="F1194" s="961"/>
      <c r="G1194" s="961"/>
      <c r="H1194" s="961"/>
      <c r="I1194" s="961"/>
    </row>
    <row r="1195" spans="1:9">
      <c r="A1195" s="961"/>
      <c r="B1195" s="961"/>
      <c r="C1195" s="961"/>
      <c r="D1195" s="961"/>
      <c r="E1195" s="961"/>
      <c r="F1195" s="961"/>
      <c r="G1195" s="961"/>
      <c r="H1195" s="961"/>
      <c r="I1195" s="961"/>
    </row>
    <row r="1196" spans="1:9">
      <c r="A1196" s="961"/>
      <c r="B1196" s="961"/>
      <c r="C1196" s="961"/>
      <c r="D1196" s="961"/>
      <c r="E1196" s="961"/>
      <c r="F1196" s="961"/>
      <c r="G1196" s="961"/>
      <c r="H1196" s="961"/>
      <c r="I1196" s="961"/>
    </row>
    <row r="1197" spans="1:9">
      <c r="A1197" s="961"/>
      <c r="B1197" s="961"/>
      <c r="C1197" s="961"/>
      <c r="D1197" s="961"/>
      <c r="E1197" s="961"/>
      <c r="F1197" s="961"/>
      <c r="G1197" s="961"/>
      <c r="H1197" s="961"/>
      <c r="I1197" s="961"/>
    </row>
    <row r="1198" spans="1:9">
      <c r="A1198" s="961"/>
      <c r="B1198" s="961"/>
      <c r="C1198" s="961"/>
      <c r="D1198" s="961"/>
      <c r="E1198" s="961"/>
      <c r="F1198" s="961"/>
      <c r="G1198" s="961"/>
      <c r="H1198" s="961"/>
      <c r="I1198" s="961"/>
    </row>
    <row r="1199" spans="1:9">
      <c r="A1199" s="961"/>
      <c r="B1199" s="961"/>
      <c r="C1199" s="961"/>
      <c r="D1199" s="961"/>
      <c r="E1199" s="961"/>
      <c r="F1199" s="961"/>
      <c r="G1199" s="961"/>
      <c r="H1199" s="961"/>
      <c r="I1199" s="961"/>
    </row>
    <row r="1200" spans="1:9">
      <c r="A1200" s="961"/>
      <c r="B1200" s="961"/>
      <c r="C1200" s="961"/>
      <c r="D1200" s="961"/>
      <c r="E1200" s="961"/>
      <c r="F1200" s="961"/>
      <c r="G1200" s="961"/>
      <c r="H1200" s="961"/>
      <c r="I1200" s="961"/>
    </row>
    <row r="1201" spans="1:9">
      <c r="A1201" s="961"/>
      <c r="B1201" s="961"/>
      <c r="C1201" s="961"/>
      <c r="D1201" s="961"/>
      <c r="E1201" s="961"/>
      <c r="F1201" s="961"/>
      <c r="G1201" s="961"/>
      <c r="H1201" s="961"/>
      <c r="I1201" s="961"/>
    </row>
    <row r="1202" spans="1:9">
      <c r="A1202" s="961"/>
      <c r="B1202" s="961"/>
      <c r="C1202" s="961"/>
      <c r="D1202" s="961"/>
      <c r="E1202" s="961"/>
      <c r="F1202" s="961"/>
      <c r="G1202" s="961"/>
      <c r="H1202" s="961"/>
      <c r="I1202" s="961"/>
    </row>
    <row r="1203" spans="1:9">
      <c r="A1203" s="961"/>
      <c r="B1203" s="961"/>
      <c r="C1203" s="961"/>
      <c r="D1203" s="961"/>
      <c r="E1203" s="961"/>
      <c r="F1203" s="961"/>
      <c r="G1203" s="961"/>
      <c r="H1203" s="961"/>
      <c r="I1203" s="961"/>
    </row>
    <row r="1204" spans="1:9">
      <c r="A1204" s="961"/>
      <c r="B1204" s="961"/>
      <c r="C1204" s="961"/>
      <c r="D1204" s="961"/>
      <c r="E1204" s="961"/>
      <c r="F1204" s="961"/>
      <c r="G1204" s="961"/>
      <c r="H1204" s="961"/>
      <c r="I1204" s="961"/>
    </row>
    <row r="1205" spans="1:9">
      <c r="A1205" s="961"/>
      <c r="B1205" s="961"/>
      <c r="C1205" s="961"/>
      <c r="D1205" s="961"/>
      <c r="E1205" s="961"/>
      <c r="F1205" s="961"/>
      <c r="G1205" s="961"/>
      <c r="H1205" s="961"/>
      <c r="I1205" s="961"/>
    </row>
    <row r="1206" spans="1:9">
      <c r="A1206" s="961"/>
      <c r="B1206" s="961"/>
      <c r="C1206" s="961"/>
      <c r="D1206" s="961"/>
      <c r="E1206" s="961"/>
      <c r="F1206" s="961"/>
      <c r="G1206" s="961"/>
      <c r="H1206" s="961"/>
      <c r="I1206" s="961"/>
    </row>
    <row r="1207" spans="1:9">
      <c r="A1207" s="961"/>
      <c r="B1207" s="961"/>
      <c r="C1207" s="961"/>
      <c r="D1207" s="961"/>
      <c r="E1207" s="961"/>
      <c r="F1207" s="961"/>
      <c r="G1207" s="961"/>
      <c r="H1207" s="961"/>
      <c r="I1207" s="961"/>
    </row>
    <row r="1208" spans="1:9">
      <c r="A1208" s="961"/>
      <c r="B1208" s="961"/>
      <c r="C1208" s="961"/>
      <c r="D1208" s="961"/>
      <c r="E1208" s="961"/>
      <c r="F1208" s="961"/>
      <c r="G1208" s="961"/>
      <c r="H1208" s="961"/>
      <c r="I1208" s="961"/>
    </row>
    <row r="1209" spans="1:9">
      <c r="A1209" s="961"/>
      <c r="B1209" s="961"/>
      <c r="C1209" s="961"/>
      <c r="D1209" s="961"/>
      <c r="E1209" s="961"/>
      <c r="F1209" s="961"/>
      <c r="G1209" s="961"/>
      <c r="H1209" s="961"/>
      <c r="I1209" s="961"/>
    </row>
    <row r="1210" spans="1:9">
      <c r="A1210" s="961"/>
      <c r="B1210" s="961"/>
      <c r="C1210" s="961"/>
      <c r="D1210" s="961"/>
      <c r="E1210" s="961"/>
      <c r="F1210" s="961"/>
      <c r="G1210" s="961"/>
      <c r="H1210" s="961"/>
      <c r="I1210" s="961"/>
    </row>
    <row r="1211" spans="1:9">
      <c r="A1211" s="961"/>
      <c r="B1211" s="961"/>
      <c r="C1211" s="961"/>
      <c r="D1211" s="961"/>
      <c r="E1211" s="961"/>
      <c r="F1211" s="961"/>
      <c r="G1211" s="961"/>
      <c r="H1211" s="961"/>
      <c r="I1211" s="961"/>
    </row>
    <row r="1212" spans="1:9">
      <c r="A1212" s="961"/>
      <c r="B1212" s="961"/>
      <c r="C1212" s="961"/>
      <c r="D1212" s="961"/>
      <c r="E1212" s="961"/>
      <c r="F1212" s="961"/>
      <c r="G1212" s="961"/>
      <c r="H1212" s="961"/>
      <c r="I1212" s="961"/>
    </row>
    <row r="1213" spans="1:9">
      <c r="A1213" s="961"/>
      <c r="B1213" s="961"/>
      <c r="C1213" s="961"/>
      <c r="D1213" s="961"/>
      <c r="E1213" s="961"/>
      <c r="F1213" s="961"/>
      <c r="G1213" s="961"/>
      <c r="H1213" s="961"/>
      <c r="I1213" s="961"/>
    </row>
    <row r="1214" spans="1:9">
      <c r="A1214" s="961"/>
      <c r="B1214" s="961"/>
      <c r="C1214" s="961"/>
      <c r="D1214" s="961"/>
      <c r="E1214" s="961"/>
      <c r="F1214" s="961"/>
      <c r="G1214" s="961"/>
      <c r="H1214" s="961"/>
      <c r="I1214" s="961"/>
    </row>
    <row r="1215" spans="1:9">
      <c r="A1215" s="961"/>
      <c r="B1215" s="961"/>
      <c r="C1215" s="961"/>
      <c r="D1215" s="961"/>
      <c r="E1215" s="961"/>
      <c r="F1215" s="961"/>
      <c r="G1215" s="961"/>
      <c r="H1215" s="961"/>
      <c r="I1215" s="961"/>
    </row>
    <row r="1216" spans="1:9">
      <c r="A1216" s="961"/>
      <c r="B1216" s="961"/>
      <c r="C1216" s="961"/>
      <c r="D1216" s="961"/>
      <c r="E1216" s="961"/>
      <c r="F1216" s="961"/>
      <c r="G1216" s="961"/>
      <c r="H1216" s="961"/>
      <c r="I1216" s="961"/>
    </row>
    <row r="1217" spans="1:9">
      <c r="A1217" s="961"/>
      <c r="B1217" s="961"/>
      <c r="C1217" s="961"/>
      <c r="D1217" s="961"/>
      <c r="E1217" s="961"/>
      <c r="F1217" s="961"/>
      <c r="G1217" s="961"/>
      <c r="H1217" s="961"/>
      <c r="I1217" s="961"/>
    </row>
    <row r="1218" spans="1:9">
      <c r="A1218" s="961"/>
      <c r="B1218" s="961"/>
      <c r="C1218" s="961"/>
      <c r="D1218" s="961"/>
      <c r="E1218" s="961"/>
      <c r="F1218" s="961"/>
      <c r="G1218" s="961"/>
      <c r="H1218" s="961"/>
      <c r="I1218" s="961"/>
    </row>
    <row r="1219" spans="1:9">
      <c r="A1219" s="961"/>
      <c r="B1219" s="961"/>
      <c r="C1219" s="961"/>
      <c r="D1219" s="961"/>
      <c r="E1219" s="961"/>
      <c r="F1219" s="961"/>
      <c r="G1219" s="961"/>
      <c r="H1219" s="961"/>
      <c r="I1219" s="961"/>
    </row>
    <row r="1220" spans="1:9">
      <c r="A1220" s="961"/>
      <c r="B1220" s="961"/>
      <c r="C1220" s="961"/>
      <c r="D1220" s="961"/>
      <c r="E1220" s="961"/>
      <c r="F1220" s="961"/>
      <c r="G1220" s="961"/>
      <c r="H1220" s="961"/>
      <c r="I1220" s="961"/>
    </row>
    <row r="1221" spans="1:9">
      <c r="A1221" s="961"/>
      <c r="B1221" s="961"/>
      <c r="C1221" s="961"/>
      <c r="D1221" s="961"/>
      <c r="E1221" s="961"/>
      <c r="F1221" s="961"/>
      <c r="G1221" s="961"/>
      <c r="H1221" s="961"/>
      <c r="I1221" s="961"/>
    </row>
    <row r="1222" spans="1:9">
      <c r="A1222" s="961"/>
      <c r="B1222" s="961"/>
      <c r="C1222" s="961"/>
      <c r="D1222" s="961"/>
      <c r="E1222" s="961"/>
      <c r="F1222" s="961"/>
      <c r="G1222" s="961"/>
      <c r="H1222" s="961"/>
      <c r="I1222" s="961"/>
    </row>
    <row r="1223" spans="1:9">
      <c r="A1223" s="961"/>
      <c r="B1223" s="961"/>
      <c r="C1223" s="961"/>
      <c r="D1223" s="961"/>
      <c r="E1223" s="961"/>
      <c r="F1223" s="961"/>
      <c r="G1223" s="961"/>
      <c r="H1223" s="961"/>
      <c r="I1223" s="961"/>
    </row>
    <row r="1224" spans="1:9">
      <c r="A1224" s="961"/>
      <c r="B1224" s="961"/>
      <c r="C1224" s="961"/>
      <c r="D1224" s="961"/>
      <c r="E1224" s="961"/>
      <c r="F1224" s="961"/>
      <c r="G1224" s="961"/>
      <c r="H1224" s="961"/>
      <c r="I1224" s="961"/>
    </row>
    <row r="1225" spans="1:9">
      <c r="A1225" s="961"/>
      <c r="B1225" s="961"/>
      <c r="C1225" s="961"/>
      <c r="D1225" s="961"/>
      <c r="E1225" s="961"/>
      <c r="F1225" s="961"/>
      <c r="G1225" s="961"/>
      <c r="H1225" s="961"/>
      <c r="I1225" s="961"/>
    </row>
    <row r="1226" spans="1:9">
      <c r="A1226" s="961"/>
      <c r="B1226" s="961"/>
      <c r="C1226" s="961"/>
      <c r="D1226" s="961"/>
      <c r="E1226" s="961"/>
      <c r="F1226" s="961"/>
      <c r="G1226" s="961"/>
      <c r="H1226" s="961"/>
      <c r="I1226" s="961"/>
    </row>
    <row r="1227" spans="1:9">
      <c r="A1227" s="961"/>
      <c r="B1227" s="961"/>
      <c r="C1227" s="961"/>
      <c r="D1227" s="961"/>
      <c r="E1227" s="961"/>
      <c r="F1227" s="961"/>
      <c r="G1227" s="961"/>
      <c r="H1227" s="961"/>
      <c r="I1227" s="961"/>
    </row>
    <row r="1228" spans="1:9">
      <c r="A1228" s="961"/>
      <c r="B1228" s="961"/>
      <c r="C1228" s="961"/>
      <c r="D1228" s="961"/>
      <c r="E1228" s="961"/>
      <c r="F1228" s="961"/>
      <c r="G1228" s="961"/>
      <c r="H1228" s="961"/>
      <c r="I1228" s="961"/>
    </row>
    <row r="1229" spans="1:9">
      <c r="A1229" s="961"/>
      <c r="B1229" s="961"/>
      <c r="C1229" s="961"/>
      <c r="D1229" s="961"/>
      <c r="E1229" s="961"/>
      <c r="F1229" s="961"/>
      <c r="G1229" s="961"/>
      <c r="H1229" s="961"/>
      <c r="I1229" s="961"/>
    </row>
    <row r="1230" spans="1:9">
      <c r="A1230" s="961"/>
      <c r="B1230" s="961"/>
      <c r="C1230" s="961"/>
      <c r="D1230" s="961"/>
      <c r="E1230" s="961"/>
      <c r="F1230" s="961"/>
      <c r="G1230" s="961"/>
      <c r="H1230" s="961"/>
      <c r="I1230" s="961"/>
    </row>
    <row r="1231" spans="1:9">
      <c r="A1231" s="961"/>
      <c r="B1231" s="961"/>
      <c r="C1231" s="961"/>
      <c r="D1231" s="961"/>
      <c r="E1231" s="961"/>
      <c r="F1231" s="961"/>
      <c r="G1231" s="961"/>
      <c r="H1231" s="961"/>
      <c r="I1231" s="961"/>
    </row>
    <row r="1232" spans="1:9">
      <c r="A1232" s="961"/>
      <c r="B1232" s="961"/>
      <c r="C1232" s="961"/>
      <c r="D1232" s="961"/>
      <c r="E1232" s="961"/>
      <c r="F1232" s="961"/>
      <c r="G1232" s="961"/>
      <c r="H1232" s="961"/>
      <c r="I1232" s="961"/>
    </row>
    <row r="1233" spans="1:9">
      <c r="A1233" s="961"/>
      <c r="B1233" s="961"/>
      <c r="C1233" s="961"/>
      <c r="D1233" s="961"/>
      <c r="E1233" s="961"/>
      <c r="F1233" s="961"/>
      <c r="G1233" s="961"/>
      <c r="H1233" s="961"/>
      <c r="I1233" s="961"/>
    </row>
    <row r="1234" spans="1:9">
      <c r="A1234" s="961"/>
      <c r="B1234" s="961"/>
      <c r="C1234" s="961"/>
      <c r="D1234" s="961"/>
      <c r="E1234" s="961"/>
      <c r="F1234" s="961"/>
      <c r="G1234" s="961"/>
      <c r="H1234" s="961"/>
      <c r="I1234" s="961"/>
    </row>
    <row r="1235" spans="1:9">
      <c r="A1235" s="961"/>
      <c r="B1235" s="961"/>
      <c r="C1235" s="961"/>
      <c r="D1235" s="961"/>
      <c r="E1235" s="961"/>
      <c r="F1235" s="961"/>
      <c r="G1235" s="961"/>
      <c r="H1235" s="961"/>
      <c r="I1235" s="961"/>
    </row>
    <row r="1236" spans="1:9">
      <c r="A1236" s="961"/>
      <c r="B1236" s="961"/>
      <c r="C1236" s="961"/>
      <c r="D1236" s="961"/>
      <c r="E1236" s="961"/>
      <c r="F1236" s="961"/>
      <c r="G1236" s="961"/>
      <c r="H1236" s="961"/>
      <c r="I1236" s="961"/>
    </row>
    <row r="1237" spans="1:9">
      <c r="A1237" s="961"/>
      <c r="B1237" s="961"/>
      <c r="C1237" s="961"/>
      <c r="D1237" s="961"/>
      <c r="E1237" s="961"/>
      <c r="F1237" s="961"/>
      <c r="G1237" s="961"/>
      <c r="H1237" s="961"/>
      <c r="I1237" s="961"/>
    </row>
    <row r="1238" spans="1:9">
      <c r="A1238" s="961"/>
      <c r="B1238" s="961"/>
      <c r="C1238" s="961"/>
      <c r="D1238" s="961"/>
      <c r="E1238" s="961"/>
      <c r="F1238" s="961"/>
      <c r="G1238" s="961"/>
      <c r="H1238" s="961"/>
      <c r="I1238" s="961"/>
    </row>
    <row r="1239" spans="1:9">
      <c r="A1239" s="961"/>
      <c r="B1239" s="961"/>
      <c r="C1239" s="961"/>
      <c r="D1239" s="961"/>
      <c r="E1239" s="961"/>
      <c r="F1239" s="961"/>
      <c r="G1239" s="961"/>
      <c r="H1239" s="961"/>
      <c r="I1239" s="961"/>
    </row>
    <row r="1240" spans="1:9">
      <c r="A1240" s="961"/>
      <c r="B1240" s="961"/>
      <c r="C1240" s="961"/>
      <c r="D1240" s="961"/>
      <c r="E1240" s="961"/>
      <c r="F1240" s="961"/>
      <c r="G1240" s="961"/>
      <c r="H1240" s="961"/>
      <c r="I1240" s="961"/>
    </row>
    <row r="1241" spans="1:9">
      <c r="A1241" s="961"/>
      <c r="B1241" s="961"/>
      <c r="C1241" s="961"/>
      <c r="D1241" s="961"/>
      <c r="E1241" s="961"/>
      <c r="F1241" s="961"/>
      <c r="G1241" s="961"/>
      <c r="H1241" s="961"/>
      <c r="I1241" s="961"/>
    </row>
    <row r="1242" spans="1:9">
      <c r="A1242" s="961"/>
      <c r="B1242" s="961"/>
      <c r="C1242" s="961"/>
      <c r="D1242" s="961"/>
      <c r="E1242" s="961"/>
      <c r="F1242" s="961"/>
      <c r="G1242" s="961"/>
      <c r="H1242" s="961"/>
      <c r="I1242" s="961"/>
    </row>
    <row r="1243" spans="1:9">
      <c r="A1243" s="961"/>
      <c r="B1243" s="961"/>
      <c r="C1243" s="961"/>
      <c r="D1243" s="961"/>
      <c r="E1243" s="961"/>
      <c r="F1243" s="961"/>
      <c r="G1243" s="961"/>
      <c r="H1243" s="961"/>
      <c r="I1243" s="961"/>
    </row>
    <row r="1244" spans="1:9">
      <c r="A1244" s="961"/>
      <c r="B1244" s="961"/>
      <c r="C1244" s="961"/>
      <c r="D1244" s="961"/>
      <c r="E1244" s="961"/>
      <c r="F1244" s="961"/>
      <c r="G1244" s="961"/>
      <c r="H1244" s="961"/>
      <c r="I1244" s="961"/>
    </row>
    <row r="1245" spans="1:9">
      <c r="A1245" s="961"/>
      <c r="B1245" s="961"/>
      <c r="C1245" s="961"/>
      <c r="D1245" s="961"/>
      <c r="E1245" s="961"/>
      <c r="F1245" s="961"/>
      <c r="G1245" s="961"/>
      <c r="H1245" s="961"/>
      <c r="I1245" s="961"/>
    </row>
    <row r="1246" spans="1:9">
      <c r="A1246" s="961"/>
      <c r="B1246" s="961"/>
      <c r="C1246" s="961"/>
      <c r="D1246" s="961"/>
      <c r="E1246" s="961"/>
      <c r="F1246" s="961"/>
      <c r="G1246" s="961"/>
      <c r="H1246" s="961"/>
      <c r="I1246" s="961"/>
    </row>
    <row r="1247" spans="1:9">
      <c r="A1247" s="961"/>
      <c r="B1247" s="961"/>
      <c r="C1247" s="961"/>
      <c r="D1247" s="961"/>
      <c r="E1247" s="961"/>
      <c r="F1247" s="961"/>
      <c r="G1247" s="961"/>
      <c r="H1247" s="961"/>
      <c r="I1247" s="961"/>
    </row>
    <row r="1248" spans="1:9">
      <c r="A1248" s="961"/>
      <c r="B1248" s="961"/>
      <c r="C1248" s="961"/>
      <c r="D1248" s="961"/>
      <c r="E1248" s="961"/>
      <c r="F1248" s="961"/>
      <c r="G1248" s="961"/>
      <c r="H1248" s="961"/>
      <c r="I1248" s="961"/>
    </row>
    <row r="1249" spans="1:9">
      <c r="A1249" s="961"/>
      <c r="B1249" s="961"/>
      <c r="C1249" s="961"/>
      <c r="D1249" s="961"/>
      <c r="E1249" s="961"/>
      <c r="F1249" s="961"/>
      <c r="G1249" s="961"/>
      <c r="H1249" s="961"/>
      <c r="I1249" s="961"/>
    </row>
    <row r="1250" spans="1:9">
      <c r="A1250" s="961"/>
      <c r="B1250" s="961"/>
      <c r="C1250" s="961"/>
      <c r="D1250" s="961"/>
      <c r="E1250" s="961"/>
      <c r="F1250" s="961"/>
      <c r="G1250" s="961"/>
      <c r="H1250" s="961"/>
      <c r="I1250" s="961"/>
    </row>
    <row r="1251" spans="1:9">
      <c r="A1251" s="961"/>
      <c r="B1251" s="961"/>
      <c r="C1251" s="961"/>
      <c r="D1251" s="961"/>
      <c r="E1251" s="961"/>
      <c r="F1251" s="961"/>
      <c r="G1251" s="961"/>
      <c r="H1251" s="961"/>
      <c r="I1251" s="961"/>
    </row>
    <row r="1252" spans="1:9">
      <c r="A1252" s="961"/>
      <c r="B1252" s="961"/>
      <c r="C1252" s="961"/>
      <c r="D1252" s="961"/>
      <c r="E1252" s="961"/>
      <c r="F1252" s="961"/>
      <c r="G1252" s="961"/>
      <c r="H1252" s="961"/>
      <c r="I1252" s="961"/>
    </row>
    <row r="1253" spans="1:9">
      <c r="A1253" s="961"/>
      <c r="B1253" s="961"/>
      <c r="C1253" s="961"/>
      <c r="D1253" s="961"/>
      <c r="E1253" s="961"/>
      <c r="F1253" s="961"/>
      <c r="G1253" s="961"/>
      <c r="H1253" s="961"/>
      <c r="I1253" s="961"/>
    </row>
    <row r="1254" spans="1:9">
      <c r="A1254" s="961"/>
      <c r="B1254" s="961"/>
      <c r="C1254" s="961"/>
      <c r="D1254" s="961"/>
      <c r="E1254" s="961"/>
      <c r="F1254" s="961"/>
      <c r="G1254" s="961"/>
      <c r="H1254" s="961"/>
      <c r="I1254" s="961"/>
    </row>
    <row r="1255" spans="1:9">
      <c r="A1255" s="961"/>
      <c r="B1255" s="961"/>
      <c r="C1255" s="961"/>
      <c r="D1255" s="961"/>
      <c r="E1255" s="961"/>
      <c r="F1255" s="961"/>
      <c r="G1255" s="961"/>
      <c r="H1255" s="961"/>
      <c r="I1255" s="961"/>
    </row>
    <row r="1256" spans="1:9">
      <c r="A1256" s="961"/>
      <c r="B1256" s="961"/>
      <c r="C1256" s="961"/>
      <c r="D1256" s="961"/>
      <c r="E1256" s="961"/>
      <c r="F1256" s="961"/>
      <c r="G1256" s="961"/>
      <c r="H1256" s="961"/>
      <c r="I1256" s="961"/>
    </row>
    <row r="1257" spans="1:9">
      <c r="A1257" s="961"/>
      <c r="B1257" s="961"/>
      <c r="C1257" s="961"/>
      <c r="D1257" s="961"/>
      <c r="E1257" s="961"/>
      <c r="F1257" s="961"/>
      <c r="G1257" s="961"/>
      <c r="H1257" s="961"/>
      <c r="I1257" s="961"/>
    </row>
    <row r="1258" spans="1:9">
      <c r="A1258" s="961"/>
      <c r="B1258" s="961"/>
      <c r="C1258" s="961"/>
      <c r="D1258" s="961"/>
      <c r="E1258" s="961"/>
      <c r="F1258" s="961"/>
      <c r="G1258" s="961"/>
      <c r="H1258" s="961"/>
      <c r="I1258" s="961"/>
    </row>
    <row r="1259" spans="1:9">
      <c r="A1259" s="961"/>
      <c r="B1259" s="961"/>
      <c r="C1259" s="961"/>
      <c r="D1259" s="961"/>
      <c r="E1259" s="961"/>
      <c r="F1259" s="961"/>
      <c r="G1259" s="961"/>
      <c r="H1259" s="961"/>
      <c r="I1259" s="961"/>
    </row>
    <row r="1260" spans="1:9">
      <c r="A1260" s="961"/>
      <c r="B1260" s="961"/>
      <c r="C1260" s="961"/>
      <c r="D1260" s="961"/>
      <c r="E1260" s="961"/>
      <c r="F1260" s="961"/>
      <c r="G1260" s="961"/>
      <c r="H1260" s="961"/>
      <c r="I1260" s="961"/>
    </row>
    <row r="1261" spans="1:9">
      <c r="A1261" s="961"/>
      <c r="B1261" s="961"/>
      <c r="C1261" s="961"/>
      <c r="D1261" s="961"/>
      <c r="E1261" s="961"/>
      <c r="F1261" s="961"/>
      <c r="G1261" s="961"/>
      <c r="H1261" s="961"/>
      <c r="I1261" s="961"/>
    </row>
    <row r="1262" spans="1:9">
      <c r="A1262" s="961"/>
      <c r="B1262" s="961"/>
      <c r="C1262" s="961"/>
      <c r="D1262" s="961"/>
      <c r="E1262" s="961"/>
      <c r="F1262" s="961"/>
      <c r="G1262" s="961"/>
      <c r="H1262" s="961"/>
      <c r="I1262" s="961"/>
    </row>
    <row r="1263" spans="1:9">
      <c r="A1263" s="961"/>
      <c r="B1263" s="961"/>
      <c r="C1263" s="961"/>
      <c r="D1263" s="961"/>
      <c r="E1263" s="961"/>
      <c r="F1263" s="961"/>
      <c r="G1263" s="961"/>
      <c r="H1263" s="961"/>
      <c r="I1263" s="961"/>
    </row>
    <row r="1264" spans="1:9">
      <c r="A1264" s="961"/>
      <c r="B1264" s="961"/>
      <c r="C1264" s="961"/>
      <c r="D1264" s="961"/>
      <c r="E1264" s="961"/>
      <c r="F1264" s="961"/>
      <c r="G1264" s="961"/>
      <c r="H1264" s="961"/>
      <c r="I1264" s="961"/>
    </row>
    <row r="1265" spans="1:9">
      <c r="A1265" s="961"/>
      <c r="B1265" s="961"/>
      <c r="C1265" s="961"/>
      <c r="D1265" s="961"/>
      <c r="E1265" s="961"/>
      <c r="F1265" s="961"/>
      <c r="G1265" s="961"/>
      <c r="H1265" s="961"/>
      <c r="I1265" s="961"/>
    </row>
    <row r="1266" spans="1:9">
      <c r="A1266" s="961"/>
      <c r="B1266" s="961"/>
      <c r="C1266" s="961"/>
      <c r="D1266" s="961"/>
      <c r="E1266" s="961"/>
      <c r="F1266" s="961"/>
      <c r="G1266" s="961"/>
      <c r="H1266" s="961"/>
      <c r="I1266" s="961"/>
    </row>
    <row r="1267" spans="1:9">
      <c r="A1267" s="961"/>
      <c r="B1267" s="961"/>
      <c r="C1267" s="961"/>
      <c r="D1267" s="961"/>
      <c r="E1267" s="961"/>
      <c r="F1267" s="961"/>
      <c r="G1267" s="961"/>
      <c r="H1267" s="961"/>
      <c r="I1267" s="961"/>
    </row>
    <row r="1268" spans="1:9">
      <c r="A1268" s="961"/>
      <c r="B1268" s="961"/>
      <c r="C1268" s="961"/>
      <c r="D1268" s="961"/>
      <c r="E1268" s="961"/>
      <c r="F1268" s="961"/>
      <c r="G1268" s="961"/>
      <c r="H1268" s="961"/>
      <c r="I1268" s="961"/>
    </row>
    <row r="1269" spans="1:9">
      <c r="A1269" s="961"/>
      <c r="B1269" s="961"/>
      <c r="C1269" s="961"/>
      <c r="D1269" s="961"/>
      <c r="E1269" s="961"/>
      <c r="F1269" s="961"/>
      <c r="G1269" s="961"/>
      <c r="H1269" s="961"/>
      <c r="I1269" s="961"/>
    </row>
    <row r="1270" spans="1:9">
      <c r="A1270" s="961"/>
      <c r="B1270" s="961"/>
      <c r="C1270" s="961"/>
      <c r="D1270" s="961"/>
      <c r="E1270" s="961"/>
      <c r="F1270" s="961"/>
      <c r="G1270" s="961"/>
      <c r="H1270" s="961"/>
      <c r="I1270" s="961"/>
    </row>
    <row r="1271" spans="1:9">
      <c r="A1271" s="961"/>
      <c r="B1271" s="961"/>
      <c r="C1271" s="961"/>
      <c r="D1271" s="961"/>
      <c r="E1271" s="961"/>
      <c r="F1271" s="961"/>
      <c r="G1271" s="961"/>
      <c r="H1271" s="961"/>
      <c r="I1271" s="961"/>
    </row>
    <row r="1272" spans="1:9">
      <c r="A1272" s="961"/>
      <c r="B1272" s="961"/>
      <c r="C1272" s="961"/>
      <c r="D1272" s="961"/>
      <c r="E1272" s="961"/>
      <c r="F1272" s="961"/>
      <c r="G1272" s="961"/>
      <c r="H1272" s="961"/>
      <c r="I1272" s="961"/>
    </row>
    <row r="1273" spans="1:9">
      <c r="A1273" s="961"/>
      <c r="B1273" s="961"/>
      <c r="C1273" s="961"/>
      <c r="D1273" s="961"/>
      <c r="E1273" s="961"/>
      <c r="F1273" s="961"/>
      <c r="G1273" s="961"/>
      <c r="H1273" s="961"/>
      <c r="I1273" s="961"/>
    </row>
    <row r="1274" spans="1:9">
      <c r="A1274" s="961"/>
      <c r="B1274" s="961"/>
      <c r="C1274" s="961"/>
      <c r="D1274" s="961"/>
      <c r="E1274" s="961"/>
      <c r="F1274" s="961"/>
      <c r="G1274" s="961"/>
      <c r="H1274" s="961"/>
      <c r="I1274" s="961"/>
    </row>
    <row r="1275" spans="1:9">
      <c r="A1275" s="961"/>
      <c r="B1275" s="961"/>
      <c r="C1275" s="961"/>
      <c r="D1275" s="961"/>
      <c r="E1275" s="961"/>
      <c r="F1275" s="961"/>
      <c r="G1275" s="961"/>
      <c r="H1275" s="961"/>
      <c r="I1275" s="961"/>
    </row>
    <row r="1276" spans="1:9">
      <c r="A1276" s="961"/>
      <c r="B1276" s="961"/>
      <c r="C1276" s="961"/>
      <c r="D1276" s="961"/>
      <c r="E1276" s="961"/>
      <c r="F1276" s="961"/>
      <c r="G1276" s="961"/>
      <c r="H1276" s="961"/>
      <c r="I1276" s="961"/>
    </row>
    <row r="1277" spans="1:9">
      <c r="A1277" s="961"/>
      <c r="B1277" s="961"/>
      <c r="C1277" s="961"/>
      <c r="D1277" s="961"/>
      <c r="E1277" s="961"/>
      <c r="F1277" s="961"/>
      <c r="G1277" s="961"/>
      <c r="H1277" s="961"/>
      <c r="I1277" s="961"/>
    </row>
    <row r="1278" spans="1:9">
      <c r="A1278" s="961"/>
      <c r="B1278" s="961"/>
      <c r="C1278" s="961"/>
      <c r="D1278" s="961"/>
      <c r="E1278" s="961"/>
      <c r="F1278" s="961"/>
      <c r="G1278" s="961"/>
      <c r="H1278" s="961"/>
      <c r="I1278" s="961"/>
    </row>
    <row r="1279" spans="1:9">
      <c r="A1279" s="961"/>
      <c r="B1279" s="961"/>
      <c r="C1279" s="961"/>
      <c r="D1279" s="961"/>
      <c r="E1279" s="961"/>
      <c r="F1279" s="961"/>
      <c r="G1279" s="961"/>
      <c r="H1279" s="961"/>
      <c r="I1279" s="961"/>
    </row>
    <row r="1280" spans="1:9">
      <c r="A1280" s="961"/>
      <c r="B1280" s="961"/>
      <c r="C1280" s="961"/>
      <c r="D1280" s="961"/>
      <c r="E1280" s="961"/>
      <c r="F1280" s="961"/>
      <c r="G1280" s="961"/>
      <c r="H1280" s="961"/>
      <c r="I1280" s="961"/>
    </row>
    <row r="1281" spans="1:9">
      <c r="A1281" s="961"/>
      <c r="B1281" s="961"/>
      <c r="C1281" s="961"/>
      <c r="D1281" s="961"/>
      <c r="E1281" s="961"/>
      <c r="F1281" s="961"/>
      <c r="G1281" s="961"/>
      <c r="H1281" s="961"/>
      <c r="I1281" s="961"/>
    </row>
    <row r="1282" spans="1:9">
      <c r="A1282" s="961"/>
      <c r="B1282" s="961"/>
      <c r="C1282" s="961"/>
      <c r="D1282" s="961"/>
      <c r="E1282" s="961"/>
      <c r="F1282" s="961"/>
      <c r="G1282" s="961"/>
      <c r="H1282" s="961"/>
      <c r="I1282" s="961"/>
    </row>
    <row r="1283" spans="1:9">
      <c r="A1283" s="961"/>
      <c r="B1283" s="961"/>
      <c r="C1283" s="961"/>
      <c r="D1283" s="961"/>
      <c r="E1283" s="961"/>
      <c r="F1283" s="961"/>
      <c r="G1283" s="961"/>
      <c r="H1283" s="961"/>
      <c r="I1283" s="961"/>
    </row>
    <row r="1284" spans="1:9">
      <c r="A1284" s="961"/>
      <c r="B1284" s="961"/>
      <c r="C1284" s="961"/>
      <c r="D1284" s="961"/>
      <c r="E1284" s="961"/>
      <c r="F1284" s="961"/>
      <c r="G1284" s="961"/>
      <c r="H1284" s="961"/>
      <c r="I1284" s="961"/>
    </row>
    <row r="1285" spans="1:9">
      <c r="A1285" s="961"/>
      <c r="B1285" s="961"/>
      <c r="C1285" s="961"/>
      <c r="D1285" s="961"/>
      <c r="E1285" s="961"/>
      <c r="F1285" s="961"/>
      <c r="G1285" s="961"/>
      <c r="H1285" s="961"/>
      <c r="I1285" s="961"/>
    </row>
    <row r="1286" spans="1:9">
      <c r="A1286" s="961"/>
      <c r="B1286" s="961"/>
      <c r="C1286" s="961"/>
      <c r="D1286" s="961"/>
      <c r="E1286" s="961"/>
      <c r="F1286" s="961"/>
      <c r="G1286" s="961"/>
      <c r="H1286" s="961"/>
      <c r="I1286" s="961"/>
    </row>
    <row r="1287" spans="1:9">
      <c r="A1287" s="961"/>
      <c r="B1287" s="961"/>
      <c r="C1287" s="961"/>
      <c r="D1287" s="961"/>
      <c r="E1287" s="961"/>
      <c r="F1287" s="961"/>
      <c r="G1287" s="961"/>
      <c r="H1287" s="961"/>
      <c r="I1287" s="961"/>
    </row>
    <row r="1288" spans="1:9">
      <c r="A1288" s="961"/>
      <c r="B1288" s="961"/>
      <c r="C1288" s="961"/>
      <c r="D1288" s="961"/>
      <c r="E1288" s="961"/>
      <c r="F1288" s="961"/>
      <c r="G1288" s="961"/>
      <c r="H1288" s="961"/>
      <c r="I1288" s="961"/>
    </row>
    <row r="1289" spans="1:9">
      <c r="A1289" s="961"/>
      <c r="B1289" s="961"/>
      <c r="C1289" s="961"/>
      <c r="D1289" s="961"/>
      <c r="E1289" s="961"/>
      <c r="F1289" s="961"/>
      <c r="G1289" s="961"/>
      <c r="H1289" s="961"/>
      <c r="I1289" s="961"/>
    </row>
    <row r="1290" spans="1:9">
      <c r="A1290" s="961"/>
      <c r="B1290" s="961"/>
      <c r="C1290" s="961"/>
      <c r="D1290" s="961"/>
      <c r="E1290" s="961"/>
      <c r="F1290" s="961"/>
      <c r="G1290" s="961"/>
      <c r="H1290" s="961"/>
      <c r="I1290" s="961"/>
    </row>
    <row r="1291" spans="1:9">
      <c r="A1291" s="961"/>
      <c r="B1291" s="961"/>
      <c r="C1291" s="961"/>
      <c r="D1291" s="961"/>
      <c r="E1291" s="961"/>
      <c r="F1291" s="961"/>
      <c r="G1291" s="961"/>
      <c r="H1291" s="961"/>
      <c r="I1291" s="961"/>
    </row>
    <row r="1292" spans="1:9">
      <c r="A1292" s="961"/>
      <c r="B1292" s="961"/>
      <c r="C1292" s="961"/>
      <c r="D1292" s="961"/>
      <c r="E1292" s="961"/>
      <c r="F1292" s="961"/>
      <c r="G1292" s="961"/>
      <c r="H1292" s="961"/>
      <c r="I1292" s="961"/>
    </row>
    <row r="1293" spans="1:9">
      <c r="A1293" s="961"/>
      <c r="B1293" s="961"/>
      <c r="C1293" s="961"/>
      <c r="D1293" s="961"/>
      <c r="E1293" s="961"/>
      <c r="F1293" s="961"/>
      <c r="G1293" s="961"/>
      <c r="H1293" s="961"/>
      <c r="I1293" s="961"/>
    </row>
    <row r="1294" spans="1:9">
      <c r="A1294" s="961"/>
      <c r="B1294" s="961"/>
      <c r="C1294" s="961"/>
      <c r="D1294" s="961"/>
      <c r="E1294" s="961"/>
      <c r="F1294" s="961"/>
      <c r="G1294" s="961"/>
      <c r="H1294" s="961"/>
      <c r="I1294" s="961"/>
    </row>
    <row r="1295" spans="1:9">
      <c r="A1295" s="961"/>
      <c r="B1295" s="961"/>
      <c r="C1295" s="961"/>
      <c r="D1295" s="961"/>
      <c r="E1295" s="961"/>
      <c r="F1295" s="961"/>
      <c r="G1295" s="961"/>
      <c r="H1295" s="961"/>
      <c r="I1295" s="961"/>
    </row>
    <row r="1296" spans="1:9">
      <c r="A1296" s="961"/>
      <c r="B1296" s="961"/>
      <c r="C1296" s="961"/>
      <c r="D1296" s="961"/>
      <c r="E1296" s="961"/>
      <c r="F1296" s="961"/>
      <c r="G1296" s="961"/>
      <c r="H1296" s="961"/>
      <c r="I1296" s="961"/>
    </row>
    <row r="1297" spans="1:9">
      <c r="A1297" s="961"/>
      <c r="B1297" s="961"/>
      <c r="C1297" s="961"/>
      <c r="D1297" s="961"/>
      <c r="E1297" s="961"/>
      <c r="F1297" s="961"/>
      <c r="G1297" s="961"/>
      <c r="H1297" s="961"/>
      <c r="I1297" s="961"/>
    </row>
    <row r="1298" spans="1:9">
      <c r="A1298" s="961"/>
      <c r="B1298" s="961"/>
      <c r="C1298" s="961"/>
      <c r="D1298" s="961"/>
      <c r="E1298" s="961"/>
      <c r="F1298" s="961"/>
      <c r="G1298" s="961"/>
      <c r="H1298" s="961"/>
      <c r="I1298" s="961"/>
    </row>
    <row r="1299" spans="1:9">
      <c r="A1299" s="961"/>
      <c r="B1299" s="961"/>
      <c r="C1299" s="961"/>
      <c r="D1299" s="961"/>
      <c r="E1299" s="961"/>
      <c r="F1299" s="961"/>
      <c r="G1299" s="961"/>
      <c r="H1299" s="961"/>
      <c r="I1299" s="961"/>
    </row>
    <row r="1300" spans="1:9">
      <c r="A1300" s="961"/>
      <c r="B1300" s="961"/>
      <c r="C1300" s="961"/>
      <c r="D1300" s="961"/>
      <c r="E1300" s="961"/>
      <c r="F1300" s="961"/>
      <c r="G1300" s="961"/>
      <c r="H1300" s="961"/>
      <c r="I1300" s="961"/>
    </row>
    <row r="1301" spans="1:9">
      <c r="A1301" s="961"/>
      <c r="B1301" s="961"/>
      <c r="C1301" s="961"/>
      <c r="D1301" s="961"/>
      <c r="E1301" s="961"/>
      <c r="F1301" s="961"/>
      <c r="G1301" s="961"/>
      <c r="H1301" s="961"/>
      <c r="I1301" s="961"/>
    </row>
    <row r="1302" spans="1:9">
      <c r="A1302" s="961"/>
      <c r="B1302" s="961"/>
      <c r="C1302" s="961"/>
      <c r="D1302" s="961"/>
      <c r="E1302" s="961"/>
      <c r="F1302" s="961"/>
      <c r="G1302" s="961"/>
      <c r="H1302" s="961"/>
      <c r="I1302" s="961"/>
    </row>
    <row r="1303" spans="1:9">
      <c r="A1303" s="961"/>
      <c r="B1303" s="961"/>
      <c r="C1303" s="961"/>
      <c r="D1303" s="961"/>
      <c r="E1303" s="961"/>
      <c r="F1303" s="961"/>
      <c r="G1303" s="961"/>
      <c r="H1303" s="961"/>
      <c r="I1303" s="961"/>
    </row>
    <row r="1304" spans="1:9">
      <c r="A1304" s="961"/>
      <c r="B1304" s="961"/>
      <c r="C1304" s="961"/>
      <c r="D1304" s="961"/>
      <c r="E1304" s="961"/>
      <c r="F1304" s="961"/>
      <c r="G1304" s="961"/>
      <c r="H1304" s="961"/>
      <c r="I1304" s="961"/>
    </row>
    <row r="1305" spans="1:9">
      <c r="A1305" s="961"/>
      <c r="B1305" s="961"/>
      <c r="C1305" s="961"/>
      <c r="D1305" s="961"/>
      <c r="E1305" s="961"/>
      <c r="F1305" s="961"/>
      <c r="G1305" s="961"/>
      <c r="H1305" s="961"/>
      <c r="I1305" s="961"/>
    </row>
    <row r="1306" spans="1:9">
      <c r="A1306" s="961"/>
      <c r="B1306" s="961"/>
      <c r="C1306" s="961"/>
      <c r="D1306" s="961"/>
      <c r="E1306" s="961"/>
      <c r="F1306" s="961"/>
      <c r="G1306" s="961"/>
      <c r="H1306" s="961"/>
      <c r="I1306" s="961"/>
    </row>
    <row r="1307" spans="1:9">
      <c r="A1307" s="961"/>
      <c r="B1307" s="961"/>
      <c r="C1307" s="961"/>
      <c r="D1307" s="961"/>
      <c r="E1307" s="961"/>
      <c r="F1307" s="961"/>
      <c r="G1307" s="961"/>
      <c r="H1307" s="961"/>
      <c r="I1307" s="961"/>
    </row>
    <row r="1308" spans="1:9">
      <c r="A1308" s="961"/>
      <c r="B1308" s="961"/>
      <c r="C1308" s="961"/>
      <c r="D1308" s="961"/>
      <c r="E1308" s="961"/>
      <c r="F1308" s="961"/>
      <c r="G1308" s="961"/>
      <c r="H1308" s="961"/>
      <c r="I1308" s="961"/>
    </row>
    <row r="1309" spans="1:9">
      <c r="A1309" s="961"/>
      <c r="B1309" s="961"/>
      <c r="C1309" s="961"/>
      <c r="D1309" s="961"/>
      <c r="E1309" s="961"/>
      <c r="F1309" s="961"/>
      <c r="G1309" s="961"/>
      <c r="H1309" s="961"/>
      <c r="I1309" s="961"/>
    </row>
    <row r="1310" spans="1:9">
      <c r="A1310" s="961"/>
      <c r="B1310" s="961"/>
      <c r="C1310" s="961"/>
      <c r="D1310" s="961"/>
      <c r="E1310" s="961"/>
      <c r="F1310" s="961"/>
      <c r="G1310" s="961"/>
      <c r="H1310" s="961"/>
      <c r="I1310" s="961"/>
    </row>
    <row r="1311" spans="1:9">
      <c r="A1311" s="961"/>
      <c r="B1311" s="961"/>
      <c r="C1311" s="961"/>
      <c r="D1311" s="961"/>
      <c r="E1311" s="961"/>
      <c r="F1311" s="961"/>
      <c r="G1311" s="961"/>
      <c r="H1311" s="961"/>
      <c r="I1311" s="961"/>
    </row>
    <row r="1312" spans="1:9">
      <c r="A1312" s="961"/>
      <c r="B1312" s="961"/>
      <c r="C1312" s="961"/>
      <c r="D1312" s="961"/>
      <c r="E1312" s="961"/>
      <c r="F1312" s="961"/>
      <c r="G1312" s="961"/>
      <c r="H1312" s="961"/>
      <c r="I1312" s="961"/>
    </row>
    <row r="1313" spans="1:9">
      <c r="A1313" s="961"/>
      <c r="B1313" s="961"/>
      <c r="C1313" s="961"/>
      <c r="D1313" s="961"/>
      <c r="E1313" s="961"/>
      <c r="F1313" s="961"/>
      <c r="G1313" s="961"/>
      <c r="H1313" s="961"/>
      <c r="I1313" s="961"/>
    </row>
    <row r="1314" spans="1:9">
      <c r="A1314" s="961"/>
      <c r="B1314" s="961"/>
      <c r="C1314" s="961"/>
      <c r="D1314" s="961"/>
      <c r="E1314" s="961"/>
      <c r="F1314" s="961"/>
      <c r="G1314" s="961"/>
      <c r="H1314" s="961"/>
      <c r="I1314" s="961"/>
    </row>
    <row r="1315" spans="1:9">
      <c r="A1315" s="961"/>
      <c r="B1315" s="961"/>
      <c r="C1315" s="961"/>
      <c r="D1315" s="961"/>
      <c r="E1315" s="961"/>
      <c r="F1315" s="961"/>
      <c r="G1315" s="961"/>
      <c r="H1315" s="961"/>
      <c r="I1315" s="961"/>
    </row>
    <row r="1316" spans="1:9">
      <c r="A1316" s="961"/>
      <c r="B1316" s="961"/>
      <c r="C1316" s="961"/>
      <c r="D1316" s="961"/>
      <c r="E1316" s="961"/>
      <c r="F1316" s="961"/>
      <c r="G1316" s="961"/>
      <c r="H1316" s="961"/>
      <c r="I1316" s="961"/>
    </row>
    <row r="1317" spans="1:9">
      <c r="A1317" s="961"/>
      <c r="B1317" s="961"/>
      <c r="C1317" s="961"/>
      <c r="D1317" s="961"/>
      <c r="E1317" s="961"/>
      <c r="F1317" s="961"/>
      <c r="G1317" s="961"/>
      <c r="H1317" s="961"/>
      <c r="I1317" s="961"/>
    </row>
    <row r="1318" spans="1:9">
      <c r="A1318" s="961"/>
      <c r="B1318" s="961"/>
      <c r="C1318" s="961"/>
      <c r="D1318" s="961"/>
      <c r="E1318" s="961"/>
      <c r="F1318" s="961"/>
      <c r="G1318" s="961"/>
      <c r="H1318" s="961"/>
      <c r="I1318" s="961"/>
    </row>
    <row r="1319" spans="1:9">
      <c r="A1319" s="961"/>
      <c r="B1319" s="961"/>
      <c r="C1319" s="961"/>
      <c r="D1319" s="961"/>
      <c r="E1319" s="961"/>
      <c r="F1319" s="961"/>
      <c r="G1319" s="961"/>
      <c r="H1319" s="961"/>
      <c r="I1319" s="961"/>
    </row>
    <row r="1320" spans="1:9">
      <c r="A1320" s="961"/>
      <c r="B1320" s="961"/>
      <c r="C1320" s="961"/>
      <c r="D1320" s="961"/>
      <c r="E1320" s="961"/>
      <c r="F1320" s="961"/>
      <c r="G1320" s="961"/>
      <c r="H1320" s="961"/>
      <c r="I1320" s="961"/>
    </row>
    <row r="1321" spans="1:9">
      <c r="A1321" s="961"/>
      <c r="B1321" s="961"/>
      <c r="C1321" s="961"/>
      <c r="D1321" s="961"/>
      <c r="E1321" s="961"/>
      <c r="F1321" s="961"/>
      <c r="G1321" s="961"/>
      <c r="H1321" s="961"/>
      <c r="I1321" s="961"/>
    </row>
    <row r="1322" spans="1:9">
      <c r="A1322" s="961"/>
      <c r="B1322" s="961"/>
      <c r="C1322" s="961"/>
      <c r="D1322" s="961"/>
      <c r="E1322" s="961"/>
      <c r="F1322" s="961"/>
      <c r="G1322" s="961"/>
      <c r="H1322" s="961"/>
      <c r="I1322" s="961"/>
    </row>
    <row r="1323" spans="1:9">
      <c r="A1323" s="961"/>
      <c r="B1323" s="961"/>
      <c r="C1323" s="961"/>
      <c r="D1323" s="961"/>
      <c r="E1323" s="961"/>
      <c r="F1323" s="961"/>
      <c r="G1323" s="961"/>
      <c r="H1323" s="961"/>
      <c r="I1323" s="961"/>
    </row>
    <row r="1324" spans="1:9">
      <c r="A1324" s="961"/>
      <c r="B1324" s="961"/>
      <c r="C1324" s="961"/>
      <c r="D1324" s="961"/>
      <c r="E1324" s="961"/>
      <c r="F1324" s="961"/>
      <c r="G1324" s="961"/>
      <c r="H1324" s="961"/>
      <c r="I1324" s="961"/>
    </row>
    <row r="1325" spans="1:9">
      <c r="A1325" s="961"/>
      <c r="B1325" s="961"/>
      <c r="C1325" s="961"/>
      <c r="D1325" s="961"/>
      <c r="E1325" s="961"/>
      <c r="F1325" s="961"/>
      <c r="G1325" s="961"/>
      <c r="H1325" s="961"/>
      <c r="I1325" s="961"/>
    </row>
    <row r="1326" spans="1:9">
      <c r="A1326" s="961"/>
      <c r="B1326" s="961"/>
      <c r="C1326" s="961"/>
      <c r="D1326" s="961"/>
      <c r="E1326" s="961"/>
      <c r="F1326" s="961"/>
      <c r="G1326" s="961"/>
      <c r="H1326" s="961"/>
      <c r="I1326" s="961"/>
    </row>
    <row r="1327" spans="1:9">
      <c r="A1327" s="961"/>
      <c r="B1327" s="961"/>
      <c r="C1327" s="961"/>
      <c r="D1327" s="961"/>
      <c r="E1327" s="961"/>
      <c r="F1327" s="961"/>
      <c r="G1327" s="961"/>
      <c r="H1327" s="961"/>
      <c r="I1327" s="961"/>
    </row>
    <row r="1328" spans="1:9">
      <c r="A1328" s="961"/>
      <c r="B1328" s="961"/>
      <c r="C1328" s="961"/>
      <c r="D1328" s="961"/>
      <c r="E1328" s="961"/>
      <c r="F1328" s="961"/>
      <c r="G1328" s="961"/>
      <c r="H1328" s="961"/>
      <c r="I1328" s="961"/>
    </row>
    <row r="1329" spans="1:9">
      <c r="A1329" s="961"/>
      <c r="B1329" s="961"/>
      <c r="C1329" s="961"/>
      <c r="D1329" s="961"/>
      <c r="E1329" s="961"/>
      <c r="F1329" s="961"/>
      <c r="G1329" s="961"/>
      <c r="H1329" s="961"/>
      <c r="I1329" s="961"/>
    </row>
    <row r="1330" spans="1:9">
      <c r="A1330" s="961"/>
      <c r="B1330" s="961"/>
      <c r="C1330" s="961"/>
      <c r="D1330" s="961"/>
      <c r="E1330" s="961"/>
      <c r="F1330" s="961"/>
      <c r="G1330" s="961"/>
      <c r="H1330" s="961"/>
      <c r="I1330" s="961"/>
    </row>
    <row r="1331" spans="1:9">
      <c r="A1331" s="961"/>
      <c r="B1331" s="961"/>
      <c r="C1331" s="961"/>
      <c r="D1331" s="961"/>
      <c r="E1331" s="961"/>
      <c r="F1331" s="961"/>
      <c r="G1331" s="961"/>
      <c r="H1331" s="961"/>
      <c r="I1331" s="961"/>
    </row>
    <row r="1332" spans="1:9">
      <c r="A1332" s="961"/>
      <c r="B1332" s="961"/>
      <c r="C1332" s="961"/>
      <c r="D1332" s="961"/>
      <c r="E1332" s="961"/>
      <c r="F1332" s="961"/>
      <c r="G1332" s="961"/>
      <c r="H1332" s="961"/>
      <c r="I1332" s="961"/>
    </row>
    <row r="1333" spans="1:9">
      <c r="A1333" s="961"/>
      <c r="B1333" s="961"/>
      <c r="C1333" s="961"/>
      <c r="D1333" s="961"/>
      <c r="E1333" s="961"/>
      <c r="F1333" s="961"/>
      <c r="G1333" s="961"/>
      <c r="H1333" s="961"/>
      <c r="I1333" s="961"/>
    </row>
    <row r="1334" spans="1:9">
      <c r="A1334" s="961"/>
      <c r="B1334" s="961"/>
      <c r="C1334" s="961"/>
      <c r="D1334" s="961"/>
      <c r="E1334" s="961"/>
      <c r="F1334" s="961"/>
      <c r="G1334" s="961"/>
      <c r="H1334" s="961"/>
      <c r="I1334" s="961"/>
    </row>
    <row r="1335" spans="1:9">
      <c r="A1335" s="961"/>
      <c r="B1335" s="961"/>
      <c r="C1335" s="961"/>
      <c r="D1335" s="961"/>
      <c r="E1335" s="961"/>
      <c r="F1335" s="961"/>
      <c r="G1335" s="961"/>
      <c r="H1335" s="961"/>
      <c r="I1335" s="961"/>
    </row>
    <row r="1336" spans="1:9">
      <c r="A1336" s="961"/>
      <c r="B1336" s="961"/>
      <c r="C1336" s="961"/>
      <c r="D1336" s="961"/>
      <c r="E1336" s="961"/>
      <c r="F1336" s="961"/>
      <c r="G1336" s="961"/>
      <c r="H1336" s="961"/>
      <c r="I1336" s="961"/>
    </row>
    <row r="1337" spans="1:9">
      <c r="A1337" s="961"/>
      <c r="B1337" s="961"/>
      <c r="C1337" s="961"/>
      <c r="D1337" s="961"/>
      <c r="E1337" s="961"/>
      <c r="F1337" s="961"/>
      <c r="G1337" s="961"/>
      <c r="H1337" s="961"/>
      <c r="I1337" s="961"/>
    </row>
    <row r="1338" spans="1:9">
      <c r="A1338" s="961"/>
      <c r="B1338" s="961"/>
      <c r="C1338" s="961"/>
      <c r="D1338" s="961"/>
      <c r="E1338" s="961"/>
      <c r="F1338" s="961"/>
      <c r="G1338" s="961"/>
      <c r="H1338" s="961"/>
      <c r="I1338" s="961"/>
    </row>
    <row r="1339" spans="1:9">
      <c r="A1339" s="961"/>
      <c r="B1339" s="961"/>
      <c r="C1339" s="961"/>
      <c r="D1339" s="961"/>
      <c r="E1339" s="961"/>
      <c r="F1339" s="961"/>
      <c r="G1339" s="961"/>
      <c r="H1339" s="961"/>
      <c r="I1339" s="961"/>
    </row>
    <row r="1340" spans="1:9">
      <c r="A1340" s="961"/>
      <c r="B1340" s="961"/>
      <c r="C1340" s="961"/>
      <c r="D1340" s="961"/>
      <c r="E1340" s="961"/>
      <c r="F1340" s="961"/>
      <c r="G1340" s="961"/>
      <c r="H1340" s="961"/>
      <c r="I1340" s="961"/>
    </row>
    <row r="1341" spans="1:9">
      <c r="A1341" s="961"/>
      <c r="B1341" s="961"/>
      <c r="C1341" s="961"/>
      <c r="D1341" s="961"/>
      <c r="E1341" s="961"/>
      <c r="F1341" s="961"/>
      <c r="G1341" s="961"/>
      <c r="H1341" s="961"/>
      <c r="I1341" s="961"/>
    </row>
    <row r="1342" spans="1:9">
      <c r="A1342" s="961"/>
      <c r="B1342" s="961"/>
      <c r="C1342" s="961"/>
      <c r="D1342" s="961"/>
      <c r="E1342" s="961"/>
      <c r="F1342" s="961"/>
      <c r="G1342" s="961"/>
      <c r="H1342" s="961"/>
      <c r="I1342" s="961"/>
    </row>
    <row r="1343" spans="1:9">
      <c r="A1343" s="961"/>
      <c r="B1343" s="961"/>
      <c r="C1343" s="961"/>
      <c r="D1343" s="961"/>
      <c r="E1343" s="961"/>
      <c r="F1343" s="961"/>
      <c r="G1343" s="961"/>
      <c r="H1343" s="961"/>
      <c r="I1343" s="961"/>
    </row>
    <row r="1344" spans="1:9">
      <c r="A1344" s="961"/>
      <c r="B1344" s="961"/>
      <c r="C1344" s="961"/>
      <c r="D1344" s="961"/>
      <c r="E1344" s="961"/>
      <c r="F1344" s="961"/>
      <c r="G1344" s="961"/>
      <c r="H1344" s="961"/>
      <c r="I1344" s="961"/>
    </row>
    <row r="1345" spans="1:9">
      <c r="A1345" s="961"/>
      <c r="B1345" s="961"/>
      <c r="C1345" s="961"/>
      <c r="D1345" s="961"/>
      <c r="E1345" s="961"/>
      <c r="F1345" s="961"/>
      <c r="G1345" s="961"/>
      <c r="H1345" s="961"/>
      <c r="I1345" s="961"/>
    </row>
    <row r="1346" spans="1:9">
      <c r="A1346" s="961"/>
      <c r="B1346" s="961"/>
      <c r="C1346" s="961"/>
      <c r="D1346" s="961"/>
      <c r="E1346" s="961"/>
      <c r="F1346" s="961"/>
      <c r="G1346" s="961"/>
      <c r="H1346" s="961"/>
      <c r="I1346" s="961"/>
    </row>
    <row r="1347" spans="1:9">
      <c r="A1347" s="961"/>
      <c r="B1347" s="961"/>
      <c r="C1347" s="961"/>
      <c r="D1347" s="961"/>
      <c r="E1347" s="961"/>
      <c r="F1347" s="961"/>
      <c r="G1347" s="961"/>
      <c r="H1347" s="961"/>
      <c r="I1347" s="961"/>
    </row>
    <row r="1348" spans="1:9">
      <c r="A1348" s="961"/>
      <c r="B1348" s="961"/>
      <c r="C1348" s="961"/>
      <c r="D1348" s="961"/>
      <c r="E1348" s="961"/>
      <c r="F1348" s="961"/>
      <c r="G1348" s="961"/>
      <c r="H1348" s="961"/>
      <c r="I1348" s="961"/>
    </row>
    <row r="1349" spans="1:9">
      <c r="A1349" s="961"/>
      <c r="B1349" s="961"/>
      <c r="C1349" s="961"/>
      <c r="D1349" s="961"/>
      <c r="E1349" s="961"/>
      <c r="F1349" s="961"/>
      <c r="G1349" s="961"/>
      <c r="H1349" s="961"/>
      <c r="I1349" s="961"/>
    </row>
    <row r="1350" spans="1:9">
      <c r="A1350" s="961"/>
      <c r="B1350" s="961"/>
      <c r="C1350" s="961"/>
      <c r="D1350" s="961"/>
      <c r="E1350" s="961"/>
      <c r="F1350" s="961"/>
      <c r="G1350" s="961"/>
      <c r="H1350" s="961"/>
      <c r="I1350" s="961"/>
    </row>
    <row r="1351" spans="1:9">
      <c r="A1351" s="961"/>
      <c r="B1351" s="961"/>
      <c r="C1351" s="961"/>
      <c r="D1351" s="961"/>
      <c r="E1351" s="961"/>
      <c r="F1351" s="961"/>
      <c r="G1351" s="961"/>
      <c r="H1351" s="961"/>
      <c r="I1351" s="961"/>
    </row>
    <row r="1352" spans="1:9">
      <c r="A1352" s="961"/>
      <c r="B1352" s="961"/>
      <c r="C1352" s="961"/>
      <c r="D1352" s="961"/>
      <c r="E1352" s="961"/>
      <c r="F1352" s="961"/>
      <c r="G1352" s="961"/>
      <c r="H1352" s="961"/>
      <c r="I1352" s="961"/>
    </row>
    <row r="1353" spans="1:9">
      <c r="A1353" s="961"/>
      <c r="B1353" s="961"/>
      <c r="C1353" s="961"/>
      <c r="D1353" s="961"/>
      <c r="E1353" s="961"/>
      <c r="F1353" s="961"/>
      <c r="G1353" s="961"/>
      <c r="H1353" s="961"/>
      <c r="I1353" s="961"/>
    </row>
    <row r="1354" spans="1:9">
      <c r="A1354" s="961"/>
      <c r="B1354" s="961"/>
      <c r="C1354" s="961"/>
      <c r="D1354" s="961"/>
      <c r="E1354" s="961"/>
      <c r="F1354" s="961"/>
      <c r="G1354" s="961"/>
      <c r="H1354" s="961"/>
      <c r="I1354" s="961"/>
    </row>
    <row r="1355" spans="1:9">
      <c r="A1355" s="961"/>
      <c r="B1355" s="961"/>
      <c r="C1355" s="961"/>
      <c r="D1355" s="961"/>
      <c r="E1355" s="961"/>
      <c r="F1355" s="961"/>
      <c r="G1355" s="961"/>
      <c r="H1355" s="961"/>
      <c r="I1355" s="961"/>
    </row>
    <row r="1356" spans="1:9">
      <c r="A1356" s="961"/>
      <c r="B1356" s="961"/>
      <c r="C1356" s="961"/>
      <c r="D1356" s="961"/>
      <c r="E1356" s="961"/>
      <c r="F1356" s="961"/>
      <c r="G1356" s="961"/>
      <c r="H1356" s="961"/>
      <c r="I1356" s="961"/>
    </row>
    <row r="1357" spans="1:9">
      <c r="A1357" s="961"/>
      <c r="B1357" s="961"/>
      <c r="C1357" s="961"/>
      <c r="D1357" s="961"/>
      <c r="E1357" s="961"/>
      <c r="F1357" s="961"/>
      <c r="G1357" s="961"/>
      <c r="H1357" s="961"/>
      <c r="I1357" s="961"/>
    </row>
    <row r="1358" spans="1:9">
      <c r="A1358" s="961"/>
      <c r="B1358" s="961"/>
      <c r="C1358" s="961"/>
      <c r="D1358" s="961"/>
      <c r="E1358" s="961"/>
      <c r="F1358" s="961"/>
      <c r="G1358" s="961"/>
      <c r="H1358" s="961"/>
      <c r="I1358" s="961"/>
    </row>
    <row r="1359" spans="1:9">
      <c r="A1359" s="961"/>
      <c r="B1359" s="961"/>
      <c r="C1359" s="961"/>
      <c r="D1359" s="961"/>
      <c r="E1359" s="961"/>
      <c r="F1359" s="961"/>
      <c r="G1359" s="961"/>
      <c r="H1359" s="961"/>
      <c r="I1359" s="961"/>
    </row>
    <row r="1360" spans="1:9">
      <c r="A1360" s="961"/>
      <c r="B1360" s="961"/>
      <c r="C1360" s="961"/>
      <c r="D1360" s="961"/>
      <c r="E1360" s="961"/>
      <c r="F1360" s="961"/>
      <c r="G1360" s="961"/>
      <c r="H1360" s="961"/>
      <c r="I1360" s="961"/>
    </row>
    <row r="1361" spans="1:9">
      <c r="A1361" s="961"/>
      <c r="B1361" s="961"/>
      <c r="C1361" s="961"/>
      <c r="D1361" s="961"/>
      <c r="E1361" s="961"/>
      <c r="F1361" s="961"/>
      <c r="G1361" s="961"/>
      <c r="H1361" s="961"/>
      <c r="I1361" s="961"/>
    </row>
    <row r="1362" spans="1:9">
      <c r="A1362" s="961"/>
      <c r="B1362" s="961"/>
      <c r="C1362" s="961"/>
      <c r="D1362" s="961"/>
      <c r="E1362" s="961"/>
      <c r="F1362" s="961"/>
      <c r="G1362" s="961"/>
      <c r="H1362" s="961"/>
      <c r="I1362" s="961"/>
    </row>
    <row r="1363" spans="1:9">
      <c r="A1363" s="961"/>
      <c r="B1363" s="961"/>
      <c r="C1363" s="961"/>
      <c r="D1363" s="961"/>
      <c r="E1363" s="961"/>
      <c r="F1363" s="961"/>
      <c r="G1363" s="961"/>
      <c r="H1363" s="961"/>
      <c r="I1363" s="961"/>
    </row>
    <row r="1364" spans="1:9">
      <c r="A1364" s="961"/>
      <c r="B1364" s="961"/>
      <c r="C1364" s="961"/>
      <c r="D1364" s="961"/>
      <c r="E1364" s="961"/>
      <c r="F1364" s="961"/>
      <c r="G1364" s="961"/>
      <c r="H1364" s="961"/>
      <c r="I1364" s="961"/>
    </row>
    <row r="1365" spans="1:9">
      <c r="A1365" s="961"/>
      <c r="B1365" s="961"/>
      <c r="C1365" s="961"/>
      <c r="D1365" s="961"/>
      <c r="E1365" s="961"/>
      <c r="F1365" s="961"/>
      <c r="G1365" s="961"/>
      <c r="H1365" s="961"/>
      <c r="I1365" s="961"/>
    </row>
    <row r="1366" spans="1:9">
      <c r="A1366" s="961"/>
      <c r="B1366" s="961"/>
      <c r="C1366" s="961"/>
      <c r="D1366" s="961"/>
      <c r="E1366" s="961"/>
      <c r="F1366" s="961"/>
      <c r="G1366" s="961"/>
      <c r="H1366" s="961"/>
      <c r="I1366" s="961"/>
    </row>
    <row r="1367" spans="1:9">
      <c r="A1367" s="961"/>
      <c r="B1367" s="961"/>
      <c r="C1367" s="961"/>
      <c r="D1367" s="961"/>
      <c r="E1367" s="961"/>
      <c r="F1367" s="961"/>
      <c r="G1367" s="961"/>
      <c r="H1367" s="961"/>
      <c r="I1367" s="961"/>
    </row>
    <row r="1368" spans="1:9">
      <c r="A1368" s="961"/>
      <c r="B1368" s="961"/>
      <c r="C1368" s="961"/>
      <c r="D1368" s="961"/>
      <c r="E1368" s="961"/>
      <c r="F1368" s="961"/>
      <c r="G1368" s="961"/>
      <c r="H1368" s="961"/>
      <c r="I1368" s="961"/>
    </row>
    <row r="1369" spans="1:9">
      <c r="A1369" s="961"/>
      <c r="B1369" s="961"/>
      <c r="C1369" s="961"/>
      <c r="D1369" s="961"/>
      <c r="E1369" s="961"/>
      <c r="F1369" s="961"/>
      <c r="G1369" s="961"/>
      <c r="H1369" s="961"/>
      <c r="I1369" s="961"/>
    </row>
    <row r="1370" spans="1:9">
      <c r="A1370" s="961"/>
      <c r="B1370" s="961"/>
      <c r="C1370" s="961"/>
      <c r="D1370" s="961"/>
      <c r="E1370" s="961"/>
      <c r="F1370" s="961"/>
      <c r="G1370" s="961"/>
      <c r="H1370" s="961"/>
      <c r="I1370" s="961"/>
    </row>
    <row r="1371" spans="1:9">
      <c r="A1371" s="961"/>
      <c r="B1371" s="961"/>
      <c r="C1371" s="961"/>
      <c r="D1371" s="961"/>
      <c r="E1371" s="961"/>
      <c r="F1371" s="961"/>
      <c r="G1371" s="961"/>
      <c r="H1371" s="961"/>
      <c r="I1371" s="961"/>
    </row>
    <row r="1372" spans="1:9">
      <c r="A1372" s="961"/>
      <c r="B1372" s="961"/>
      <c r="C1372" s="961"/>
      <c r="D1372" s="961"/>
      <c r="E1372" s="961"/>
      <c r="F1372" s="961"/>
      <c r="G1372" s="961"/>
      <c r="H1372" s="961"/>
      <c r="I1372" s="961"/>
    </row>
    <row r="1373" spans="1:9">
      <c r="A1373" s="961"/>
      <c r="B1373" s="961"/>
      <c r="C1373" s="961"/>
      <c r="D1373" s="961"/>
      <c r="E1373" s="961"/>
      <c r="F1373" s="961"/>
      <c r="G1373" s="961"/>
      <c r="H1373" s="961"/>
      <c r="I1373" s="961"/>
    </row>
    <row r="1374" spans="1:9">
      <c r="A1374" s="961"/>
      <c r="B1374" s="961"/>
      <c r="C1374" s="961"/>
      <c r="D1374" s="961"/>
      <c r="E1374" s="961"/>
      <c r="F1374" s="961"/>
      <c r="G1374" s="961"/>
      <c r="H1374" s="961"/>
      <c r="I1374" s="961"/>
    </row>
    <row r="1375" spans="1:9">
      <c r="A1375" s="961"/>
      <c r="B1375" s="961"/>
      <c r="C1375" s="961"/>
      <c r="D1375" s="961"/>
      <c r="E1375" s="961"/>
      <c r="F1375" s="961"/>
      <c r="G1375" s="961"/>
      <c r="H1375" s="961"/>
      <c r="I1375" s="961"/>
    </row>
    <row r="1376" spans="1:9">
      <c r="A1376" s="961"/>
      <c r="B1376" s="961"/>
      <c r="C1376" s="961"/>
      <c r="D1376" s="961"/>
      <c r="E1376" s="961"/>
      <c r="F1376" s="961"/>
      <c r="G1376" s="961"/>
      <c r="H1376" s="961"/>
      <c r="I1376" s="961"/>
    </row>
    <row r="1377" spans="1:9">
      <c r="A1377" s="961"/>
      <c r="B1377" s="961"/>
      <c r="C1377" s="961"/>
      <c r="D1377" s="961"/>
      <c r="E1377" s="961"/>
      <c r="F1377" s="961"/>
      <c r="G1377" s="961"/>
      <c r="H1377" s="961"/>
      <c r="I1377" s="961"/>
    </row>
    <row r="1378" spans="1:9">
      <c r="A1378" s="961"/>
      <c r="B1378" s="961"/>
      <c r="C1378" s="961"/>
      <c r="D1378" s="961"/>
      <c r="E1378" s="961"/>
      <c r="F1378" s="961"/>
      <c r="G1378" s="961"/>
      <c r="H1378" s="961"/>
      <c r="I1378" s="961"/>
    </row>
    <row r="1379" spans="1:9">
      <c r="A1379" s="961"/>
      <c r="B1379" s="961"/>
      <c r="C1379" s="961"/>
      <c r="D1379" s="961"/>
      <c r="E1379" s="961"/>
      <c r="F1379" s="961"/>
      <c r="G1379" s="961"/>
      <c r="H1379" s="961"/>
      <c r="I1379" s="961"/>
    </row>
    <row r="1380" spans="1:9">
      <c r="A1380" s="961"/>
      <c r="B1380" s="961"/>
      <c r="C1380" s="961"/>
      <c r="D1380" s="961"/>
      <c r="E1380" s="961"/>
      <c r="F1380" s="961"/>
      <c r="G1380" s="961"/>
      <c r="H1380" s="961"/>
      <c r="I1380" s="961"/>
    </row>
    <row r="1381" spans="1:9">
      <c r="A1381" s="961"/>
      <c r="B1381" s="961"/>
      <c r="C1381" s="961"/>
      <c r="D1381" s="961"/>
      <c r="E1381" s="961"/>
      <c r="F1381" s="961"/>
      <c r="G1381" s="961"/>
      <c r="H1381" s="961"/>
      <c r="I1381" s="961"/>
    </row>
    <row r="1382" spans="1:9">
      <c r="A1382" s="961"/>
      <c r="B1382" s="961"/>
      <c r="C1382" s="961"/>
      <c r="D1382" s="961"/>
      <c r="E1382" s="961"/>
      <c r="F1382" s="961"/>
      <c r="G1382" s="961"/>
      <c r="H1382" s="961"/>
      <c r="I1382" s="961"/>
    </row>
    <row r="1383" spans="1:9">
      <c r="A1383" s="961"/>
      <c r="B1383" s="961"/>
      <c r="C1383" s="961"/>
      <c r="D1383" s="961"/>
      <c r="E1383" s="961"/>
      <c r="F1383" s="961"/>
      <c r="G1383" s="961"/>
      <c r="H1383" s="961"/>
      <c r="I1383" s="961"/>
    </row>
    <row r="1384" spans="1:9">
      <c r="A1384" s="961"/>
      <c r="B1384" s="961"/>
      <c r="C1384" s="961"/>
      <c r="D1384" s="961"/>
      <c r="E1384" s="961"/>
      <c r="F1384" s="961"/>
      <c r="G1384" s="961"/>
      <c r="H1384" s="961"/>
      <c r="I1384" s="961"/>
    </row>
    <row r="1385" spans="1:9">
      <c r="A1385" s="961"/>
      <c r="B1385" s="961"/>
      <c r="C1385" s="961"/>
      <c r="D1385" s="961"/>
      <c r="E1385" s="961"/>
      <c r="F1385" s="961"/>
      <c r="G1385" s="961"/>
      <c r="H1385" s="961"/>
      <c r="I1385" s="961"/>
    </row>
    <row r="1386" spans="1:9">
      <c r="A1386" s="961"/>
      <c r="B1386" s="961"/>
      <c r="C1386" s="961"/>
      <c r="D1386" s="961"/>
      <c r="E1386" s="961"/>
      <c r="F1386" s="961"/>
      <c r="G1386" s="961"/>
      <c r="H1386" s="961"/>
      <c r="I1386" s="961"/>
    </row>
    <row r="1387" spans="1:9">
      <c r="A1387" s="961"/>
      <c r="B1387" s="961"/>
      <c r="C1387" s="961"/>
      <c r="D1387" s="961"/>
      <c r="E1387" s="961"/>
      <c r="F1387" s="961"/>
      <c r="G1387" s="961"/>
      <c r="H1387" s="961"/>
      <c r="I1387" s="961"/>
    </row>
    <row r="1388" spans="1:9">
      <c r="A1388" s="961"/>
      <c r="B1388" s="961"/>
      <c r="C1388" s="961"/>
      <c r="D1388" s="961"/>
      <c r="E1388" s="961"/>
      <c r="F1388" s="961"/>
      <c r="G1388" s="961"/>
      <c r="H1388" s="961"/>
      <c r="I1388" s="961"/>
    </row>
    <row r="1389" spans="1:9">
      <c r="A1389" s="961"/>
      <c r="B1389" s="961"/>
      <c r="C1389" s="961"/>
      <c r="D1389" s="961"/>
      <c r="E1389" s="961"/>
      <c r="F1389" s="961"/>
      <c r="G1389" s="961"/>
      <c r="H1389" s="961"/>
      <c r="I1389" s="961"/>
    </row>
    <row r="1390" spans="1:9">
      <c r="A1390" s="961"/>
      <c r="B1390" s="961"/>
      <c r="C1390" s="961"/>
      <c r="D1390" s="961"/>
      <c r="E1390" s="961"/>
      <c r="F1390" s="961"/>
      <c r="G1390" s="961"/>
      <c r="H1390" s="961"/>
      <c r="I1390" s="961"/>
    </row>
    <row r="1391" spans="1:9">
      <c r="A1391" s="961"/>
      <c r="B1391" s="961"/>
      <c r="C1391" s="961"/>
      <c r="D1391" s="961"/>
      <c r="E1391" s="961"/>
      <c r="F1391" s="961"/>
      <c r="G1391" s="961"/>
      <c r="H1391" s="961"/>
      <c r="I1391" s="961"/>
    </row>
    <row r="1392" spans="1:9">
      <c r="A1392" s="961"/>
      <c r="B1392" s="961"/>
      <c r="C1392" s="961"/>
      <c r="D1392" s="961"/>
      <c r="E1392" s="961"/>
      <c r="F1392" s="961"/>
      <c r="G1392" s="961"/>
      <c r="H1392" s="961"/>
      <c r="I1392" s="961"/>
    </row>
    <row r="1393" spans="1:9">
      <c r="A1393" s="961"/>
      <c r="B1393" s="961"/>
      <c r="C1393" s="961"/>
      <c r="D1393" s="961"/>
      <c r="E1393" s="961"/>
      <c r="F1393" s="961"/>
      <c r="G1393" s="961"/>
      <c r="H1393" s="961"/>
      <c r="I1393" s="961"/>
    </row>
    <row r="1394" spans="1:9">
      <c r="A1394" s="961"/>
      <c r="B1394" s="961"/>
      <c r="C1394" s="961"/>
      <c r="D1394" s="961"/>
      <c r="E1394" s="961"/>
      <c r="F1394" s="961"/>
      <c r="G1394" s="961"/>
      <c r="H1394" s="961"/>
      <c r="I1394" s="961"/>
    </row>
    <row r="1395" spans="1:9">
      <c r="A1395" s="961"/>
      <c r="B1395" s="961"/>
      <c r="C1395" s="961"/>
      <c r="D1395" s="961"/>
      <c r="E1395" s="961"/>
      <c r="F1395" s="961"/>
      <c r="G1395" s="961"/>
      <c r="H1395" s="961"/>
      <c r="I1395" s="961"/>
    </row>
    <row r="1396" spans="1:9">
      <c r="A1396" s="961"/>
      <c r="B1396" s="961"/>
      <c r="C1396" s="961"/>
      <c r="D1396" s="961"/>
      <c r="E1396" s="961"/>
      <c r="F1396" s="961"/>
      <c r="G1396" s="961"/>
      <c r="H1396" s="961"/>
      <c r="I1396" s="961"/>
    </row>
    <row r="1397" spans="1:9">
      <c r="A1397" s="961"/>
      <c r="B1397" s="961"/>
      <c r="C1397" s="961"/>
      <c r="D1397" s="961"/>
      <c r="E1397" s="961"/>
      <c r="F1397" s="961"/>
      <c r="G1397" s="961"/>
      <c r="H1397" s="961"/>
      <c r="I1397" s="961"/>
    </row>
    <row r="1398" spans="1:9">
      <c r="A1398" s="961"/>
      <c r="B1398" s="961"/>
      <c r="C1398" s="961"/>
      <c r="D1398" s="961"/>
      <c r="E1398" s="961"/>
      <c r="F1398" s="961"/>
      <c r="G1398" s="961"/>
      <c r="H1398" s="961"/>
      <c r="I1398" s="961"/>
    </row>
    <row r="1399" spans="1:9">
      <c r="A1399" s="961"/>
      <c r="B1399" s="961"/>
      <c r="C1399" s="961"/>
      <c r="D1399" s="961"/>
      <c r="E1399" s="961"/>
      <c r="F1399" s="961"/>
      <c r="G1399" s="961"/>
      <c r="H1399" s="961"/>
      <c r="I1399" s="961"/>
    </row>
    <row r="1400" spans="1:9">
      <c r="A1400" s="961"/>
      <c r="B1400" s="961"/>
      <c r="C1400" s="961"/>
      <c r="D1400" s="961"/>
      <c r="E1400" s="961"/>
      <c r="F1400" s="961"/>
      <c r="G1400" s="961"/>
      <c r="H1400" s="961"/>
      <c r="I1400" s="961"/>
    </row>
    <row r="1401" spans="1:9">
      <c r="A1401" s="961"/>
      <c r="B1401" s="961"/>
      <c r="C1401" s="961"/>
      <c r="D1401" s="961"/>
      <c r="E1401" s="961"/>
      <c r="F1401" s="961"/>
      <c r="G1401" s="961"/>
      <c r="H1401" s="961"/>
      <c r="I1401" s="961"/>
    </row>
    <row r="1402" spans="1:9">
      <c r="A1402" s="961"/>
      <c r="B1402" s="961"/>
      <c r="C1402" s="961"/>
      <c r="D1402" s="961"/>
      <c r="E1402" s="961"/>
      <c r="F1402" s="961"/>
      <c r="G1402" s="961"/>
      <c r="H1402" s="961"/>
      <c r="I1402" s="961"/>
    </row>
    <row r="1403" spans="1:9">
      <c r="A1403" s="961"/>
      <c r="B1403" s="961"/>
      <c r="C1403" s="961"/>
      <c r="D1403" s="961"/>
      <c r="E1403" s="961"/>
      <c r="F1403" s="961"/>
      <c r="G1403" s="961"/>
      <c r="H1403" s="961"/>
      <c r="I1403" s="961"/>
    </row>
    <row r="1404" spans="1:9">
      <c r="A1404" s="961"/>
      <c r="B1404" s="961"/>
      <c r="C1404" s="961"/>
      <c r="D1404" s="961"/>
      <c r="E1404" s="961"/>
      <c r="F1404" s="961"/>
      <c r="G1404" s="961"/>
      <c r="H1404" s="961"/>
      <c r="I1404" s="961"/>
    </row>
    <row r="1405" spans="1:9">
      <c r="A1405" s="961"/>
      <c r="B1405" s="961"/>
      <c r="C1405" s="961"/>
      <c r="D1405" s="961"/>
      <c r="E1405" s="961"/>
      <c r="F1405" s="961"/>
      <c r="G1405" s="961"/>
      <c r="H1405" s="961"/>
      <c r="I1405" s="961"/>
    </row>
    <row r="1406" spans="1:9">
      <c r="A1406" s="961"/>
      <c r="B1406" s="961"/>
      <c r="C1406" s="961"/>
      <c r="D1406" s="961"/>
      <c r="E1406" s="961"/>
      <c r="F1406" s="961"/>
      <c r="G1406" s="961"/>
      <c r="H1406" s="961"/>
      <c r="I1406" s="961"/>
    </row>
    <row r="1407" spans="1:9">
      <c r="A1407" s="961"/>
      <c r="B1407" s="961"/>
      <c r="C1407" s="961"/>
      <c r="D1407" s="961"/>
      <c r="E1407" s="961"/>
      <c r="F1407" s="961"/>
      <c r="G1407" s="961"/>
      <c r="H1407" s="961"/>
      <c r="I1407" s="961"/>
    </row>
    <row r="1408" spans="1:9">
      <c r="A1408" s="961"/>
      <c r="B1408" s="961"/>
      <c r="C1408" s="961"/>
      <c r="D1408" s="961"/>
      <c r="E1408" s="961"/>
      <c r="F1408" s="961"/>
      <c r="G1408" s="961"/>
      <c r="H1408" s="961"/>
      <c r="I1408" s="961"/>
    </row>
    <row r="1409" spans="1:9">
      <c r="A1409" s="961"/>
      <c r="B1409" s="961"/>
      <c r="C1409" s="961"/>
      <c r="D1409" s="961"/>
      <c r="E1409" s="961"/>
      <c r="F1409" s="961"/>
      <c r="G1409" s="961"/>
      <c r="H1409" s="961"/>
      <c r="I1409" s="961"/>
    </row>
    <row r="1410" spans="1:9">
      <c r="A1410" s="961"/>
      <c r="B1410" s="961"/>
      <c r="C1410" s="961"/>
      <c r="D1410" s="961"/>
      <c r="E1410" s="961"/>
      <c r="F1410" s="961"/>
      <c r="G1410" s="961"/>
      <c r="H1410" s="961"/>
      <c r="I1410" s="961"/>
    </row>
    <row r="1411" spans="1:9">
      <c r="A1411" s="961"/>
      <c r="B1411" s="961"/>
      <c r="C1411" s="961"/>
      <c r="D1411" s="961"/>
      <c r="E1411" s="961"/>
      <c r="F1411" s="961"/>
      <c r="G1411" s="961"/>
      <c r="H1411" s="961"/>
      <c r="I1411" s="961"/>
    </row>
    <row r="1412" spans="1:9">
      <c r="A1412" s="961"/>
      <c r="B1412" s="961"/>
      <c r="C1412" s="961"/>
      <c r="D1412" s="961"/>
      <c r="E1412" s="961"/>
      <c r="F1412" s="961"/>
      <c r="G1412" s="961"/>
      <c r="H1412" s="961"/>
      <c r="I1412" s="961"/>
    </row>
    <row r="1413" spans="1:9">
      <c r="A1413" s="961"/>
      <c r="B1413" s="961"/>
      <c r="C1413" s="961"/>
      <c r="D1413" s="961"/>
      <c r="E1413" s="961"/>
      <c r="F1413" s="961"/>
      <c r="G1413" s="961"/>
      <c r="H1413" s="961"/>
      <c r="I1413" s="961"/>
    </row>
    <row r="1414" spans="1:9">
      <c r="A1414" s="961"/>
      <c r="B1414" s="961"/>
      <c r="C1414" s="961"/>
      <c r="D1414" s="961"/>
      <c r="E1414" s="961"/>
      <c r="F1414" s="961"/>
      <c r="G1414" s="961"/>
      <c r="H1414" s="961"/>
      <c r="I1414" s="961"/>
    </row>
    <row r="1415" spans="1:9">
      <c r="A1415" s="961"/>
      <c r="B1415" s="961"/>
      <c r="C1415" s="961"/>
      <c r="D1415" s="961"/>
      <c r="E1415" s="961"/>
      <c r="F1415" s="961"/>
      <c r="G1415" s="961"/>
      <c r="H1415" s="961"/>
      <c r="I1415" s="961"/>
    </row>
    <row r="1416" spans="1:9">
      <c r="A1416" s="961"/>
      <c r="B1416" s="961"/>
      <c r="C1416" s="961"/>
      <c r="D1416" s="961"/>
      <c r="E1416" s="961"/>
      <c r="F1416" s="961"/>
      <c r="G1416" s="961"/>
      <c r="H1416" s="961"/>
      <c r="I1416" s="961"/>
    </row>
    <row r="1417" spans="1:9">
      <c r="A1417" s="961"/>
      <c r="B1417" s="961"/>
      <c r="C1417" s="961"/>
      <c r="D1417" s="961"/>
      <c r="E1417" s="961"/>
      <c r="F1417" s="961"/>
      <c r="G1417" s="961"/>
      <c r="H1417" s="961"/>
      <c r="I1417" s="961"/>
    </row>
    <row r="1418" spans="1:9">
      <c r="A1418" s="961"/>
      <c r="B1418" s="961"/>
      <c r="C1418" s="961"/>
      <c r="D1418" s="961"/>
      <c r="E1418" s="961"/>
      <c r="F1418" s="961"/>
      <c r="G1418" s="961"/>
      <c r="H1418" s="961"/>
      <c r="I1418" s="961"/>
    </row>
    <row r="1419" spans="1:9">
      <c r="A1419" s="961"/>
      <c r="B1419" s="961"/>
      <c r="C1419" s="961"/>
      <c r="D1419" s="961"/>
      <c r="E1419" s="961"/>
      <c r="F1419" s="961"/>
      <c r="G1419" s="961"/>
      <c r="H1419" s="961"/>
      <c r="I1419" s="961"/>
    </row>
    <row r="1420" spans="1:9">
      <c r="A1420" s="961"/>
      <c r="B1420" s="961"/>
      <c r="C1420" s="961"/>
      <c r="D1420" s="961"/>
      <c r="E1420" s="961"/>
      <c r="F1420" s="961"/>
      <c r="G1420" s="961"/>
      <c r="H1420" s="961"/>
      <c r="I1420" s="961"/>
    </row>
    <row r="1421" spans="1:9">
      <c r="A1421" s="961"/>
      <c r="B1421" s="961"/>
      <c r="C1421" s="961"/>
      <c r="D1421" s="961"/>
      <c r="E1421" s="961"/>
      <c r="F1421" s="961"/>
      <c r="G1421" s="961"/>
      <c r="H1421" s="961"/>
      <c r="I1421" s="961"/>
    </row>
    <row r="1422" spans="1:9">
      <c r="A1422" s="961"/>
      <c r="B1422" s="961"/>
      <c r="C1422" s="961"/>
      <c r="D1422" s="961"/>
      <c r="E1422" s="961"/>
      <c r="F1422" s="961"/>
      <c r="G1422" s="961"/>
      <c r="H1422" s="961"/>
      <c r="I1422" s="961"/>
    </row>
    <row r="1423" spans="1:9">
      <c r="A1423" s="961"/>
      <c r="B1423" s="961"/>
      <c r="C1423" s="961"/>
      <c r="D1423" s="961"/>
      <c r="E1423" s="961"/>
      <c r="F1423" s="961"/>
      <c r="G1423" s="961"/>
      <c r="H1423" s="961"/>
      <c r="I1423" s="961"/>
    </row>
    <row r="1424" spans="1:9">
      <c r="A1424" s="961"/>
      <c r="B1424" s="961"/>
      <c r="C1424" s="961"/>
      <c r="D1424" s="961"/>
      <c r="E1424" s="961"/>
      <c r="F1424" s="961"/>
      <c r="G1424" s="961"/>
      <c r="H1424" s="961"/>
      <c r="I1424" s="961"/>
    </row>
    <row r="1425" spans="1:9">
      <c r="A1425" s="961"/>
      <c r="B1425" s="961"/>
      <c r="C1425" s="961"/>
      <c r="D1425" s="961"/>
      <c r="E1425" s="961"/>
      <c r="F1425" s="961"/>
      <c r="G1425" s="961"/>
      <c r="H1425" s="961"/>
      <c r="I1425" s="961"/>
    </row>
    <row r="1426" spans="1:9">
      <c r="A1426" s="961"/>
      <c r="B1426" s="961"/>
      <c r="C1426" s="961"/>
      <c r="D1426" s="961"/>
      <c r="E1426" s="961"/>
      <c r="F1426" s="961"/>
      <c r="G1426" s="961"/>
      <c r="H1426" s="961"/>
      <c r="I1426" s="961"/>
    </row>
    <row r="1427" spans="1:9">
      <c r="A1427" s="961"/>
      <c r="B1427" s="961"/>
      <c r="C1427" s="961"/>
      <c r="D1427" s="961"/>
      <c r="E1427" s="961"/>
      <c r="F1427" s="961"/>
      <c r="G1427" s="961"/>
      <c r="H1427" s="961"/>
      <c r="I1427" s="961"/>
    </row>
    <row r="1428" spans="1:9">
      <c r="A1428" s="961"/>
      <c r="B1428" s="961"/>
      <c r="C1428" s="961"/>
      <c r="D1428" s="961"/>
      <c r="E1428" s="961"/>
      <c r="F1428" s="961"/>
      <c r="G1428" s="961"/>
      <c r="H1428" s="961"/>
      <c r="I1428" s="961"/>
    </row>
    <row r="1429" spans="1:9">
      <c r="A1429" s="961"/>
      <c r="B1429" s="961"/>
      <c r="C1429" s="961"/>
      <c r="D1429" s="961"/>
      <c r="E1429" s="961"/>
      <c r="F1429" s="961"/>
      <c r="G1429" s="961"/>
      <c r="H1429" s="961"/>
      <c r="I1429" s="961"/>
    </row>
    <row r="1430" spans="1:9">
      <c r="A1430" s="961"/>
      <c r="B1430" s="961"/>
      <c r="C1430" s="961"/>
      <c r="D1430" s="961"/>
      <c r="E1430" s="961"/>
      <c r="F1430" s="961"/>
      <c r="G1430" s="961"/>
      <c r="H1430" s="961"/>
      <c r="I1430" s="961"/>
    </row>
    <row r="1431" spans="1:9">
      <c r="A1431" s="961"/>
      <c r="B1431" s="961"/>
      <c r="C1431" s="961"/>
      <c r="D1431" s="961"/>
      <c r="E1431" s="961"/>
      <c r="F1431" s="961"/>
      <c r="G1431" s="961"/>
      <c r="H1431" s="961"/>
      <c r="I1431" s="961"/>
    </row>
    <row r="1432" spans="1:9">
      <c r="A1432" s="961"/>
      <c r="B1432" s="961"/>
      <c r="C1432" s="961"/>
      <c r="D1432" s="961"/>
      <c r="E1432" s="961"/>
      <c r="F1432" s="961"/>
      <c r="G1432" s="961"/>
      <c r="H1432" s="961"/>
      <c r="I1432" s="961"/>
    </row>
    <row r="1433" spans="1:9">
      <c r="A1433" s="961"/>
      <c r="B1433" s="961"/>
      <c r="C1433" s="961"/>
      <c r="D1433" s="961"/>
      <c r="E1433" s="961"/>
      <c r="F1433" s="961"/>
      <c r="G1433" s="961"/>
      <c r="H1433" s="961"/>
      <c r="I1433" s="961"/>
    </row>
    <row r="1434" spans="1:9">
      <c r="A1434" s="961"/>
      <c r="B1434" s="961"/>
      <c r="C1434" s="961"/>
      <c r="D1434" s="961"/>
      <c r="E1434" s="961"/>
      <c r="F1434" s="961"/>
      <c r="G1434" s="961"/>
      <c r="H1434" s="961"/>
      <c r="I1434" s="961"/>
    </row>
    <row r="1435" spans="1:9">
      <c r="A1435" s="961"/>
      <c r="B1435" s="961"/>
      <c r="C1435" s="961"/>
      <c r="D1435" s="961"/>
      <c r="E1435" s="961"/>
      <c r="F1435" s="961"/>
      <c r="G1435" s="961"/>
      <c r="H1435" s="961"/>
      <c r="I1435" s="961"/>
    </row>
    <row r="1436" spans="1:9">
      <c r="A1436" s="961"/>
      <c r="B1436" s="961"/>
      <c r="C1436" s="961"/>
      <c r="D1436" s="961"/>
      <c r="E1436" s="961"/>
      <c r="F1436" s="961"/>
      <c r="G1436" s="961"/>
      <c r="H1436" s="961"/>
      <c r="I1436" s="961"/>
    </row>
    <row r="1437" spans="1:9">
      <c r="A1437" s="961"/>
      <c r="B1437" s="961"/>
      <c r="C1437" s="961"/>
      <c r="D1437" s="961"/>
      <c r="E1437" s="961"/>
      <c r="F1437" s="961"/>
      <c r="G1437" s="961"/>
      <c r="H1437" s="961"/>
      <c r="I1437" s="961"/>
    </row>
    <row r="1438" spans="1:9">
      <c r="A1438" s="961"/>
      <c r="B1438" s="961"/>
      <c r="C1438" s="961"/>
      <c r="D1438" s="961"/>
      <c r="E1438" s="961"/>
      <c r="F1438" s="961"/>
      <c r="G1438" s="961"/>
      <c r="H1438" s="961"/>
      <c r="I1438" s="961"/>
    </row>
    <row r="1439" spans="1:9">
      <c r="A1439" s="961"/>
      <c r="B1439" s="961"/>
      <c r="C1439" s="961"/>
      <c r="D1439" s="961"/>
      <c r="E1439" s="961"/>
      <c r="F1439" s="961"/>
      <c r="G1439" s="961"/>
      <c r="H1439" s="961"/>
      <c r="I1439" s="961"/>
    </row>
    <row r="1440" spans="1:9">
      <c r="A1440" s="961"/>
      <c r="B1440" s="961"/>
      <c r="C1440" s="961"/>
      <c r="D1440" s="961"/>
      <c r="E1440" s="961"/>
      <c r="F1440" s="961"/>
      <c r="G1440" s="961"/>
      <c r="H1440" s="961"/>
      <c r="I1440" s="961"/>
    </row>
    <row r="1441" spans="1:9">
      <c r="A1441" s="961"/>
      <c r="B1441" s="961"/>
      <c r="C1441" s="961"/>
      <c r="D1441" s="961"/>
      <c r="E1441" s="961"/>
      <c r="F1441" s="961"/>
      <c r="G1441" s="961"/>
      <c r="H1441" s="961"/>
      <c r="I1441" s="961"/>
    </row>
    <row r="1442" spans="1:9">
      <c r="A1442" s="961"/>
      <c r="B1442" s="961"/>
      <c r="C1442" s="961"/>
      <c r="D1442" s="961"/>
      <c r="E1442" s="961"/>
      <c r="F1442" s="961"/>
      <c r="G1442" s="961"/>
      <c r="H1442" s="961"/>
      <c r="I1442" s="961"/>
    </row>
    <row r="1443" spans="1:9">
      <c r="A1443" s="961"/>
      <c r="B1443" s="961"/>
      <c r="C1443" s="961"/>
      <c r="D1443" s="961"/>
      <c r="E1443" s="961"/>
      <c r="F1443" s="961"/>
      <c r="G1443" s="961"/>
      <c r="H1443" s="961"/>
      <c r="I1443" s="961"/>
    </row>
    <row r="1444" spans="1:9">
      <c r="A1444" s="961"/>
      <c r="B1444" s="961"/>
      <c r="C1444" s="961"/>
      <c r="D1444" s="961"/>
      <c r="E1444" s="961"/>
      <c r="F1444" s="961"/>
      <c r="G1444" s="961"/>
      <c r="H1444" s="961"/>
      <c r="I1444" s="961"/>
    </row>
    <row r="1445" spans="1:9">
      <c r="A1445" s="961"/>
      <c r="B1445" s="961"/>
      <c r="C1445" s="961"/>
      <c r="D1445" s="961"/>
      <c r="E1445" s="961"/>
      <c r="F1445" s="961"/>
      <c r="G1445" s="961"/>
      <c r="H1445" s="961"/>
      <c r="I1445" s="961"/>
    </row>
    <row r="1446" spans="1:9">
      <c r="A1446" s="961"/>
      <c r="B1446" s="961"/>
      <c r="C1446" s="961"/>
      <c r="D1446" s="961"/>
      <c r="E1446" s="961"/>
      <c r="F1446" s="961"/>
      <c r="G1446" s="961"/>
      <c r="H1446" s="961"/>
      <c r="I1446" s="961"/>
    </row>
    <row r="1447" spans="1:9">
      <c r="A1447" s="961"/>
      <c r="B1447" s="961"/>
      <c r="C1447" s="961"/>
      <c r="D1447" s="961"/>
      <c r="E1447" s="961"/>
      <c r="F1447" s="961"/>
      <c r="G1447" s="961"/>
      <c r="H1447" s="961"/>
      <c r="I1447" s="961"/>
    </row>
    <row r="1448" spans="1:9">
      <c r="A1448" s="961"/>
      <c r="B1448" s="961"/>
      <c r="C1448" s="961"/>
      <c r="D1448" s="961"/>
      <c r="E1448" s="961"/>
      <c r="F1448" s="961"/>
      <c r="G1448" s="961"/>
      <c r="H1448" s="961"/>
      <c r="I1448" s="961"/>
    </row>
    <row r="1449" spans="1:9">
      <c r="A1449" s="961"/>
      <c r="B1449" s="961"/>
      <c r="C1449" s="961"/>
      <c r="D1449" s="961"/>
      <c r="E1449" s="961"/>
      <c r="F1449" s="961"/>
      <c r="G1449" s="961"/>
      <c r="H1449" s="961"/>
      <c r="I1449" s="961"/>
    </row>
    <row r="1450" spans="1:9">
      <c r="A1450" s="961"/>
      <c r="B1450" s="961"/>
      <c r="C1450" s="961"/>
      <c r="D1450" s="961"/>
      <c r="E1450" s="961"/>
      <c r="F1450" s="961"/>
      <c r="G1450" s="961"/>
      <c r="H1450" s="961"/>
      <c r="I1450" s="961"/>
    </row>
    <row r="1451" spans="1:9">
      <c r="A1451" s="961"/>
      <c r="B1451" s="961"/>
      <c r="C1451" s="961"/>
      <c r="D1451" s="961"/>
      <c r="E1451" s="961"/>
      <c r="F1451" s="961"/>
      <c r="G1451" s="961"/>
      <c r="H1451" s="961"/>
      <c r="I1451" s="961"/>
    </row>
    <row r="1452" spans="1:9">
      <c r="A1452" s="961"/>
      <c r="B1452" s="961"/>
      <c r="C1452" s="961"/>
      <c r="D1452" s="961"/>
      <c r="E1452" s="961"/>
      <c r="F1452" s="961"/>
      <c r="G1452" s="961"/>
      <c r="H1452" s="961"/>
      <c r="I1452" s="961"/>
    </row>
    <row r="1453" spans="1:9">
      <c r="A1453" s="961"/>
      <c r="B1453" s="961"/>
      <c r="C1453" s="961"/>
      <c r="D1453" s="961"/>
      <c r="E1453" s="961"/>
      <c r="F1453" s="961"/>
      <c r="G1453" s="961"/>
      <c r="H1453" s="961"/>
      <c r="I1453" s="961"/>
    </row>
    <row r="1454" spans="1:9">
      <c r="A1454" s="961"/>
      <c r="B1454" s="961"/>
      <c r="C1454" s="961"/>
      <c r="D1454" s="961"/>
      <c r="E1454" s="961"/>
      <c r="F1454" s="961"/>
      <c r="G1454" s="961"/>
      <c r="H1454" s="961"/>
      <c r="I1454" s="961"/>
    </row>
    <row r="1455" spans="1:9">
      <c r="A1455" s="961"/>
      <c r="B1455" s="961"/>
      <c r="C1455" s="961"/>
      <c r="D1455" s="961"/>
      <c r="E1455" s="961"/>
      <c r="F1455" s="961"/>
      <c r="G1455" s="961"/>
      <c r="H1455" s="961"/>
      <c r="I1455" s="961"/>
    </row>
    <row r="1456" spans="1:9">
      <c r="A1456" s="961"/>
      <c r="B1456" s="961"/>
      <c r="C1456" s="961"/>
      <c r="D1456" s="961"/>
      <c r="E1456" s="961"/>
      <c r="F1456" s="961"/>
      <c r="G1456" s="961"/>
      <c r="H1456" s="961"/>
      <c r="I1456" s="961"/>
    </row>
    <row r="1457" spans="1:9">
      <c r="A1457" s="961"/>
      <c r="B1457" s="961"/>
      <c r="C1457" s="961"/>
      <c r="D1457" s="961"/>
      <c r="E1457" s="961"/>
      <c r="F1457" s="961"/>
      <c r="G1457" s="961"/>
      <c r="H1457" s="961"/>
      <c r="I1457" s="961"/>
    </row>
    <row r="1458" spans="1:9">
      <c r="A1458" s="961"/>
      <c r="B1458" s="961"/>
      <c r="C1458" s="961"/>
      <c r="D1458" s="961"/>
      <c r="E1458" s="961"/>
      <c r="F1458" s="961"/>
      <c r="G1458" s="961"/>
      <c r="H1458" s="961"/>
      <c r="I1458" s="961"/>
    </row>
    <row r="1459" spans="1:9">
      <c r="A1459" s="961"/>
      <c r="B1459" s="961"/>
      <c r="C1459" s="961"/>
      <c r="D1459" s="961"/>
      <c r="E1459" s="961"/>
      <c r="F1459" s="961"/>
      <c r="G1459" s="961"/>
      <c r="H1459" s="961"/>
      <c r="I1459" s="961"/>
    </row>
    <row r="1460" spans="1:9">
      <c r="A1460" s="961"/>
      <c r="B1460" s="961"/>
      <c r="C1460" s="961"/>
      <c r="D1460" s="961"/>
      <c r="E1460" s="961"/>
      <c r="F1460" s="961"/>
      <c r="G1460" s="961"/>
      <c r="H1460" s="961"/>
      <c r="I1460" s="961"/>
    </row>
    <row r="1461" spans="1:9">
      <c r="A1461" s="961"/>
      <c r="B1461" s="961"/>
      <c r="C1461" s="961"/>
      <c r="D1461" s="961"/>
      <c r="E1461" s="961"/>
      <c r="F1461" s="961"/>
      <c r="G1461" s="961"/>
      <c r="H1461" s="961"/>
      <c r="I1461" s="961"/>
    </row>
    <row r="1462" spans="1:9">
      <c r="A1462" s="961"/>
      <c r="B1462" s="961"/>
      <c r="C1462" s="961"/>
      <c r="D1462" s="961"/>
      <c r="E1462" s="961"/>
      <c r="F1462" s="961"/>
      <c r="G1462" s="961"/>
      <c r="H1462" s="961"/>
      <c r="I1462" s="961"/>
    </row>
    <row r="1463" spans="1:9">
      <c r="A1463" s="961"/>
      <c r="B1463" s="961"/>
      <c r="C1463" s="961"/>
      <c r="D1463" s="961"/>
      <c r="E1463" s="961"/>
      <c r="F1463" s="961"/>
      <c r="G1463" s="961"/>
      <c r="H1463" s="961"/>
      <c r="I1463" s="961"/>
    </row>
    <row r="1464" spans="1:9">
      <c r="A1464" s="961"/>
      <c r="B1464" s="961"/>
      <c r="C1464" s="961"/>
      <c r="D1464" s="961"/>
      <c r="E1464" s="961"/>
      <c r="F1464" s="961"/>
      <c r="G1464" s="961"/>
      <c r="H1464" s="961"/>
      <c r="I1464" s="961"/>
    </row>
    <row r="1465" spans="1:9">
      <c r="A1465" s="961"/>
      <c r="B1465" s="961"/>
      <c r="C1465" s="961"/>
      <c r="D1465" s="961"/>
      <c r="E1465" s="961"/>
      <c r="F1465" s="961"/>
      <c r="G1465" s="961"/>
      <c r="H1465" s="961"/>
      <c r="I1465" s="961"/>
    </row>
    <row r="1466" spans="1:9">
      <c r="A1466" s="961"/>
      <c r="B1466" s="961"/>
      <c r="C1466" s="961"/>
      <c r="D1466" s="961"/>
      <c r="E1466" s="961"/>
      <c r="F1466" s="961"/>
      <c r="G1466" s="961"/>
      <c r="H1466" s="961"/>
      <c r="I1466" s="961"/>
    </row>
    <row r="1467" spans="1:9">
      <c r="A1467" s="961"/>
      <c r="B1467" s="961"/>
      <c r="C1467" s="961"/>
      <c r="D1467" s="961"/>
      <c r="E1467" s="961"/>
      <c r="F1467" s="961"/>
      <c r="G1467" s="961"/>
      <c r="H1467" s="961"/>
      <c r="I1467" s="961"/>
    </row>
    <row r="1468" spans="1:9">
      <c r="A1468" s="961"/>
      <c r="B1468" s="961"/>
      <c r="C1468" s="961"/>
      <c r="D1468" s="961"/>
      <c r="E1468" s="961"/>
      <c r="F1468" s="961"/>
      <c r="G1468" s="961"/>
      <c r="H1468" s="961"/>
      <c r="I1468" s="961"/>
    </row>
    <row r="1469" spans="1:9">
      <c r="A1469" s="961"/>
      <c r="B1469" s="961"/>
      <c r="C1469" s="961"/>
      <c r="D1469" s="961"/>
      <c r="E1469" s="961"/>
      <c r="F1469" s="961"/>
      <c r="G1469" s="961"/>
      <c r="H1469" s="961"/>
      <c r="I1469" s="961"/>
    </row>
    <row r="1470" spans="1:9">
      <c r="A1470" s="961"/>
      <c r="B1470" s="961"/>
      <c r="C1470" s="961"/>
      <c r="D1470" s="961"/>
      <c r="E1470" s="961"/>
      <c r="F1470" s="961"/>
      <c r="G1470" s="961"/>
      <c r="H1470" s="961"/>
      <c r="I1470" s="961"/>
    </row>
    <row r="1471" spans="1:9">
      <c r="A1471" s="961"/>
      <c r="B1471" s="961"/>
      <c r="C1471" s="961"/>
      <c r="D1471" s="961"/>
      <c r="E1471" s="961"/>
      <c r="F1471" s="961"/>
      <c r="G1471" s="961"/>
      <c r="H1471" s="961"/>
      <c r="I1471" s="961"/>
    </row>
    <row r="1472" spans="1:9">
      <c r="A1472" s="961"/>
      <c r="B1472" s="961"/>
      <c r="C1472" s="961"/>
      <c r="D1472" s="961"/>
      <c r="E1472" s="961"/>
      <c r="F1472" s="961"/>
      <c r="G1472" s="961"/>
      <c r="H1472" s="961"/>
      <c r="I1472" s="961"/>
    </row>
    <row r="1473" spans="1:9">
      <c r="A1473" s="961"/>
      <c r="B1473" s="961"/>
      <c r="C1473" s="961"/>
      <c r="D1473" s="961"/>
      <c r="E1473" s="961"/>
      <c r="F1473" s="961"/>
      <c r="G1473" s="961"/>
      <c r="H1473" s="961"/>
      <c r="I1473" s="961"/>
    </row>
    <row r="1474" spans="1:9">
      <c r="A1474" s="961"/>
      <c r="B1474" s="961"/>
      <c r="C1474" s="961"/>
      <c r="D1474" s="961"/>
      <c r="E1474" s="961"/>
      <c r="F1474" s="961"/>
      <c r="G1474" s="961"/>
      <c r="H1474" s="961"/>
      <c r="I1474" s="961"/>
    </row>
    <row r="1475" spans="1:9">
      <c r="A1475" s="961"/>
      <c r="B1475" s="961"/>
      <c r="C1475" s="961"/>
      <c r="D1475" s="961"/>
      <c r="E1475" s="961"/>
      <c r="F1475" s="961"/>
      <c r="G1475" s="961"/>
      <c r="H1475" s="961"/>
      <c r="I1475" s="961"/>
    </row>
    <row r="1476" spans="1:9">
      <c r="A1476" s="961"/>
      <c r="B1476" s="961"/>
      <c r="C1476" s="961"/>
      <c r="D1476" s="961"/>
      <c r="E1476" s="961"/>
      <c r="F1476" s="961"/>
      <c r="G1476" s="961"/>
      <c r="H1476" s="961"/>
      <c r="I1476" s="961"/>
    </row>
    <row r="1477" spans="1:9">
      <c r="A1477" s="961"/>
      <c r="B1477" s="961"/>
      <c r="C1477" s="961"/>
      <c r="D1477" s="961"/>
      <c r="E1477" s="961"/>
      <c r="F1477" s="961"/>
      <c r="G1477" s="961"/>
      <c r="H1477" s="961"/>
      <c r="I1477" s="961"/>
    </row>
    <row r="1478" spans="1:9">
      <c r="A1478" s="961"/>
      <c r="B1478" s="961"/>
      <c r="C1478" s="961"/>
      <c r="D1478" s="961"/>
      <c r="E1478" s="961"/>
      <c r="F1478" s="961"/>
      <c r="G1478" s="961"/>
      <c r="H1478" s="961"/>
      <c r="I1478" s="961"/>
    </row>
    <row r="1479" spans="1:9">
      <c r="A1479" s="961"/>
      <c r="B1479" s="961"/>
      <c r="C1479" s="961"/>
      <c r="D1479" s="961"/>
      <c r="E1479" s="961"/>
      <c r="F1479" s="961"/>
      <c r="G1479" s="961"/>
      <c r="H1479" s="961"/>
      <c r="I1479" s="961"/>
    </row>
    <row r="1480" spans="1:9">
      <c r="A1480" s="961"/>
      <c r="B1480" s="961"/>
      <c r="C1480" s="961"/>
      <c r="D1480" s="961"/>
      <c r="E1480" s="961"/>
      <c r="F1480" s="961"/>
      <c r="G1480" s="961"/>
      <c r="H1480" s="961"/>
      <c r="I1480" s="961"/>
    </row>
    <row r="1481" spans="1:9">
      <c r="A1481" s="961"/>
      <c r="B1481" s="961"/>
      <c r="C1481" s="961"/>
      <c r="D1481" s="961"/>
      <c r="E1481" s="961"/>
      <c r="F1481" s="961"/>
      <c r="G1481" s="961"/>
      <c r="H1481" s="961"/>
      <c r="I1481" s="961"/>
    </row>
    <row r="1482" spans="1:9">
      <c r="A1482" s="961"/>
      <c r="B1482" s="961"/>
      <c r="C1482" s="961"/>
      <c r="D1482" s="961"/>
      <c r="E1482" s="961"/>
      <c r="F1482" s="961"/>
      <c r="G1482" s="961"/>
      <c r="H1482" s="961"/>
      <c r="I1482" s="961"/>
    </row>
    <row r="1483" spans="1:9">
      <c r="A1483" s="961"/>
      <c r="B1483" s="961"/>
      <c r="C1483" s="961"/>
      <c r="D1483" s="961"/>
      <c r="E1483" s="961"/>
      <c r="F1483" s="961"/>
      <c r="G1483" s="961"/>
      <c r="H1483" s="961"/>
      <c r="I1483" s="961"/>
    </row>
    <row r="1484" spans="1:9">
      <c r="A1484" s="961"/>
      <c r="B1484" s="961"/>
      <c r="C1484" s="961"/>
      <c r="D1484" s="961"/>
      <c r="E1484" s="961"/>
      <c r="F1484" s="961"/>
      <c r="G1484" s="961"/>
      <c r="H1484" s="961"/>
      <c r="I1484" s="961"/>
    </row>
    <row r="1485" spans="1:9">
      <c r="A1485" s="961"/>
      <c r="B1485" s="961"/>
      <c r="C1485" s="961"/>
      <c r="D1485" s="961"/>
      <c r="E1485" s="961"/>
      <c r="F1485" s="961"/>
      <c r="G1485" s="961"/>
      <c r="H1485" s="961"/>
      <c r="I1485" s="961"/>
    </row>
    <row r="1486" spans="1:9">
      <c r="A1486" s="961"/>
      <c r="B1486" s="961"/>
      <c r="C1486" s="961"/>
      <c r="D1486" s="961"/>
      <c r="E1486" s="961"/>
      <c r="F1486" s="961"/>
      <c r="G1486" s="961"/>
      <c r="H1486" s="961"/>
      <c r="I1486" s="961"/>
    </row>
    <row r="1487" spans="1:9">
      <c r="A1487" s="961"/>
      <c r="B1487" s="961"/>
      <c r="C1487" s="961"/>
      <c r="D1487" s="961"/>
      <c r="E1487" s="961"/>
      <c r="F1487" s="961"/>
      <c r="G1487" s="961"/>
      <c r="H1487" s="961"/>
      <c r="I1487" s="961"/>
    </row>
    <row r="1488" spans="1:9">
      <c r="A1488" s="961"/>
      <c r="B1488" s="961"/>
      <c r="C1488" s="961"/>
      <c r="D1488" s="961"/>
      <c r="E1488" s="961"/>
      <c r="F1488" s="961"/>
      <c r="G1488" s="961"/>
      <c r="H1488" s="961"/>
      <c r="I1488" s="961"/>
    </row>
    <row r="1489" spans="1:9">
      <c r="A1489" s="961"/>
      <c r="B1489" s="961"/>
      <c r="C1489" s="961"/>
      <c r="D1489" s="961"/>
      <c r="E1489" s="961"/>
      <c r="F1489" s="961"/>
      <c r="G1489" s="961"/>
      <c r="H1489" s="961"/>
      <c r="I1489" s="961"/>
    </row>
    <row r="1490" spans="1:9">
      <c r="A1490" s="961"/>
      <c r="B1490" s="961"/>
      <c r="C1490" s="961"/>
      <c r="D1490" s="961"/>
      <c r="E1490" s="961"/>
      <c r="F1490" s="961"/>
      <c r="G1490" s="961"/>
      <c r="H1490" s="961"/>
      <c r="I1490" s="961"/>
    </row>
    <row r="1491" spans="1:9">
      <c r="A1491" s="961"/>
      <c r="B1491" s="961"/>
      <c r="C1491" s="961"/>
      <c r="D1491" s="961"/>
      <c r="E1491" s="961"/>
      <c r="F1491" s="961"/>
      <c r="G1491" s="961"/>
      <c r="H1491" s="961"/>
      <c r="I1491" s="961"/>
    </row>
    <row r="1492" spans="1:9">
      <c r="A1492" s="961"/>
      <c r="B1492" s="961"/>
      <c r="C1492" s="961"/>
      <c r="D1492" s="961"/>
      <c r="E1492" s="961"/>
      <c r="F1492" s="961"/>
      <c r="G1492" s="961"/>
      <c r="H1492" s="961"/>
      <c r="I1492" s="961"/>
    </row>
    <row r="1493" spans="1:9">
      <c r="A1493" s="961"/>
      <c r="B1493" s="961"/>
      <c r="C1493" s="961"/>
      <c r="D1493" s="961"/>
      <c r="E1493" s="961"/>
      <c r="F1493" s="961"/>
      <c r="G1493" s="961"/>
      <c r="H1493" s="961"/>
      <c r="I1493" s="961"/>
    </row>
    <row r="1494" spans="1:9">
      <c r="A1494" s="961"/>
      <c r="B1494" s="961"/>
      <c r="C1494" s="961"/>
      <c r="D1494" s="961"/>
      <c r="E1494" s="961"/>
      <c r="F1494" s="961"/>
      <c r="G1494" s="961"/>
      <c r="H1494" s="961"/>
      <c r="I1494" s="961"/>
    </row>
    <row r="1495" spans="1:9">
      <c r="A1495" s="961"/>
      <c r="B1495" s="961"/>
      <c r="C1495" s="961"/>
      <c r="D1495" s="961"/>
      <c r="E1495" s="961"/>
      <c r="F1495" s="961"/>
      <c r="G1495" s="961"/>
      <c r="H1495" s="961"/>
      <c r="I1495" s="961"/>
    </row>
    <row r="1496" spans="1:9">
      <c r="A1496" s="961"/>
      <c r="B1496" s="961"/>
      <c r="C1496" s="961"/>
      <c r="D1496" s="961"/>
      <c r="E1496" s="961"/>
      <c r="F1496" s="961"/>
      <c r="G1496" s="961"/>
      <c r="H1496" s="961"/>
      <c r="I1496" s="961"/>
    </row>
    <row r="1497" spans="1:9">
      <c r="A1497" s="961"/>
      <c r="B1497" s="961"/>
      <c r="C1497" s="961"/>
      <c r="D1497" s="961"/>
      <c r="E1497" s="961"/>
      <c r="F1497" s="961"/>
      <c r="G1497" s="961"/>
      <c r="H1497" s="961"/>
      <c r="I1497" s="961"/>
    </row>
    <row r="1498" spans="1:9">
      <c r="A1498" s="961"/>
      <c r="B1498" s="961"/>
      <c r="C1498" s="961"/>
      <c r="D1498" s="961"/>
      <c r="E1498" s="961"/>
      <c r="F1498" s="961"/>
      <c r="G1498" s="961"/>
      <c r="H1498" s="961"/>
      <c r="I1498" s="961"/>
    </row>
    <row r="1499" spans="1:9">
      <c r="A1499" s="961"/>
      <c r="B1499" s="961"/>
      <c r="C1499" s="961"/>
      <c r="D1499" s="961"/>
      <c r="E1499" s="961"/>
      <c r="F1499" s="961"/>
      <c r="G1499" s="961"/>
      <c r="H1499" s="961"/>
      <c r="I1499" s="961"/>
    </row>
    <row r="1500" spans="1:9">
      <c r="A1500" s="961"/>
      <c r="B1500" s="961"/>
      <c r="C1500" s="961"/>
      <c r="D1500" s="961"/>
      <c r="E1500" s="961"/>
      <c r="F1500" s="961"/>
      <c r="G1500" s="961"/>
      <c r="H1500" s="961"/>
      <c r="I1500" s="961"/>
    </row>
    <row r="1501" spans="1:9">
      <c r="A1501" s="961"/>
      <c r="B1501" s="961"/>
      <c r="C1501" s="961"/>
      <c r="D1501" s="961"/>
      <c r="E1501" s="961"/>
      <c r="F1501" s="961"/>
      <c r="G1501" s="961"/>
      <c r="H1501" s="961"/>
      <c r="I1501" s="961"/>
    </row>
    <row r="1502" spans="1:9">
      <c r="A1502" s="961"/>
      <c r="B1502" s="961"/>
      <c r="C1502" s="961"/>
      <c r="D1502" s="961"/>
      <c r="E1502" s="961"/>
      <c r="F1502" s="961"/>
      <c r="G1502" s="961"/>
      <c r="H1502" s="961"/>
      <c r="I1502" s="961"/>
    </row>
    <row r="1503" spans="1:9">
      <c r="A1503" s="961"/>
      <c r="B1503" s="961"/>
      <c r="C1503" s="961"/>
      <c r="D1503" s="961"/>
      <c r="E1503" s="961"/>
      <c r="F1503" s="961"/>
      <c r="G1503" s="961"/>
      <c r="H1503" s="961"/>
      <c r="I1503" s="961"/>
    </row>
    <row r="1504" spans="1:9">
      <c r="A1504" s="961"/>
      <c r="B1504" s="961"/>
      <c r="C1504" s="961"/>
      <c r="D1504" s="961"/>
      <c r="E1504" s="961"/>
      <c r="F1504" s="961"/>
      <c r="G1504" s="961"/>
      <c r="H1504" s="961"/>
      <c r="I1504" s="961"/>
    </row>
    <row r="1505" spans="1:9">
      <c r="A1505" s="961"/>
      <c r="B1505" s="961"/>
      <c r="C1505" s="961"/>
      <c r="D1505" s="961"/>
      <c r="E1505" s="961"/>
      <c r="F1505" s="961"/>
      <c r="G1505" s="961"/>
      <c r="H1505" s="961"/>
      <c r="I1505" s="961"/>
    </row>
    <row r="1506" spans="1:9">
      <c r="A1506" s="961"/>
      <c r="B1506" s="961"/>
      <c r="C1506" s="961"/>
      <c r="D1506" s="961"/>
      <c r="E1506" s="961"/>
      <c r="F1506" s="961"/>
      <c r="G1506" s="961"/>
      <c r="H1506" s="961"/>
      <c r="I1506" s="961"/>
    </row>
    <row r="1507" spans="1:9">
      <c r="A1507" s="961"/>
      <c r="B1507" s="961"/>
      <c r="C1507" s="961"/>
      <c r="D1507" s="961"/>
      <c r="E1507" s="961"/>
      <c r="F1507" s="961"/>
      <c r="G1507" s="961"/>
      <c r="H1507" s="961"/>
      <c r="I1507" s="961"/>
    </row>
    <row r="1508" spans="1:9">
      <c r="A1508" s="961"/>
      <c r="B1508" s="961"/>
      <c r="C1508" s="961"/>
      <c r="D1508" s="961"/>
      <c r="E1508" s="961"/>
      <c r="F1508" s="961"/>
      <c r="G1508" s="961"/>
      <c r="H1508" s="961"/>
      <c r="I1508" s="961"/>
    </row>
    <row r="1509" spans="1:9">
      <c r="A1509" s="961"/>
      <c r="B1509" s="961"/>
      <c r="C1509" s="961"/>
      <c r="D1509" s="961"/>
      <c r="E1509" s="961"/>
      <c r="F1509" s="961"/>
      <c r="G1509" s="961"/>
      <c r="H1509" s="961"/>
      <c r="I1509" s="961"/>
    </row>
    <row r="1510" spans="1:9">
      <c r="A1510" s="961"/>
      <c r="B1510" s="961"/>
      <c r="C1510" s="961"/>
      <c r="D1510" s="961"/>
      <c r="E1510" s="961"/>
      <c r="F1510" s="961"/>
      <c r="G1510" s="961"/>
      <c r="H1510" s="961"/>
      <c r="I1510" s="961"/>
    </row>
    <row r="1511" spans="1:9">
      <c r="A1511" s="961"/>
      <c r="B1511" s="961"/>
      <c r="C1511" s="961"/>
      <c r="D1511" s="961"/>
      <c r="E1511" s="961"/>
      <c r="F1511" s="961"/>
      <c r="G1511" s="961"/>
      <c r="H1511" s="961"/>
      <c r="I1511" s="961"/>
    </row>
    <row r="1512" spans="1:9">
      <c r="A1512" s="961"/>
      <c r="B1512" s="961"/>
      <c r="C1512" s="961"/>
      <c r="D1512" s="961"/>
      <c r="E1512" s="961"/>
      <c r="F1512" s="961"/>
      <c r="G1512" s="961"/>
      <c r="H1512" s="961"/>
      <c r="I1512" s="961"/>
    </row>
    <row r="1513" spans="1:9">
      <c r="A1513" s="961"/>
      <c r="B1513" s="961"/>
      <c r="C1513" s="961"/>
      <c r="D1513" s="961"/>
      <c r="E1513" s="961"/>
      <c r="F1513" s="961"/>
      <c r="G1513" s="961"/>
      <c r="H1513" s="961"/>
      <c r="I1513" s="961"/>
    </row>
    <row r="1514" spans="1:9">
      <c r="A1514" s="961"/>
      <c r="B1514" s="961"/>
      <c r="C1514" s="961"/>
      <c r="D1514" s="961"/>
      <c r="E1514" s="961"/>
      <c r="F1514" s="961"/>
      <c r="G1514" s="961"/>
      <c r="H1514" s="961"/>
      <c r="I1514" s="961"/>
    </row>
    <row r="1515" spans="1:9">
      <c r="A1515" s="961"/>
      <c r="B1515" s="961"/>
      <c r="C1515" s="961"/>
      <c r="D1515" s="961"/>
      <c r="E1515" s="961"/>
      <c r="F1515" s="961"/>
      <c r="G1515" s="961"/>
      <c r="H1515" s="961"/>
      <c r="I1515" s="961"/>
    </row>
    <row r="1516" spans="1:9">
      <c r="A1516" s="961"/>
      <c r="B1516" s="961"/>
      <c r="C1516" s="961"/>
      <c r="D1516" s="961"/>
      <c r="E1516" s="961"/>
      <c r="F1516" s="961"/>
      <c r="G1516" s="961"/>
      <c r="H1516" s="961"/>
      <c r="I1516" s="961"/>
    </row>
    <row r="1517" spans="1:9">
      <c r="A1517" s="961"/>
      <c r="B1517" s="961"/>
      <c r="C1517" s="961"/>
      <c r="D1517" s="961"/>
      <c r="E1517" s="961"/>
      <c r="F1517" s="961"/>
      <c r="G1517" s="961"/>
      <c r="H1517" s="961"/>
      <c r="I1517" s="961"/>
    </row>
    <row r="1518" spans="1:9">
      <c r="A1518" s="961"/>
      <c r="B1518" s="961"/>
      <c r="C1518" s="961"/>
      <c r="D1518" s="961"/>
      <c r="E1518" s="961"/>
      <c r="F1518" s="961"/>
      <c r="G1518" s="961"/>
      <c r="H1518" s="961"/>
      <c r="I1518" s="961"/>
    </row>
    <row r="1519" spans="1:9">
      <c r="A1519" s="961"/>
      <c r="B1519" s="961"/>
      <c r="C1519" s="961"/>
      <c r="D1519" s="961"/>
      <c r="E1519" s="961"/>
      <c r="F1519" s="961"/>
      <c r="G1519" s="961"/>
      <c r="H1519" s="961"/>
      <c r="I1519" s="961"/>
    </row>
    <row r="1520" spans="1:9">
      <c r="A1520" s="961"/>
      <c r="B1520" s="961"/>
      <c r="C1520" s="961"/>
      <c r="D1520" s="961"/>
      <c r="E1520" s="961"/>
      <c r="F1520" s="961"/>
      <c r="G1520" s="961"/>
      <c r="H1520" s="961"/>
      <c r="I1520" s="961"/>
    </row>
    <row r="1521" spans="1:9">
      <c r="A1521" s="961"/>
      <c r="B1521" s="961"/>
      <c r="C1521" s="961"/>
      <c r="D1521" s="961"/>
      <c r="E1521" s="961"/>
      <c r="F1521" s="961"/>
      <c r="G1521" s="961"/>
      <c r="H1521" s="961"/>
      <c r="I1521" s="961"/>
    </row>
    <row r="1522" spans="1:9">
      <c r="A1522" s="961"/>
      <c r="B1522" s="961"/>
      <c r="C1522" s="961"/>
      <c r="D1522" s="961"/>
      <c r="E1522" s="961"/>
      <c r="F1522" s="961"/>
      <c r="G1522" s="961"/>
      <c r="H1522" s="961"/>
      <c r="I1522" s="961"/>
    </row>
    <row r="1523" spans="1:9">
      <c r="A1523" s="961"/>
      <c r="B1523" s="961"/>
      <c r="C1523" s="961"/>
      <c r="D1523" s="961"/>
      <c r="E1523" s="961"/>
      <c r="F1523" s="961"/>
      <c r="G1523" s="961"/>
      <c r="H1523" s="961"/>
      <c r="I1523" s="961"/>
    </row>
    <row r="1524" spans="1:9">
      <c r="A1524" s="961"/>
      <c r="B1524" s="961"/>
      <c r="C1524" s="961"/>
      <c r="D1524" s="961"/>
      <c r="E1524" s="961"/>
      <c r="F1524" s="961"/>
      <c r="G1524" s="961"/>
      <c r="H1524" s="961"/>
      <c r="I1524" s="961"/>
    </row>
    <row r="1525" spans="1:9">
      <c r="A1525" s="961"/>
      <c r="B1525" s="961"/>
      <c r="C1525" s="961"/>
      <c r="D1525" s="961"/>
      <c r="E1525" s="961"/>
      <c r="F1525" s="961"/>
      <c r="G1525" s="961"/>
      <c r="H1525" s="961"/>
      <c r="I1525" s="961"/>
    </row>
    <row r="1526" spans="1:9">
      <c r="A1526" s="961"/>
      <c r="B1526" s="961"/>
      <c r="C1526" s="961"/>
      <c r="D1526" s="961"/>
      <c r="E1526" s="961"/>
      <c r="F1526" s="961"/>
      <c r="G1526" s="961"/>
      <c r="H1526" s="961"/>
      <c r="I1526" s="961"/>
    </row>
    <row r="1527" spans="1:9">
      <c r="A1527" s="961"/>
      <c r="B1527" s="961"/>
      <c r="C1527" s="961"/>
      <c r="D1527" s="961"/>
      <c r="E1527" s="961"/>
      <c r="F1527" s="961"/>
      <c r="G1527" s="961"/>
      <c r="H1527" s="961"/>
      <c r="I1527" s="961"/>
    </row>
    <row r="1528" spans="1:9">
      <c r="A1528" s="961"/>
      <c r="B1528" s="961"/>
      <c r="C1528" s="961"/>
      <c r="D1528" s="961"/>
      <c r="E1528" s="961"/>
      <c r="F1528" s="961"/>
      <c r="G1528" s="961"/>
      <c r="H1528" s="961"/>
      <c r="I1528" s="961"/>
    </row>
    <row r="1529" spans="1:9">
      <c r="A1529" s="961"/>
      <c r="B1529" s="961"/>
      <c r="C1529" s="961"/>
      <c r="D1529" s="961"/>
      <c r="E1529" s="961"/>
      <c r="F1529" s="961"/>
      <c r="G1529" s="961"/>
      <c r="H1529" s="961"/>
      <c r="I1529" s="961"/>
    </row>
    <row r="1530" spans="1:9">
      <c r="A1530" s="961"/>
      <c r="B1530" s="961"/>
      <c r="C1530" s="961"/>
      <c r="D1530" s="961"/>
      <c r="E1530" s="961"/>
      <c r="F1530" s="961"/>
      <c r="G1530" s="961"/>
      <c r="H1530" s="961"/>
      <c r="I1530" s="961"/>
    </row>
    <row r="1531" spans="1:9">
      <c r="A1531" s="961"/>
      <c r="B1531" s="961"/>
      <c r="C1531" s="961"/>
      <c r="D1531" s="961"/>
      <c r="E1531" s="961"/>
      <c r="F1531" s="961"/>
      <c r="G1531" s="961"/>
      <c r="H1531" s="961"/>
      <c r="I1531" s="961"/>
    </row>
    <row r="1532" spans="1:9">
      <c r="A1532" s="961"/>
      <c r="B1532" s="961"/>
      <c r="C1532" s="961"/>
      <c r="D1532" s="961"/>
      <c r="E1532" s="961"/>
      <c r="F1532" s="961"/>
      <c r="G1532" s="961"/>
      <c r="H1532" s="961"/>
      <c r="I1532" s="961"/>
    </row>
    <row r="1533" spans="1:9">
      <c r="A1533" s="961"/>
      <c r="B1533" s="961"/>
      <c r="C1533" s="961"/>
      <c r="D1533" s="961"/>
      <c r="E1533" s="961"/>
      <c r="F1533" s="961"/>
      <c r="G1533" s="961"/>
      <c r="H1533" s="961"/>
      <c r="I1533" s="961"/>
    </row>
    <row r="1534" spans="1:9">
      <c r="A1534" s="961"/>
      <c r="B1534" s="961"/>
      <c r="C1534" s="961"/>
      <c r="D1534" s="961"/>
      <c r="E1534" s="961"/>
      <c r="F1534" s="961"/>
      <c r="G1534" s="961"/>
      <c r="H1534" s="961"/>
      <c r="I1534" s="961"/>
    </row>
    <row r="1535" spans="1:9">
      <c r="A1535" s="961"/>
      <c r="B1535" s="961"/>
      <c r="C1535" s="961"/>
      <c r="D1535" s="961"/>
      <c r="E1535" s="961"/>
      <c r="F1535" s="961"/>
      <c r="G1535" s="961"/>
      <c r="H1535" s="961"/>
      <c r="I1535" s="961"/>
    </row>
    <row r="1536" spans="1:9">
      <c r="A1536" s="961"/>
      <c r="B1536" s="961"/>
      <c r="C1536" s="961"/>
      <c r="D1536" s="961"/>
      <c r="E1536" s="961"/>
      <c r="F1536" s="961"/>
      <c r="G1536" s="961"/>
      <c r="H1536" s="961"/>
      <c r="I1536" s="961"/>
    </row>
    <row r="1537" spans="1:9">
      <c r="A1537" s="961"/>
      <c r="B1537" s="961"/>
      <c r="C1537" s="961"/>
      <c r="D1537" s="961"/>
      <c r="E1537" s="961"/>
      <c r="F1537" s="961"/>
      <c r="G1537" s="961"/>
      <c r="H1537" s="961"/>
      <c r="I1537" s="961"/>
    </row>
    <row r="1538" spans="1:9">
      <c r="A1538" s="961"/>
      <c r="B1538" s="961"/>
      <c r="C1538" s="961"/>
      <c r="D1538" s="961"/>
      <c r="E1538" s="961"/>
      <c r="F1538" s="961"/>
      <c r="G1538" s="961"/>
      <c r="H1538" s="961"/>
      <c r="I1538" s="961"/>
    </row>
    <row r="1539" spans="1:9">
      <c r="A1539" s="961"/>
      <c r="B1539" s="961"/>
      <c r="C1539" s="961"/>
      <c r="D1539" s="961"/>
      <c r="E1539" s="961"/>
      <c r="F1539" s="961"/>
      <c r="G1539" s="961"/>
      <c r="H1539" s="961"/>
      <c r="I1539" s="961"/>
    </row>
    <row r="1540" spans="1:9">
      <c r="A1540" s="961"/>
      <c r="B1540" s="961"/>
      <c r="C1540" s="961"/>
      <c r="D1540" s="961"/>
      <c r="E1540" s="961"/>
      <c r="F1540" s="961"/>
      <c r="G1540" s="961"/>
      <c r="H1540" s="961"/>
      <c r="I1540" s="961"/>
    </row>
    <row r="1541" spans="1:9">
      <c r="A1541" s="961"/>
      <c r="B1541" s="961"/>
      <c r="C1541" s="961"/>
      <c r="D1541" s="961"/>
      <c r="E1541" s="961"/>
      <c r="F1541" s="961"/>
      <c r="G1541" s="961"/>
      <c r="H1541" s="961"/>
      <c r="I1541" s="961"/>
    </row>
    <row r="1542" spans="1:9">
      <c r="A1542" s="961"/>
      <c r="B1542" s="961"/>
      <c r="C1542" s="961"/>
      <c r="D1542" s="961"/>
      <c r="E1542" s="961"/>
      <c r="F1542" s="961"/>
      <c r="G1542" s="961"/>
      <c r="H1542" s="961"/>
      <c r="I1542" s="961"/>
    </row>
    <row r="1543" spans="1:9">
      <c r="A1543" s="961"/>
      <c r="B1543" s="961"/>
      <c r="C1543" s="961"/>
      <c r="D1543" s="961"/>
      <c r="E1543" s="961"/>
      <c r="F1543" s="961"/>
      <c r="G1543" s="961"/>
      <c r="H1543" s="961"/>
      <c r="I1543" s="961"/>
    </row>
    <row r="1544" spans="1:9">
      <c r="A1544" s="961"/>
      <c r="B1544" s="961"/>
      <c r="C1544" s="961"/>
      <c r="D1544" s="961"/>
      <c r="E1544" s="961"/>
      <c r="F1544" s="961"/>
      <c r="G1544" s="961"/>
      <c r="H1544" s="961"/>
      <c r="I1544" s="961"/>
    </row>
    <row r="1545" spans="1:9">
      <c r="A1545" s="961"/>
      <c r="B1545" s="961"/>
      <c r="C1545" s="961"/>
      <c r="D1545" s="961"/>
      <c r="E1545" s="961"/>
      <c r="F1545" s="961"/>
      <c r="G1545" s="961"/>
      <c r="H1545" s="961"/>
      <c r="I1545" s="961"/>
    </row>
    <row r="1546" spans="1:9">
      <c r="A1546" s="961"/>
      <c r="B1546" s="961"/>
      <c r="C1546" s="961"/>
      <c r="D1546" s="961"/>
      <c r="E1546" s="961"/>
      <c r="F1546" s="961"/>
      <c r="G1546" s="961"/>
      <c r="H1546" s="961"/>
      <c r="I1546" s="961"/>
    </row>
    <row r="1547" spans="1:9">
      <c r="A1547" s="961"/>
      <c r="B1547" s="961"/>
      <c r="C1547" s="961"/>
      <c r="D1547" s="961"/>
      <c r="E1547" s="961"/>
      <c r="F1547" s="961"/>
      <c r="G1547" s="961"/>
      <c r="H1547" s="961"/>
      <c r="I1547" s="961"/>
    </row>
    <row r="1548" spans="1:9">
      <c r="A1548" s="961"/>
      <c r="B1548" s="961"/>
      <c r="C1548" s="961"/>
      <c r="D1548" s="961"/>
      <c r="E1548" s="961"/>
      <c r="F1548" s="961"/>
      <c r="G1548" s="961"/>
      <c r="H1548" s="961"/>
      <c r="I1548" s="961"/>
    </row>
    <row r="1549" spans="1:9">
      <c r="A1549" s="961"/>
      <c r="B1549" s="961"/>
      <c r="C1549" s="961"/>
      <c r="D1549" s="961"/>
      <c r="E1549" s="961"/>
      <c r="F1549" s="961"/>
      <c r="G1549" s="961"/>
      <c r="H1549" s="961"/>
      <c r="I1549" s="961"/>
    </row>
    <row r="1550" spans="1:9">
      <c r="A1550" s="961"/>
      <c r="B1550" s="961"/>
      <c r="C1550" s="961"/>
      <c r="D1550" s="961"/>
      <c r="E1550" s="961"/>
      <c r="F1550" s="961"/>
      <c r="G1550" s="961"/>
      <c r="H1550" s="961"/>
      <c r="I1550" s="961"/>
    </row>
    <row r="1551" spans="1:9">
      <c r="A1551" s="961"/>
      <c r="B1551" s="961"/>
      <c r="C1551" s="961"/>
      <c r="D1551" s="961"/>
      <c r="E1551" s="961"/>
      <c r="F1551" s="961"/>
      <c r="G1551" s="961"/>
      <c r="H1551" s="961"/>
      <c r="I1551" s="961"/>
    </row>
    <row r="1552" spans="1:9">
      <c r="A1552" s="961"/>
      <c r="B1552" s="961"/>
      <c r="C1552" s="961"/>
      <c r="D1552" s="961"/>
      <c r="E1552" s="961"/>
      <c r="F1552" s="961"/>
      <c r="G1552" s="961"/>
      <c r="H1552" s="961"/>
      <c r="I1552" s="961"/>
    </row>
    <row r="1553" spans="1:9">
      <c r="A1553" s="961"/>
      <c r="B1553" s="961"/>
      <c r="C1553" s="961"/>
      <c r="D1553" s="961"/>
      <c r="E1553" s="961"/>
      <c r="F1553" s="961"/>
      <c r="G1553" s="961"/>
      <c r="H1553" s="961"/>
      <c r="I1553" s="961"/>
    </row>
    <row r="1554" spans="1:9">
      <c r="A1554" s="961"/>
      <c r="B1554" s="961"/>
      <c r="C1554" s="961"/>
      <c r="D1554" s="961"/>
      <c r="E1554" s="961"/>
      <c r="F1554" s="961"/>
      <c r="G1554" s="961"/>
      <c r="H1554" s="961"/>
      <c r="I1554" s="961"/>
    </row>
    <row r="1555" spans="1:9">
      <c r="A1555" s="961"/>
      <c r="B1555" s="961"/>
      <c r="C1555" s="961"/>
      <c r="D1555" s="961"/>
      <c r="E1555" s="961"/>
      <c r="F1555" s="961"/>
      <c r="G1555" s="961"/>
      <c r="H1555" s="961"/>
      <c r="I1555" s="961"/>
    </row>
    <row r="1556" spans="1:9">
      <c r="A1556" s="961"/>
      <c r="B1556" s="961"/>
      <c r="C1556" s="961"/>
      <c r="D1556" s="961"/>
      <c r="E1556" s="961"/>
      <c r="F1556" s="961"/>
      <c r="G1556" s="961"/>
      <c r="H1556" s="961"/>
      <c r="I1556" s="961"/>
    </row>
    <row r="1557" spans="1:9">
      <c r="A1557" s="961"/>
      <c r="B1557" s="961"/>
      <c r="C1557" s="961"/>
      <c r="D1557" s="961"/>
      <c r="E1557" s="961"/>
      <c r="F1557" s="961"/>
      <c r="G1557" s="961"/>
      <c r="H1557" s="961"/>
      <c r="I1557" s="961"/>
    </row>
    <row r="1558" spans="1:9">
      <c r="A1558" s="961"/>
      <c r="B1558" s="961"/>
      <c r="C1558" s="961"/>
      <c r="D1558" s="961"/>
      <c r="E1558" s="961"/>
      <c r="F1558" s="961"/>
      <c r="G1558" s="961"/>
      <c r="H1558" s="961"/>
      <c r="I1558" s="961"/>
    </row>
    <row r="1559" spans="1:9">
      <c r="A1559" s="961"/>
      <c r="B1559" s="961"/>
      <c r="C1559" s="961"/>
      <c r="D1559" s="961"/>
      <c r="E1559" s="961"/>
      <c r="F1559" s="961"/>
      <c r="G1559" s="961"/>
      <c r="H1559" s="961"/>
      <c r="I1559" s="961"/>
    </row>
    <row r="1560" spans="1:9">
      <c r="A1560" s="961"/>
      <c r="B1560" s="961"/>
      <c r="C1560" s="961"/>
      <c r="D1560" s="961"/>
      <c r="E1560" s="961"/>
      <c r="F1560" s="961"/>
      <c r="G1560" s="961"/>
      <c r="H1560" s="961"/>
      <c r="I1560" s="961"/>
    </row>
    <row r="1561" spans="1:9">
      <c r="A1561" s="961"/>
      <c r="B1561" s="961"/>
      <c r="C1561" s="961"/>
      <c r="D1561" s="961"/>
      <c r="E1561" s="961"/>
      <c r="F1561" s="961"/>
      <c r="G1561" s="961"/>
      <c r="H1561" s="961"/>
      <c r="I1561" s="961"/>
    </row>
    <row r="1562" spans="1:9">
      <c r="A1562" s="961"/>
      <c r="B1562" s="961"/>
      <c r="C1562" s="961"/>
      <c r="D1562" s="961"/>
      <c r="E1562" s="961"/>
      <c r="F1562" s="961"/>
      <c r="G1562" s="961"/>
      <c r="H1562" s="961"/>
      <c r="I1562" s="961"/>
    </row>
    <row r="1563" spans="1:9">
      <c r="A1563" s="961"/>
      <c r="B1563" s="961"/>
      <c r="C1563" s="961"/>
      <c r="D1563" s="961"/>
      <c r="E1563" s="961"/>
      <c r="F1563" s="961"/>
      <c r="G1563" s="961"/>
      <c r="H1563" s="961"/>
      <c r="I1563" s="961"/>
    </row>
    <row r="1564" spans="1:9">
      <c r="A1564" s="961"/>
      <c r="B1564" s="961"/>
      <c r="C1564" s="961"/>
      <c r="D1564" s="961"/>
      <c r="E1564" s="961"/>
      <c r="F1564" s="961"/>
      <c r="G1564" s="961"/>
      <c r="H1564" s="961"/>
      <c r="I1564" s="961"/>
    </row>
    <row r="1565" spans="1:9">
      <c r="A1565" s="961"/>
      <c r="B1565" s="961"/>
      <c r="C1565" s="961"/>
      <c r="D1565" s="961"/>
      <c r="E1565" s="961"/>
      <c r="F1565" s="961"/>
      <c r="G1565" s="961"/>
      <c r="H1565" s="961"/>
      <c r="I1565" s="961"/>
    </row>
    <row r="1566" spans="1:9">
      <c r="A1566" s="961"/>
      <c r="B1566" s="961"/>
      <c r="C1566" s="961"/>
      <c r="D1566" s="961"/>
      <c r="E1566" s="961"/>
      <c r="F1566" s="961"/>
      <c r="G1566" s="961"/>
      <c r="H1566" s="961"/>
      <c r="I1566" s="961"/>
    </row>
    <row r="1567" spans="1:9">
      <c r="A1567" s="961"/>
      <c r="B1567" s="961"/>
      <c r="C1567" s="961"/>
      <c r="D1567" s="961"/>
      <c r="E1567" s="961"/>
      <c r="F1567" s="961"/>
      <c r="G1567" s="961"/>
      <c r="H1567" s="961"/>
      <c r="I1567" s="961"/>
    </row>
    <row r="1568" spans="1:9">
      <c r="A1568" s="961"/>
      <c r="B1568" s="961"/>
      <c r="C1568" s="961"/>
      <c r="D1568" s="961"/>
      <c r="E1568" s="961"/>
      <c r="F1568" s="961"/>
      <c r="G1568" s="961"/>
      <c r="H1568" s="961"/>
      <c r="I1568" s="961"/>
    </row>
    <row r="1569" spans="1:9">
      <c r="A1569" s="961"/>
      <c r="B1569" s="961"/>
      <c r="C1569" s="961"/>
      <c r="D1569" s="961"/>
      <c r="E1569" s="961"/>
      <c r="F1569" s="961"/>
      <c r="G1569" s="961"/>
      <c r="H1569" s="961"/>
      <c r="I1569" s="961"/>
    </row>
    <row r="1570" spans="1:9">
      <c r="A1570" s="961"/>
      <c r="B1570" s="961"/>
      <c r="C1570" s="961"/>
      <c r="D1570" s="961"/>
      <c r="E1570" s="961"/>
      <c r="F1570" s="961"/>
      <c r="G1570" s="961"/>
      <c r="H1570" s="961"/>
      <c r="I1570" s="961"/>
    </row>
    <row r="1571" spans="1:9">
      <c r="A1571" s="961"/>
      <c r="B1571" s="961"/>
      <c r="C1571" s="961"/>
      <c r="D1571" s="961"/>
      <c r="E1571" s="961"/>
      <c r="F1571" s="961"/>
      <c r="G1571" s="961"/>
      <c r="H1571" s="961"/>
      <c r="I1571" s="961"/>
    </row>
    <row r="1572" spans="1:9">
      <c r="A1572" s="961"/>
      <c r="B1572" s="961"/>
      <c r="C1572" s="961"/>
      <c r="D1572" s="961"/>
      <c r="E1572" s="961"/>
      <c r="F1572" s="961"/>
      <c r="G1572" s="961"/>
      <c r="H1572" s="961"/>
      <c r="I1572" s="961"/>
    </row>
    <row r="1573" spans="1:9">
      <c r="A1573" s="961"/>
      <c r="B1573" s="961"/>
      <c r="C1573" s="961"/>
      <c r="D1573" s="961"/>
      <c r="E1573" s="961"/>
      <c r="F1573" s="961"/>
      <c r="G1573" s="961"/>
      <c r="H1573" s="961"/>
      <c r="I1573" s="961"/>
    </row>
    <row r="1574" spans="1:9">
      <c r="A1574" s="961"/>
      <c r="B1574" s="961"/>
      <c r="C1574" s="961"/>
      <c r="D1574" s="961"/>
      <c r="E1574" s="961"/>
      <c r="F1574" s="961"/>
      <c r="G1574" s="961"/>
      <c r="H1574" s="961"/>
      <c r="I1574" s="961"/>
    </row>
    <row r="1575" spans="1:9">
      <c r="A1575" s="961"/>
      <c r="B1575" s="961"/>
      <c r="C1575" s="961"/>
      <c r="D1575" s="961"/>
      <c r="E1575" s="961"/>
      <c r="F1575" s="961"/>
      <c r="G1575" s="961"/>
      <c r="H1575" s="961"/>
      <c r="I1575" s="961"/>
    </row>
    <row r="1576" spans="1:9">
      <c r="A1576" s="961"/>
      <c r="B1576" s="961"/>
      <c r="C1576" s="961"/>
      <c r="D1576" s="961"/>
      <c r="E1576" s="961"/>
      <c r="F1576" s="961"/>
      <c r="G1576" s="961"/>
      <c r="H1576" s="961"/>
      <c r="I1576" s="961"/>
    </row>
    <row r="1577" spans="1:9">
      <c r="A1577" s="961"/>
      <c r="B1577" s="961"/>
      <c r="C1577" s="961"/>
      <c r="D1577" s="961"/>
      <c r="E1577" s="961"/>
      <c r="F1577" s="961"/>
      <c r="G1577" s="961"/>
      <c r="H1577" s="961"/>
      <c r="I1577" s="961"/>
    </row>
    <row r="1578" spans="1:9">
      <c r="A1578" s="961"/>
      <c r="B1578" s="961"/>
      <c r="C1578" s="961"/>
      <c r="D1578" s="961"/>
      <c r="E1578" s="961"/>
      <c r="F1578" s="961"/>
      <c r="G1578" s="961"/>
      <c r="H1578" s="961"/>
      <c r="I1578" s="961"/>
    </row>
    <row r="1579" spans="1:9">
      <c r="A1579" s="961"/>
      <c r="B1579" s="961"/>
      <c r="C1579" s="961"/>
      <c r="D1579" s="961"/>
      <c r="E1579" s="961"/>
      <c r="F1579" s="961"/>
      <c r="G1579" s="961"/>
      <c r="H1579" s="961"/>
      <c r="I1579" s="961"/>
    </row>
    <row r="1580" spans="1:9">
      <c r="A1580" s="961"/>
      <c r="B1580" s="961"/>
      <c r="C1580" s="961"/>
      <c r="D1580" s="961"/>
      <c r="E1580" s="961"/>
      <c r="F1580" s="961"/>
      <c r="G1580" s="961"/>
      <c r="H1580" s="961"/>
      <c r="I1580" s="961"/>
    </row>
    <row r="1581" spans="1:9">
      <c r="A1581" s="961"/>
      <c r="B1581" s="961"/>
      <c r="C1581" s="961"/>
      <c r="D1581" s="961"/>
      <c r="E1581" s="961"/>
      <c r="F1581" s="961"/>
      <c r="G1581" s="961"/>
      <c r="H1581" s="961"/>
      <c r="I1581" s="961"/>
    </row>
    <row r="1582" spans="1:9">
      <c r="A1582" s="961"/>
      <c r="B1582" s="961"/>
      <c r="C1582" s="961"/>
      <c r="D1582" s="961"/>
      <c r="E1582" s="961"/>
      <c r="F1582" s="961"/>
      <c r="G1582" s="961"/>
      <c r="H1582" s="961"/>
      <c r="I1582" s="961"/>
    </row>
    <row r="1583" spans="1:9">
      <c r="A1583" s="961"/>
      <c r="B1583" s="961"/>
      <c r="C1583" s="961"/>
      <c r="D1583" s="961"/>
      <c r="E1583" s="961"/>
      <c r="F1583" s="961"/>
      <c r="G1583" s="961"/>
      <c r="H1583" s="961"/>
      <c r="I1583" s="961"/>
    </row>
    <row r="1584" spans="1:9">
      <c r="A1584" s="961"/>
      <c r="B1584" s="961"/>
      <c r="C1584" s="961"/>
      <c r="D1584" s="961"/>
      <c r="E1584" s="961"/>
      <c r="F1584" s="961"/>
      <c r="G1584" s="961"/>
      <c r="H1584" s="961"/>
      <c r="I1584" s="961"/>
    </row>
    <row r="1585" spans="1:9">
      <c r="A1585" s="961"/>
      <c r="B1585" s="961"/>
      <c r="C1585" s="961"/>
      <c r="D1585" s="961"/>
      <c r="E1585" s="961"/>
      <c r="F1585" s="961"/>
      <c r="G1585" s="961"/>
      <c r="H1585" s="961"/>
      <c r="I1585" s="961"/>
    </row>
    <row r="1586" spans="1:9">
      <c r="A1586" s="961"/>
      <c r="B1586" s="961"/>
      <c r="C1586" s="961"/>
      <c r="D1586" s="961"/>
      <c r="E1586" s="961"/>
      <c r="F1586" s="961"/>
      <c r="G1586" s="961"/>
      <c r="H1586" s="961"/>
      <c r="I1586" s="961"/>
    </row>
    <row r="1587" spans="1:9">
      <c r="A1587" s="961"/>
      <c r="B1587" s="961"/>
      <c r="C1587" s="961"/>
      <c r="D1587" s="961"/>
      <c r="E1587" s="961"/>
      <c r="F1587" s="961"/>
      <c r="G1587" s="961"/>
      <c r="H1587" s="961"/>
      <c r="I1587" s="961"/>
    </row>
    <row r="1588" spans="1:9">
      <c r="A1588" s="961"/>
      <c r="B1588" s="961"/>
      <c r="C1588" s="961"/>
      <c r="D1588" s="961"/>
      <c r="E1588" s="961"/>
      <c r="F1588" s="961"/>
      <c r="G1588" s="961"/>
      <c r="H1588" s="961"/>
      <c r="I1588" s="961"/>
    </row>
    <row r="1589" spans="1:9">
      <c r="A1589" s="961"/>
      <c r="B1589" s="961"/>
      <c r="C1589" s="961"/>
      <c r="D1589" s="961"/>
      <c r="E1589" s="961"/>
      <c r="F1589" s="961"/>
      <c r="G1589" s="961"/>
      <c r="H1589" s="961"/>
      <c r="I1589" s="961"/>
    </row>
    <row r="1590" spans="1:9">
      <c r="A1590" s="961"/>
      <c r="B1590" s="961"/>
      <c r="C1590" s="961"/>
      <c r="D1590" s="961"/>
      <c r="E1590" s="961"/>
      <c r="F1590" s="961"/>
      <c r="G1590" s="961"/>
      <c r="H1590" s="961"/>
      <c r="I1590" s="961"/>
    </row>
    <row r="1591" spans="1:9">
      <c r="A1591" s="961"/>
      <c r="B1591" s="961"/>
      <c r="C1591" s="961"/>
      <c r="D1591" s="961"/>
      <c r="E1591" s="961"/>
      <c r="F1591" s="961"/>
      <c r="G1591" s="961"/>
      <c r="H1591" s="961"/>
      <c r="I1591" s="961"/>
    </row>
    <row r="1592" spans="1:9">
      <c r="A1592" s="961"/>
      <c r="B1592" s="961"/>
      <c r="C1592" s="961"/>
      <c r="D1592" s="961"/>
      <c r="E1592" s="961"/>
      <c r="F1592" s="961"/>
      <c r="G1592" s="961"/>
      <c r="H1592" s="961"/>
      <c r="I1592" s="961"/>
    </row>
    <row r="1593" spans="1:9">
      <c r="A1593" s="961"/>
      <c r="B1593" s="961"/>
      <c r="C1593" s="961"/>
      <c r="D1593" s="961"/>
      <c r="E1593" s="961"/>
      <c r="F1593" s="961"/>
      <c r="G1593" s="961"/>
      <c r="H1593" s="961"/>
      <c r="I1593" s="961"/>
    </row>
    <row r="1594" spans="1:9">
      <c r="A1594" s="961"/>
      <c r="B1594" s="961"/>
      <c r="C1594" s="961"/>
      <c r="D1594" s="961"/>
      <c r="E1594" s="961"/>
      <c r="F1594" s="961"/>
      <c r="G1594" s="961"/>
      <c r="H1594" s="961"/>
      <c r="I1594" s="961"/>
    </row>
    <row r="1595" spans="1:9">
      <c r="A1595" s="961"/>
      <c r="B1595" s="961"/>
      <c r="C1595" s="961"/>
      <c r="D1595" s="961"/>
      <c r="E1595" s="961"/>
      <c r="F1595" s="961"/>
      <c r="G1595" s="961"/>
      <c r="H1595" s="961"/>
      <c r="I1595" s="961"/>
    </row>
    <row r="1596" spans="1:9">
      <c r="A1596" s="961"/>
      <c r="B1596" s="961"/>
      <c r="C1596" s="961"/>
      <c r="D1596" s="961"/>
      <c r="E1596" s="961"/>
      <c r="F1596" s="961"/>
      <c r="G1596" s="961"/>
      <c r="H1596" s="961"/>
      <c r="I1596" s="961"/>
    </row>
    <row r="1597" spans="1:9">
      <c r="A1597" s="961"/>
      <c r="B1597" s="961"/>
      <c r="C1597" s="961"/>
      <c r="D1597" s="961"/>
      <c r="E1597" s="961"/>
      <c r="F1597" s="961"/>
      <c r="G1597" s="961"/>
      <c r="H1597" s="961"/>
      <c r="I1597" s="961"/>
    </row>
    <row r="1598" spans="1:9">
      <c r="A1598" s="961"/>
      <c r="B1598" s="961"/>
      <c r="C1598" s="961"/>
      <c r="D1598" s="961"/>
      <c r="E1598" s="961"/>
      <c r="F1598" s="961"/>
      <c r="G1598" s="961"/>
      <c r="H1598" s="961"/>
      <c r="I1598" s="961"/>
    </row>
    <row r="1599" spans="1:9">
      <c r="A1599" s="961"/>
      <c r="B1599" s="961"/>
      <c r="C1599" s="961"/>
      <c r="D1599" s="961"/>
      <c r="E1599" s="961"/>
      <c r="F1599" s="961"/>
      <c r="G1599" s="961"/>
      <c r="H1599" s="961"/>
      <c r="I1599" s="961"/>
    </row>
    <row r="1600" spans="1:9">
      <c r="A1600" s="961"/>
      <c r="B1600" s="961"/>
      <c r="C1600" s="961"/>
      <c r="D1600" s="961"/>
      <c r="E1600" s="961"/>
      <c r="F1600" s="961"/>
      <c r="G1600" s="961"/>
      <c r="H1600" s="961"/>
      <c r="I1600" s="961"/>
    </row>
    <row r="1601" spans="1:9">
      <c r="A1601" s="961"/>
      <c r="B1601" s="961"/>
      <c r="C1601" s="961"/>
      <c r="D1601" s="961"/>
      <c r="E1601" s="961"/>
      <c r="F1601" s="961"/>
      <c r="G1601" s="961"/>
      <c r="H1601" s="961"/>
      <c r="I1601" s="961"/>
    </row>
    <row r="1602" spans="1:9">
      <c r="A1602" s="961"/>
      <c r="B1602" s="961"/>
      <c r="C1602" s="961"/>
      <c r="D1602" s="961"/>
      <c r="E1602" s="961"/>
      <c r="F1602" s="961"/>
      <c r="G1602" s="961"/>
      <c r="H1602" s="961"/>
      <c r="I1602" s="961"/>
    </row>
    <row r="1603" spans="1:9">
      <c r="A1603" s="961"/>
      <c r="B1603" s="961"/>
      <c r="C1603" s="961"/>
      <c r="D1603" s="961"/>
      <c r="E1603" s="961"/>
      <c r="F1603" s="961"/>
      <c r="G1603" s="961"/>
      <c r="H1603" s="961"/>
      <c r="I1603" s="961"/>
    </row>
    <row r="1604" spans="1:9">
      <c r="A1604" s="961"/>
      <c r="B1604" s="961"/>
      <c r="C1604" s="961"/>
      <c r="D1604" s="961"/>
      <c r="E1604" s="961"/>
      <c r="F1604" s="961"/>
      <c r="G1604" s="961"/>
      <c r="H1604" s="961"/>
      <c r="I1604" s="961"/>
    </row>
    <row r="1605" spans="1:9">
      <c r="A1605" s="961"/>
      <c r="B1605" s="961"/>
      <c r="C1605" s="961"/>
      <c r="D1605" s="961"/>
      <c r="E1605" s="961"/>
      <c r="F1605" s="961"/>
      <c r="G1605" s="961"/>
      <c r="H1605" s="961"/>
      <c r="I1605" s="961"/>
    </row>
    <row r="1606" spans="1:9">
      <c r="A1606" s="961"/>
      <c r="B1606" s="961"/>
      <c r="C1606" s="961"/>
      <c r="D1606" s="961"/>
      <c r="E1606" s="961"/>
      <c r="F1606" s="961"/>
      <c r="G1606" s="961"/>
      <c r="H1606" s="961"/>
      <c r="I1606" s="961"/>
    </row>
    <row r="1607" spans="1:9">
      <c r="A1607" s="961"/>
      <c r="B1607" s="961"/>
      <c r="C1607" s="961"/>
      <c r="D1607" s="961"/>
      <c r="E1607" s="961"/>
      <c r="F1607" s="961"/>
      <c r="G1607" s="961"/>
      <c r="H1607" s="961"/>
      <c r="I1607" s="961"/>
    </row>
    <row r="1608" spans="1:9">
      <c r="A1608" s="961"/>
      <c r="B1608" s="961"/>
      <c r="C1608" s="961"/>
      <c r="D1608" s="961"/>
      <c r="E1608" s="961"/>
      <c r="F1608" s="961"/>
      <c r="G1608" s="961"/>
      <c r="H1608" s="961"/>
      <c r="I1608" s="961"/>
    </row>
    <row r="1609" spans="1:9">
      <c r="A1609" s="961"/>
      <c r="B1609" s="961"/>
      <c r="C1609" s="961"/>
      <c r="D1609" s="961"/>
      <c r="E1609" s="961"/>
      <c r="F1609" s="961"/>
      <c r="G1609" s="961"/>
      <c r="H1609" s="961"/>
      <c r="I1609" s="961"/>
    </row>
    <row r="1610" spans="1:9">
      <c r="A1610" s="961"/>
      <c r="B1610" s="961"/>
      <c r="C1610" s="961"/>
      <c r="D1610" s="961"/>
      <c r="E1610" s="961"/>
      <c r="F1610" s="961"/>
      <c r="G1610" s="961"/>
      <c r="H1610" s="961"/>
      <c r="I1610" s="961"/>
    </row>
    <row r="1611" spans="1:9">
      <c r="A1611" s="961"/>
      <c r="B1611" s="961"/>
      <c r="C1611" s="961"/>
      <c r="D1611" s="961"/>
      <c r="E1611" s="961"/>
      <c r="F1611" s="961"/>
      <c r="G1611" s="961"/>
      <c r="H1611" s="961"/>
      <c r="I1611" s="961"/>
    </row>
    <row r="1612" spans="1:9">
      <c r="A1612" s="961"/>
      <c r="B1612" s="961"/>
      <c r="C1612" s="961"/>
      <c r="D1612" s="961"/>
      <c r="E1612" s="961"/>
      <c r="F1612" s="961"/>
      <c r="G1612" s="961"/>
      <c r="H1612" s="961"/>
      <c r="I1612" s="961"/>
    </row>
    <row r="1613" spans="1:9">
      <c r="A1613" s="961"/>
      <c r="B1613" s="961"/>
      <c r="C1613" s="961"/>
      <c r="D1613" s="961"/>
      <c r="E1613" s="961"/>
      <c r="F1613" s="961"/>
      <c r="G1613" s="961"/>
      <c r="H1613" s="961"/>
      <c r="I1613" s="961"/>
    </row>
    <row r="1614" spans="1:9">
      <c r="A1614" s="961"/>
      <c r="B1614" s="961"/>
      <c r="C1614" s="961"/>
      <c r="D1614" s="961"/>
      <c r="E1614" s="961"/>
      <c r="F1614" s="961"/>
      <c r="G1614" s="961"/>
      <c r="H1614" s="961"/>
      <c r="I1614" s="961"/>
    </row>
    <row r="1615" spans="1:9">
      <c r="A1615" s="961"/>
      <c r="B1615" s="961"/>
      <c r="C1615" s="961"/>
      <c r="D1615" s="961"/>
      <c r="E1615" s="961"/>
      <c r="F1615" s="961"/>
      <c r="G1615" s="961"/>
      <c r="H1615" s="961"/>
      <c r="I1615" s="961"/>
    </row>
    <row r="1616" spans="1:9">
      <c r="A1616" s="961"/>
      <c r="B1616" s="961"/>
      <c r="C1616" s="961"/>
      <c r="D1616" s="961"/>
      <c r="E1616" s="961"/>
      <c r="F1616" s="961"/>
      <c r="G1616" s="961"/>
      <c r="H1616" s="961"/>
      <c r="I1616" s="961"/>
    </row>
    <row r="1617" spans="1:9">
      <c r="A1617" s="961"/>
      <c r="B1617" s="961"/>
      <c r="C1617" s="961"/>
      <c r="D1617" s="961"/>
      <c r="E1617" s="961"/>
      <c r="F1617" s="961"/>
      <c r="G1617" s="961"/>
      <c r="H1617" s="961"/>
      <c r="I1617" s="961"/>
    </row>
    <row r="1618" spans="1:9">
      <c r="A1618" s="961"/>
      <c r="B1618" s="961"/>
      <c r="C1618" s="961"/>
      <c r="D1618" s="961"/>
      <c r="E1618" s="961"/>
      <c r="F1618" s="961"/>
      <c r="G1618" s="961"/>
      <c r="H1618" s="961"/>
      <c r="I1618" s="961"/>
    </row>
    <row r="1619" spans="1:9">
      <c r="A1619" s="961"/>
      <c r="B1619" s="961"/>
      <c r="C1619" s="961"/>
      <c r="D1619" s="961"/>
      <c r="E1619" s="961"/>
      <c r="F1619" s="961"/>
      <c r="G1619" s="961"/>
      <c r="H1619" s="961"/>
      <c r="I1619" s="961"/>
    </row>
    <row r="1620" spans="1:9">
      <c r="A1620" s="961"/>
      <c r="B1620" s="961"/>
      <c r="C1620" s="961"/>
      <c r="D1620" s="961"/>
      <c r="E1620" s="961"/>
      <c r="F1620" s="961"/>
      <c r="G1620" s="961"/>
      <c r="H1620" s="961"/>
      <c r="I1620" s="961"/>
    </row>
    <row r="1621" spans="1:9">
      <c r="A1621" s="961"/>
      <c r="B1621" s="961"/>
      <c r="C1621" s="961"/>
      <c r="D1621" s="961"/>
      <c r="E1621" s="961"/>
      <c r="F1621" s="961"/>
      <c r="G1621" s="961"/>
      <c r="H1621" s="961"/>
      <c r="I1621" s="961"/>
    </row>
    <row r="1622" spans="1:9">
      <c r="A1622" s="961"/>
      <c r="B1622" s="961"/>
      <c r="C1622" s="961"/>
      <c r="D1622" s="961"/>
      <c r="E1622" s="961"/>
      <c r="F1622" s="961"/>
      <c r="G1622" s="961"/>
      <c r="H1622" s="961"/>
      <c r="I1622" s="961"/>
    </row>
    <row r="1623" spans="1:9">
      <c r="A1623" s="961"/>
      <c r="B1623" s="961"/>
      <c r="C1623" s="961"/>
      <c r="D1623" s="961"/>
      <c r="E1623" s="961"/>
      <c r="F1623" s="961"/>
      <c r="G1623" s="961"/>
      <c r="H1623" s="961"/>
      <c r="I1623" s="961"/>
    </row>
    <row r="1624" spans="1:9">
      <c r="A1624" s="961"/>
      <c r="B1624" s="961"/>
      <c r="C1624" s="961"/>
      <c r="D1624" s="961"/>
      <c r="E1624" s="961"/>
      <c r="F1624" s="961"/>
      <c r="G1624" s="961"/>
      <c r="H1624" s="961"/>
      <c r="I1624" s="961"/>
    </row>
    <row r="1625" spans="1:9">
      <c r="A1625" s="961"/>
      <c r="B1625" s="961"/>
      <c r="C1625" s="961"/>
      <c r="D1625" s="961"/>
      <c r="E1625" s="961"/>
      <c r="F1625" s="961"/>
      <c r="G1625" s="961"/>
      <c r="H1625" s="961"/>
      <c r="I1625" s="961"/>
    </row>
    <row r="1626" spans="1:9">
      <c r="A1626" s="961"/>
      <c r="B1626" s="961"/>
      <c r="C1626" s="961"/>
      <c r="D1626" s="961"/>
      <c r="E1626" s="961"/>
      <c r="F1626" s="961"/>
      <c r="G1626" s="961"/>
      <c r="H1626" s="961"/>
      <c r="I1626" s="961"/>
    </row>
    <row r="1627" spans="1:9">
      <c r="A1627" s="961"/>
      <c r="B1627" s="961"/>
      <c r="C1627" s="961"/>
      <c r="D1627" s="961"/>
      <c r="E1627" s="961"/>
      <c r="F1627" s="961"/>
      <c r="G1627" s="961"/>
      <c r="H1627" s="961"/>
      <c r="I1627" s="961"/>
    </row>
    <row r="1628" spans="1:9">
      <c r="A1628" s="961"/>
      <c r="B1628" s="961"/>
      <c r="C1628" s="961"/>
      <c r="D1628" s="961"/>
      <c r="E1628" s="961"/>
      <c r="F1628" s="961"/>
      <c r="G1628" s="961"/>
      <c r="H1628" s="961"/>
      <c r="I1628" s="961"/>
    </row>
    <row r="1629" spans="1:9">
      <c r="A1629" s="961"/>
      <c r="B1629" s="961"/>
      <c r="C1629" s="961"/>
      <c r="D1629" s="961"/>
      <c r="E1629" s="961"/>
      <c r="F1629" s="961"/>
      <c r="G1629" s="961"/>
      <c r="H1629" s="961"/>
      <c r="I1629" s="961"/>
    </row>
    <row r="1630" spans="1:9">
      <c r="A1630" s="961"/>
      <c r="B1630" s="961"/>
      <c r="C1630" s="961"/>
      <c r="D1630" s="961"/>
      <c r="E1630" s="961"/>
      <c r="F1630" s="961"/>
      <c r="G1630" s="961"/>
      <c r="H1630" s="961"/>
      <c r="I1630" s="961"/>
    </row>
    <row r="1631" spans="1:9">
      <c r="A1631" s="961"/>
      <c r="B1631" s="961"/>
      <c r="C1631" s="961"/>
      <c r="D1631" s="961"/>
      <c r="E1631" s="961"/>
      <c r="F1631" s="961"/>
      <c r="G1631" s="961"/>
      <c r="H1631" s="961"/>
      <c r="I1631" s="961"/>
    </row>
    <row r="1632" spans="1:9">
      <c r="A1632" s="961"/>
      <c r="B1632" s="961"/>
      <c r="C1632" s="961"/>
      <c r="D1632" s="961"/>
      <c r="E1632" s="961"/>
      <c r="F1632" s="961"/>
      <c r="G1632" s="961"/>
      <c r="H1632" s="961"/>
      <c r="I1632" s="961"/>
    </row>
    <row r="1633" spans="1:9">
      <c r="A1633" s="961"/>
      <c r="B1633" s="961"/>
      <c r="C1633" s="961"/>
      <c r="D1633" s="961"/>
      <c r="E1633" s="961"/>
      <c r="F1633" s="961"/>
      <c r="G1633" s="961"/>
      <c r="H1633" s="961"/>
      <c r="I1633" s="961"/>
    </row>
    <row r="1634" spans="1:9">
      <c r="A1634" s="961"/>
      <c r="B1634" s="961"/>
      <c r="C1634" s="961"/>
      <c r="D1634" s="961"/>
      <c r="E1634" s="961"/>
      <c r="F1634" s="961"/>
      <c r="G1634" s="961"/>
      <c r="H1634" s="961"/>
      <c r="I1634" s="961"/>
    </row>
    <row r="1635" spans="1:9">
      <c r="A1635" s="961"/>
      <c r="B1635" s="961"/>
      <c r="C1635" s="961"/>
      <c r="D1635" s="961"/>
      <c r="E1635" s="961"/>
      <c r="F1635" s="961"/>
      <c r="G1635" s="961"/>
      <c r="H1635" s="961"/>
      <c r="I1635" s="961"/>
    </row>
    <row r="1636" spans="1:9">
      <c r="A1636" s="961"/>
      <c r="B1636" s="961"/>
      <c r="C1636" s="961"/>
      <c r="D1636" s="961"/>
      <c r="E1636" s="961"/>
      <c r="F1636" s="961"/>
      <c r="G1636" s="961"/>
      <c r="H1636" s="961"/>
      <c r="I1636" s="961"/>
    </row>
    <row r="1637" spans="1:9">
      <c r="A1637" s="961"/>
      <c r="B1637" s="961"/>
      <c r="C1637" s="961"/>
      <c r="D1637" s="961"/>
      <c r="E1637" s="961"/>
      <c r="F1637" s="961"/>
      <c r="G1637" s="961"/>
      <c r="H1637" s="961"/>
      <c r="I1637" s="961"/>
    </row>
    <row r="1638" spans="1:9">
      <c r="A1638" s="961"/>
      <c r="B1638" s="961"/>
      <c r="C1638" s="961"/>
      <c r="D1638" s="961"/>
      <c r="E1638" s="961"/>
      <c r="F1638" s="961"/>
      <c r="G1638" s="961"/>
      <c r="H1638" s="961"/>
      <c r="I1638" s="961"/>
    </row>
    <row r="1639" spans="1:9">
      <c r="A1639" s="961"/>
      <c r="B1639" s="961"/>
      <c r="C1639" s="961"/>
      <c r="D1639" s="961"/>
      <c r="E1639" s="961"/>
      <c r="F1639" s="961"/>
      <c r="G1639" s="961"/>
      <c r="H1639" s="961"/>
      <c r="I1639" s="961"/>
    </row>
    <row r="1640" spans="1:9">
      <c r="A1640" s="961"/>
      <c r="B1640" s="961"/>
      <c r="C1640" s="961"/>
      <c r="D1640" s="961"/>
      <c r="E1640" s="961"/>
      <c r="F1640" s="961"/>
      <c r="G1640" s="961"/>
      <c r="H1640" s="961"/>
      <c r="I1640" s="961"/>
    </row>
    <row r="1641" spans="1:9">
      <c r="A1641" s="961"/>
      <c r="B1641" s="961"/>
      <c r="C1641" s="961"/>
      <c r="D1641" s="961"/>
      <c r="E1641" s="961"/>
      <c r="F1641" s="961"/>
      <c r="G1641" s="961"/>
      <c r="H1641" s="961"/>
      <c r="I1641" s="961"/>
    </row>
    <row r="1642" spans="1:9">
      <c r="A1642" s="961"/>
      <c r="B1642" s="961"/>
      <c r="C1642" s="961"/>
      <c r="D1642" s="961"/>
      <c r="E1642" s="961"/>
      <c r="F1642" s="961"/>
      <c r="G1642" s="961"/>
      <c r="H1642" s="961"/>
      <c r="I1642" s="961"/>
    </row>
    <row r="1643" spans="1:9">
      <c r="A1643" s="961"/>
      <c r="B1643" s="961"/>
      <c r="C1643" s="961"/>
      <c r="D1643" s="961"/>
      <c r="E1643" s="961"/>
      <c r="F1643" s="961"/>
      <c r="G1643" s="961"/>
      <c r="H1643" s="961"/>
      <c r="I1643" s="961"/>
    </row>
    <row r="1644" spans="1:9">
      <c r="A1644" s="961"/>
      <c r="B1644" s="961"/>
      <c r="C1644" s="961"/>
      <c r="D1644" s="961"/>
      <c r="E1644" s="961"/>
      <c r="F1644" s="961"/>
      <c r="G1644" s="961"/>
      <c r="H1644" s="961"/>
      <c r="I1644" s="961"/>
    </row>
    <row r="1645" spans="1:9">
      <c r="A1645" s="961"/>
      <c r="B1645" s="961"/>
      <c r="C1645" s="961"/>
      <c r="D1645" s="961"/>
      <c r="E1645" s="961"/>
      <c r="F1645" s="961"/>
      <c r="G1645" s="961"/>
      <c r="H1645" s="961"/>
      <c r="I1645" s="961"/>
    </row>
    <row r="1646" spans="1:9">
      <c r="A1646" s="961"/>
      <c r="B1646" s="961"/>
      <c r="C1646" s="961"/>
      <c r="D1646" s="961"/>
      <c r="E1646" s="961"/>
      <c r="F1646" s="961"/>
      <c r="G1646" s="961"/>
      <c r="H1646" s="961"/>
      <c r="I1646" s="961"/>
    </row>
    <row r="1647" spans="1:9">
      <c r="A1647" s="961"/>
      <c r="B1647" s="961"/>
      <c r="C1647" s="961"/>
      <c r="D1647" s="961"/>
      <c r="E1647" s="961"/>
      <c r="F1647" s="961"/>
      <c r="G1647" s="961"/>
      <c r="H1647" s="961"/>
      <c r="I1647" s="961"/>
    </row>
    <row r="1648" spans="1:9">
      <c r="A1648" s="961"/>
      <c r="B1648" s="961"/>
      <c r="C1648" s="961"/>
      <c r="D1648" s="961"/>
      <c r="E1648" s="961"/>
      <c r="F1648" s="961"/>
      <c r="G1648" s="961"/>
      <c r="H1648" s="961"/>
      <c r="I1648" s="961"/>
    </row>
    <row r="1649" spans="1:9">
      <c r="A1649" s="961"/>
      <c r="B1649" s="961"/>
      <c r="C1649" s="961"/>
      <c r="D1649" s="961"/>
      <c r="E1649" s="961"/>
      <c r="F1649" s="961"/>
      <c r="G1649" s="961"/>
      <c r="H1649" s="961"/>
      <c r="I1649" s="961"/>
    </row>
    <row r="1650" spans="1:9">
      <c r="A1650" s="961"/>
      <c r="B1650" s="961"/>
      <c r="C1650" s="961"/>
      <c r="D1650" s="961"/>
      <c r="E1650" s="961"/>
      <c r="F1650" s="961"/>
      <c r="G1650" s="961"/>
      <c r="H1650" s="961"/>
      <c r="I1650" s="961"/>
    </row>
    <row r="1651" spans="1:9">
      <c r="A1651" s="961"/>
      <c r="B1651" s="961"/>
      <c r="C1651" s="961"/>
      <c r="D1651" s="961"/>
      <c r="E1651" s="961"/>
      <c r="F1651" s="961"/>
      <c r="G1651" s="961"/>
      <c r="H1651" s="961"/>
      <c r="I1651" s="961"/>
    </row>
    <row r="1652" spans="1:9">
      <c r="A1652" s="961"/>
      <c r="B1652" s="961"/>
      <c r="C1652" s="961"/>
      <c r="D1652" s="961"/>
      <c r="E1652" s="961"/>
      <c r="F1652" s="961"/>
      <c r="G1652" s="961"/>
      <c r="H1652" s="961"/>
      <c r="I1652" s="961"/>
    </row>
    <row r="1653" spans="1:9">
      <c r="A1653" s="961"/>
      <c r="B1653" s="961"/>
      <c r="C1653" s="961"/>
      <c r="D1653" s="961"/>
      <c r="E1653" s="961"/>
      <c r="F1653" s="961"/>
      <c r="G1653" s="961"/>
      <c r="H1653" s="961"/>
      <c r="I1653" s="961"/>
    </row>
    <row r="1654" spans="1:9">
      <c r="A1654" s="961"/>
      <c r="B1654" s="961"/>
      <c r="C1654" s="961"/>
      <c r="D1654" s="961"/>
      <c r="E1654" s="961"/>
      <c r="F1654" s="961"/>
      <c r="G1654" s="961"/>
      <c r="H1654" s="961"/>
      <c r="I1654" s="961"/>
    </row>
    <row r="1655" spans="1:9">
      <c r="A1655" s="961"/>
      <c r="B1655" s="961"/>
      <c r="C1655" s="961"/>
      <c r="D1655" s="961"/>
      <c r="E1655" s="961"/>
      <c r="F1655" s="961"/>
      <c r="G1655" s="961"/>
      <c r="H1655" s="961"/>
      <c r="I1655" s="961"/>
    </row>
    <row r="1656" spans="1:9">
      <c r="A1656" s="961"/>
      <c r="B1656" s="961"/>
      <c r="C1656" s="961"/>
      <c r="D1656" s="961"/>
      <c r="E1656" s="961"/>
      <c r="F1656" s="961"/>
      <c r="G1656" s="961"/>
      <c r="H1656" s="961"/>
      <c r="I1656" s="961"/>
    </row>
    <row r="1657" spans="1:9">
      <c r="A1657" s="961"/>
      <c r="B1657" s="961"/>
      <c r="C1657" s="961"/>
      <c r="D1657" s="961"/>
      <c r="E1657" s="961"/>
      <c r="F1657" s="961"/>
      <c r="G1657" s="961"/>
      <c r="H1657" s="961"/>
      <c r="I1657" s="961"/>
    </row>
    <row r="1658" spans="1:9">
      <c r="A1658" s="961"/>
      <c r="B1658" s="961"/>
      <c r="C1658" s="961"/>
      <c r="D1658" s="961"/>
      <c r="E1658" s="961"/>
      <c r="F1658" s="961"/>
      <c r="G1658" s="961"/>
      <c r="H1658" s="961"/>
      <c r="I1658" s="961"/>
    </row>
    <row r="1659" spans="1:9">
      <c r="A1659" s="961"/>
      <c r="B1659" s="961"/>
      <c r="C1659" s="961"/>
      <c r="D1659" s="961"/>
      <c r="E1659" s="961"/>
      <c r="F1659" s="961"/>
      <c r="G1659" s="961"/>
      <c r="H1659" s="961"/>
      <c r="I1659" s="961"/>
    </row>
    <row r="1660" spans="1:9">
      <c r="A1660" s="961"/>
      <c r="B1660" s="961"/>
      <c r="C1660" s="961"/>
      <c r="D1660" s="961"/>
      <c r="E1660" s="961"/>
      <c r="F1660" s="961"/>
      <c r="G1660" s="961"/>
      <c r="H1660" s="961"/>
      <c r="I1660" s="961"/>
    </row>
    <row r="1661" spans="1:9">
      <c r="A1661" s="961"/>
      <c r="B1661" s="961"/>
      <c r="C1661" s="961"/>
      <c r="D1661" s="961"/>
      <c r="E1661" s="961"/>
      <c r="F1661" s="961"/>
      <c r="G1661" s="961"/>
      <c r="H1661" s="961"/>
      <c r="I1661" s="961"/>
    </row>
    <row r="1662" spans="1:9">
      <c r="A1662" s="961"/>
      <c r="B1662" s="961"/>
      <c r="C1662" s="961"/>
      <c r="D1662" s="961"/>
      <c r="E1662" s="961"/>
      <c r="F1662" s="961"/>
      <c r="G1662" s="961"/>
      <c r="H1662" s="961"/>
      <c r="I1662" s="961"/>
    </row>
    <row r="1663" spans="1:9">
      <c r="A1663" s="961"/>
      <c r="B1663" s="961"/>
      <c r="C1663" s="961"/>
      <c r="D1663" s="961"/>
      <c r="E1663" s="961"/>
      <c r="F1663" s="961"/>
      <c r="G1663" s="961"/>
      <c r="H1663" s="961"/>
      <c r="I1663" s="961"/>
    </row>
    <row r="1664" spans="1:9">
      <c r="A1664" s="961"/>
      <c r="B1664" s="961"/>
      <c r="C1664" s="961"/>
      <c r="D1664" s="961"/>
      <c r="E1664" s="961"/>
      <c r="F1664" s="961"/>
      <c r="G1664" s="961"/>
      <c r="H1664" s="961"/>
      <c r="I1664" s="961"/>
    </row>
    <row r="1665" spans="1:9">
      <c r="A1665" s="961"/>
      <c r="B1665" s="961"/>
      <c r="C1665" s="961"/>
      <c r="D1665" s="961"/>
      <c r="E1665" s="961"/>
      <c r="F1665" s="961"/>
      <c r="G1665" s="961"/>
      <c r="H1665" s="961"/>
      <c r="I1665" s="961"/>
    </row>
    <row r="1666" spans="1:9">
      <c r="A1666" s="961"/>
      <c r="B1666" s="961"/>
      <c r="C1666" s="961"/>
      <c r="D1666" s="961"/>
      <c r="E1666" s="961"/>
      <c r="F1666" s="961"/>
      <c r="G1666" s="961"/>
      <c r="H1666" s="961"/>
      <c r="I1666" s="961"/>
    </row>
    <row r="1667" spans="1:9">
      <c r="A1667" s="961"/>
      <c r="B1667" s="961"/>
      <c r="C1667" s="961"/>
      <c r="D1667" s="961"/>
      <c r="E1667" s="961"/>
      <c r="F1667" s="961"/>
      <c r="G1667" s="961"/>
      <c r="H1667" s="961"/>
      <c r="I1667" s="961"/>
    </row>
    <row r="1668" spans="1:9">
      <c r="A1668" s="961"/>
      <c r="B1668" s="961"/>
      <c r="C1668" s="961"/>
      <c r="D1668" s="961"/>
      <c r="E1668" s="961"/>
      <c r="F1668" s="961"/>
      <c r="G1668" s="961"/>
      <c r="H1668" s="961"/>
      <c r="I1668" s="961"/>
    </row>
    <row r="1669" spans="1:9">
      <c r="A1669" s="961"/>
      <c r="B1669" s="961"/>
      <c r="C1669" s="961"/>
      <c r="D1669" s="961"/>
      <c r="E1669" s="961"/>
      <c r="F1669" s="961"/>
      <c r="G1669" s="961"/>
      <c r="H1669" s="961"/>
      <c r="I1669" s="961"/>
    </row>
    <row r="1670" spans="1:9">
      <c r="A1670" s="961"/>
      <c r="B1670" s="961"/>
      <c r="C1670" s="961"/>
      <c r="D1670" s="961"/>
      <c r="E1670" s="961"/>
      <c r="F1670" s="961"/>
      <c r="G1670" s="961"/>
      <c r="H1670" s="961"/>
      <c r="I1670" s="961"/>
    </row>
    <row r="1671" spans="1:9">
      <c r="A1671" s="961"/>
      <c r="B1671" s="961"/>
      <c r="C1671" s="961"/>
      <c r="D1671" s="961"/>
      <c r="E1671" s="961"/>
      <c r="F1671" s="961"/>
      <c r="G1671" s="961"/>
      <c r="H1671" s="961"/>
      <c r="I1671" s="961"/>
    </row>
    <row r="1672" spans="1:9">
      <c r="A1672" s="961"/>
      <c r="B1672" s="961"/>
      <c r="C1672" s="961"/>
      <c r="D1672" s="961"/>
      <c r="E1672" s="961"/>
      <c r="F1672" s="961"/>
      <c r="G1672" s="961"/>
      <c r="H1672" s="961"/>
      <c r="I1672" s="961"/>
    </row>
    <row r="1673" spans="1:9">
      <c r="A1673" s="961"/>
      <c r="B1673" s="961"/>
      <c r="C1673" s="961"/>
      <c r="D1673" s="961"/>
      <c r="E1673" s="961"/>
      <c r="F1673" s="961"/>
      <c r="G1673" s="961"/>
      <c r="H1673" s="961"/>
      <c r="I1673" s="961"/>
    </row>
    <row r="1674" spans="1:9">
      <c r="A1674" s="961"/>
      <c r="B1674" s="961"/>
      <c r="C1674" s="961"/>
      <c r="D1674" s="961"/>
      <c r="E1674" s="961"/>
      <c r="F1674" s="961"/>
      <c r="G1674" s="961"/>
      <c r="H1674" s="961"/>
      <c r="I1674" s="961"/>
    </row>
    <row r="1675" spans="1:9">
      <c r="A1675" s="961"/>
      <c r="B1675" s="961"/>
      <c r="C1675" s="961"/>
      <c r="D1675" s="961"/>
      <c r="E1675" s="961"/>
      <c r="F1675" s="961"/>
      <c r="G1675" s="961"/>
      <c r="H1675" s="961"/>
      <c r="I1675" s="961"/>
    </row>
    <row r="1676" spans="1:9">
      <c r="A1676" s="961"/>
      <c r="B1676" s="961"/>
      <c r="C1676" s="961"/>
      <c r="D1676" s="961"/>
      <c r="E1676" s="961"/>
      <c r="F1676" s="961"/>
      <c r="G1676" s="961"/>
      <c r="H1676" s="961"/>
      <c r="I1676" s="961"/>
    </row>
    <row r="1677" spans="1:9">
      <c r="A1677" s="961"/>
      <c r="B1677" s="961"/>
      <c r="C1677" s="961"/>
      <c r="D1677" s="961"/>
      <c r="E1677" s="961"/>
      <c r="F1677" s="961"/>
      <c r="G1677" s="961"/>
      <c r="H1677" s="961"/>
      <c r="I1677" s="961"/>
    </row>
    <row r="1678" spans="1:9">
      <c r="A1678" s="961"/>
      <c r="B1678" s="961"/>
      <c r="C1678" s="961"/>
      <c r="D1678" s="961"/>
      <c r="E1678" s="961"/>
      <c r="F1678" s="961"/>
      <c r="G1678" s="961"/>
      <c r="H1678" s="961"/>
      <c r="I1678" s="961"/>
    </row>
    <row r="1679" spans="1:9">
      <c r="A1679" s="961"/>
      <c r="B1679" s="961"/>
      <c r="C1679" s="961"/>
      <c r="D1679" s="961"/>
      <c r="E1679" s="961"/>
      <c r="F1679" s="961"/>
      <c r="G1679" s="961"/>
      <c r="H1679" s="961"/>
      <c r="I1679" s="961"/>
    </row>
    <row r="1680" spans="1:9">
      <c r="A1680" s="961"/>
      <c r="B1680" s="961"/>
      <c r="C1680" s="961"/>
      <c r="D1680" s="961"/>
      <c r="E1680" s="961"/>
      <c r="F1680" s="961"/>
      <c r="G1680" s="961"/>
      <c r="H1680" s="961"/>
      <c r="I1680" s="961"/>
    </row>
    <row r="1681" spans="1:9">
      <c r="A1681" s="961"/>
      <c r="B1681" s="961"/>
      <c r="C1681" s="961"/>
      <c r="D1681" s="961"/>
      <c r="E1681" s="961"/>
      <c r="F1681" s="961"/>
      <c r="G1681" s="961"/>
      <c r="H1681" s="961"/>
      <c r="I1681" s="961"/>
    </row>
    <row r="1682" spans="1:9">
      <c r="A1682" s="961"/>
      <c r="B1682" s="961"/>
      <c r="C1682" s="961"/>
      <c r="D1682" s="961"/>
      <c r="E1682" s="961"/>
      <c r="F1682" s="961"/>
      <c r="G1682" s="961"/>
      <c r="H1682" s="961"/>
      <c r="I1682" s="961"/>
    </row>
    <row r="1683" spans="1:9">
      <c r="A1683" s="961"/>
      <c r="B1683" s="961"/>
      <c r="C1683" s="961"/>
      <c r="D1683" s="961"/>
      <c r="E1683" s="961"/>
      <c r="F1683" s="961"/>
      <c r="G1683" s="961"/>
      <c r="H1683" s="961"/>
      <c r="I1683" s="961"/>
    </row>
    <row r="1684" spans="1:9">
      <c r="A1684" s="961"/>
      <c r="B1684" s="961"/>
      <c r="C1684" s="961"/>
      <c r="D1684" s="961"/>
      <c r="E1684" s="961"/>
      <c r="F1684" s="961"/>
      <c r="G1684" s="961"/>
      <c r="H1684" s="961"/>
      <c r="I1684" s="961"/>
    </row>
    <row r="1685" spans="1:9">
      <c r="A1685" s="961"/>
      <c r="B1685" s="961"/>
      <c r="C1685" s="961"/>
      <c r="D1685" s="961"/>
      <c r="E1685" s="961"/>
      <c r="F1685" s="961"/>
      <c r="G1685" s="961"/>
      <c r="H1685" s="961"/>
      <c r="I1685" s="961"/>
    </row>
    <row r="1686" spans="1:9">
      <c r="A1686" s="961"/>
      <c r="B1686" s="961"/>
      <c r="C1686" s="961"/>
      <c r="D1686" s="961"/>
      <c r="E1686" s="961"/>
      <c r="F1686" s="961"/>
      <c r="G1686" s="961"/>
      <c r="H1686" s="961"/>
      <c r="I1686" s="961"/>
    </row>
    <row r="1687" spans="1:9">
      <c r="A1687" s="961"/>
      <c r="B1687" s="961"/>
      <c r="C1687" s="961"/>
      <c r="D1687" s="961"/>
      <c r="E1687" s="961"/>
      <c r="F1687" s="961"/>
      <c r="G1687" s="961"/>
      <c r="H1687" s="961"/>
      <c r="I1687" s="961"/>
    </row>
    <row r="1688" spans="1:9">
      <c r="A1688" s="961"/>
      <c r="B1688" s="961"/>
      <c r="C1688" s="961"/>
      <c r="D1688" s="961"/>
      <c r="E1688" s="961"/>
      <c r="F1688" s="961"/>
      <c r="G1688" s="961"/>
      <c r="H1688" s="961"/>
      <c r="I1688" s="961"/>
    </row>
    <row r="1689" spans="1:9">
      <c r="A1689" s="961"/>
      <c r="B1689" s="961"/>
      <c r="C1689" s="961"/>
      <c r="D1689" s="961"/>
      <c r="E1689" s="961"/>
      <c r="F1689" s="961"/>
      <c r="G1689" s="961"/>
      <c r="H1689" s="961"/>
      <c r="I1689" s="961"/>
    </row>
    <row r="1690" spans="1:9">
      <c r="A1690" s="961"/>
      <c r="B1690" s="961"/>
      <c r="C1690" s="961"/>
      <c r="D1690" s="961"/>
      <c r="E1690" s="961"/>
      <c r="F1690" s="961"/>
      <c r="G1690" s="961"/>
      <c r="H1690" s="961"/>
      <c r="I1690" s="961"/>
    </row>
    <row r="1691" spans="1:9">
      <c r="A1691" s="961"/>
      <c r="B1691" s="961"/>
      <c r="C1691" s="961"/>
      <c r="D1691" s="961"/>
      <c r="E1691" s="961"/>
      <c r="F1691" s="961"/>
      <c r="G1691" s="961"/>
      <c r="H1691" s="961"/>
      <c r="I1691" s="961"/>
    </row>
    <row r="1692" spans="1:9">
      <c r="A1692" s="961"/>
      <c r="B1692" s="961"/>
      <c r="C1692" s="961"/>
      <c r="D1692" s="961"/>
      <c r="E1692" s="961"/>
      <c r="F1692" s="961"/>
      <c r="G1692" s="961"/>
      <c r="H1692" s="961"/>
      <c r="I1692" s="961"/>
    </row>
    <row r="1693" spans="1:9">
      <c r="A1693" s="961"/>
      <c r="B1693" s="961"/>
      <c r="C1693" s="961"/>
      <c r="D1693" s="961"/>
      <c r="E1693" s="961"/>
      <c r="F1693" s="961"/>
      <c r="G1693" s="961"/>
      <c r="H1693" s="961"/>
      <c r="I1693" s="961"/>
    </row>
    <row r="1694" spans="1:9">
      <c r="A1694" s="961"/>
      <c r="B1694" s="961"/>
      <c r="C1694" s="961"/>
      <c r="D1694" s="961"/>
      <c r="E1694" s="961"/>
      <c r="F1694" s="961"/>
      <c r="G1694" s="961"/>
      <c r="H1694" s="961"/>
      <c r="I1694" s="961"/>
    </row>
    <row r="1695" spans="1:9">
      <c r="A1695" s="961"/>
      <c r="B1695" s="961"/>
      <c r="C1695" s="961"/>
      <c r="D1695" s="961"/>
      <c r="E1695" s="961"/>
      <c r="F1695" s="961"/>
      <c r="G1695" s="961"/>
      <c r="H1695" s="961"/>
      <c r="I1695" s="961"/>
    </row>
    <row r="1696" spans="1:9">
      <c r="A1696" s="961"/>
      <c r="B1696" s="961"/>
      <c r="C1696" s="961"/>
      <c r="D1696" s="961"/>
      <c r="E1696" s="961"/>
      <c r="F1696" s="961"/>
      <c r="G1696" s="961"/>
      <c r="H1696" s="961"/>
      <c r="I1696" s="961"/>
    </row>
    <row r="1697" spans="1:9">
      <c r="A1697" s="961"/>
      <c r="B1697" s="961"/>
      <c r="C1697" s="961"/>
      <c r="D1697" s="961"/>
      <c r="E1697" s="961"/>
      <c r="F1697" s="961"/>
      <c r="G1697" s="961"/>
      <c r="H1697" s="961"/>
      <c r="I1697" s="961"/>
    </row>
    <row r="1698" spans="1:9">
      <c r="A1698" s="961"/>
      <c r="B1698" s="961"/>
      <c r="C1698" s="961"/>
      <c r="D1698" s="961"/>
      <c r="E1698" s="961"/>
      <c r="F1698" s="961"/>
      <c r="G1698" s="961"/>
      <c r="H1698" s="961"/>
      <c r="I1698" s="961"/>
    </row>
    <row r="1699" spans="1:9">
      <c r="A1699" s="961"/>
      <c r="B1699" s="961"/>
      <c r="C1699" s="961"/>
      <c r="D1699" s="961"/>
      <c r="E1699" s="961"/>
      <c r="F1699" s="961"/>
      <c r="G1699" s="961"/>
      <c r="H1699" s="961"/>
      <c r="I1699" s="961"/>
    </row>
    <row r="1700" spans="1:9">
      <c r="A1700" s="961"/>
      <c r="B1700" s="961"/>
      <c r="C1700" s="961"/>
      <c r="D1700" s="961"/>
      <c r="E1700" s="961"/>
      <c r="F1700" s="961"/>
      <c r="G1700" s="961"/>
      <c r="H1700" s="961"/>
      <c r="I1700" s="961"/>
    </row>
    <row r="1701" spans="1:9">
      <c r="A1701" s="961"/>
      <c r="B1701" s="961"/>
      <c r="C1701" s="961"/>
      <c r="D1701" s="961"/>
      <c r="E1701" s="961"/>
      <c r="F1701" s="961"/>
      <c r="G1701" s="961"/>
      <c r="H1701" s="961"/>
      <c r="I1701" s="961"/>
    </row>
    <row r="1702" spans="1:9">
      <c r="A1702" s="961"/>
      <c r="B1702" s="961"/>
      <c r="C1702" s="961"/>
      <c r="D1702" s="961"/>
      <c r="E1702" s="961"/>
      <c r="F1702" s="961"/>
      <c r="G1702" s="961"/>
      <c r="H1702" s="961"/>
      <c r="I1702" s="961"/>
    </row>
    <row r="1703" spans="1:9">
      <c r="A1703" s="961"/>
      <c r="B1703" s="961"/>
      <c r="C1703" s="961"/>
      <c r="D1703" s="961"/>
      <c r="E1703" s="961"/>
      <c r="F1703" s="961"/>
      <c r="G1703" s="961"/>
      <c r="H1703" s="961"/>
      <c r="I1703" s="961"/>
    </row>
    <row r="1704" spans="1:9">
      <c r="A1704" s="961"/>
      <c r="B1704" s="961"/>
      <c r="C1704" s="961"/>
      <c r="D1704" s="961"/>
      <c r="E1704" s="961"/>
      <c r="F1704" s="961"/>
      <c r="G1704" s="961"/>
      <c r="H1704" s="961"/>
      <c r="I1704" s="961"/>
    </row>
    <row r="1705" spans="1:9">
      <c r="A1705" s="961"/>
      <c r="B1705" s="961"/>
      <c r="C1705" s="961"/>
      <c r="D1705" s="961"/>
      <c r="E1705" s="961"/>
      <c r="F1705" s="961"/>
      <c r="G1705" s="961"/>
      <c r="H1705" s="961"/>
      <c r="I1705" s="961"/>
    </row>
    <row r="1706" spans="1:9">
      <c r="A1706" s="961"/>
      <c r="B1706" s="961"/>
      <c r="C1706" s="961"/>
      <c r="D1706" s="961"/>
      <c r="E1706" s="961"/>
      <c r="F1706" s="961"/>
      <c r="G1706" s="961"/>
      <c r="H1706" s="961"/>
      <c r="I1706" s="961"/>
    </row>
    <row r="1707" spans="1:9">
      <c r="A1707" s="961"/>
      <c r="B1707" s="961"/>
      <c r="C1707" s="961"/>
      <c r="D1707" s="961"/>
      <c r="E1707" s="961"/>
      <c r="F1707" s="961"/>
      <c r="G1707" s="961"/>
      <c r="H1707" s="961"/>
      <c r="I1707" s="961"/>
    </row>
    <row r="1708" spans="1:9">
      <c r="A1708" s="961"/>
      <c r="B1708" s="961"/>
      <c r="C1708" s="961"/>
      <c r="D1708" s="961"/>
      <c r="E1708" s="961"/>
      <c r="F1708" s="961"/>
      <c r="G1708" s="961"/>
      <c r="H1708" s="961"/>
      <c r="I1708" s="961"/>
    </row>
    <row r="1709" spans="1:9">
      <c r="A1709" s="961"/>
      <c r="B1709" s="961"/>
      <c r="C1709" s="961"/>
      <c r="D1709" s="961"/>
      <c r="E1709" s="961"/>
      <c r="F1709" s="961"/>
      <c r="G1709" s="961"/>
      <c r="H1709" s="961"/>
      <c r="I1709" s="961"/>
    </row>
    <row r="1710" spans="1:9">
      <c r="A1710" s="961"/>
      <c r="B1710" s="961"/>
      <c r="C1710" s="961"/>
      <c r="D1710" s="961"/>
      <c r="E1710" s="961"/>
      <c r="F1710" s="961"/>
      <c r="G1710" s="961"/>
      <c r="H1710" s="961"/>
      <c r="I1710" s="961"/>
    </row>
    <row r="1711" spans="1:9">
      <c r="A1711" s="961"/>
      <c r="B1711" s="961"/>
      <c r="C1711" s="961"/>
      <c r="D1711" s="961"/>
      <c r="E1711" s="961"/>
      <c r="F1711" s="961"/>
      <c r="G1711" s="961"/>
      <c r="H1711" s="961"/>
      <c r="I1711" s="961"/>
    </row>
    <row r="1712" spans="1:9">
      <c r="A1712" s="961"/>
      <c r="B1712" s="961"/>
      <c r="C1712" s="961"/>
      <c r="D1712" s="961"/>
      <c r="E1712" s="961"/>
      <c r="F1712" s="961"/>
      <c r="G1712" s="961"/>
      <c r="H1712" s="961"/>
      <c r="I1712" s="961"/>
    </row>
    <row r="1713" spans="1:9">
      <c r="A1713" s="961"/>
      <c r="B1713" s="961"/>
      <c r="C1713" s="961"/>
      <c r="D1713" s="961"/>
      <c r="E1713" s="961"/>
      <c r="F1713" s="961"/>
      <c r="G1713" s="961"/>
      <c r="H1713" s="961"/>
      <c r="I1713" s="961"/>
    </row>
    <row r="1714" spans="1:9">
      <c r="A1714" s="961"/>
      <c r="B1714" s="961"/>
      <c r="C1714" s="961"/>
      <c r="D1714" s="961"/>
      <c r="E1714" s="961"/>
      <c r="F1714" s="961"/>
      <c r="G1714" s="961"/>
      <c r="H1714" s="961"/>
      <c r="I1714" s="961"/>
    </row>
    <row r="1715" spans="1:9">
      <c r="A1715" s="961"/>
      <c r="B1715" s="961"/>
      <c r="C1715" s="961"/>
      <c r="D1715" s="961"/>
      <c r="E1715" s="961"/>
      <c r="F1715" s="961"/>
      <c r="G1715" s="961"/>
      <c r="H1715" s="961"/>
      <c r="I1715" s="961"/>
    </row>
    <row r="1716" spans="1:9">
      <c r="A1716" s="961"/>
      <c r="B1716" s="961"/>
      <c r="C1716" s="961"/>
      <c r="D1716" s="961"/>
      <c r="E1716" s="961"/>
      <c r="F1716" s="961"/>
      <c r="G1716" s="961"/>
      <c r="H1716" s="961"/>
      <c r="I1716" s="961"/>
    </row>
    <row r="1717" spans="1:9">
      <c r="A1717" s="961"/>
      <c r="B1717" s="961"/>
      <c r="C1717" s="961"/>
      <c r="D1717" s="961"/>
      <c r="E1717" s="961"/>
      <c r="F1717" s="961"/>
      <c r="G1717" s="961"/>
      <c r="H1717" s="961"/>
      <c r="I1717" s="961"/>
    </row>
    <row r="1718" spans="1:9">
      <c r="A1718" s="961"/>
      <c r="B1718" s="961"/>
      <c r="C1718" s="961"/>
      <c r="D1718" s="961"/>
      <c r="E1718" s="961"/>
      <c r="F1718" s="961"/>
      <c r="G1718" s="961"/>
      <c r="H1718" s="961"/>
      <c r="I1718" s="961"/>
    </row>
    <row r="1719" spans="1:9">
      <c r="A1719" s="961"/>
      <c r="B1719" s="961"/>
      <c r="C1719" s="961"/>
      <c r="D1719" s="961"/>
      <c r="E1719" s="961"/>
      <c r="F1719" s="961"/>
      <c r="G1719" s="961"/>
      <c r="H1719" s="961"/>
      <c r="I1719" s="961"/>
    </row>
    <row r="1720" spans="1:9">
      <c r="A1720" s="961"/>
      <c r="B1720" s="961"/>
      <c r="C1720" s="961"/>
      <c r="D1720" s="961"/>
      <c r="E1720" s="961"/>
      <c r="F1720" s="961"/>
      <c r="G1720" s="961"/>
      <c r="H1720" s="961"/>
      <c r="I1720" s="961"/>
    </row>
    <row r="1721" spans="1:9">
      <c r="A1721" s="961"/>
      <c r="B1721" s="961"/>
      <c r="C1721" s="961"/>
      <c r="D1721" s="961"/>
      <c r="E1721" s="961"/>
      <c r="F1721" s="961"/>
      <c r="G1721" s="961"/>
      <c r="H1721" s="961"/>
      <c r="I1721" s="961"/>
    </row>
    <row r="1722" spans="1:9">
      <c r="A1722" s="961"/>
      <c r="B1722" s="961"/>
      <c r="C1722" s="961"/>
      <c r="D1722" s="961"/>
      <c r="E1722" s="961"/>
      <c r="F1722" s="961"/>
      <c r="G1722" s="961"/>
      <c r="H1722" s="961"/>
      <c r="I1722" s="961"/>
    </row>
    <row r="1723" spans="1:9">
      <c r="A1723" s="961"/>
      <c r="B1723" s="961"/>
      <c r="C1723" s="961"/>
      <c r="D1723" s="961"/>
      <c r="E1723" s="961"/>
      <c r="F1723" s="961"/>
      <c r="G1723" s="961"/>
      <c r="H1723" s="961"/>
      <c r="I1723" s="961"/>
    </row>
    <row r="1724" spans="1:9">
      <c r="A1724" s="961"/>
      <c r="B1724" s="961"/>
      <c r="C1724" s="961"/>
      <c r="D1724" s="961"/>
      <c r="E1724" s="961"/>
      <c r="F1724" s="961"/>
      <c r="G1724" s="961"/>
      <c r="H1724" s="961"/>
      <c r="I1724" s="961"/>
    </row>
    <row r="1725" spans="1:9">
      <c r="A1725" s="961"/>
      <c r="B1725" s="961"/>
      <c r="C1725" s="961"/>
      <c r="D1725" s="961"/>
      <c r="E1725" s="961"/>
      <c r="F1725" s="961"/>
      <c r="G1725" s="961"/>
      <c r="H1725" s="961"/>
      <c r="I1725" s="961"/>
    </row>
    <row r="1726" spans="1:9">
      <c r="A1726" s="961"/>
      <c r="B1726" s="961"/>
      <c r="C1726" s="961"/>
      <c r="D1726" s="961"/>
      <c r="E1726" s="961"/>
      <c r="F1726" s="961"/>
      <c r="G1726" s="961"/>
      <c r="H1726" s="961"/>
      <c r="I1726" s="961"/>
    </row>
    <row r="1727" spans="1:9">
      <c r="A1727" s="961"/>
      <c r="B1727" s="961"/>
      <c r="C1727" s="961"/>
      <c r="D1727" s="961"/>
      <c r="E1727" s="961"/>
      <c r="F1727" s="961"/>
      <c r="G1727" s="961"/>
      <c r="H1727" s="961"/>
      <c r="I1727" s="961"/>
    </row>
    <row r="1728" spans="1:9">
      <c r="A1728" s="961"/>
      <c r="B1728" s="961"/>
      <c r="C1728" s="961"/>
      <c r="D1728" s="961"/>
      <c r="E1728" s="961"/>
      <c r="F1728" s="961"/>
      <c r="G1728" s="961"/>
      <c r="H1728" s="961"/>
      <c r="I1728" s="961"/>
    </row>
    <row r="1729" spans="1:9">
      <c r="A1729" s="961"/>
      <c r="B1729" s="961"/>
      <c r="C1729" s="961"/>
      <c r="D1729" s="961"/>
      <c r="E1729" s="961"/>
      <c r="F1729" s="961"/>
      <c r="G1729" s="961"/>
      <c r="H1729" s="961"/>
      <c r="I1729" s="961"/>
    </row>
    <row r="1730" spans="1:9">
      <c r="A1730" s="961"/>
      <c r="B1730" s="961"/>
      <c r="C1730" s="961"/>
      <c r="D1730" s="961"/>
      <c r="E1730" s="961"/>
      <c r="F1730" s="961"/>
      <c r="G1730" s="961"/>
      <c r="H1730" s="961"/>
      <c r="I1730" s="961"/>
    </row>
    <row r="1731" spans="1:9">
      <c r="A1731" s="961"/>
      <c r="B1731" s="961"/>
      <c r="C1731" s="961"/>
      <c r="D1731" s="961"/>
      <c r="E1731" s="961"/>
      <c r="F1731" s="961"/>
      <c r="G1731" s="961"/>
      <c r="H1731" s="961"/>
      <c r="I1731" s="961"/>
    </row>
    <row r="1732" spans="1:9">
      <c r="A1732" s="961"/>
      <c r="B1732" s="961"/>
      <c r="C1732" s="961"/>
      <c r="D1732" s="961"/>
      <c r="E1732" s="961"/>
      <c r="F1732" s="961"/>
      <c r="G1732" s="961"/>
      <c r="H1732" s="961"/>
      <c r="I1732" s="961"/>
    </row>
    <row r="1733" spans="1:9">
      <c r="A1733" s="961"/>
      <c r="B1733" s="961"/>
      <c r="C1733" s="961"/>
      <c r="D1733" s="961"/>
      <c r="E1733" s="961"/>
      <c r="F1733" s="961"/>
      <c r="G1733" s="961"/>
      <c r="H1733" s="961"/>
      <c r="I1733" s="961"/>
    </row>
    <row r="1734" spans="1:9">
      <c r="A1734" s="961"/>
      <c r="B1734" s="961"/>
      <c r="C1734" s="961"/>
      <c r="D1734" s="961"/>
      <c r="E1734" s="961"/>
      <c r="F1734" s="961"/>
      <c r="G1734" s="961"/>
      <c r="H1734" s="961"/>
      <c r="I1734" s="961"/>
    </row>
    <row r="1735" spans="1:9">
      <c r="A1735" s="961"/>
      <c r="B1735" s="961"/>
      <c r="C1735" s="961"/>
      <c r="D1735" s="961"/>
      <c r="E1735" s="961"/>
      <c r="F1735" s="961"/>
      <c r="G1735" s="961"/>
      <c r="H1735" s="961"/>
      <c r="I1735" s="961"/>
    </row>
    <row r="1736" spans="1:9">
      <c r="A1736" s="961"/>
      <c r="B1736" s="961"/>
      <c r="C1736" s="961"/>
      <c r="D1736" s="961"/>
      <c r="E1736" s="961"/>
      <c r="F1736" s="961"/>
      <c r="G1736" s="961"/>
      <c r="H1736" s="961"/>
      <c r="I1736" s="961"/>
    </row>
    <row r="1737" spans="1:9">
      <c r="A1737" s="961"/>
      <c r="B1737" s="961"/>
      <c r="C1737" s="961"/>
      <c r="D1737" s="961"/>
      <c r="E1737" s="961"/>
      <c r="F1737" s="961"/>
      <c r="G1737" s="961"/>
      <c r="H1737" s="961"/>
      <c r="I1737" s="961"/>
    </row>
    <row r="1738" spans="1:9">
      <c r="A1738" s="961"/>
      <c r="B1738" s="961"/>
      <c r="C1738" s="961"/>
      <c r="D1738" s="961"/>
      <c r="E1738" s="961"/>
      <c r="F1738" s="961"/>
      <c r="G1738" s="961"/>
      <c r="H1738" s="961"/>
      <c r="I1738" s="961"/>
    </row>
    <row r="1739" spans="1:9">
      <c r="A1739" s="961"/>
      <c r="B1739" s="961"/>
      <c r="C1739" s="961"/>
      <c r="D1739" s="961"/>
      <c r="E1739" s="961"/>
      <c r="F1739" s="961"/>
      <c r="G1739" s="961"/>
      <c r="H1739" s="961"/>
      <c r="I1739" s="961"/>
    </row>
    <row r="1740" spans="1:9">
      <c r="A1740" s="961"/>
      <c r="B1740" s="961"/>
      <c r="C1740" s="961"/>
      <c r="D1740" s="961"/>
      <c r="E1740" s="961"/>
      <c r="F1740" s="961"/>
      <c r="G1740" s="961"/>
      <c r="H1740" s="961"/>
      <c r="I1740" s="961"/>
    </row>
    <row r="1741" spans="1:9">
      <c r="A1741" s="961"/>
      <c r="B1741" s="961"/>
      <c r="C1741" s="961"/>
      <c r="D1741" s="961"/>
      <c r="E1741" s="961"/>
      <c r="F1741" s="961"/>
      <c r="G1741" s="961"/>
      <c r="H1741" s="961"/>
      <c r="I1741" s="961"/>
    </row>
    <row r="1742" spans="1:9">
      <c r="A1742" s="961"/>
      <c r="B1742" s="961"/>
      <c r="C1742" s="961"/>
      <c r="D1742" s="961"/>
      <c r="E1742" s="961"/>
      <c r="F1742" s="961"/>
      <c r="G1742" s="961"/>
      <c r="H1742" s="961"/>
      <c r="I1742" s="961"/>
    </row>
    <row r="1743" spans="1:9">
      <c r="A1743" s="961"/>
      <c r="B1743" s="961"/>
      <c r="C1743" s="961"/>
      <c r="D1743" s="961"/>
      <c r="E1743" s="961"/>
      <c r="F1743" s="961"/>
      <c r="G1743" s="961"/>
      <c r="H1743" s="961"/>
      <c r="I1743" s="961"/>
    </row>
    <row r="1744" spans="1:9">
      <c r="A1744" s="961"/>
      <c r="B1744" s="961"/>
      <c r="C1744" s="961"/>
      <c r="D1744" s="961"/>
      <c r="E1744" s="961"/>
      <c r="F1744" s="961"/>
      <c r="G1744" s="961"/>
      <c r="H1744" s="961"/>
      <c r="I1744" s="961"/>
    </row>
    <row r="1745" spans="1:9">
      <c r="A1745" s="961"/>
      <c r="B1745" s="961"/>
      <c r="C1745" s="961"/>
      <c r="D1745" s="961"/>
      <c r="E1745" s="961"/>
      <c r="F1745" s="961"/>
      <c r="G1745" s="961"/>
      <c r="H1745" s="961"/>
      <c r="I1745" s="961"/>
    </row>
    <row r="1746" spans="1:9">
      <c r="A1746" s="961"/>
      <c r="B1746" s="961"/>
      <c r="C1746" s="961"/>
      <c r="D1746" s="961"/>
      <c r="E1746" s="961"/>
      <c r="F1746" s="961"/>
      <c r="G1746" s="961"/>
      <c r="H1746" s="961"/>
      <c r="I1746" s="961"/>
    </row>
    <row r="1747" spans="1:9">
      <c r="A1747" s="961"/>
      <c r="B1747" s="961"/>
      <c r="C1747" s="961"/>
      <c r="D1747" s="961"/>
      <c r="E1747" s="961"/>
      <c r="F1747" s="961"/>
      <c r="G1747" s="961"/>
      <c r="H1747" s="961"/>
      <c r="I1747" s="961"/>
    </row>
    <row r="1748" spans="1:9">
      <c r="A1748" s="961"/>
      <c r="B1748" s="961"/>
      <c r="C1748" s="961"/>
      <c r="D1748" s="961"/>
      <c r="E1748" s="961"/>
      <c r="F1748" s="961"/>
      <c r="G1748" s="961"/>
      <c r="H1748" s="961"/>
      <c r="I1748" s="961"/>
    </row>
    <row r="1749" spans="1:9">
      <c r="A1749" s="961"/>
      <c r="B1749" s="961"/>
      <c r="C1749" s="961"/>
      <c r="D1749" s="961"/>
      <c r="E1749" s="961"/>
      <c r="F1749" s="961"/>
      <c r="G1749" s="961"/>
      <c r="H1749" s="961"/>
      <c r="I1749" s="961"/>
    </row>
    <row r="1750" spans="1:9">
      <c r="A1750" s="961"/>
      <c r="B1750" s="961"/>
      <c r="C1750" s="961"/>
      <c r="D1750" s="961"/>
      <c r="E1750" s="961"/>
      <c r="F1750" s="961"/>
      <c r="G1750" s="961"/>
      <c r="H1750" s="961"/>
      <c r="I1750" s="961"/>
    </row>
    <row r="1751" spans="1:9">
      <c r="A1751" s="961"/>
      <c r="B1751" s="961"/>
      <c r="C1751" s="961"/>
      <c r="D1751" s="961"/>
      <c r="E1751" s="961"/>
      <c r="F1751" s="961"/>
      <c r="G1751" s="961"/>
      <c r="H1751" s="961"/>
      <c r="I1751" s="961"/>
    </row>
    <row r="1752" spans="1:9">
      <c r="A1752" s="961"/>
      <c r="B1752" s="961"/>
      <c r="C1752" s="961"/>
      <c r="D1752" s="961"/>
      <c r="E1752" s="961"/>
      <c r="F1752" s="961"/>
      <c r="G1752" s="961"/>
      <c r="H1752" s="961"/>
      <c r="I1752" s="961"/>
    </row>
    <row r="1753" spans="1:9">
      <c r="A1753" s="961"/>
      <c r="B1753" s="961"/>
      <c r="C1753" s="961"/>
      <c r="D1753" s="961"/>
      <c r="E1753" s="961"/>
      <c r="F1753" s="961"/>
      <c r="G1753" s="961"/>
      <c r="H1753" s="961"/>
      <c r="I1753" s="961"/>
    </row>
    <row r="1754" spans="1:9">
      <c r="A1754" s="961"/>
      <c r="B1754" s="961"/>
      <c r="C1754" s="961"/>
      <c r="D1754" s="961"/>
      <c r="E1754" s="961"/>
      <c r="F1754" s="961"/>
      <c r="G1754" s="961"/>
      <c r="H1754" s="961"/>
      <c r="I1754" s="961"/>
    </row>
    <row r="1755" spans="1:9">
      <c r="A1755" s="961"/>
      <c r="B1755" s="961"/>
      <c r="C1755" s="961"/>
      <c r="D1755" s="961"/>
      <c r="E1755" s="961"/>
      <c r="F1755" s="961"/>
      <c r="G1755" s="961"/>
      <c r="H1755" s="961"/>
      <c r="I1755" s="961"/>
    </row>
    <row r="1756" spans="1:9">
      <c r="A1756" s="961"/>
      <c r="B1756" s="961"/>
      <c r="C1756" s="961"/>
      <c r="D1756" s="961"/>
      <c r="E1756" s="961"/>
      <c r="F1756" s="961"/>
      <c r="G1756" s="961"/>
      <c r="H1756" s="961"/>
      <c r="I1756" s="961"/>
    </row>
    <row r="1757" spans="1:9">
      <c r="A1757" s="961"/>
      <c r="B1757" s="961"/>
      <c r="C1757" s="961"/>
      <c r="D1757" s="961"/>
      <c r="E1757" s="961"/>
      <c r="F1757" s="961"/>
      <c r="G1757" s="961"/>
      <c r="H1757" s="961"/>
      <c r="I1757" s="961"/>
    </row>
    <row r="1758" spans="1:9">
      <c r="A1758" s="961"/>
      <c r="B1758" s="961"/>
      <c r="C1758" s="961"/>
      <c r="D1758" s="961"/>
      <c r="E1758" s="961"/>
      <c r="F1758" s="961"/>
      <c r="G1758" s="961"/>
      <c r="H1758" s="961"/>
      <c r="I1758" s="961"/>
    </row>
    <row r="1759" spans="1:9">
      <c r="A1759" s="961"/>
      <c r="B1759" s="961"/>
      <c r="C1759" s="961"/>
      <c r="D1759" s="961"/>
      <c r="E1759" s="961"/>
      <c r="F1759" s="961"/>
      <c r="G1759" s="961"/>
      <c r="H1759" s="961"/>
      <c r="I1759" s="961"/>
    </row>
    <row r="1760" spans="1:9">
      <c r="A1760" s="961"/>
      <c r="B1760" s="961"/>
      <c r="C1760" s="961"/>
      <c r="D1760" s="961"/>
      <c r="E1760" s="961"/>
      <c r="F1760" s="961"/>
      <c r="G1760" s="961"/>
      <c r="H1760" s="961"/>
      <c r="I1760" s="961"/>
    </row>
    <row r="1761" spans="1:9">
      <c r="A1761" s="961"/>
      <c r="B1761" s="961"/>
      <c r="C1761" s="961"/>
      <c r="D1761" s="961"/>
      <c r="E1761" s="961"/>
      <c r="F1761" s="961"/>
      <c r="G1761" s="961"/>
      <c r="H1761" s="961"/>
      <c r="I1761" s="961"/>
    </row>
    <row r="1762" spans="1:9">
      <c r="A1762" s="961"/>
      <c r="B1762" s="961"/>
      <c r="C1762" s="961"/>
      <c r="D1762" s="961"/>
      <c r="E1762" s="961"/>
      <c r="F1762" s="961"/>
      <c r="G1762" s="961"/>
      <c r="H1762" s="961"/>
      <c r="I1762" s="961"/>
    </row>
    <row r="1763" spans="1:9">
      <c r="A1763" s="961"/>
      <c r="B1763" s="961"/>
      <c r="C1763" s="961"/>
      <c r="D1763" s="961"/>
      <c r="E1763" s="961"/>
      <c r="F1763" s="961"/>
      <c r="G1763" s="961"/>
      <c r="H1763" s="961"/>
      <c r="I1763" s="961"/>
    </row>
    <row r="1764" spans="1:9">
      <c r="A1764" s="961"/>
      <c r="B1764" s="961"/>
      <c r="C1764" s="961"/>
      <c r="D1764" s="961"/>
      <c r="E1764" s="961"/>
      <c r="F1764" s="961"/>
      <c r="G1764" s="961"/>
      <c r="H1764" s="961"/>
      <c r="I1764" s="961"/>
    </row>
    <row r="1765" spans="1:9">
      <c r="A1765" s="961"/>
      <c r="B1765" s="961"/>
      <c r="C1765" s="961"/>
      <c r="D1765" s="961"/>
      <c r="E1765" s="961"/>
      <c r="F1765" s="961"/>
      <c r="G1765" s="961"/>
      <c r="H1765" s="961"/>
      <c r="I1765" s="961"/>
    </row>
    <row r="1766" spans="1:9">
      <c r="A1766" s="961"/>
      <c r="B1766" s="961"/>
      <c r="C1766" s="961"/>
      <c r="D1766" s="961"/>
      <c r="E1766" s="961"/>
      <c r="F1766" s="961"/>
      <c r="G1766" s="961"/>
      <c r="H1766" s="961"/>
      <c r="I1766" s="961"/>
    </row>
    <row r="1767" spans="1:9">
      <c r="A1767" s="961"/>
      <c r="B1767" s="961"/>
      <c r="C1767" s="961"/>
      <c r="D1767" s="961"/>
      <c r="E1767" s="961"/>
      <c r="F1767" s="961"/>
      <c r="G1767" s="961"/>
      <c r="H1767" s="961"/>
      <c r="I1767" s="961"/>
    </row>
    <row r="1768" spans="1:9">
      <c r="A1768" s="961"/>
      <c r="B1768" s="961"/>
      <c r="C1768" s="961"/>
      <c r="D1768" s="961"/>
      <c r="E1768" s="961"/>
      <c r="F1768" s="961"/>
      <c r="G1768" s="961"/>
      <c r="H1768" s="961"/>
      <c r="I1768" s="961"/>
    </row>
    <row r="1769" spans="1:9">
      <c r="A1769" s="961"/>
      <c r="B1769" s="961"/>
      <c r="C1769" s="961"/>
      <c r="D1769" s="961"/>
      <c r="E1769" s="961"/>
      <c r="F1769" s="961"/>
      <c r="G1769" s="961"/>
      <c r="H1769" s="961"/>
      <c r="I1769" s="961"/>
    </row>
    <row r="1770" spans="1:9">
      <c r="A1770" s="961"/>
      <c r="B1770" s="961"/>
      <c r="C1770" s="961"/>
      <c r="D1770" s="961"/>
      <c r="E1770" s="961"/>
      <c r="F1770" s="961"/>
      <c r="G1770" s="961"/>
      <c r="H1770" s="961"/>
      <c r="I1770" s="961"/>
    </row>
    <row r="1771" spans="1:9">
      <c r="A1771" s="961"/>
      <c r="B1771" s="961"/>
      <c r="C1771" s="961"/>
      <c r="D1771" s="961"/>
      <c r="E1771" s="961"/>
      <c r="F1771" s="961"/>
      <c r="G1771" s="961"/>
      <c r="H1771" s="961"/>
      <c r="I1771" s="961"/>
    </row>
    <row r="1772" spans="1:9">
      <c r="A1772" s="961"/>
      <c r="B1772" s="961"/>
      <c r="C1772" s="961"/>
      <c r="D1772" s="961"/>
      <c r="E1772" s="961"/>
      <c r="F1772" s="961"/>
      <c r="G1772" s="961"/>
      <c r="H1772" s="961"/>
      <c r="I1772" s="961"/>
    </row>
    <row r="1773" spans="1:9">
      <c r="A1773" s="961"/>
      <c r="B1773" s="961"/>
      <c r="C1773" s="961"/>
      <c r="D1773" s="961"/>
      <c r="E1773" s="961"/>
      <c r="F1773" s="961"/>
      <c r="G1773" s="961"/>
      <c r="H1773" s="961"/>
      <c r="I1773" s="961"/>
    </row>
    <row r="1774" spans="1:9">
      <c r="A1774" s="961"/>
      <c r="B1774" s="961"/>
      <c r="C1774" s="961"/>
      <c r="D1774" s="961"/>
      <c r="E1774" s="961"/>
      <c r="F1774" s="961"/>
      <c r="G1774" s="961"/>
      <c r="H1774" s="961"/>
      <c r="I1774" s="961"/>
    </row>
    <row r="1775" spans="1:9">
      <c r="A1775" s="961"/>
      <c r="B1775" s="961"/>
      <c r="C1775" s="961"/>
      <c r="D1775" s="961"/>
      <c r="E1775" s="961"/>
      <c r="F1775" s="961"/>
      <c r="G1775" s="961"/>
      <c r="H1775" s="961"/>
      <c r="I1775" s="961"/>
    </row>
    <row r="1776" spans="1:9">
      <c r="A1776" s="961"/>
      <c r="B1776" s="961"/>
      <c r="C1776" s="961"/>
      <c r="D1776" s="961"/>
      <c r="E1776" s="961"/>
      <c r="F1776" s="961"/>
      <c r="G1776" s="961"/>
      <c r="H1776" s="961"/>
      <c r="I1776" s="961"/>
    </row>
    <row r="1777" spans="1:9">
      <c r="A1777" s="961"/>
      <c r="B1777" s="961"/>
      <c r="C1777" s="961"/>
      <c r="D1777" s="961"/>
      <c r="E1777" s="961"/>
      <c r="F1777" s="961"/>
      <c r="G1777" s="961"/>
      <c r="H1777" s="961"/>
      <c r="I1777" s="961"/>
    </row>
    <row r="1778" spans="1:9">
      <c r="A1778" s="961"/>
      <c r="B1778" s="961"/>
      <c r="C1778" s="961"/>
      <c r="D1778" s="961"/>
      <c r="E1778" s="961"/>
      <c r="F1778" s="961"/>
      <c r="G1778" s="961"/>
      <c r="H1778" s="961"/>
      <c r="I1778" s="961"/>
    </row>
    <row r="1779" spans="1:9">
      <c r="A1779" s="961"/>
      <c r="B1779" s="961"/>
      <c r="C1779" s="961"/>
      <c r="D1779" s="961"/>
      <c r="E1779" s="961"/>
      <c r="F1779" s="961"/>
      <c r="G1779" s="961"/>
      <c r="H1779" s="961"/>
      <c r="I1779" s="961"/>
    </row>
    <row r="1780" spans="1:9">
      <c r="A1780" s="961"/>
      <c r="B1780" s="961"/>
      <c r="C1780" s="961"/>
      <c r="D1780" s="961"/>
      <c r="E1780" s="961"/>
      <c r="F1780" s="961"/>
      <c r="G1780" s="961"/>
      <c r="H1780" s="961"/>
      <c r="I1780" s="961"/>
    </row>
    <row r="1781" spans="1:9">
      <c r="A1781" s="961"/>
      <c r="B1781" s="961"/>
      <c r="C1781" s="961"/>
      <c r="D1781" s="961"/>
      <c r="E1781" s="961"/>
      <c r="F1781" s="961"/>
      <c r="G1781" s="961"/>
      <c r="H1781" s="961"/>
      <c r="I1781" s="961"/>
    </row>
    <row r="1782" spans="1:9">
      <c r="A1782" s="961"/>
      <c r="B1782" s="961"/>
      <c r="C1782" s="961"/>
      <c r="D1782" s="961"/>
      <c r="E1782" s="961"/>
      <c r="F1782" s="961"/>
      <c r="G1782" s="961"/>
      <c r="H1782" s="961"/>
      <c r="I1782" s="961"/>
    </row>
    <row r="1783" spans="1:9">
      <c r="A1783" s="961"/>
      <c r="B1783" s="961"/>
      <c r="C1783" s="961"/>
      <c r="D1783" s="961"/>
      <c r="E1783" s="961"/>
      <c r="F1783" s="961"/>
      <c r="G1783" s="961"/>
      <c r="H1783" s="961"/>
      <c r="I1783" s="961"/>
    </row>
    <row r="1784" spans="1:9">
      <c r="A1784" s="961"/>
      <c r="B1784" s="961"/>
      <c r="C1784" s="961"/>
      <c r="D1784" s="961"/>
      <c r="E1784" s="961"/>
      <c r="F1784" s="961"/>
      <c r="G1784" s="961"/>
      <c r="H1784" s="961"/>
      <c r="I1784" s="961"/>
    </row>
    <row r="1785" spans="1:9">
      <c r="A1785" s="961"/>
      <c r="B1785" s="961"/>
      <c r="C1785" s="961"/>
      <c r="D1785" s="961"/>
      <c r="E1785" s="961"/>
      <c r="F1785" s="961"/>
      <c r="G1785" s="961"/>
      <c r="H1785" s="961"/>
      <c r="I1785" s="961"/>
    </row>
    <row r="1786" spans="1:9">
      <c r="A1786" s="961"/>
      <c r="B1786" s="961"/>
      <c r="C1786" s="961"/>
      <c r="D1786" s="961"/>
      <c r="E1786" s="961"/>
      <c r="F1786" s="961"/>
      <c r="G1786" s="961"/>
      <c r="H1786" s="961"/>
      <c r="I1786" s="961"/>
    </row>
    <row r="1787" spans="1:9">
      <c r="A1787" s="961"/>
      <c r="B1787" s="961"/>
      <c r="C1787" s="961"/>
      <c r="D1787" s="961"/>
      <c r="E1787" s="961"/>
      <c r="F1787" s="961"/>
      <c r="G1787" s="961"/>
      <c r="H1787" s="961"/>
      <c r="I1787" s="961"/>
    </row>
    <row r="1788" spans="1:9">
      <c r="A1788" s="961"/>
      <c r="B1788" s="961"/>
      <c r="C1788" s="961"/>
      <c r="D1788" s="961"/>
      <c r="E1788" s="961"/>
      <c r="F1788" s="961"/>
      <c r="G1788" s="961"/>
      <c r="H1788" s="961"/>
      <c r="I1788" s="961"/>
    </row>
    <row r="1789" spans="1:9">
      <c r="A1789" s="961"/>
      <c r="B1789" s="961"/>
      <c r="C1789" s="961"/>
      <c r="D1789" s="961"/>
      <c r="E1789" s="961"/>
      <c r="F1789" s="961"/>
      <c r="G1789" s="961"/>
      <c r="H1789" s="961"/>
      <c r="I1789" s="961"/>
    </row>
    <row r="1790" spans="1:9">
      <c r="A1790" s="961"/>
      <c r="B1790" s="961"/>
      <c r="C1790" s="961"/>
      <c r="D1790" s="961"/>
      <c r="E1790" s="961"/>
      <c r="F1790" s="961"/>
      <c r="G1790" s="961"/>
      <c r="H1790" s="961"/>
      <c r="I1790" s="961"/>
    </row>
    <row r="1791" spans="1:9">
      <c r="A1791" s="961"/>
      <c r="B1791" s="961"/>
      <c r="C1791" s="961"/>
      <c r="D1791" s="961"/>
      <c r="E1791" s="961"/>
      <c r="F1791" s="961"/>
      <c r="G1791" s="961"/>
      <c r="H1791" s="961"/>
      <c r="I1791" s="961"/>
    </row>
    <row r="1792" spans="1:9">
      <c r="A1792" s="961"/>
      <c r="B1792" s="961"/>
      <c r="C1792" s="961"/>
      <c r="D1792" s="961"/>
      <c r="E1792" s="961"/>
      <c r="F1792" s="961"/>
      <c r="G1792" s="961"/>
      <c r="H1792" s="961"/>
      <c r="I1792" s="961"/>
    </row>
    <row r="1793" spans="1:9">
      <c r="A1793" s="961"/>
      <c r="B1793" s="961"/>
      <c r="C1793" s="961"/>
      <c r="D1793" s="961"/>
      <c r="E1793" s="961"/>
      <c r="F1793" s="961"/>
      <c r="G1793" s="961"/>
      <c r="H1793" s="961"/>
      <c r="I1793" s="961"/>
    </row>
    <row r="1794" spans="1:9">
      <c r="A1794" s="961"/>
      <c r="B1794" s="961"/>
      <c r="C1794" s="961"/>
      <c r="D1794" s="961"/>
      <c r="E1794" s="961"/>
      <c r="F1794" s="961"/>
      <c r="G1794" s="961"/>
      <c r="H1794" s="961"/>
      <c r="I1794" s="961"/>
    </row>
    <row r="1795" spans="1:9">
      <c r="A1795" s="961"/>
      <c r="B1795" s="961"/>
      <c r="C1795" s="961"/>
      <c r="D1795" s="961"/>
      <c r="E1795" s="961"/>
      <c r="F1795" s="961"/>
      <c r="G1795" s="961"/>
      <c r="H1795" s="961"/>
      <c r="I1795" s="961"/>
    </row>
    <row r="1796" spans="1:9">
      <c r="A1796" s="961"/>
      <c r="B1796" s="961"/>
      <c r="C1796" s="961"/>
      <c r="D1796" s="961"/>
      <c r="E1796" s="961"/>
      <c r="F1796" s="961"/>
      <c r="G1796" s="961"/>
      <c r="H1796" s="961"/>
      <c r="I1796" s="961"/>
    </row>
    <row r="1797" spans="1:9">
      <c r="A1797" s="961"/>
      <c r="B1797" s="961"/>
      <c r="C1797" s="961"/>
      <c r="D1797" s="961"/>
      <c r="E1797" s="961"/>
      <c r="F1797" s="961"/>
      <c r="G1797" s="961"/>
      <c r="H1797" s="961"/>
      <c r="I1797" s="961"/>
    </row>
    <row r="1798" spans="1:9">
      <c r="A1798" s="961"/>
      <c r="B1798" s="961"/>
      <c r="C1798" s="961"/>
      <c r="D1798" s="961"/>
      <c r="E1798" s="961"/>
      <c r="F1798" s="961"/>
      <c r="G1798" s="961"/>
      <c r="H1798" s="961"/>
      <c r="I1798" s="961"/>
    </row>
    <row r="1799" spans="1:9">
      <c r="A1799" s="961"/>
      <c r="B1799" s="961"/>
      <c r="C1799" s="961"/>
      <c r="D1799" s="961"/>
      <c r="E1799" s="961"/>
      <c r="F1799" s="961"/>
      <c r="G1799" s="961"/>
      <c r="H1799" s="961"/>
      <c r="I1799" s="961"/>
    </row>
    <row r="1800" spans="1:9">
      <c r="A1800" s="961"/>
      <c r="B1800" s="961"/>
      <c r="C1800" s="961"/>
      <c r="D1800" s="961"/>
      <c r="E1800" s="961"/>
      <c r="F1800" s="961"/>
      <c r="G1800" s="961"/>
      <c r="H1800" s="961"/>
      <c r="I1800" s="961"/>
    </row>
    <row r="1801" spans="1:9">
      <c r="A1801" s="961"/>
      <c r="B1801" s="961"/>
      <c r="C1801" s="961"/>
      <c r="D1801" s="961"/>
      <c r="E1801" s="961"/>
      <c r="F1801" s="961"/>
      <c r="G1801" s="961"/>
      <c r="H1801" s="961"/>
      <c r="I1801" s="961"/>
    </row>
    <row r="1802" spans="1:9">
      <c r="A1802" s="961"/>
      <c r="B1802" s="961"/>
      <c r="C1802" s="961"/>
      <c r="D1802" s="961"/>
      <c r="E1802" s="961"/>
      <c r="F1802" s="961"/>
      <c r="G1802" s="961"/>
      <c r="H1802" s="961"/>
      <c r="I1802" s="961"/>
    </row>
    <row r="1803" spans="1:9">
      <c r="A1803" s="961"/>
      <c r="B1803" s="961"/>
      <c r="C1803" s="961"/>
      <c r="D1803" s="961"/>
      <c r="E1803" s="961"/>
      <c r="F1803" s="961"/>
      <c r="G1803" s="961"/>
      <c r="H1803" s="961"/>
      <c r="I1803" s="961"/>
    </row>
    <row r="1804" spans="1:9">
      <c r="A1804" s="961"/>
      <c r="B1804" s="961"/>
      <c r="C1804" s="961"/>
      <c r="D1804" s="961"/>
      <c r="E1804" s="961"/>
      <c r="F1804" s="961"/>
      <c r="G1804" s="961"/>
      <c r="H1804" s="961"/>
      <c r="I1804" s="961"/>
    </row>
    <row r="1805" spans="1:9">
      <c r="A1805" s="961"/>
      <c r="B1805" s="961"/>
      <c r="C1805" s="961"/>
      <c r="D1805" s="961"/>
      <c r="E1805" s="961"/>
      <c r="F1805" s="961"/>
      <c r="G1805" s="961"/>
      <c r="H1805" s="961"/>
      <c r="I1805" s="961"/>
    </row>
    <row r="1806" spans="1:9">
      <c r="A1806" s="961"/>
      <c r="B1806" s="961"/>
      <c r="C1806" s="961"/>
      <c r="D1806" s="961"/>
      <c r="E1806" s="961"/>
      <c r="F1806" s="961"/>
      <c r="G1806" s="961"/>
      <c r="H1806" s="961"/>
      <c r="I1806" s="961"/>
    </row>
    <row r="1807" spans="1:9">
      <c r="A1807" s="961"/>
      <c r="B1807" s="961"/>
      <c r="C1807" s="961"/>
      <c r="D1807" s="961"/>
      <c r="E1807" s="961"/>
      <c r="F1807" s="961"/>
      <c r="G1807" s="961"/>
      <c r="H1807" s="961"/>
      <c r="I1807" s="961"/>
    </row>
    <row r="1808" spans="1:9">
      <c r="A1808" s="961"/>
      <c r="B1808" s="961"/>
      <c r="C1808" s="961"/>
      <c r="D1808" s="961"/>
      <c r="E1808" s="961"/>
      <c r="F1808" s="961"/>
      <c r="G1808" s="961"/>
      <c r="H1808" s="961"/>
      <c r="I1808" s="961"/>
    </row>
    <row r="1809" spans="1:9">
      <c r="A1809" s="961"/>
      <c r="B1809" s="961"/>
      <c r="C1809" s="961"/>
      <c r="D1809" s="961"/>
      <c r="E1809" s="961"/>
      <c r="F1809" s="961"/>
      <c r="G1809" s="961"/>
      <c r="H1809" s="961"/>
      <c r="I1809" s="961"/>
    </row>
    <row r="1810" spans="1:9">
      <c r="A1810" s="961"/>
      <c r="B1810" s="961"/>
      <c r="C1810" s="961"/>
      <c r="D1810" s="961"/>
      <c r="E1810" s="961"/>
      <c r="F1810" s="961"/>
      <c r="G1810" s="961"/>
      <c r="H1810" s="961"/>
      <c r="I1810" s="961"/>
    </row>
    <row r="1811" spans="1:9">
      <c r="A1811" s="961"/>
      <c r="B1811" s="961"/>
      <c r="C1811" s="961"/>
      <c r="D1811" s="961"/>
      <c r="E1811" s="961"/>
      <c r="F1811" s="961"/>
      <c r="G1811" s="961"/>
      <c r="H1811" s="961"/>
      <c r="I1811" s="961"/>
    </row>
    <row r="1812" spans="1:9">
      <c r="A1812" s="961"/>
      <c r="B1812" s="961"/>
      <c r="C1812" s="961"/>
      <c r="D1812" s="961"/>
      <c r="E1812" s="961"/>
      <c r="F1812" s="961"/>
      <c r="G1812" s="961"/>
      <c r="H1812" s="961"/>
      <c r="I1812" s="961"/>
    </row>
    <row r="1813" spans="1:9">
      <c r="A1813" s="961"/>
      <c r="B1813" s="961"/>
      <c r="C1813" s="961"/>
      <c r="D1813" s="961"/>
      <c r="E1813" s="961"/>
      <c r="F1813" s="961"/>
      <c r="G1813" s="961"/>
      <c r="H1813" s="961"/>
      <c r="I1813" s="961"/>
    </row>
    <row r="1814" spans="1:9">
      <c r="A1814" s="961"/>
      <c r="B1814" s="961"/>
      <c r="C1814" s="961"/>
      <c r="D1814" s="961"/>
      <c r="E1814" s="961"/>
      <c r="F1814" s="961"/>
      <c r="G1814" s="961"/>
      <c r="H1814" s="961"/>
      <c r="I1814" s="961"/>
    </row>
    <row r="1815" spans="1:9">
      <c r="A1815" s="961"/>
      <c r="B1815" s="961"/>
      <c r="C1815" s="961"/>
      <c r="D1815" s="961"/>
      <c r="E1815" s="961"/>
      <c r="F1815" s="961"/>
      <c r="G1815" s="961"/>
      <c r="H1815" s="961"/>
      <c r="I1815" s="961"/>
    </row>
    <row r="1816" spans="1:9">
      <c r="A1816" s="961"/>
      <c r="B1816" s="961"/>
      <c r="C1816" s="961"/>
      <c r="D1816" s="961"/>
      <c r="E1816" s="961"/>
      <c r="F1816" s="961"/>
      <c r="G1816" s="961"/>
      <c r="H1816" s="961"/>
      <c r="I1816" s="961"/>
    </row>
    <row r="1817" spans="1:9">
      <c r="A1817" s="961"/>
      <c r="B1817" s="961"/>
      <c r="C1817" s="961"/>
      <c r="D1817" s="961"/>
      <c r="E1817" s="961"/>
      <c r="F1817" s="961"/>
      <c r="G1817" s="961"/>
      <c r="H1817" s="961"/>
      <c r="I1817" s="961"/>
    </row>
    <row r="1818" spans="1:9">
      <c r="A1818" s="961"/>
      <c r="B1818" s="961"/>
      <c r="C1818" s="961"/>
      <c r="D1818" s="961"/>
      <c r="E1818" s="961"/>
      <c r="F1818" s="961"/>
      <c r="G1818" s="961"/>
      <c r="H1818" s="961"/>
      <c r="I1818" s="961"/>
    </row>
    <row r="1819" spans="1:9">
      <c r="A1819" s="961"/>
      <c r="B1819" s="961"/>
      <c r="C1819" s="961"/>
      <c r="D1819" s="961"/>
      <c r="E1819" s="961"/>
      <c r="F1819" s="961"/>
      <c r="G1819" s="961"/>
      <c r="H1819" s="961"/>
      <c r="I1819" s="961"/>
    </row>
    <row r="1820" spans="1:9">
      <c r="A1820" s="961"/>
      <c r="B1820" s="961"/>
      <c r="C1820" s="961"/>
      <c r="D1820" s="961"/>
      <c r="E1820" s="961"/>
      <c r="F1820" s="961"/>
      <c r="G1820" s="961"/>
      <c r="H1820" s="961"/>
      <c r="I1820" s="961"/>
    </row>
    <row r="1821" spans="1:9">
      <c r="A1821" s="961"/>
      <c r="B1821" s="961"/>
      <c r="C1821" s="961"/>
      <c r="D1821" s="961"/>
      <c r="E1821" s="961"/>
      <c r="F1821" s="961"/>
      <c r="G1821" s="961"/>
      <c r="H1821" s="961"/>
      <c r="I1821" s="961"/>
    </row>
    <row r="1822" spans="1:9">
      <c r="A1822" s="961"/>
      <c r="B1822" s="961"/>
      <c r="C1822" s="961"/>
      <c r="D1822" s="961"/>
      <c r="E1822" s="961"/>
      <c r="F1822" s="961"/>
      <c r="G1822" s="961"/>
      <c r="H1822" s="961"/>
      <c r="I1822" s="961"/>
    </row>
    <row r="1823" spans="1:9">
      <c r="A1823" s="961"/>
      <c r="B1823" s="961"/>
      <c r="C1823" s="961"/>
      <c r="D1823" s="961"/>
      <c r="E1823" s="961"/>
      <c r="F1823" s="961"/>
      <c r="G1823" s="961"/>
      <c r="H1823" s="961"/>
      <c r="I1823" s="961"/>
    </row>
    <row r="1824" spans="1:9">
      <c r="A1824" s="961"/>
      <c r="B1824" s="961"/>
      <c r="C1824" s="961"/>
      <c r="D1824" s="961"/>
      <c r="E1824" s="961"/>
      <c r="F1824" s="961"/>
      <c r="G1824" s="961"/>
      <c r="H1824" s="961"/>
      <c r="I1824" s="961"/>
    </row>
    <row r="1825" spans="1:9">
      <c r="A1825" s="961"/>
      <c r="B1825" s="961"/>
      <c r="C1825" s="961"/>
      <c r="D1825" s="961"/>
      <c r="E1825" s="961"/>
      <c r="F1825" s="961"/>
      <c r="G1825" s="961"/>
      <c r="H1825" s="961"/>
      <c r="I1825" s="961"/>
    </row>
    <row r="1826" spans="1:9">
      <c r="A1826" s="961"/>
      <c r="B1826" s="961"/>
      <c r="C1826" s="961"/>
      <c r="D1826" s="961"/>
      <c r="E1826" s="961"/>
      <c r="F1826" s="961"/>
      <c r="G1826" s="961"/>
      <c r="H1826" s="961"/>
      <c r="I1826" s="961"/>
    </row>
    <row r="1827" spans="1:9">
      <c r="A1827" s="961"/>
      <c r="B1827" s="961"/>
      <c r="C1827" s="961"/>
      <c r="D1827" s="961"/>
      <c r="E1827" s="961"/>
      <c r="F1827" s="961"/>
      <c r="G1827" s="961"/>
      <c r="H1827" s="961"/>
      <c r="I1827" s="961"/>
    </row>
    <row r="1828" spans="1:9">
      <c r="A1828" s="961"/>
      <c r="B1828" s="961"/>
      <c r="C1828" s="961"/>
      <c r="D1828" s="961"/>
      <c r="E1828" s="961"/>
      <c r="F1828" s="961"/>
      <c r="G1828" s="961"/>
      <c r="H1828" s="961"/>
      <c r="I1828" s="961"/>
    </row>
    <row r="1829" spans="1:9">
      <c r="A1829" s="961"/>
      <c r="B1829" s="961"/>
      <c r="C1829" s="961"/>
      <c r="D1829" s="961"/>
      <c r="E1829" s="961"/>
      <c r="F1829" s="961"/>
      <c r="G1829" s="961"/>
      <c r="H1829" s="961"/>
      <c r="I1829" s="961"/>
    </row>
    <row r="1830" spans="1:9">
      <c r="A1830" s="961"/>
      <c r="B1830" s="961"/>
      <c r="C1830" s="961"/>
      <c r="D1830" s="961"/>
      <c r="E1830" s="961"/>
      <c r="F1830" s="961"/>
      <c r="G1830" s="961"/>
      <c r="H1830" s="961"/>
      <c r="I1830" s="961"/>
    </row>
    <row r="1831" spans="1:9">
      <c r="A1831" s="961"/>
      <c r="B1831" s="961"/>
      <c r="C1831" s="961"/>
      <c r="D1831" s="961"/>
      <c r="E1831" s="961"/>
      <c r="F1831" s="961"/>
      <c r="G1831" s="961"/>
      <c r="H1831" s="961"/>
      <c r="I1831" s="961"/>
    </row>
    <row r="1832" spans="1:9">
      <c r="A1832" s="961"/>
      <c r="B1832" s="961"/>
      <c r="C1832" s="961"/>
      <c r="D1832" s="961"/>
      <c r="E1832" s="961"/>
      <c r="F1832" s="961"/>
      <c r="G1832" s="961"/>
      <c r="H1832" s="961"/>
      <c r="I1832" s="961"/>
    </row>
    <row r="1833" spans="1:9">
      <c r="A1833" s="961"/>
      <c r="B1833" s="961"/>
      <c r="C1833" s="961"/>
      <c r="D1833" s="961"/>
      <c r="E1833" s="961"/>
      <c r="F1833" s="961"/>
      <c r="G1833" s="961"/>
      <c r="H1833" s="961"/>
      <c r="I1833" s="961"/>
    </row>
    <row r="1834" spans="1:9">
      <c r="A1834" s="961"/>
      <c r="B1834" s="961"/>
      <c r="C1834" s="961"/>
      <c r="D1834" s="961"/>
      <c r="E1834" s="961"/>
      <c r="F1834" s="961"/>
      <c r="G1834" s="961"/>
      <c r="H1834" s="961"/>
      <c r="I1834" s="961"/>
    </row>
    <row r="1835" spans="1:9">
      <c r="A1835" s="961"/>
      <c r="B1835" s="961"/>
      <c r="C1835" s="961"/>
      <c r="D1835" s="961"/>
      <c r="E1835" s="961"/>
      <c r="F1835" s="961"/>
      <c r="G1835" s="961"/>
      <c r="H1835" s="961"/>
      <c r="I1835" s="961"/>
    </row>
    <row r="1836" spans="1:9">
      <c r="A1836" s="961"/>
      <c r="B1836" s="961"/>
      <c r="C1836" s="961"/>
      <c r="D1836" s="961"/>
      <c r="E1836" s="961"/>
      <c r="F1836" s="961"/>
      <c r="G1836" s="961"/>
      <c r="H1836" s="961"/>
      <c r="I1836" s="961"/>
    </row>
    <row r="1837" spans="1:9">
      <c r="A1837" s="961"/>
      <c r="B1837" s="961"/>
      <c r="C1837" s="961"/>
      <c r="D1837" s="961"/>
      <c r="E1837" s="961"/>
      <c r="F1837" s="961"/>
      <c r="G1837" s="961"/>
      <c r="H1837" s="961"/>
      <c r="I1837" s="961"/>
    </row>
    <row r="1838" spans="1:9">
      <c r="A1838" s="961"/>
      <c r="B1838" s="961"/>
      <c r="C1838" s="961"/>
      <c r="D1838" s="961"/>
      <c r="E1838" s="961"/>
      <c r="F1838" s="961"/>
      <c r="G1838" s="961"/>
      <c r="H1838" s="961"/>
      <c r="I1838" s="961"/>
    </row>
    <row r="1839" spans="1:9">
      <c r="A1839" s="961"/>
      <c r="B1839" s="961"/>
      <c r="C1839" s="961"/>
      <c r="D1839" s="961"/>
      <c r="E1839" s="961"/>
      <c r="F1839" s="961"/>
      <c r="G1839" s="961"/>
      <c r="H1839" s="961"/>
      <c r="I1839" s="961"/>
    </row>
    <row r="1840" spans="1:9">
      <c r="A1840" s="961"/>
      <c r="B1840" s="961"/>
      <c r="C1840" s="961"/>
      <c r="D1840" s="961"/>
      <c r="E1840" s="961"/>
      <c r="F1840" s="961"/>
      <c r="G1840" s="961"/>
      <c r="H1840" s="961"/>
      <c r="I1840" s="961"/>
    </row>
    <row r="1841" spans="1:9">
      <c r="A1841" s="961"/>
      <c r="B1841" s="961"/>
      <c r="C1841" s="961"/>
      <c r="D1841" s="961"/>
      <c r="E1841" s="961"/>
      <c r="F1841" s="961"/>
      <c r="G1841" s="961"/>
      <c r="H1841" s="961"/>
      <c r="I1841" s="961"/>
    </row>
    <row r="1842" spans="1:9">
      <c r="A1842" s="961"/>
      <c r="B1842" s="961"/>
      <c r="C1842" s="961"/>
      <c r="D1842" s="961"/>
      <c r="E1842" s="961"/>
      <c r="F1842" s="961"/>
      <c r="G1842" s="961"/>
      <c r="H1842" s="961"/>
      <c r="I1842" s="961"/>
    </row>
    <row r="1843" spans="1:9">
      <c r="A1843" s="961"/>
      <c r="B1843" s="961"/>
      <c r="C1843" s="961"/>
      <c r="D1843" s="961"/>
      <c r="E1843" s="961"/>
      <c r="F1843" s="961"/>
      <c r="G1843" s="961"/>
      <c r="H1843" s="961"/>
      <c r="I1843" s="961"/>
    </row>
    <row r="1844" spans="1:9">
      <c r="A1844" s="961"/>
      <c r="B1844" s="961"/>
      <c r="C1844" s="961"/>
      <c r="D1844" s="961"/>
      <c r="E1844" s="961"/>
      <c r="F1844" s="961"/>
      <c r="G1844" s="961"/>
      <c r="H1844" s="961"/>
      <c r="I1844" s="961"/>
    </row>
    <row r="1845" spans="1:9">
      <c r="A1845" s="961"/>
      <c r="B1845" s="961"/>
      <c r="C1845" s="961"/>
      <c r="D1845" s="961"/>
      <c r="E1845" s="961"/>
      <c r="F1845" s="961"/>
      <c r="G1845" s="961"/>
      <c r="H1845" s="961"/>
      <c r="I1845" s="961"/>
    </row>
    <row r="1846" spans="1:9">
      <c r="A1846" s="961"/>
      <c r="B1846" s="961"/>
      <c r="C1846" s="961"/>
      <c r="D1846" s="961"/>
      <c r="E1846" s="961"/>
      <c r="F1846" s="961"/>
      <c r="G1846" s="961"/>
      <c r="H1846" s="961"/>
      <c r="I1846" s="961"/>
    </row>
    <row r="1847" spans="1:9">
      <c r="A1847" s="961"/>
      <c r="B1847" s="961"/>
      <c r="C1847" s="961"/>
      <c r="D1847" s="961"/>
      <c r="E1847" s="961"/>
      <c r="F1847" s="961"/>
      <c r="G1847" s="961"/>
      <c r="H1847" s="961"/>
      <c r="I1847" s="961"/>
    </row>
    <row r="1848" spans="1:9">
      <c r="A1848" s="961"/>
      <c r="B1848" s="961"/>
      <c r="C1848" s="961"/>
      <c r="D1848" s="961"/>
      <c r="E1848" s="961"/>
      <c r="F1848" s="961"/>
      <c r="G1848" s="961"/>
      <c r="H1848" s="961"/>
      <c r="I1848" s="961"/>
    </row>
    <row r="1849" spans="1:9">
      <c r="A1849" s="961"/>
      <c r="B1849" s="961"/>
      <c r="C1849" s="961"/>
      <c r="D1849" s="961"/>
      <c r="E1849" s="961"/>
      <c r="F1849" s="961"/>
      <c r="G1849" s="961"/>
      <c r="H1849" s="961"/>
      <c r="I1849" s="961"/>
    </row>
    <row r="1850" spans="1:9">
      <c r="A1850" s="961"/>
      <c r="B1850" s="961"/>
      <c r="C1850" s="961"/>
      <c r="D1850" s="961"/>
      <c r="E1850" s="961"/>
      <c r="F1850" s="961"/>
      <c r="G1850" s="961"/>
      <c r="H1850" s="961"/>
      <c r="I1850" s="961"/>
    </row>
    <row r="1851" spans="1:9">
      <c r="A1851" s="961"/>
      <c r="B1851" s="961"/>
      <c r="C1851" s="961"/>
      <c r="D1851" s="961"/>
      <c r="E1851" s="961"/>
      <c r="F1851" s="961"/>
      <c r="G1851" s="961"/>
      <c r="H1851" s="961"/>
      <c r="I1851" s="961"/>
    </row>
    <row r="1852" spans="1:9">
      <c r="A1852" s="961"/>
      <c r="B1852" s="961"/>
      <c r="C1852" s="961"/>
      <c r="D1852" s="961"/>
      <c r="E1852" s="961"/>
      <c r="F1852" s="961"/>
      <c r="G1852" s="961"/>
      <c r="H1852" s="961"/>
      <c r="I1852" s="961"/>
    </row>
    <row r="1853" spans="1:9">
      <c r="A1853" s="961"/>
      <c r="B1853" s="961"/>
      <c r="C1853" s="961"/>
      <c r="D1853" s="961"/>
      <c r="E1853" s="961"/>
      <c r="F1853" s="961"/>
      <c r="G1853" s="961"/>
      <c r="H1853" s="961"/>
      <c r="I1853" s="961"/>
    </row>
    <row r="1854" spans="1:9">
      <c r="A1854" s="961"/>
      <c r="B1854" s="961"/>
      <c r="C1854" s="961"/>
      <c r="D1854" s="961"/>
      <c r="E1854" s="961"/>
      <c r="F1854" s="961"/>
      <c r="G1854" s="961"/>
      <c r="H1854" s="961"/>
      <c r="I1854" s="961"/>
    </row>
    <row r="1855" spans="1:9">
      <c r="A1855" s="961"/>
      <c r="B1855" s="961"/>
      <c r="C1855" s="961"/>
      <c r="D1855" s="961"/>
      <c r="E1855" s="961"/>
      <c r="F1855" s="961"/>
      <c r="G1855" s="961"/>
      <c r="H1855" s="961"/>
      <c r="I1855" s="961"/>
    </row>
    <row r="1856" spans="1:9">
      <c r="A1856" s="961"/>
      <c r="B1856" s="961"/>
      <c r="C1856" s="961"/>
      <c r="D1856" s="961"/>
      <c r="E1856" s="961"/>
      <c r="F1856" s="961"/>
      <c r="G1856" s="961"/>
      <c r="H1856" s="961"/>
      <c r="I1856" s="961"/>
    </row>
    <row r="1857" spans="1:9">
      <c r="A1857" s="961"/>
      <c r="B1857" s="961"/>
      <c r="C1857" s="961"/>
      <c r="D1857" s="961"/>
      <c r="E1857" s="961"/>
      <c r="F1857" s="961"/>
      <c r="G1857" s="961"/>
      <c r="H1857" s="961"/>
      <c r="I1857" s="961"/>
    </row>
    <row r="1858" spans="1:9">
      <c r="A1858" s="961"/>
      <c r="B1858" s="961"/>
      <c r="C1858" s="961"/>
      <c r="D1858" s="961"/>
      <c r="E1858" s="961"/>
      <c r="F1858" s="961"/>
      <c r="G1858" s="961"/>
      <c r="H1858" s="961"/>
      <c r="I1858" s="961"/>
    </row>
    <row r="1859" spans="1:9">
      <c r="A1859" s="961"/>
      <c r="B1859" s="961"/>
      <c r="C1859" s="961"/>
      <c r="D1859" s="961"/>
      <c r="E1859" s="961"/>
      <c r="F1859" s="961"/>
      <c r="G1859" s="961"/>
      <c r="H1859" s="961"/>
      <c r="I1859" s="961"/>
    </row>
    <row r="1860" spans="1:9">
      <c r="A1860" s="961"/>
      <c r="B1860" s="961"/>
      <c r="C1860" s="961"/>
      <c r="D1860" s="961"/>
      <c r="E1860" s="961"/>
      <c r="F1860" s="961"/>
      <c r="G1860" s="961"/>
      <c r="H1860" s="961"/>
      <c r="I1860" s="961"/>
    </row>
    <row r="1861" spans="1:9">
      <c r="A1861" s="961"/>
      <c r="B1861" s="961"/>
      <c r="C1861" s="961"/>
      <c r="D1861" s="961"/>
      <c r="E1861" s="961"/>
      <c r="F1861" s="961"/>
      <c r="G1861" s="961"/>
      <c r="H1861" s="961"/>
      <c r="I1861" s="961"/>
    </row>
    <row r="1862" spans="1:9">
      <c r="A1862" s="961"/>
      <c r="B1862" s="961"/>
      <c r="C1862" s="961"/>
      <c r="D1862" s="961"/>
      <c r="E1862" s="961"/>
      <c r="F1862" s="961"/>
      <c r="G1862" s="961"/>
      <c r="H1862" s="961"/>
      <c r="I1862" s="961"/>
    </row>
    <row r="1863" spans="1:9">
      <c r="A1863" s="961"/>
      <c r="B1863" s="961"/>
      <c r="C1863" s="961"/>
      <c r="D1863" s="961"/>
      <c r="E1863" s="961"/>
      <c r="F1863" s="961"/>
      <c r="G1863" s="961"/>
      <c r="H1863" s="961"/>
      <c r="I1863" s="961"/>
    </row>
    <row r="1864" spans="1:9">
      <c r="A1864" s="961"/>
      <c r="B1864" s="961"/>
      <c r="C1864" s="961"/>
      <c r="D1864" s="961"/>
      <c r="E1864" s="961"/>
      <c r="F1864" s="961"/>
      <c r="G1864" s="961"/>
      <c r="H1864" s="961"/>
      <c r="I1864" s="961"/>
    </row>
    <row r="1865" spans="1:9">
      <c r="A1865" s="961"/>
      <c r="B1865" s="961"/>
      <c r="C1865" s="961"/>
      <c r="D1865" s="961"/>
      <c r="E1865" s="961"/>
      <c r="F1865" s="961"/>
      <c r="G1865" s="961"/>
      <c r="H1865" s="961"/>
      <c r="I1865" s="961"/>
    </row>
    <row r="1866" spans="1:9">
      <c r="A1866" s="961"/>
      <c r="B1866" s="961"/>
      <c r="C1866" s="961"/>
      <c r="D1866" s="961"/>
      <c r="E1866" s="961"/>
      <c r="F1866" s="961"/>
      <c r="G1866" s="961"/>
      <c r="H1866" s="961"/>
      <c r="I1866" s="961"/>
    </row>
    <row r="1867" spans="1:9">
      <c r="A1867" s="961"/>
      <c r="B1867" s="961"/>
      <c r="C1867" s="961"/>
      <c r="D1867" s="961"/>
      <c r="E1867" s="961"/>
      <c r="F1867" s="961"/>
      <c r="G1867" s="961"/>
      <c r="H1867" s="961"/>
      <c r="I1867" s="961"/>
    </row>
    <row r="1868" spans="1:9">
      <c r="A1868" s="961"/>
      <c r="B1868" s="961"/>
      <c r="C1868" s="961"/>
      <c r="D1868" s="961"/>
      <c r="E1868" s="961"/>
      <c r="F1868" s="961"/>
      <c r="G1868" s="961"/>
      <c r="H1868" s="961"/>
      <c r="I1868" s="961"/>
    </row>
    <row r="1869" spans="1:9">
      <c r="A1869" s="961"/>
      <c r="B1869" s="961"/>
      <c r="C1869" s="961"/>
      <c r="D1869" s="961"/>
      <c r="E1869" s="961"/>
      <c r="F1869" s="961"/>
      <c r="G1869" s="961"/>
      <c r="H1869" s="961"/>
      <c r="I1869" s="961"/>
    </row>
    <row r="1870" spans="1:9">
      <c r="A1870" s="961"/>
      <c r="B1870" s="961"/>
      <c r="C1870" s="961"/>
      <c r="D1870" s="961"/>
      <c r="E1870" s="961"/>
      <c r="F1870" s="961"/>
      <c r="G1870" s="961"/>
      <c r="H1870" s="961"/>
      <c r="I1870" s="961"/>
    </row>
    <row r="1871" spans="1:9">
      <c r="A1871" s="961"/>
      <c r="B1871" s="961"/>
      <c r="C1871" s="961"/>
      <c r="D1871" s="961"/>
      <c r="E1871" s="961"/>
      <c r="F1871" s="961"/>
      <c r="G1871" s="961"/>
      <c r="H1871" s="961"/>
      <c r="I1871" s="961"/>
    </row>
    <row r="1872" spans="1:9">
      <c r="A1872" s="961"/>
      <c r="B1872" s="961"/>
      <c r="C1872" s="961"/>
      <c r="D1872" s="961"/>
      <c r="E1872" s="961"/>
      <c r="F1872" s="961"/>
      <c r="G1872" s="961"/>
      <c r="H1872" s="961"/>
      <c r="I1872" s="961"/>
    </row>
    <row r="1873" spans="1:9">
      <c r="A1873" s="961"/>
      <c r="B1873" s="961"/>
      <c r="C1873" s="961"/>
      <c r="D1873" s="961"/>
      <c r="E1873" s="961"/>
      <c r="F1873" s="961"/>
      <c r="G1873" s="961"/>
      <c r="H1873" s="961"/>
      <c r="I1873" s="961"/>
    </row>
    <row r="1874" spans="1:9">
      <c r="A1874" s="961"/>
      <c r="B1874" s="961"/>
      <c r="C1874" s="961"/>
      <c r="D1874" s="961"/>
      <c r="E1874" s="961"/>
      <c r="F1874" s="961"/>
      <c r="G1874" s="961"/>
      <c r="H1874" s="961"/>
      <c r="I1874" s="961"/>
    </row>
    <row r="1875" spans="1:9">
      <c r="A1875" s="961"/>
      <c r="B1875" s="961"/>
      <c r="C1875" s="961"/>
      <c r="D1875" s="961"/>
      <c r="E1875" s="961"/>
      <c r="F1875" s="961"/>
      <c r="G1875" s="961"/>
      <c r="H1875" s="961"/>
      <c r="I1875" s="961"/>
    </row>
    <row r="1876" spans="1:9">
      <c r="A1876" s="961"/>
      <c r="B1876" s="961"/>
      <c r="C1876" s="961"/>
      <c r="D1876" s="961"/>
      <c r="E1876" s="961"/>
      <c r="F1876" s="961"/>
      <c r="G1876" s="961"/>
      <c r="H1876" s="961"/>
      <c r="I1876" s="961"/>
    </row>
    <row r="1877" spans="1:9">
      <c r="A1877" s="961"/>
      <c r="B1877" s="961"/>
      <c r="C1877" s="961"/>
      <c r="D1877" s="961"/>
      <c r="E1877" s="961"/>
      <c r="F1877" s="961"/>
      <c r="G1877" s="961"/>
      <c r="H1877" s="961"/>
      <c r="I1877" s="961"/>
    </row>
    <row r="1878" spans="1:9">
      <c r="A1878" s="961"/>
      <c r="B1878" s="961"/>
      <c r="C1878" s="961"/>
      <c r="D1878" s="961"/>
      <c r="E1878" s="961"/>
      <c r="F1878" s="961"/>
      <c r="G1878" s="961"/>
      <c r="H1878" s="961"/>
      <c r="I1878" s="961"/>
    </row>
    <row r="1879" spans="1:9">
      <c r="A1879" s="961"/>
      <c r="B1879" s="961"/>
      <c r="C1879" s="961"/>
      <c r="D1879" s="961"/>
      <c r="E1879" s="961"/>
      <c r="F1879" s="961"/>
      <c r="G1879" s="961"/>
      <c r="H1879" s="961"/>
      <c r="I1879" s="961"/>
    </row>
    <row r="1880" spans="1:9">
      <c r="A1880" s="961"/>
      <c r="B1880" s="961"/>
      <c r="C1880" s="961"/>
      <c r="D1880" s="961"/>
      <c r="E1880" s="961"/>
      <c r="F1880" s="961"/>
      <c r="G1880" s="961"/>
      <c r="H1880" s="961"/>
      <c r="I1880" s="961"/>
    </row>
    <row r="1881" spans="1:9">
      <c r="A1881" s="961"/>
      <c r="B1881" s="961"/>
      <c r="C1881" s="961"/>
      <c r="D1881" s="961"/>
      <c r="E1881" s="961"/>
      <c r="F1881" s="961"/>
      <c r="G1881" s="961"/>
      <c r="H1881" s="961"/>
      <c r="I1881" s="961"/>
    </row>
    <row r="1882" spans="1:9">
      <c r="A1882" s="961"/>
      <c r="B1882" s="961"/>
      <c r="C1882" s="961"/>
      <c r="D1882" s="961"/>
      <c r="E1882" s="961"/>
      <c r="F1882" s="961"/>
      <c r="G1882" s="961"/>
      <c r="H1882" s="961"/>
      <c r="I1882" s="961"/>
    </row>
    <row r="1883" spans="1:9">
      <c r="A1883" s="961"/>
      <c r="B1883" s="961"/>
      <c r="C1883" s="961"/>
      <c r="D1883" s="961"/>
      <c r="E1883" s="961"/>
      <c r="F1883" s="961"/>
      <c r="G1883" s="961"/>
      <c r="H1883" s="961"/>
      <c r="I1883" s="961"/>
    </row>
    <row r="1884" spans="1:9">
      <c r="A1884" s="961"/>
      <c r="B1884" s="961"/>
      <c r="C1884" s="961"/>
      <c r="D1884" s="961"/>
      <c r="E1884" s="961"/>
      <c r="F1884" s="961"/>
      <c r="G1884" s="961"/>
      <c r="H1884" s="961"/>
      <c r="I1884" s="961"/>
    </row>
    <row r="1885" spans="1:9">
      <c r="A1885" s="961"/>
      <c r="B1885" s="961"/>
      <c r="C1885" s="961"/>
      <c r="D1885" s="961"/>
      <c r="E1885" s="961"/>
      <c r="F1885" s="961"/>
      <c r="G1885" s="961"/>
      <c r="H1885" s="961"/>
      <c r="I1885" s="961"/>
    </row>
    <row r="1886" spans="1:9">
      <c r="A1886" s="961"/>
      <c r="B1886" s="961"/>
      <c r="C1886" s="961"/>
      <c r="D1886" s="961"/>
      <c r="E1886" s="961"/>
      <c r="F1886" s="961"/>
      <c r="G1886" s="961"/>
      <c r="H1886" s="961"/>
      <c r="I1886" s="961"/>
    </row>
    <row r="1887" spans="1:9">
      <c r="A1887" s="961"/>
      <c r="B1887" s="961"/>
      <c r="C1887" s="961"/>
      <c r="D1887" s="961"/>
      <c r="E1887" s="961"/>
      <c r="F1887" s="961"/>
      <c r="G1887" s="961"/>
      <c r="H1887" s="961"/>
      <c r="I1887" s="961"/>
    </row>
    <row r="1888" spans="1:9">
      <c r="A1888" s="961"/>
      <c r="B1888" s="961"/>
      <c r="C1888" s="961"/>
      <c r="D1888" s="961"/>
      <c r="E1888" s="961"/>
      <c r="F1888" s="961"/>
      <c r="G1888" s="961"/>
      <c r="H1888" s="961"/>
      <c r="I1888" s="961"/>
    </row>
    <row r="1889" spans="1:9">
      <c r="A1889" s="961"/>
      <c r="B1889" s="961"/>
      <c r="C1889" s="961"/>
      <c r="D1889" s="961"/>
      <c r="E1889" s="961"/>
      <c r="F1889" s="961"/>
      <c r="G1889" s="961"/>
      <c r="H1889" s="961"/>
      <c r="I1889" s="961"/>
    </row>
    <row r="1890" spans="1:9">
      <c r="A1890" s="961"/>
      <c r="B1890" s="961"/>
      <c r="C1890" s="961"/>
      <c r="D1890" s="961"/>
      <c r="E1890" s="961"/>
      <c r="F1890" s="961"/>
      <c r="G1890" s="961"/>
      <c r="H1890" s="961"/>
      <c r="I1890" s="961"/>
    </row>
    <row r="1891" spans="1:9">
      <c r="A1891" s="961"/>
      <c r="B1891" s="961"/>
      <c r="C1891" s="961"/>
      <c r="D1891" s="961"/>
      <c r="E1891" s="961"/>
      <c r="F1891" s="961"/>
      <c r="G1891" s="961"/>
      <c r="H1891" s="961"/>
      <c r="I1891" s="961"/>
    </row>
    <row r="1892" spans="1:9">
      <c r="A1892" s="961"/>
      <c r="B1892" s="961"/>
      <c r="C1892" s="961"/>
      <c r="D1892" s="961"/>
      <c r="E1892" s="961"/>
      <c r="F1892" s="961"/>
      <c r="G1892" s="961"/>
      <c r="H1892" s="961"/>
      <c r="I1892" s="961"/>
    </row>
    <row r="1893" spans="1:9">
      <c r="A1893" s="961"/>
      <c r="B1893" s="961"/>
      <c r="C1893" s="961"/>
      <c r="D1893" s="961"/>
      <c r="E1893" s="961"/>
      <c r="F1893" s="961"/>
      <c r="G1893" s="961"/>
      <c r="H1893" s="961"/>
      <c r="I1893" s="961"/>
    </row>
    <row r="1894" spans="1:9">
      <c r="A1894" s="961"/>
      <c r="B1894" s="961"/>
      <c r="C1894" s="961"/>
      <c r="D1894" s="961"/>
      <c r="E1894" s="961"/>
      <c r="F1894" s="961"/>
      <c r="G1894" s="961"/>
      <c r="H1894" s="961"/>
      <c r="I1894" s="961"/>
    </row>
    <row r="1895" spans="1:9">
      <c r="A1895" s="961"/>
      <c r="B1895" s="961"/>
      <c r="C1895" s="961"/>
      <c r="D1895" s="961"/>
      <c r="E1895" s="961"/>
      <c r="F1895" s="961"/>
      <c r="G1895" s="961"/>
      <c r="H1895" s="961"/>
      <c r="I1895" s="961"/>
    </row>
    <row r="1896" spans="1:9">
      <c r="A1896" s="961"/>
      <c r="B1896" s="961"/>
      <c r="C1896" s="961"/>
      <c r="D1896" s="961"/>
      <c r="E1896" s="961"/>
      <c r="F1896" s="961"/>
      <c r="G1896" s="961"/>
      <c r="H1896" s="961"/>
      <c r="I1896" s="961"/>
    </row>
    <row r="1897" spans="1:9">
      <c r="A1897" s="961"/>
      <c r="B1897" s="961"/>
      <c r="C1897" s="961"/>
      <c r="D1897" s="961"/>
      <c r="E1897" s="961"/>
      <c r="F1897" s="961"/>
      <c r="G1897" s="961"/>
      <c r="H1897" s="961"/>
      <c r="I1897" s="961"/>
    </row>
    <row r="1898" spans="1:9">
      <c r="A1898" s="961"/>
      <c r="B1898" s="961"/>
      <c r="C1898" s="961"/>
      <c r="D1898" s="961"/>
      <c r="E1898" s="961"/>
      <c r="F1898" s="961"/>
      <c r="G1898" s="961"/>
      <c r="H1898" s="961"/>
      <c r="I1898" s="961"/>
    </row>
    <row r="1899" spans="1:9">
      <c r="A1899" s="961"/>
      <c r="B1899" s="961"/>
      <c r="C1899" s="961"/>
      <c r="D1899" s="961"/>
      <c r="E1899" s="961"/>
      <c r="F1899" s="961"/>
      <c r="G1899" s="961"/>
      <c r="H1899" s="961"/>
      <c r="I1899" s="961"/>
    </row>
    <row r="1900" spans="1:9">
      <c r="A1900" s="961"/>
      <c r="B1900" s="961"/>
      <c r="C1900" s="961"/>
      <c r="D1900" s="961"/>
      <c r="E1900" s="961"/>
      <c r="F1900" s="961"/>
      <c r="G1900" s="961"/>
      <c r="H1900" s="961"/>
      <c r="I1900" s="961"/>
    </row>
    <row r="1901" spans="1:9">
      <c r="A1901" s="961"/>
      <c r="B1901" s="961"/>
      <c r="C1901" s="961"/>
      <c r="D1901" s="961"/>
      <c r="E1901" s="961"/>
      <c r="F1901" s="961"/>
      <c r="G1901" s="961"/>
      <c r="H1901" s="961"/>
      <c r="I1901" s="961"/>
    </row>
    <row r="1902" spans="1:9">
      <c r="A1902" s="961"/>
      <c r="B1902" s="961"/>
      <c r="C1902" s="961"/>
      <c r="D1902" s="961"/>
      <c r="E1902" s="961"/>
      <c r="F1902" s="961"/>
      <c r="G1902" s="961"/>
      <c r="H1902" s="961"/>
      <c r="I1902" s="961"/>
    </row>
    <row r="1903" spans="1:9">
      <c r="A1903" s="961"/>
      <c r="B1903" s="961"/>
      <c r="C1903" s="961"/>
      <c r="D1903" s="961"/>
      <c r="E1903" s="961"/>
      <c r="F1903" s="961"/>
      <c r="G1903" s="961"/>
      <c r="H1903" s="961"/>
      <c r="I1903" s="961"/>
    </row>
    <row r="1904" spans="1:9">
      <c r="A1904" s="961"/>
      <c r="B1904" s="961"/>
      <c r="C1904" s="961"/>
      <c r="D1904" s="961"/>
      <c r="E1904" s="961"/>
      <c r="F1904" s="961"/>
      <c r="G1904" s="961"/>
      <c r="H1904" s="961"/>
      <c r="I1904" s="961"/>
    </row>
    <row r="1905" spans="1:9">
      <c r="A1905" s="961"/>
      <c r="B1905" s="961"/>
      <c r="C1905" s="961"/>
      <c r="D1905" s="961"/>
      <c r="E1905" s="961"/>
      <c r="F1905" s="961"/>
      <c r="G1905" s="961"/>
      <c r="H1905" s="961"/>
      <c r="I1905" s="961"/>
    </row>
    <row r="1906" spans="1:9">
      <c r="A1906" s="961"/>
      <c r="B1906" s="961"/>
      <c r="C1906" s="961"/>
      <c r="D1906" s="961"/>
      <c r="E1906" s="961"/>
      <c r="F1906" s="961"/>
      <c r="G1906" s="961"/>
      <c r="H1906" s="961"/>
      <c r="I1906" s="961"/>
    </row>
    <row r="1907" spans="1:9">
      <c r="A1907" s="961"/>
      <c r="B1907" s="961"/>
      <c r="C1907" s="961"/>
      <c r="D1907" s="961"/>
      <c r="E1907" s="961"/>
      <c r="F1907" s="961"/>
      <c r="G1907" s="961"/>
      <c r="H1907" s="961"/>
      <c r="I1907" s="961"/>
    </row>
    <row r="1908" spans="1:9">
      <c r="A1908" s="961"/>
      <c r="B1908" s="961"/>
      <c r="C1908" s="961"/>
      <c r="D1908" s="961"/>
      <c r="E1908" s="961"/>
      <c r="F1908" s="961"/>
      <c r="G1908" s="961"/>
      <c r="H1908" s="961"/>
      <c r="I1908" s="961"/>
    </row>
    <row r="1909" spans="1:9">
      <c r="A1909" s="961"/>
      <c r="B1909" s="961"/>
      <c r="C1909" s="961"/>
      <c r="D1909" s="961"/>
      <c r="E1909" s="961"/>
      <c r="F1909" s="961"/>
      <c r="G1909" s="961"/>
      <c r="H1909" s="961"/>
      <c r="I1909" s="961"/>
    </row>
    <row r="1910" spans="1:9">
      <c r="A1910" s="961"/>
      <c r="B1910" s="961"/>
      <c r="C1910" s="961"/>
      <c r="D1910" s="961"/>
      <c r="E1910" s="961"/>
      <c r="F1910" s="961"/>
      <c r="G1910" s="961"/>
      <c r="H1910" s="961"/>
      <c r="I1910" s="961"/>
    </row>
    <row r="1911" spans="1:9">
      <c r="A1911" s="961"/>
      <c r="B1911" s="961"/>
      <c r="C1911" s="961"/>
      <c r="D1911" s="961"/>
      <c r="E1911" s="961"/>
      <c r="F1911" s="961"/>
      <c r="G1911" s="961"/>
      <c r="H1911" s="961"/>
      <c r="I1911" s="961"/>
    </row>
    <row r="1912" spans="1:9">
      <c r="A1912" s="961"/>
      <c r="B1912" s="961"/>
      <c r="C1912" s="961"/>
      <c r="D1912" s="961"/>
      <c r="E1912" s="961"/>
      <c r="F1912" s="961"/>
      <c r="G1912" s="961"/>
      <c r="H1912" s="961"/>
      <c r="I1912" s="961"/>
    </row>
    <row r="1913" spans="1:9">
      <c r="A1913" s="961"/>
      <c r="B1913" s="961"/>
      <c r="C1913" s="961"/>
      <c r="D1913" s="961"/>
      <c r="E1913" s="961"/>
      <c r="F1913" s="961"/>
      <c r="G1913" s="961"/>
      <c r="H1913" s="961"/>
      <c r="I1913" s="961"/>
    </row>
    <row r="1914" spans="1:9">
      <c r="A1914" s="961"/>
      <c r="B1914" s="961"/>
      <c r="C1914" s="961"/>
      <c r="D1914" s="961"/>
      <c r="E1914" s="961"/>
      <c r="F1914" s="961"/>
      <c r="G1914" s="961"/>
      <c r="H1914" s="961"/>
      <c r="I1914" s="961"/>
    </row>
    <row r="1915" spans="1:9">
      <c r="A1915" s="961"/>
      <c r="B1915" s="961"/>
      <c r="C1915" s="961"/>
      <c r="D1915" s="961"/>
      <c r="E1915" s="961"/>
      <c r="F1915" s="961"/>
      <c r="G1915" s="961"/>
      <c r="H1915" s="961"/>
      <c r="I1915" s="961"/>
    </row>
    <row r="1916" spans="1:9">
      <c r="A1916" s="961"/>
      <c r="B1916" s="961"/>
      <c r="C1916" s="961"/>
      <c r="D1916" s="961"/>
      <c r="E1916" s="961"/>
      <c r="F1916" s="961"/>
      <c r="G1916" s="961"/>
      <c r="H1916" s="961"/>
      <c r="I1916" s="961"/>
    </row>
    <row r="1917" spans="1:9">
      <c r="A1917" s="961"/>
      <c r="B1917" s="961"/>
      <c r="C1917" s="961"/>
      <c r="D1917" s="961"/>
      <c r="E1917" s="961"/>
      <c r="F1917" s="961"/>
      <c r="G1917" s="961"/>
      <c r="H1917" s="961"/>
      <c r="I1917" s="961"/>
    </row>
    <row r="1918" spans="1:9">
      <c r="A1918" s="961"/>
      <c r="B1918" s="961"/>
      <c r="C1918" s="961"/>
      <c r="D1918" s="961"/>
      <c r="E1918" s="961"/>
      <c r="F1918" s="961"/>
      <c r="G1918" s="961"/>
      <c r="H1918" s="961"/>
      <c r="I1918" s="961"/>
    </row>
    <row r="1919" spans="1:9">
      <c r="A1919" s="961"/>
      <c r="B1919" s="961"/>
      <c r="C1919" s="961"/>
      <c r="D1919" s="961"/>
      <c r="E1919" s="961"/>
      <c r="F1919" s="961"/>
      <c r="G1919" s="961"/>
      <c r="H1919" s="961"/>
      <c r="I1919" s="961"/>
    </row>
    <row r="1920" spans="1:9">
      <c r="A1920" s="961"/>
      <c r="B1920" s="961"/>
      <c r="C1920" s="961"/>
      <c r="D1920" s="961"/>
      <c r="E1920" s="961"/>
      <c r="F1920" s="961"/>
      <c r="G1920" s="961"/>
      <c r="H1920" s="961"/>
      <c r="I1920" s="961"/>
    </row>
    <row r="1921" spans="1:9">
      <c r="A1921" s="961"/>
      <c r="B1921" s="961"/>
      <c r="C1921" s="961"/>
      <c r="D1921" s="961"/>
      <c r="E1921" s="961"/>
      <c r="F1921" s="961"/>
      <c r="G1921" s="961"/>
      <c r="H1921" s="961"/>
      <c r="I1921" s="961"/>
    </row>
    <row r="1922" spans="1:9">
      <c r="A1922" s="961"/>
      <c r="B1922" s="961"/>
      <c r="C1922" s="961"/>
      <c r="D1922" s="961"/>
      <c r="E1922" s="961"/>
      <c r="F1922" s="961"/>
      <c r="G1922" s="961"/>
      <c r="H1922" s="961"/>
      <c r="I1922" s="961"/>
    </row>
    <row r="1923" spans="1:9">
      <c r="A1923" s="961"/>
      <c r="B1923" s="961"/>
      <c r="C1923" s="961"/>
      <c r="D1923" s="961"/>
      <c r="E1923" s="961"/>
      <c r="F1923" s="961"/>
      <c r="G1923" s="961"/>
      <c r="H1923" s="961"/>
      <c r="I1923" s="961"/>
    </row>
    <row r="1924" spans="1:9">
      <c r="A1924" s="961"/>
      <c r="B1924" s="961"/>
      <c r="C1924" s="961"/>
      <c r="D1924" s="961"/>
      <c r="E1924" s="961"/>
      <c r="F1924" s="961"/>
      <c r="G1924" s="961"/>
      <c r="H1924" s="961"/>
      <c r="I1924" s="961"/>
    </row>
    <row r="1925" spans="1:9">
      <c r="A1925" s="961"/>
      <c r="B1925" s="961"/>
      <c r="C1925" s="961"/>
      <c r="D1925" s="961"/>
      <c r="E1925" s="961"/>
      <c r="F1925" s="961"/>
      <c r="G1925" s="961"/>
      <c r="H1925" s="961"/>
      <c r="I1925" s="961"/>
    </row>
    <row r="1926" spans="1:9">
      <c r="B1926" s="961"/>
      <c r="C1926" s="961"/>
      <c r="D1926" s="961"/>
      <c r="E1926" s="961"/>
    </row>
    <row r="1927" spans="1:9">
      <c r="B1927" s="961"/>
      <c r="C1927" s="961"/>
      <c r="D1927" s="961"/>
      <c r="E1927" s="961"/>
    </row>
    <row r="1928" spans="1:9">
      <c r="B1928" s="961"/>
      <c r="C1928" s="961"/>
      <c r="D1928" s="961"/>
      <c r="E1928" s="961"/>
    </row>
    <row r="1929" spans="1:9">
      <c r="B1929" s="961"/>
      <c r="C1929" s="961"/>
      <c r="D1929" s="961"/>
      <c r="E1929" s="961"/>
    </row>
    <row r="1930" spans="1:9">
      <c r="B1930" s="961"/>
      <c r="C1930" s="961"/>
      <c r="D1930" s="961"/>
      <c r="E1930" s="961"/>
    </row>
    <row r="1931" spans="1:9">
      <c r="B1931" s="961"/>
      <c r="C1931" s="961"/>
      <c r="D1931" s="961"/>
      <c r="E1931" s="961"/>
    </row>
    <row r="1932" spans="1:9">
      <c r="B1932" s="961"/>
      <c r="C1932" s="961"/>
      <c r="D1932" s="961"/>
      <c r="E1932" s="961"/>
    </row>
    <row r="1933" spans="1:9">
      <c r="B1933" s="961"/>
      <c r="C1933" s="961"/>
      <c r="D1933" s="961"/>
      <c r="E1933" s="961"/>
    </row>
    <row r="1934" spans="1:9">
      <c r="B1934" s="961"/>
      <c r="C1934" s="961"/>
      <c r="D1934" s="961"/>
      <c r="E1934" s="961"/>
    </row>
  </sheetData>
  <mergeCells count="21">
    <mergeCell ref="B285:L285"/>
    <mergeCell ref="C39:D39"/>
    <mergeCell ref="E39:E40"/>
    <mergeCell ref="F39:F40"/>
    <mergeCell ref="G39:G40"/>
    <mergeCell ref="C51:O51"/>
    <mergeCell ref="F203:J203"/>
    <mergeCell ref="N1:O1"/>
    <mergeCell ref="B9:D9"/>
    <mergeCell ref="C10:D10"/>
    <mergeCell ref="E10:E11"/>
    <mergeCell ref="F10:F11"/>
    <mergeCell ref="G10:G11"/>
    <mergeCell ref="C23:O23"/>
    <mergeCell ref="B18:C18"/>
    <mergeCell ref="H243:L243"/>
    <mergeCell ref="B38:D38"/>
    <mergeCell ref="C243:G243"/>
    <mergeCell ref="F211:J211"/>
    <mergeCell ref="B202:B215"/>
    <mergeCell ref="B48:C48"/>
  </mergeCells>
  <conditionalFormatting sqref="D18">
    <cfRule type="expression" priority="2" stopIfTrue="1">
      <formula>"$E$165&gt;=1,¨Aumento¨"</formula>
    </cfRule>
  </conditionalFormatting>
  <conditionalFormatting sqref="D48">
    <cfRule type="expression" priority="1" stopIfTrue="1">
      <formula>"$E$165&gt;=1,¨Aumento¨"</formula>
    </cfRule>
  </conditionalFormatting>
  <dataValidations count="1">
    <dataValidation type="list" allowBlank="1" showInputMessage="1" showErrorMessage="1" sqref="G9 G38">
      <formula1>$G$4:$G$6</formula1>
    </dataValidation>
  </dataValidations>
  <hyperlinks>
    <hyperlink ref="E9" location="IPT!A1" display="INDICE"/>
    <hyperlink ref="E38" location="IPT!A1" display="INDICE"/>
  </hyperlinks>
  <printOptions horizontalCentered="1"/>
  <pageMargins left="0.51181102362204722" right="0.51181102362204722" top="0.74803149606299213" bottom="0.94488188976377963" header="0.31496062992125984" footer="0.31496062992125984"/>
  <pageSetup paperSize="5" scale="90"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4:AB783"/>
  <sheetViews>
    <sheetView topLeftCell="A165" zoomScaleNormal="100" workbookViewId="0">
      <selection activeCell="B173" sqref="B173:E173"/>
    </sheetView>
  </sheetViews>
  <sheetFormatPr baseColWidth="10" defaultColWidth="9.140625" defaultRowHeight="15"/>
  <cols>
    <col min="1" max="1" width="1.28515625" style="334" customWidth="1"/>
    <col min="2" max="2" width="43.42578125" style="806" customWidth="1"/>
    <col min="3" max="3" width="17.85546875" style="334" customWidth="1"/>
    <col min="4" max="4" width="18.5703125" style="1350" customWidth="1"/>
    <col min="5" max="5" width="17.140625" style="334" customWidth="1"/>
    <col min="6" max="6" width="1" style="334" customWidth="1"/>
    <col min="7" max="7" width="11.42578125" style="334" bestFit="1" customWidth="1"/>
    <col min="8" max="8" width="7" style="334" hidden="1" customWidth="1"/>
    <col min="9" max="9" width="31" style="334" hidden="1" customWidth="1"/>
    <col min="10" max="10" width="5.28515625" style="1350" customWidth="1"/>
    <col min="11" max="11" width="17.5703125" style="1350" hidden="1" customWidth="1"/>
    <col min="12" max="13" width="5.28515625" style="334" hidden="1" customWidth="1"/>
    <col min="14" max="14" width="5.28515625" style="1350" customWidth="1"/>
    <col min="15" max="15" width="31" style="334" hidden="1" customWidth="1"/>
    <col min="16" max="16" width="5.5703125" style="334" hidden="1" customWidth="1"/>
    <col min="17" max="17" width="31" style="334" hidden="1" customWidth="1"/>
    <col min="18" max="18" width="15" style="1576" bestFit="1" customWidth="1"/>
    <col min="19" max="19" width="14.7109375" style="1576" customWidth="1"/>
    <col min="20" max="22" width="4" style="1576" bestFit="1" customWidth="1"/>
    <col min="23" max="23" width="7" style="1576" bestFit="1" customWidth="1"/>
    <col min="24" max="24" width="3.5703125" style="1576" hidden="1" customWidth="1"/>
    <col min="25" max="25" width="31" style="1576" hidden="1" customWidth="1"/>
    <col min="26" max="26" width="12.85546875" style="1350" bestFit="1" customWidth="1"/>
    <col min="27" max="27" width="5.140625" style="334" bestFit="1" customWidth="1"/>
    <col min="28" max="28" width="8.85546875" style="334" customWidth="1"/>
    <col min="29" max="16384" width="9.140625" style="334"/>
  </cols>
  <sheetData>
    <row r="4" spans="1:10">
      <c r="A4" s="1865"/>
      <c r="B4" s="1865"/>
      <c r="C4" s="1865"/>
      <c r="D4" s="1865"/>
      <c r="E4" s="1865"/>
    </row>
    <row r="5" spans="1:10">
      <c r="A5" s="1347"/>
      <c r="B5" s="1347"/>
      <c r="C5" s="1347"/>
      <c r="D5" s="1367"/>
      <c r="E5" s="1347"/>
    </row>
    <row r="6" spans="1:10" ht="31.5" customHeight="1">
      <c r="B6" s="1861" t="s">
        <v>1032</v>
      </c>
      <c r="C6" s="1861"/>
      <c r="D6" s="1861"/>
      <c r="E6" s="1861"/>
    </row>
    <row r="7" spans="1:10">
      <c r="B7" s="1368" t="s">
        <v>2916</v>
      </c>
    </row>
    <row r="8" spans="1:10">
      <c r="B8" s="1460" t="s">
        <v>2925</v>
      </c>
      <c r="C8" s="1351"/>
    </row>
    <row r="9" spans="1:10">
      <c r="B9" s="149"/>
    </row>
    <row r="10" spans="1:10">
      <c r="B10" s="1913" t="s">
        <v>1034</v>
      </c>
      <c r="C10" s="1913"/>
      <c r="D10" s="1913"/>
      <c r="E10" s="1913"/>
    </row>
    <row r="11" spans="1:10">
      <c r="B11" s="156"/>
    </row>
    <row r="12" spans="1:10" ht="144.75" customHeight="1">
      <c r="B12" s="1867" t="s">
        <v>2886</v>
      </c>
      <c r="C12" s="1867"/>
      <c r="D12" s="1867"/>
      <c r="E12" s="1867"/>
      <c r="G12" s="1351"/>
      <c r="H12" s="1351"/>
      <c r="I12" s="1351"/>
      <c r="J12" s="1352"/>
    </row>
    <row r="13" spans="1:10" ht="18" customHeight="1">
      <c r="B13" s="1344"/>
      <c r="C13" s="1344"/>
      <c r="D13" s="1344"/>
      <c r="E13" s="1344"/>
      <c r="G13" s="1351"/>
      <c r="H13" s="1351"/>
      <c r="I13" s="1351"/>
      <c r="J13" s="1352"/>
    </row>
    <row r="14" spans="1:10" ht="27.75" customHeight="1">
      <c r="B14" s="1913" t="str">
        <f>("Principales funcionarios al "&amp;BALANZA!B3&amp;".")</f>
        <v>Principales funcionarios al 31 de marzo del 2026.</v>
      </c>
      <c r="C14" s="1913"/>
      <c r="D14" s="1913"/>
      <c r="E14" s="1913"/>
    </row>
    <row r="15" spans="1:10" ht="17.25" customHeight="1">
      <c r="B15" s="1369" t="s">
        <v>1784</v>
      </c>
      <c r="C15" s="1347" t="s">
        <v>1786</v>
      </c>
      <c r="D15" s="1347"/>
      <c r="F15" s="1350"/>
      <c r="H15" s="1350"/>
      <c r="J15" s="334"/>
    </row>
    <row r="16" spans="1:10" ht="17.25" customHeight="1">
      <c r="B16" s="1370" t="s">
        <v>2935</v>
      </c>
      <c r="C16" s="334" t="s">
        <v>1023</v>
      </c>
      <c r="D16" s="334"/>
      <c r="F16" s="1350"/>
      <c r="H16" s="1350"/>
      <c r="J16" s="334"/>
    </row>
    <row r="17" spans="2:10" ht="17.25" customHeight="1">
      <c r="B17" s="806" t="s">
        <v>4087</v>
      </c>
      <c r="C17" s="334" t="s">
        <v>3909</v>
      </c>
      <c r="D17" s="334"/>
      <c r="F17" s="1350"/>
      <c r="H17" s="1350"/>
      <c r="J17" s="334"/>
    </row>
    <row r="18" spans="2:10" ht="17.25" customHeight="1">
      <c r="B18" s="1797" t="s">
        <v>4095</v>
      </c>
      <c r="C18" s="334" t="s">
        <v>3910</v>
      </c>
      <c r="F18" s="1350"/>
      <c r="H18" s="1350"/>
      <c r="J18" s="334"/>
    </row>
    <row r="19" spans="2:10" ht="17.25" customHeight="1">
      <c r="B19" s="806" t="s">
        <v>2934</v>
      </c>
      <c r="C19" s="334" t="s">
        <v>4088</v>
      </c>
      <c r="F19" s="1350"/>
      <c r="H19" s="1350"/>
      <c r="J19" s="334"/>
    </row>
    <row r="20" spans="2:10" ht="17.25" customHeight="1">
      <c r="B20" s="806" t="s">
        <v>4225</v>
      </c>
      <c r="C20" s="334" t="s">
        <v>3911</v>
      </c>
      <c r="F20" s="1350"/>
      <c r="H20" s="1350"/>
      <c r="J20" s="334"/>
    </row>
    <row r="21" spans="2:10" ht="17.25" customHeight="1">
      <c r="B21" s="806" t="s">
        <v>2932</v>
      </c>
      <c r="C21" s="334" t="s">
        <v>1851</v>
      </c>
      <c r="F21" s="1350"/>
      <c r="H21" s="1350"/>
      <c r="J21" s="334"/>
    </row>
    <row r="22" spans="2:10" ht="17.25" customHeight="1">
      <c r="B22" s="806" t="s">
        <v>4226</v>
      </c>
      <c r="C22" s="334" t="s">
        <v>3834</v>
      </c>
      <c r="F22" s="1350"/>
      <c r="H22" s="1350"/>
      <c r="J22" s="334"/>
    </row>
    <row r="23" spans="2:10" ht="17.25" customHeight="1">
      <c r="B23" s="806" t="s">
        <v>4089</v>
      </c>
      <c r="C23" s="334" t="s">
        <v>3836</v>
      </c>
      <c r="F23" s="1350"/>
      <c r="H23" s="1350"/>
      <c r="J23" s="334"/>
    </row>
    <row r="24" spans="2:10" ht="17.25" customHeight="1">
      <c r="B24" s="806" t="s">
        <v>4093</v>
      </c>
      <c r="C24" s="334" t="s">
        <v>3835</v>
      </c>
      <c r="F24" s="1350"/>
      <c r="H24" s="1350"/>
      <c r="J24" s="334"/>
    </row>
    <row r="25" spans="2:10" ht="17.25" customHeight="1">
      <c r="B25" s="806" t="s">
        <v>2933</v>
      </c>
      <c r="C25" s="334" t="s">
        <v>1808</v>
      </c>
      <c r="F25" s="1350"/>
      <c r="H25" s="1350"/>
      <c r="J25" s="334"/>
    </row>
    <row r="26" spans="2:10" ht="17.25" customHeight="1">
      <c r="B26" s="1370" t="s">
        <v>1789</v>
      </c>
      <c r="C26" s="334" t="s">
        <v>3882</v>
      </c>
      <c r="D26" s="334"/>
      <c r="F26" s="1350"/>
      <c r="H26" s="1350"/>
      <c r="J26" s="334"/>
    </row>
    <row r="27" spans="2:10">
      <c r="B27" s="806" t="s">
        <v>3876</v>
      </c>
      <c r="C27" s="334" t="s">
        <v>3837</v>
      </c>
      <c r="D27" s="334"/>
      <c r="F27" s="1350"/>
      <c r="H27" s="1350"/>
      <c r="J27" s="334"/>
    </row>
    <row r="28" spans="2:10">
      <c r="B28" s="806" t="s">
        <v>4090</v>
      </c>
      <c r="C28" s="334" t="s">
        <v>3838</v>
      </c>
      <c r="D28" s="334"/>
      <c r="F28" s="1350"/>
      <c r="H28" s="1350"/>
      <c r="J28" s="334"/>
    </row>
    <row r="29" spans="2:10">
      <c r="B29" s="1370" t="s">
        <v>3996</v>
      </c>
      <c r="C29" s="334" t="s">
        <v>3839</v>
      </c>
      <c r="D29" s="334"/>
      <c r="F29" s="1350"/>
      <c r="H29" s="1350"/>
      <c r="J29" s="334"/>
    </row>
    <row r="30" spans="2:10">
      <c r="B30" s="1370" t="s">
        <v>4091</v>
      </c>
      <c r="C30" s="334" t="s">
        <v>1814</v>
      </c>
      <c r="D30" s="334"/>
      <c r="F30" s="1350"/>
      <c r="H30" s="1350"/>
      <c r="J30" s="334"/>
    </row>
    <row r="31" spans="2:10">
      <c r="D31" s="334"/>
      <c r="F31" s="1350"/>
      <c r="H31" s="1350"/>
      <c r="J31" s="334"/>
    </row>
    <row r="32" spans="2:10">
      <c r="B32" s="1369"/>
      <c r="C32" s="1350"/>
      <c r="D32" s="334"/>
    </row>
    <row r="33" spans="2:5">
      <c r="B33" s="1369"/>
      <c r="C33" s="1350"/>
      <c r="D33" s="334"/>
    </row>
    <row r="34" spans="2:5">
      <c r="B34" s="1369"/>
      <c r="C34" s="1350"/>
      <c r="D34" s="334"/>
    </row>
    <row r="35" spans="2:5">
      <c r="B35" s="1369"/>
      <c r="C35" s="1350"/>
      <c r="D35" s="334"/>
    </row>
    <row r="36" spans="2:5">
      <c r="B36" s="1369"/>
      <c r="C36" s="1350"/>
      <c r="D36" s="334"/>
    </row>
    <row r="37" spans="2:5">
      <c r="B37" s="1369"/>
      <c r="C37" s="1350"/>
      <c r="D37" s="334"/>
    </row>
    <row r="38" spans="2:5">
      <c r="B38" s="1369"/>
      <c r="C38" s="1350"/>
      <c r="D38" s="334"/>
    </row>
    <row r="39" spans="2:5">
      <c r="B39" s="1369"/>
      <c r="C39" s="1350"/>
      <c r="D39" s="334"/>
    </row>
    <row r="40" spans="2:5">
      <c r="B40" s="1369"/>
      <c r="C40" s="1350"/>
      <c r="D40" s="334"/>
    </row>
    <row r="41" spans="2:5">
      <c r="B41" s="1369"/>
      <c r="C41" s="1350"/>
      <c r="D41" s="334"/>
    </row>
    <row r="42" spans="2:5">
      <c r="B42" s="1369"/>
      <c r="C42" s="1350"/>
      <c r="D42" s="334"/>
    </row>
    <row r="43" spans="2:5">
      <c r="B43" s="1369"/>
      <c r="C43" s="1350"/>
      <c r="D43" s="334"/>
    </row>
    <row r="44" spans="2:5">
      <c r="B44" s="1369" t="s">
        <v>2918</v>
      </c>
    </row>
    <row r="45" spans="2:5" ht="30" customHeight="1">
      <c r="B45" s="1861" t="s">
        <v>2917</v>
      </c>
      <c r="C45" s="1861"/>
      <c r="D45" s="1861"/>
      <c r="E45" s="1861"/>
    </row>
    <row r="46" spans="2:5" ht="60" customHeight="1">
      <c r="B46" s="1858" t="s">
        <v>1251</v>
      </c>
      <c r="C46" s="1858"/>
      <c r="D46" s="1858"/>
      <c r="E46" s="1858"/>
    </row>
    <row r="47" spans="2:5" ht="56.25" customHeight="1">
      <c r="B47" s="1858" t="s">
        <v>2160</v>
      </c>
      <c r="C47" s="1858"/>
      <c r="D47" s="1858"/>
      <c r="E47" s="1858"/>
    </row>
    <row r="48" spans="2:5" ht="69.75" customHeight="1">
      <c r="B48" s="1867" t="s">
        <v>4037</v>
      </c>
      <c r="C48" s="1867"/>
      <c r="D48" s="1867"/>
      <c r="E48" s="1867"/>
    </row>
    <row r="49" spans="2:5" ht="13.5" customHeight="1">
      <c r="B49" s="1348"/>
      <c r="C49" s="1348"/>
      <c r="D49" s="1348"/>
      <c r="E49" s="1348"/>
    </row>
    <row r="50" spans="2:5" ht="13.5" customHeight="1">
      <c r="B50" s="1348"/>
      <c r="C50" s="1348"/>
      <c r="D50" s="1348"/>
      <c r="E50" s="1348"/>
    </row>
    <row r="51" spans="2:5" ht="22.5" customHeight="1">
      <c r="B51" s="1861" t="s">
        <v>2919</v>
      </c>
      <c r="C51" s="1861"/>
      <c r="D51" s="1861"/>
      <c r="E51" s="1861"/>
    </row>
    <row r="52" spans="2:5" ht="21" customHeight="1">
      <c r="B52" s="1861" t="s">
        <v>2920</v>
      </c>
      <c r="C52" s="1861"/>
      <c r="D52" s="1861"/>
      <c r="E52" s="1861"/>
    </row>
    <row r="53" spans="2:5" ht="9.75" customHeight="1">
      <c r="B53" s="156"/>
    </row>
    <row r="54" spans="2:5" ht="48" customHeight="1">
      <c r="B54" s="1878" t="s">
        <v>2161</v>
      </c>
      <c r="C54" s="1878"/>
      <c r="D54" s="1878"/>
      <c r="E54" s="1878"/>
    </row>
    <row r="55" spans="2:5" ht="14.25" customHeight="1">
      <c r="B55" s="1345"/>
      <c r="C55" s="1345"/>
      <c r="D55" s="1345"/>
      <c r="E55" s="1345"/>
    </row>
    <row r="56" spans="2:5" ht="14.25" customHeight="1">
      <c r="B56" s="1345"/>
      <c r="C56" s="1345"/>
      <c r="D56" s="1345"/>
      <c r="E56" s="1345"/>
    </row>
    <row r="57" spans="2:5" ht="25.5" customHeight="1">
      <c r="B57" s="1369" t="s">
        <v>2926</v>
      </c>
      <c r="C57" s="1345"/>
      <c r="D57" s="1371"/>
      <c r="E57" s="1345"/>
    </row>
    <row r="58" spans="2:5">
      <c r="B58" s="1369" t="s">
        <v>2927</v>
      </c>
    </row>
    <row r="59" spans="2:5" ht="55.5" customHeight="1">
      <c r="B59" s="1858" t="s">
        <v>2197</v>
      </c>
      <c r="C59" s="1858"/>
      <c r="D59" s="1858"/>
      <c r="E59" s="1858"/>
    </row>
    <row r="60" spans="2:5" ht="27" customHeight="1">
      <c r="B60" s="1858" t="s">
        <v>2162</v>
      </c>
      <c r="C60" s="1858"/>
      <c r="D60" s="1858"/>
      <c r="E60" s="1858"/>
    </row>
    <row r="61" spans="2:5">
      <c r="B61" s="1861" t="s">
        <v>2163</v>
      </c>
      <c r="C61" s="1861"/>
      <c r="D61" s="1861"/>
      <c r="E61" s="1861"/>
    </row>
    <row r="62" spans="2:5" ht="73.5" customHeight="1">
      <c r="B62" s="1910" t="s">
        <v>2890</v>
      </c>
      <c r="C62" s="1910"/>
      <c r="D62" s="1910"/>
      <c r="E62" s="1910"/>
    </row>
    <row r="63" spans="2:5">
      <c r="B63" s="1861" t="s">
        <v>2164</v>
      </c>
      <c r="C63" s="1861"/>
      <c r="D63" s="1861"/>
      <c r="E63" s="1861"/>
    </row>
    <row r="64" spans="2:5" ht="68.25" customHeight="1">
      <c r="B64" s="1867" t="s">
        <v>4036</v>
      </c>
      <c r="C64" s="1867"/>
      <c r="D64" s="1867"/>
      <c r="E64" s="1867"/>
    </row>
    <row r="65" spans="2:5" ht="26.25" customHeight="1">
      <c r="B65" s="1348"/>
      <c r="C65" s="1348"/>
      <c r="D65" s="1348"/>
      <c r="E65" s="1348"/>
    </row>
    <row r="66" spans="2:5" ht="25.5" customHeight="1">
      <c r="B66" s="1861" t="s">
        <v>2165</v>
      </c>
      <c r="C66" s="1861"/>
      <c r="D66" s="1861"/>
      <c r="E66" s="1861"/>
    </row>
    <row r="67" spans="2:5" ht="46.5" customHeight="1">
      <c r="B67" s="1858" t="s">
        <v>3652</v>
      </c>
      <c r="C67" s="1858"/>
      <c r="D67" s="1858"/>
      <c r="E67" s="1858"/>
    </row>
    <row r="68" spans="2:5" ht="43.5" hidden="1" customHeight="1">
      <c r="B68" s="1914" t="s">
        <v>2166</v>
      </c>
      <c r="C68" s="1914"/>
      <c r="D68" s="1914"/>
      <c r="E68" s="1914"/>
    </row>
    <row r="69" spans="2:5" ht="58.5" hidden="1" customHeight="1">
      <c r="B69" s="1914" t="s">
        <v>2167</v>
      </c>
      <c r="C69" s="1914"/>
      <c r="D69" s="1914"/>
      <c r="E69" s="1914"/>
    </row>
    <row r="70" spans="2:5" ht="30" hidden="1" customHeight="1">
      <c r="B70" s="1914" t="s">
        <v>2168</v>
      </c>
      <c r="C70" s="1914"/>
      <c r="D70" s="1914"/>
      <c r="E70" s="1914"/>
    </row>
    <row r="71" spans="2:5" hidden="1">
      <c r="B71" s="1914" t="s">
        <v>2169</v>
      </c>
      <c r="C71" s="1914"/>
      <c r="D71" s="1914"/>
      <c r="E71" s="1914"/>
    </row>
    <row r="72" spans="2:5" ht="63.75" hidden="1" customHeight="1">
      <c r="B72" s="1914" t="s">
        <v>2170</v>
      </c>
      <c r="C72" s="1914"/>
      <c r="D72" s="1914"/>
      <c r="E72" s="1914"/>
    </row>
    <row r="73" spans="2:5" ht="42" hidden="1" customHeight="1">
      <c r="B73" s="1914" t="s">
        <v>2171</v>
      </c>
      <c r="C73" s="1914"/>
      <c r="D73" s="1914"/>
      <c r="E73" s="1914"/>
    </row>
    <row r="74" spans="2:5" ht="78.75" hidden="1" customHeight="1">
      <c r="B74" s="1914" t="s">
        <v>2172</v>
      </c>
      <c r="C74" s="1914"/>
      <c r="D74" s="1914"/>
      <c r="E74" s="1914"/>
    </row>
    <row r="75" spans="2:5" ht="66" hidden="1" customHeight="1">
      <c r="B75" s="1914" t="s">
        <v>2173</v>
      </c>
      <c r="C75" s="1914"/>
      <c r="D75" s="1914"/>
      <c r="E75" s="1914"/>
    </row>
    <row r="76" spans="2:5" ht="13.5" customHeight="1">
      <c r="B76" s="1372"/>
      <c r="C76" s="1372"/>
      <c r="D76" s="1373"/>
      <c r="E76" s="1372"/>
    </row>
    <row r="77" spans="2:5" ht="26.25" customHeight="1">
      <c r="B77" s="1861" t="s">
        <v>2174</v>
      </c>
      <c r="C77" s="1861"/>
      <c r="D77" s="1861"/>
      <c r="E77" s="1861"/>
    </row>
    <row r="78" spans="2:5" ht="34.5" customHeight="1">
      <c r="B78" s="1911" t="s">
        <v>2198</v>
      </c>
      <c r="C78" s="1911"/>
      <c r="D78" s="1911"/>
      <c r="E78" s="1911"/>
    </row>
    <row r="79" spans="2:5" ht="15.75" customHeight="1">
      <c r="B79" s="1372"/>
      <c r="C79" s="1372"/>
      <c r="D79" s="1372"/>
      <c r="E79" s="1372"/>
    </row>
    <row r="80" spans="2:5" ht="15.75" customHeight="1">
      <c r="B80" s="1498" t="s">
        <v>2957</v>
      </c>
      <c r="C80" s="1372"/>
      <c r="D80" s="1373"/>
      <c r="E80" s="1372"/>
    </row>
    <row r="81" spans="2:5" ht="20.25" customHeight="1">
      <c r="B81" s="1861" t="s">
        <v>2921</v>
      </c>
      <c r="C81" s="1861"/>
      <c r="D81" s="1861"/>
      <c r="E81" s="1861"/>
    </row>
    <row r="82" spans="2:5">
      <c r="B82" s="1861" t="s">
        <v>2922</v>
      </c>
      <c r="C82" s="1861"/>
      <c r="D82" s="1861"/>
      <c r="E82" s="1861"/>
    </row>
    <row r="83" spans="2:5" ht="49.5" customHeight="1">
      <c r="B83" s="1911" t="s">
        <v>2175</v>
      </c>
      <c r="C83" s="1911"/>
      <c r="D83" s="1911"/>
      <c r="E83" s="1911"/>
    </row>
    <row r="84" spans="2:5">
      <c r="B84" s="1861" t="s">
        <v>2176</v>
      </c>
      <c r="C84" s="1861"/>
      <c r="D84" s="1861"/>
      <c r="E84" s="1861"/>
    </row>
    <row r="85" spans="2:5" ht="45" customHeight="1">
      <c r="B85" s="1858" t="s">
        <v>3842</v>
      </c>
      <c r="C85" s="1858"/>
      <c r="D85" s="1858"/>
      <c r="E85" s="1858"/>
    </row>
    <row r="86" spans="2:5">
      <c r="B86" s="1861" t="s">
        <v>2177</v>
      </c>
      <c r="C86" s="1861"/>
      <c r="D86" s="1861"/>
      <c r="E86" s="1861"/>
    </row>
    <row r="87" spans="2:5" ht="39.75" customHeight="1">
      <c r="B87" s="1858" t="s">
        <v>2195</v>
      </c>
      <c r="C87" s="1858"/>
      <c r="D87" s="1858"/>
      <c r="E87" s="1858"/>
    </row>
    <row r="88" spans="2:5">
      <c r="B88" s="1861" t="s">
        <v>2178</v>
      </c>
      <c r="C88" s="1861"/>
      <c r="D88" s="1861"/>
      <c r="E88" s="1861"/>
    </row>
    <row r="89" spans="2:5" ht="40.5" customHeight="1">
      <c r="B89" s="1858" t="s">
        <v>2196</v>
      </c>
      <c r="C89" s="1858"/>
      <c r="D89" s="1858"/>
      <c r="E89" s="1858"/>
    </row>
    <row r="90" spans="2:5">
      <c r="B90" s="1861" t="s">
        <v>2179</v>
      </c>
      <c r="C90" s="1861"/>
      <c r="D90" s="1861"/>
      <c r="E90" s="1861"/>
    </row>
    <row r="91" spans="2:5" ht="39" customHeight="1">
      <c r="B91" s="1858" t="s">
        <v>2199</v>
      </c>
      <c r="C91" s="1858"/>
      <c r="D91" s="1858"/>
      <c r="E91" s="1858"/>
    </row>
    <row r="92" spans="2:5">
      <c r="B92" s="1861" t="s">
        <v>2180</v>
      </c>
      <c r="C92" s="1861"/>
      <c r="D92" s="1861"/>
      <c r="E92" s="1861"/>
    </row>
    <row r="93" spans="2:5" ht="25.5" customHeight="1">
      <c r="B93" s="1861" t="s">
        <v>2181</v>
      </c>
      <c r="C93" s="1861"/>
      <c r="D93" s="1861"/>
      <c r="E93" s="1861"/>
    </row>
    <row r="94" spans="2:5" ht="45" customHeight="1">
      <c r="B94" s="1858" t="s">
        <v>1061</v>
      </c>
      <c r="C94" s="1858"/>
      <c r="D94" s="1858"/>
      <c r="E94" s="1858"/>
    </row>
    <row r="95" spans="2:5" ht="35.25" customHeight="1">
      <c r="B95" s="1858" t="s">
        <v>1266</v>
      </c>
      <c r="C95" s="1858"/>
      <c r="D95" s="1858"/>
      <c r="E95" s="1858"/>
    </row>
    <row r="96" spans="2:5" ht="39.75" customHeight="1">
      <c r="B96" s="1867" t="s">
        <v>2885</v>
      </c>
      <c r="C96" s="1867"/>
      <c r="D96" s="1867"/>
      <c r="E96" s="1867"/>
    </row>
    <row r="97" spans="2:5" ht="51.75" customHeight="1">
      <c r="B97" s="1858" t="s">
        <v>1268</v>
      </c>
      <c r="C97" s="1858"/>
      <c r="D97" s="1858"/>
      <c r="E97" s="1858"/>
    </row>
    <row r="98" spans="2:5" ht="19.5" customHeight="1">
      <c r="B98" s="1794"/>
      <c r="C98" s="1794"/>
      <c r="D98" s="1794"/>
      <c r="E98" s="1794"/>
    </row>
    <row r="99" spans="2:5" ht="19.5" customHeight="1">
      <c r="B99" s="1794"/>
      <c r="C99" s="1794"/>
      <c r="D99" s="1794"/>
      <c r="E99" s="1794"/>
    </row>
    <row r="100" spans="2:5" ht="21" customHeight="1">
      <c r="B100" s="1794"/>
      <c r="C100" s="1794"/>
      <c r="D100" s="1794"/>
      <c r="E100" s="1794"/>
    </row>
    <row r="101" spans="2:5" ht="24.75" customHeight="1">
      <c r="B101" s="1486"/>
      <c r="C101" s="1486"/>
      <c r="D101" s="1486"/>
      <c r="E101" s="1486"/>
    </row>
    <row r="102" spans="2:5" ht="33" customHeight="1">
      <c r="B102" s="1486"/>
      <c r="C102" s="1486"/>
      <c r="D102" s="1486"/>
      <c r="E102" s="1486"/>
    </row>
    <row r="103" spans="2:5" ht="36.75" customHeight="1">
      <c r="B103" s="1858" t="s">
        <v>1269</v>
      </c>
      <c r="C103" s="1858"/>
      <c r="D103" s="1858"/>
      <c r="E103" s="1858"/>
    </row>
    <row r="104" spans="2:5" ht="77.25" customHeight="1">
      <c r="B104" s="1858" t="s">
        <v>2184</v>
      </c>
      <c r="C104" s="1858"/>
      <c r="D104" s="1858"/>
      <c r="E104" s="1858"/>
    </row>
    <row r="105" spans="2:5" ht="18.75" customHeight="1">
      <c r="B105" s="1913" t="s">
        <v>2182</v>
      </c>
      <c r="C105" s="1913"/>
      <c r="D105" s="1913"/>
      <c r="E105" s="1913"/>
    </row>
    <row r="106" spans="2:5" ht="66.75" customHeight="1">
      <c r="B106" s="1858" t="s">
        <v>1256</v>
      </c>
      <c r="C106" s="1858"/>
      <c r="D106" s="1858"/>
      <c r="E106" s="1858"/>
    </row>
    <row r="107" spans="2:5" ht="55.5" customHeight="1">
      <c r="B107" s="1858" t="s">
        <v>2185</v>
      </c>
      <c r="C107" s="1858"/>
      <c r="D107" s="1858"/>
      <c r="E107" s="1858"/>
    </row>
    <row r="108" spans="2:5" ht="18.75" customHeight="1">
      <c r="B108" s="1913" t="s">
        <v>2183</v>
      </c>
      <c r="C108" s="1913"/>
      <c r="D108" s="1913"/>
      <c r="E108" s="1913"/>
    </row>
    <row r="109" spans="2:5" ht="42" customHeight="1">
      <c r="B109" s="1858" t="s">
        <v>3877</v>
      </c>
      <c r="C109" s="1858"/>
      <c r="D109" s="1858"/>
      <c r="E109" s="1858"/>
    </row>
    <row r="110" spans="2:5" ht="17.25" customHeight="1">
      <c r="B110" s="1818"/>
      <c r="C110" s="1818"/>
      <c r="D110" s="1818"/>
      <c r="E110" s="1818"/>
    </row>
    <row r="111" spans="2:5">
      <c r="B111" s="1861" t="s">
        <v>2891</v>
      </c>
      <c r="C111" s="1861"/>
      <c r="D111" s="1861"/>
      <c r="E111" s="1861"/>
    </row>
    <row r="112" spans="2:5" ht="21.75" customHeight="1">
      <c r="B112" s="1861" t="s">
        <v>2892</v>
      </c>
      <c r="C112" s="1861"/>
      <c r="D112" s="1861"/>
      <c r="E112" s="1861"/>
    </row>
    <row r="113" spans="2:26" ht="30.75" customHeight="1">
      <c r="B113" s="1867" t="str">
        <f>("Un detalle del "&amp;_Toc208202813&amp;" al "&amp;BALANZA!$B$3&amp;" "&amp;BALANZA!$C$3&amp;" es como se detalla a continuación:")</f>
        <v>Un detalle del Efectivo y equivalentes de efectivo. al 31 de marzo del 2026  - 2025 es como se detalla a continuación:</v>
      </c>
      <c r="C113" s="1906"/>
      <c r="D113" s="1906"/>
      <c r="E113" s="1906"/>
    </row>
    <row r="114" spans="2:26" ht="37.5" customHeight="1">
      <c r="B114" s="1858" t="str">
        <f>("El efectivo disponible en caja y cuentas bancarias presenta los siguientes ascenso  para el "&amp;C118&amp;" RD$"&amp;R127&amp;"  y para el "&amp;D118&amp;" fue de RD$ "&amp;R128&amp;" , el cual se detalla a continuación:")</f>
        <v>El efectivo disponible en caja y cuentas bancarias presenta los siguientes ascenso  para el 2026 RD$422,177,643.19  y para el 2025 fue de RD$ 422,773,433.55 , el cual se detalla a continuación:</v>
      </c>
      <c r="C114" s="1858"/>
      <c r="D114" s="1858"/>
      <c r="E114" s="1858"/>
    </row>
    <row r="115" spans="2:26" ht="50.45" customHeight="1">
      <c r="B115" s="1858" t="s">
        <v>4247</v>
      </c>
      <c r="C115" s="1858"/>
      <c r="D115" s="1858"/>
      <c r="E115" s="1858"/>
    </row>
    <row r="116" spans="2:26" ht="22.5" customHeight="1">
      <c r="B116" s="1858" t="s">
        <v>4092</v>
      </c>
      <c r="C116" s="1858"/>
      <c r="D116" s="1858"/>
      <c r="E116" s="1858"/>
    </row>
    <row r="117" spans="2:26" ht="7.5" customHeight="1">
      <c r="B117" s="156"/>
    </row>
    <row r="118" spans="2:26">
      <c r="B118" s="164" t="s">
        <v>1076</v>
      </c>
      <c r="C118" s="1375">
        <f>+BALANZA!B4</f>
        <v>2026</v>
      </c>
      <c r="D118" s="1376">
        <f>+BALANZA!C4</f>
        <v>2025</v>
      </c>
      <c r="E118" s="1325" t="s">
        <v>1220</v>
      </c>
    </row>
    <row r="119" spans="2:26" ht="18" hidden="1" customHeight="1">
      <c r="B119" s="165" t="s">
        <v>3792</v>
      </c>
      <c r="C119" s="1306">
        <f>+'BALANZA G'!C12</f>
        <v>0</v>
      </c>
      <c r="D119" s="1312">
        <f>+'BALANZA G'!D12</f>
        <v>0</v>
      </c>
      <c r="E119" s="1702">
        <f t="shared" ref="E119:E125" si="0">+C119-D119</f>
        <v>0</v>
      </c>
    </row>
    <row r="120" spans="2:26" ht="18" customHeight="1">
      <c r="B120" s="165" t="s">
        <v>3793</v>
      </c>
      <c r="C120" s="1306">
        <f>+'BALANZA G'!C13</f>
        <v>95000</v>
      </c>
      <c r="D120" s="1312">
        <f>+'BALANZA G'!D13</f>
        <v>95000</v>
      </c>
      <c r="E120" s="1702">
        <f t="shared" si="0"/>
        <v>0</v>
      </c>
    </row>
    <row r="121" spans="2:26" ht="18" customHeight="1">
      <c r="B121" s="165" t="s">
        <v>3868</v>
      </c>
      <c r="C121" s="1306">
        <f>+'BALANZA G'!C23</f>
        <v>0</v>
      </c>
      <c r="D121" s="1306">
        <f>IF(+'BALANZA G'!D23&gt;0,+'BALANZA G'!D23,0)</f>
        <v>1391.2</v>
      </c>
      <c r="E121" s="1702">
        <f t="shared" si="0"/>
        <v>-1391.2</v>
      </c>
    </row>
    <row r="122" spans="2:26" ht="18" customHeight="1">
      <c r="B122" s="171" t="s">
        <v>3869</v>
      </c>
      <c r="C122" s="1306">
        <f>+'BALANZA G'!C25</f>
        <v>717555.3</v>
      </c>
      <c r="D122" s="1306">
        <f>IF(+'BALANZA G'!D25&gt;0,+'BALANZA G'!D25,0)</f>
        <v>814839.56</v>
      </c>
      <c r="E122" s="1703">
        <f t="shared" si="0"/>
        <v>-97284.260000000009</v>
      </c>
    </row>
    <row r="123" spans="2:26" ht="30" customHeight="1">
      <c r="B123" s="165" t="s">
        <v>2929</v>
      </c>
      <c r="C123" s="1306">
        <f>+'BALANZA G'!C24</f>
        <v>0</v>
      </c>
      <c r="D123" s="1306">
        <f>IF(+'BALANZA G'!D24&gt;0,+'BALANZA G'!D24,0)</f>
        <v>0</v>
      </c>
      <c r="E123" s="1702">
        <f t="shared" si="0"/>
        <v>0</v>
      </c>
    </row>
    <row r="124" spans="2:26" ht="17.25" customHeight="1">
      <c r="B124" s="165" t="s">
        <v>3978</v>
      </c>
      <c r="C124" s="1306">
        <f>+'BALANZA G'!C26</f>
        <v>1036622.3</v>
      </c>
      <c r="D124" s="1306">
        <f>+'BALANZA G'!D26</f>
        <v>331933.27</v>
      </c>
      <c r="E124" s="1702">
        <f t="shared" si="0"/>
        <v>704689.03</v>
      </c>
    </row>
    <row r="125" spans="2:26" ht="17.25" customHeight="1">
      <c r="B125" s="752" t="s">
        <v>3979</v>
      </c>
      <c r="C125" s="1502">
        <f>+'BALANZA G'!C27+'BALANZA G'!C22</f>
        <v>420328465.58999997</v>
      </c>
      <c r="D125" s="1306">
        <f>+'BALANZA G'!D27+'BALANZA G'!D22</f>
        <v>421530269.51999998</v>
      </c>
      <c r="E125" s="1702">
        <f t="shared" si="0"/>
        <v>-1201803.9300000072</v>
      </c>
    </row>
    <row r="126" spans="2:26" ht="12.75" hidden="1" customHeight="1">
      <c r="B126" s="752" t="s">
        <v>3796</v>
      </c>
      <c r="C126" s="1502">
        <f>+'BALANZA G'!C28</f>
        <v>0</v>
      </c>
      <c r="D126" s="1306">
        <f>+'BALANZA G'!D28</f>
        <v>0</v>
      </c>
      <c r="E126" s="1702"/>
    </row>
    <row r="127" spans="2:26" s="338" customFormat="1" ht="12.75" customHeight="1">
      <c r="B127" s="261" t="s">
        <v>3833</v>
      </c>
      <c r="C127" s="170">
        <f>SUM(C119:C126)</f>
        <v>422177643.19</v>
      </c>
      <c r="D127" s="170">
        <f>SUM(D119:D126)</f>
        <v>422773433.54999995</v>
      </c>
      <c r="E127" s="1336">
        <f>SUM(E119:E123)</f>
        <v>-98675.46</v>
      </c>
      <c r="J127" s="1355"/>
      <c r="K127" s="1355"/>
      <c r="N127" s="1355"/>
      <c r="R127" s="1576" t="str">
        <f>+CONCATENATE(T127,",",U127,",",V127,W127)</f>
        <v>422,177,643.19</v>
      </c>
      <c r="S127" s="1576"/>
      <c r="T127" s="1576" t="str">
        <f>MID(C127,1,3)</f>
        <v>422</v>
      </c>
      <c r="U127" s="1576" t="str">
        <f>MID(C127,4,3)</f>
        <v>177</v>
      </c>
      <c r="V127" s="1576" t="str">
        <f>MID(C127,7,3)</f>
        <v>643</v>
      </c>
      <c r="W127" s="1576" t="str">
        <f>MID(C127,10,3)</f>
        <v>.19</v>
      </c>
      <c r="X127" s="1576"/>
      <c r="Y127" s="1577"/>
      <c r="Z127" s="1355"/>
    </row>
    <row r="128" spans="2:26" s="338" customFormat="1">
      <c r="B128" s="255"/>
      <c r="C128" s="1700">
        <f>+C127-'ES F '!B11</f>
        <v>0</v>
      </c>
      <c r="D128" s="1307"/>
      <c r="E128" s="1377"/>
      <c r="J128" s="1355"/>
      <c r="K128" s="1355"/>
      <c r="N128" s="1355"/>
      <c r="R128" s="1576" t="str">
        <f>+CONCATENATE(T128,",",U128,",",V128,W128)</f>
        <v>422,773,433.55</v>
      </c>
      <c r="S128" s="1576"/>
      <c r="T128" s="1576" t="str">
        <f>MID(D127,1,3)</f>
        <v>422</v>
      </c>
      <c r="U128" s="1576" t="str">
        <f>MID(D127,4,3)</f>
        <v>773</v>
      </c>
      <c r="V128" s="1576" t="str">
        <f>MID(D127,7,3)</f>
        <v>433</v>
      </c>
      <c r="W128" s="1576" t="str">
        <f>MID(D127,10,3)</f>
        <v>.55</v>
      </c>
      <c r="X128" s="1576" t="str">
        <f>MID(E128,7,3)</f>
        <v/>
      </c>
      <c r="Y128" s="1576" t="str">
        <f>MID(C128,10,3)</f>
        <v/>
      </c>
      <c r="Z128" s="1355"/>
    </row>
    <row r="129" spans="2:26" s="338" customFormat="1">
      <c r="B129" s="1904" t="str">
        <f>("Cambio porcentual con relación al "&amp;$D$118&amp;".")</f>
        <v>Cambio porcentual con relación al 2025.</v>
      </c>
      <c r="C129" s="1905"/>
      <c r="D129" s="1378" t="str">
        <f>IF(E129&gt;=0,"Aumento","Disminución")</f>
        <v>Disminución</v>
      </c>
      <c r="E129" s="1379">
        <f>+E127/D127</f>
        <v>-2.3340033258814028E-4</v>
      </c>
      <c r="J129" s="1355"/>
      <c r="K129" s="1355"/>
      <c r="N129" s="1355"/>
      <c r="R129" s="1577"/>
      <c r="S129" s="1577"/>
      <c r="T129" s="1577"/>
      <c r="U129" s="1577"/>
      <c r="V129" s="1577"/>
      <c r="W129" s="1577"/>
      <c r="X129" s="1577"/>
      <c r="Y129" s="1577"/>
      <c r="Z129" s="1355"/>
    </row>
    <row r="130" spans="2:26" s="338" customFormat="1">
      <c r="B130" s="1746"/>
      <c r="C130" s="1746"/>
      <c r="D130" s="1380"/>
      <c r="E130" s="1747"/>
      <c r="J130" s="1355"/>
      <c r="K130" s="1355"/>
      <c r="N130" s="1355"/>
      <c r="R130" s="1577"/>
      <c r="S130" s="1577"/>
      <c r="T130" s="1577"/>
      <c r="U130" s="1577"/>
      <c r="V130" s="1577"/>
      <c r="W130" s="1577"/>
      <c r="X130" s="1577"/>
      <c r="Y130" s="1577"/>
      <c r="Z130" s="1355"/>
    </row>
    <row r="131" spans="2:26" s="338" customFormat="1">
      <c r="B131" s="1746"/>
      <c r="C131" s="1746"/>
      <c r="D131" s="1380"/>
      <c r="E131" s="1747"/>
      <c r="J131" s="1355"/>
      <c r="K131" s="1355"/>
      <c r="N131" s="1355"/>
      <c r="R131" s="1577"/>
      <c r="S131" s="1577"/>
      <c r="T131" s="1577"/>
      <c r="U131" s="1577"/>
      <c r="V131" s="1577"/>
      <c r="W131" s="1577"/>
      <c r="X131" s="1577"/>
      <c r="Y131" s="1577"/>
      <c r="Z131" s="1355"/>
    </row>
    <row r="132" spans="2:26" s="338" customFormat="1">
      <c r="B132" s="1365"/>
      <c r="C132" s="1365"/>
      <c r="D132" s="1380"/>
      <c r="E132" s="1381"/>
      <c r="J132" s="1355"/>
      <c r="K132" s="1355"/>
      <c r="N132" s="1355"/>
      <c r="R132" s="1577"/>
      <c r="S132" s="1577"/>
      <c r="T132" s="1577"/>
      <c r="U132" s="1577"/>
      <c r="V132" s="1577"/>
      <c r="W132" s="1577"/>
      <c r="X132" s="1577"/>
      <c r="Y132" s="1577"/>
      <c r="Z132" s="1355"/>
    </row>
    <row r="133" spans="2:26" s="338" customFormat="1">
      <c r="B133" s="1365"/>
      <c r="C133" s="1365"/>
      <c r="D133" s="1380"/>
      <c r="E133" s="1381"/>
      <c r="J133" s="1355"/>
      <c r="K133" s="1355"/>
      <c r="N133" s="1355"/>
      <c r="R133" s="1577"/>
      <c r="S133" s="1577"/>
      <c r="T133" s="1577"/>
      <c r="U133" s="1577"/>
      <c r="V133" s="1577"/>
      <c r="W133" s="1577"/>
      <c r="X133" s="1577"/>
      <c r="Y133" s="1577"/>
      <c r="Z133" s="1355"/>
    </row>
    <row r="134" spans="2:26" s="338" customFormat="1">
      <c r="B134" s="1365"/>
      <c r="C134" s="1365"/>
      <c r="D134" s="1380"/>
      <c r="E134" s="1381"/>
      <c r="J134" s="1355"/>
      <c r="K134" s="1355"/>
      <c r="N134" s="1355"/>
      <c r="R134" s="1577"/>
      <c r="S134" s="1577"/>
      <c r="T134" s="1577"/>
      <c r="U134" s="1577"/>
      <c r="V134" s="1577"/>
      <c r="W134" s="1577"/>
      <c r="X134" s="1577"/>
      <c r="Y134" s="1577"/>
      <c r="Z134" s="1355"/>
    </row>
    <row r="135" spans="2:26" s="338" customFormat="1">
      <c r="B135" s="1365"/>
      <c r="C135" s="1365"/>
      <c r="D135" s="1380"/>
      <c r="E135" s="1381"/>
      <c r="J135" s="1355"/>
      <c r="K135" s="1355"/>
      <c r="N135" s="1355"/>
      <c r="R135" s="1577"/>
      <c r="S135" s="1577"/>
      <c r="T135" s="1577"/>
      <c r="U135" s="1577"/>
      <c r="V135" s="1577"/>
      <c r="W135" s="1577"/>
      <c r="X135" s="1577"/>
      <c r="Y135" s="1577"/>
      <c r="Z135" s="1355"/>
    </row>
    <row r="136" spans="2:26" hidden="1">
      <c r="B136" s="149" t="s">
        <v>2893</v>
      </c>
    </row>
    <row r="137" spans="2:26" hidden="1">
      <c r="B137" s="1870" t="s">
        <v>2894</v>
      </c>
      <c r="C137" s="1870"/>
      <c r="D137" s="1870"/>
      <c r="E137" s="1870"/>
    </row>
    <row r="138" spans="2:26" ht="23.25" hidden="1" customHeight="1">
      <c r="B138" s="1867" t="str">
        <f>("Un detalle del "&amp;B137&amp;" al "&amp;BALANZA!$B$3&amp;" "&amp;BALANZA!$C$3&amp;" es como se detalla a continuación:")</f>
        <v>Un detalle del Inversiones a corto plazo al 31 de marzo del 2026  - 2025 es como se detalla a continuación:</v>
      </c>
      <c r="C138" s="1906"/>
      <c r="D138" s="1906"/>
      <c r="E138" s="1906"/>
    </row>
    <row r="139" spans="2:26" ht="45" hidden="1" customHeight="1">
      <c r="B139" s="1858" t="str">
        <f>("Las inversiones a corto plazo enta integrado por un certificado financiero en el banco de reservas a un año renobable a la tasa de 0.12% anual, para el "&amp;C141&amp;" el total era de RD$ "&amp;R144&amp;" en vista de que se cancelo y para el "&amp;D141&amp;" el total fue de RD$ "&amp;R145&amp;" , Según el siguiente detalle:")</f>
        <v>Las inversiones a corto plazo enta integrado por un certificado financiero en el banco de reservas a un año renobable a la tasa de 0.12% anual, para el 2026 el total era de RD$ 0.00 en vista de que se cancelo y para el 2025 el total fue de RD$ 0,.00 , Según el siguiente detalle:</v>
      </c>
      <c r="C139" s="1858"/>
      <c r="D139" s="1858"/>
      <c r="E139" s="1858"/>
    </row>
    <row r="140" spans="2:26" hidden="1">
      <c r="B140" s="672"/>
    </row>
    <row r="141" spans="2:26" hidden="1">
      <c r="B141" s="1325" t="s">
        <v>1076</v>
      </c>
      <c r="C141" s="1325">
        <f>+BALANZA!B4</f>
        <v>2026</v>
      </c>
      <c r="D141" s="1325">
        <f>+BALANZA!C4</f>
        <v>2025</v>
      </c>
      <c r="E141" s="1325" t="s">
        <v>1220</v>
      </c>
    </row>
    <row r="142" spans="2:26" hidden="1">
      <c r="B142" s="1330" t="s">
        <v>1078</v>
      </c>
      <c r="C142" s="1331">
        <f>+'BALANZA G'!C15</f>
        <v>80000</v>
      </c>
      <c r="D142" s="1332">
        <f>+'BALANZA G'!D15</f>
        <v>80000</v>
      </c>
      <c r="E142" s="1382">
        <f>+C142-D142</f>
        <v>0</v>
      </c>
    </row>
    <row r="143" spans="2:26" hidden="1">
      <c r="B143" s="1330" t="s">
        <v>1276</v>
      </c>
      <c r="C143" s="1333">
        <f>+'BALANZA G'!C30</f>
        <v>0</v>
      </c>
      <c r="D143" s="1334">
        <f>+'BALANZA G'!D30</f>
        <v>0</v>
      </c>
      <c r="E143" s="1383">
        <f>+C143-D143</f>
        <v>0</v>
      </c>
    </row>
    <row r="144" spans="2:26" hidden="1">
      <c r="B144" s="1335" t="s">
        <v>3832</v>
      </c>
      <c r="C144" s="1336">
        <f>SUM(C143:C143)</f>
        <v>0</v>
      </c>
      <c r="D144" s="1337">
        <f>SUM(D143:D143)</f>
        <v>0</v>
      </c>
      <c r="E144" s="1336">
        <f>SUM(E142:E143)</f>
        <v>0</v>
      </c>
      <c r="R144" s="1576" t="str">
        <f>+CONCATENATE(S144,T144,U144,".00")</f>
        <v>0.00</v>
      </c>
      <c r="S144" s="1576" t="str">
        <f>MID(C144,1,3)</f>
        <v>0</v>
      </c>
      <c r="T144" s="1576" t="str">
        <f>MID(C143,4,3)</f>
        <v/>
      </c>
      <c r="U144" s="1576" t="str">
        <f>MID(D143,7,3)</f>
        <v/>
      </c>
    </row>
    <row r="145" spans="1:26" hidden="1">
      <c r="B145" s="1338"/>
      <c r="C145" s="1340">
        <f>+C144-'ES F '!B12</f>
        <v>0</v>
      </c>
      <c r="D145" s="1339"/>
      <c r="E145" s="1340"/>
      <c r="R145" s="1576" t="str">
        <f>+CONCATENATE(S145,",",T145,U145,".00")</f>
        <v>0,.00</v>
      </c>
      <c r="S145" s="1576" t="str">
        <f>MID(D144,1,3)</f>
        <v>0</v>
      </c>
      <c r="T145" s="1576" t="str">
        <f>MID(D144,4,3)</f>
        <v/>
      </c>
      <c r="U145" s="1576" t="str">
        <f>MID(E144,7,3)</f>
        <v/>
      </c>
    </row>
    <row r="146" spans="1:26" s="338" customFormat="1" hidden="1">
      <c r="B146" s="1904" t="str">
        <f>("Cambio porcentual con relación al "&amp;$D$118&amp;".")</f>
        <v>Cambio porcentual con relación al 2025.</v>
      </c>
      <c r="C146" s="1905"/>
      <c r="D146" s="1384" t="e">
        <f>IF(E146&gt;=0,"Aumento","Disminución")</f>
        <v>#DIV/0!</v>
      </c>
      <c r="E146" s="1379" t="e">
        <f>+E144/D144</f>
        <v>#DIV/0!</v>
      </c>
      <c r="J146" s="1355"/>
      <c r="K146" s="1355"/>
      <c r="N146" s="1355"/>
      <c r="R146" s="1577"/>
      <c r="S146" s="1577"/>
      <c r="T146" s="1577"/>
      <c r="U146" s="1577"/>
      <c r="V146" s="1577"/>
      <c r="W146" s="1577"/>
      <c r="X146" s="1577"/>
      <c r="Y146" s="1577"/>
      <c r="Z146" s="1355"/>
    </row>
    <row r="147" spans="1:26" s="338" customFormat="1">
      <c r="B147" s="1365"/>
      <c r="C147" s="1365"/>
      <c r="D147" s="1380"/>
      <c r="E147" s="1381"/>
      <c r="J147" s="1355"/>
      <c r="K147" s="1355"/>
      <c r="N147" s="1355"/>
      <c r="R147" s="1577"/>
      <c r="S147" s="1577"/>
      <c r="T147" s="1577"/>
      <c r="U147" s="1577"/>
      <c r="V147" s="1577"/>
      <c r="W147" s="1577"/>
      <c r="X147" s="1577"/>
      <c r="Y147" s="1577"/>
      <c r="Z147" s="1355"/>
    </row>
    <row r="148" spans="1:26">
      <c r="B148" s="672" t="s">
        <v>4173</v>
      </c>
    </row>
    <row r="149" spans="1:26" ht="18.75" customHeight="1">
      <c r="B149" s="1870" t="s">
        <v>2895</v>
      </c>
      <c r="C149" s="1870"/>
      <c r="D149" s="1870"/>
      <c r="E149" s="1870"/>
    </row>
    <row r="150" spans="1:26" ht="36" customHeight="1">
      <c r="B150" s="1867" t="str">
        <f>("Un detalle de las "&amp;B149&amp;" al "&amp;BALANZA!$B$3&amp;""&amp;BALANZA!$C$3&amp;" es como se detalla a continuación:")</f>
        <v>Un detalle de las Cuentas por cobrar a corto plazo al 31 de marzo del 2026 - 2025 es como se detalla a continuación:</v>
      </c>
      <c r="C150" s="1906"/>
      <c r="D150" s="1906"/>
      <c r="E150" s="1906"/>
      <c r="L150" s="334" t="s">
        <v>1038</v>
      </c>
    </row>
    <row r="151" spans="1:26" ht="51" customHeight="1">
      <c r="A151" s="769"/>
      <c r="B151" s="1916" t="str">
        <f>("Las Cuentas por cobrar  están representados por las partidas  Cuentas por cobrar Empleados, Para el "&amp;C152&amp;" el monto total de estas partidas fue por RD$ "&amp;R155&amp;" y para el "&amp;D152&amp;" el monto era RD$ "&amp;R156&amp;"  ,   de Según el siguiente detalle:")</f>
        <v>Las Cuentas por cobrar  están representados por las partidas  Cuentas por cobrar Empleados, Para el 2026 el monto total de estas partidas fue por RD$ 0.00 y para el 2025 el monto era RD$ 0,  ,   de Según el siguiente detalle:</v>
      </c>
      <c r="C151" s="1916"/>
      <c r="D151" s="1916"/>
      <c r="E151" s="1916"/>
    </row>
    <row r="152" spans="1:26">
      <c r="B152" s="164" t="s">
        <v>1076</v>
      </c>
      <c r="C152" s="164">
        <f>+C372</f>
        <v>2026</v>
      </c>
      <c r="D152" s="164">
        <f>+D372</f>
        <v>2025</v>
      </c>
      <c r="E152" s="164" t="s">
        <v>1220</v>
      </c>
    </row>
    <row r="153" spans="1:26">
      <c r="B153" s="171" t="s">
        <v>3920</v>
      </c>
      <c r="C153" s="1804">
        <f>+'BALANZA G'!C34-C154</f>
        <v>0</v>
      </c>
      <c r="D153" s="1308">
        <v>0</v>
      </c>
      <c r="E153" s="1385">
        <f>+C153-D153</f>
        <v>0</v>
      </c>
    </row>
    <row r="154" spans="1:26">
      <c r="B154" s="171" t="s">
        <v>1277</v>
      </c>
      <c r="C154" s="169">
        <f>+'BALANZA G'!C35</f>
        <v>0</v>
      </c>
      <c r="D154" s="1312">
        <f>+'BALANZA G'!D35</f>
        <v>0</v>
      </c>
      <c r="E154" s="1385">
        <f>+C154-D154</f>
        <v>0</v>
      </c>
    </row>
    <row r="155" spans="1:26">
      <c r="B155" s="172" t="s">
        <v>1275</v>
      </c>
      <c r="C155" s="170">
        <f>SUM(C153:C154)</f>
        <v>0</v>
      </c>
      <c r="D155" s="170">
        <f>SUM(D153:D154)</f>
        <v>0</v>
      </c>
      <c r="E155" s="170">
        <f>SUM(E153:E154)</f>
        <v>0</v>
      </c>
      <c r="R155" s="1576" t="str">
        <f>+CONCATENATE(S155,".00",T155,U155,"")</f>
        <v>0.00</v>
      </c>
      <c r="S155" s="1576" t="str">
        <f>MID(C155,1,1)</f>
        <v>0</v>
      </c>
      <c r="T155" s="1576" t="str">
        <f>MID(C155,2,3)</f>
        <v/>
      </c>
      <c r="U155" s="1576" t="str">
        <f>MID(C155,5,3)</f>
        <v/>
      </c>
      <c r="V155" s="1576" t="str">
        <f>MID(C155,9,3)</f>
        <v/>
      </c>
    </row>
    <row r="156" spans="1:26">
      <c r="B156" s="1737"/>
      <c r="C156" s="1400"/>
      <c r="D156" s="1320"/>
      <c r="E156" s="1456"/>
      <c r="R156" s="1576" t="str">
        <f>+CONCATENATE(S156,",",T156,U156,V156,"")</f>
        <v>0,</v>
      </c>
      <c r="S156" s="1576" t="str">
        <f>MID(D155,1,1)</f>
        <v>0</v>
      </c>
      <c r="T156" s="1576" t="str">
        <f>MID(D155,2,3)</f>
        <v/>
      </c>
      <c r="U156" s="1576" t="str">
        <f>MID(D155,5,2)</f>
        <v/>
      </c>
    </row>
    <row r="157" spans="1:26" s="338" customFormat="1">
      <c r="B157" s="1904" t="str">
        <f>("Cambio porcentual con relación al "&amp;$D$118&amp;".")</f>
        <v>Cambio porcentual con relación al 2025.</v>
      </c>
      <c r="C157" s="1905"/>
      <c r="D157" s="1378" t="str">
        <f>IF(E157&gt;=0,"Aumento","Disminución")</f>
        <v>Aumento</v>
      </c>
      <c r="E157" s="1387">
        <f>IFERROR(+E155/D155,0)</f>
        <v>0</v>
      </c>
      <c r="J157" s="1355"/>
      <c r="K157" s="1355"/>
      <c r="N157" s="1355"/>
      <c r="R157" s="1577"/>
      <c r="S157" s="1577"/>
      <c r="T157" s="1577"/>
      <c r="U157" s="1577"/>
      <c r="V157" s="1577"/>
      <c r="W157" s="1577"/>
      <c r="X157" s="1577"/>
      <c r="Y157" s="1577"/>
      <c r="Z157" s="1355"/>
    </row>
    <row r="158" spans="1:26" ht="9" customHeight="1">
      <c r="B158" s="1349"/>
    </row>
    <row r="159" spans="1:26" ht="80.25" customHeight="1">
      <c r="B159" s="1915" t="s">
        <v>4249</v>
      </c>
      <c r="C159" s="1915"/>
      <c r="D159" s="1915"/>
      <c r="E159" s="1915"/>
    </row>
    <row r="160" spans="1:26">
      <c r="B160" s="1595"/>
    </row>
    <row r="161" spans="2:26">
      <c r="B161" s="1870" t="s">
        <v>4174</v>
      </c>
      <c r="C161" s="1870"/>
      <c r="D161" s="1870"/>
      <c r="E161" s="1870"/>
    </row>
    <row r="162" spans="2:26">
      <c r="B162" s="1870" t="s">
        <v>2350</v>
      </c>
      <c r="C162" s="1870"/>
      <c r="D162" s="1870"/>
      <c r="E162" s="1870"/>
    </row>
    <row r="163" spans="2:26" ht="18.75" customHeight="1">
      <c r="B163" s="1867" t="str">
        <f>("Un detalle de las "&amp;B162&amp;" al "&amp;BALANZA!$B$3&amp;""&amp;BALANZA!$C$3&amp;" es como se detalla a continuación:")</f>
        <v>Un detalle de las Inventario al 31 de marzo del 2026 - 2025 es como se detalla a continuación:</v>
      </c>
      <c r="C163" s="1906"/>
      <c r="D163" s="1906"/>
      <c r="E163" s="1906"/>
    </row>
    <row r="164" spans="2:26" ht="36" customHeight="1">
      <c r="B164" s="1858" t="str">
        <f>("Los  inventarios están representados por las partidas de materiales en existencia, Para el "&amp;BALANZA!B4&amp;" RD$ "&amp;R169&amp;" y para el "&amp;BALANZA!C4&amp;" RD$ "&amp;R170&amp;", Según el siguiente detalle:")</f>
        <v>Los  inventarios están representados por las partidas de materiales en existencia, Para el 2026 RD$ 14,233,314.59 y para el 2025 RD$ 15,776,376.33, Según el siguiente detalle:</v>
      </c>
      <c r="C164" s="1858"/>
      <c r="D164" s="1858"/>
      <c r="E164" s="1858"/>
    </row>
    <row r="165" spans="2:26" ht="7.5" customHeight="1">
      <c r="B165" s="1349"/>
    </row>
    <row r="166" spans="2:26">
      <c r="B166" s="164" t="s">
        <v>1076</v>
      </c>
      <c r="C166" s="164">
        <f>+C372</f>
        <v>2026</v>
      </c>
      <c r="D166" s="164">
        <f>+D372</f>
        <v>2025</v>
      </c>
      <c r="E166" s="164" t="s">
        <v>1220</v>
      </c>
    </row>
    <row r="167" spans="2:26" hidden="1">
      <c r="B167" s="171" t="s">
        <v>1078</v>
      </c>
      <c r="C167" s="169">
        <f>+'BALANZA G'!C40</f>
        <v>0</v>
      </c>
      <c r="D167" s="1312">
        <f>+'BALANZA G'!D40</f>
        <v>0</v>
      </c>
      <c r="E167" s="675">
        <f>+C167-D167</f>
        <v>0</v>
      </c>
    </row>
    <row r="168" spans="2:26" ht="30">
      <c r="B168" s="171" t="s">
        <v>3872</v>
      </c>
      <c r="C168" s="169">
        <f>+'BALANZA G'!C41</f>
        <v>14233314.59</v>
      </c>
      <c r="D168" s="1309">
        <f>+'BALANZA G'!D41</f>
        <v>15776376.33</v>
      </c>
      <c r="E168" s="1597">
        <f>+C168-D168</f>
        <v>-1543061.7400000002</v>
      </c>
    </row>
    <row r="169" spans="2:26">
      <c r="B169" s="172" t="s">
        <v>1079</v>
      </c>
      <c r="C169" s="170">
        <f>SUM(C167:C168)</f>
        <v>14233314.59</v>
      </c>
      <c r="D169" s="1310">
        <f>SUM(D167:D168)</f>
        <v>15776376.33</v>
      </c>
      <c r="E169" s="170">
        <f>SUM(E167:E168)</f>
        <v>-1543061.7400000002</v>
      </c>
      <c r="R169" s="1576" t="str">
        <f>+CONCATENATE(S169,",",T169,",",U169,V169,AB169,"")</f>
        <v>14,233,314.59</v>
      </c>
      <c r="S169" s="1576" t="str">
        <f>MID(C169,1,2)</f>
        <v>14</v>
      </c>
      <c r="T169" s="1576" t="str">
        <f>MID(C169,3,3)</f>
        <v>233</v>
      </c>
      <c r="U169" s="1576" t="str">
        <f>MID(C169,6,3)</f>
        <v>314</v>
      </c>
      <c r="V169" s="1576" t="str">
        <f>MID(C169,9,3)</f>
        <v>.59</v>
      </c>
    </row>
    <row r="170" spans="2:26">
      <c r="B170" s="1737"/>
      <c r="C170" s="1692">
        <f>+C169-'ES F '!B15</f>
        <v>0</v>
      </c>
      <c r="D170" s="1320"/>
      <c r="E170" s="1456"/>
      <c r="R170" s="1576" t="str">
        <f>+CONCATENATE(S170,",",T170,",",U170,V170,"")</f>
        <v>15,776,376.33</v>
      </c>
      <c r="S170" s="1576" t="str">
        <f>MID(D169,1,2)</f>
        <v>15</v>
      </c>
      <c r="T170" s="1576" t="str">
        <f>MID(D169,3,3)</f>
        <v>776</v>
      </c>
      <c r="U170" s="1576" t="str">
        <f>MID(D169,6,3)</f>
        <v>376</v>
      </c>
      <c r="V170" s="1576" t="str">
        <f>MID(D169,9,3)</f>
        <v>.33</v>
      </c>
    </row>
    <row r="171" spans="2:26" s="338" customFormat="1">
      <c r="B171" s="1904" t="str">
        <f>("Cambio porcentual con relación al "&amp;$D$118&amp;".")</f>
        <v>Cambio porcentual con relación al 2025.</v>
      </c>
      <c r="C171" s="1905"/>
      <c r="D171" s="1378" t="str">
        <f>IF(E171&gt;=0,"Aumento","Disminución")</f>
        <v>Disminución</v>
      </c>
      <c r="E171" s="1387">
        <f>IFERROR((+E169/D169),0)</f>
        <v>-9.7808375492777072E-2</v>
      </c>
      <c r="J171" s="1355"/>
      <c r="K171" s="1355"/>
      <c r="N171" s="1355"/>
      <c r="R171" s="1577"/>
      <c r="S171" s="1577"/>
      <c r="T171" s="1577"/>
      <c r="U171" s="1577"/>
      <c r="V171" s="1577"/>
      <c r="W171" s="1577"/>
      <c r="X171" s="1577"/>
      <c r="Y171" s="1577"/>
      <c r="Z171" s="1355"/>
    </row>
    <row r="172" spans="2:26" s="338" customFormat="1">
      <c r="B172" s="1746"/>
      <c r="C172" s="1746"/>
      <c r="D172" s="1380"/>
      <c r="E172" s="1381"/>
      <c r="J172" s="1355"/>
      <c r="K172" s="1355"/>
      <c r="N172" s="1355"/>
      <c r="R172" s="1577"/>
      <c r="S172" s="1577"/>
      <c r="T172" s="1577"/>
      <c r="U172" s="1577"/>
      <c r="V172" s="1577"/>
      <c r="W172" s="1577"/>
      <c r="X172" s="1577"/>
      <c r="Y172" s="1577"/>
      <c r="Z172" s="1355"/>
    </row>
    <row r="173" spans="2:26" s="338" customFormat="1" ht="33.75" customHeight="1">
      <c r="B173" s="1903" t="s">
        <v>4282</v>
      </c>
      <c r="C173" s="1903"/>
      <c r="D173" s="1903"/>
      <c r="E173" s="1903"/>
      <c r="J173" s="1355"/>
      <c r="K173" s="1355"/>
      <c r="N173" s="1355"/>
      <c r="R173" s="1577"/>
      <c r="S173" s="1577"/>
      <c r="T173" s="1577"/>
      <c r="U173" s="1577"/>
      <c r="V173" s="1577"/>
      <c r="W173" s="1577"/>
      <c r="X173" s="1577"/>
      <c r="Y173" s="1577"/>
      <c r="Z173" s="1355"/>
    </row>
    <row r="174" spans="2:26" s="338" customFormat="1" ht="5.25" customHeight="1">
      <c r="B174" s="1746"/>
      <c r="C174" s="1746"/>
      <c r="D174" s="1380"/>
      <c r="E174" s="1381"/>
      <c r="J174" s="1355"/>
      <c r="K174" s="1355"/>
      <c r="N174" s="1355"/>
      <c r="R174" s="1577"/>
      <c r="S174" s="1577"/>
      <c r="T174" s="1577"/>
      <c r="U174" s="1577"/>
      <c r="V174" s="1577"/>
      <c r="W174" s="1577"/>
      <c r="X174" s="1577"/>
      <c r="Y174" s="1577"/>
      <c r="Z174" s="1355"/>
    </row>
    <row r="175" spans="2:26" s="338" customFormat="1" ht="6" customHeight="1">
      <c r="B175" s="1746"/>
      <c r="C175" s="1746"/>
      <c r="D175" s="1380"/>
      <c r="E175" s="1381"/>
      <c r="J175" s="1355"/>
      <c r="K175" s="1355"/>
      <c r="N175" s="1355"/>
      <c r="R175" s="1577"/>
      <c r="S175" s="1577"/>
      <c r="T175" s="1577"/>
      <c r="U175" s="1577"/>
      <c r="V175" s="1577"/>
      <c r="W175" s="1577"/>
      <c r="X175" s="1577"/>
      <c r="Y175" s="1577"/>
      <c r="Z175" s="1355"/>
    </row>
    <row r="176" spans="2:26" s="338" customFormat="1">
      <c r="B176" s="1746"/>
      <c r="C176" s="1746"/>
      <c r="D176" s="1380"/>
      <c r="E176" s="1381"/>
      <c r="J176" s="1355"/>
      <c r="K176" s="1355"/>
      <c r="N176" s="1355"/>
      <c r="R176" s="1577"/>
      <c r="S176" s="1577"/>
      <c r="T176" s="1577"/>
      <c r="U176" s="1577"/>
      <c r="V176" s="1577"/>
      <c r="W176" s="1577"/>
      <c r="X176" s="1577"/>
      <c r="Y176" s="1577"/>
      <c r="Z176" s="1355"/>
    </row>
    <row r="177" spans="2:26" s="338" customFormat="1">
      <c r="B177" s="1746"/>
      <c r="C177" s="1746"/>
      <c r="D177" s="1380"/>
      <c r="E177" s="1381"/>
      <c r="J177" s="1355"/>
      <c r="K177" s="1355"/>
      <c r="N177" s="1355"/>
      <c r="R177" s="1577"/>
      <c r="S177" s="1577"/>
      <c r="T177" s="1577"/>
      <c r="U177" s="1577"/>
      <c r="V177" s="1577"/>
      <c r="W177" s="1577"/>
      <c r="X177" s="1577"/>
      <c r="Y177" s="1577"/>
      <c r="Z177" s="1355"/>
    </row>
    <row r="178" spans="2:26" s="338" customFormat="1">
      <c r="B178" s="1746"/>
      <c r="C178" s="1746"/>
      <c r="D178" s="1380"/>
      <c r="E178" s="1381"/>
      <c r="J178" s="1355"/>
      <c r="K178" s="1355"/>
      <c r="N178" s="1355"/>
      <c r="R178" s="1577"/>
      <c r="S178" s="1577"/>
      <c r="T178" s="1577"/>
      <c r="U178" s="1577"/>
      <c r="V178" s="1577"/>
      <c r="W178" s="1577"/>
      <c r="X178" s="1577"/>
      <c r="Y178" s="1577"/>
      <c r="Z178" s="1355"/>
    </row>
    <row r="179" spans="2:26" s="338" customFormat="1">
      <c r="B179" s="1746"/>
      <c r="C179" s="1746"/>
      <c r="D179" s="1380"/>
      <c r="E179" s="1381"/>
      <c r="J179" s="1355"/>
      <c r="K179" s="1355"/>
      <c r="N179" s="1355"/>
      <c r="R179" s="1577"/>
      <c r="S179" s="1577"/>
      <c r="T179" s="1577"/>
      <c r="U179" s="1577"/>
      <c r="V179" s="1577"/>
      <c r="W179" s="1577"/>
      <c r="X179" s="1577"/>
      <c r="Y179" s="1577"/>
      <c r="Z179" s="1355"/>
    </row>
    <row r="180" spans="2:26" s="338" customFormat="1">
      <c r="B180" s="1746"/>
      <c r="C180" s="1746"/>
      <c r="D180" s="1380"/>
      <c r="E180" s="1381"/>
      <c r="J180" s="1355"/>
      <c r="K180" s="1355"/>
      <c r="N180" s="1355"/>
      <c r="R180" s="1577"/>
      <c r="S180" s="1577"/>
      <c r="T180" s="1577"/>
      <c r="U180" s="1577"/>
      <c r="V180" s="1577"/>
      <c r="W180" s="1577"/>
      <c r="X180" s="1577"/>
      <c r="Y180" s="1577"/>
      <c r="Z180" s="1355"/>
    </row>
    <row r="181" spans="2:26" s="338" customFormat="1">
      <c r="B181" s="1746"/>
      <c r="C181" s="1746"/>
      <c r="D181" s="1380"/>
      <c r="E181" s="1381"/>
      <c r="J181" s="1355"/>
      <c r="K181" s="1355"/>
      <c r="N181" s="1355"/>
      <c r="R181" s="1577"/>
      <c r="S181" s="1577"/>
      <c r="T181" s="1577"/>
      <c r="U181" s="1577"/>
      <c r="V181" s="1577"/>
      <c r="W181" s="1577"/>
      <c r="X181" s="1577"/>
      <c r="Y181" s="1577"/>
      <c r="Z181" s="1355"/>
    </row>
    <row r="182" spans="2:26" s="338" customFormat="1">
      <c r="B182" s="1746"/>
      <c r="C182" s="1746"/>
      <c r="D182" s="1380"/>
      <c r="E182" s="1381"/>
      <c r="J182" s="1355"/>
      <c r="K182" s="1355"/>
      <c r="N182" s="1355"/>
      <c r="R182" s="1577"/>
      <c r="S182" s="1577"/>
      <c r="T182" s="1577"/>
      <c r="U182" s="1577"/>
      <c r="V182" s="1577"/>
      <c r="W182" s="1577"/>
      <c r="X182" s="1577"/>
      <c r="Y182" s="1577"/>
      <c r="Z182" s="1355"/>
    </row>
    <row r="183" spans="2:26" s="338" customFormat="1">
      <c r="B183" s="1746"/>
      <c r="C183" s="1746"/>
      <c r="D183" s="1380"/>
      <c r="E183" s="1381"/>
      <c r="J183" s="1355"/>
      <c r="K183" s="1355"/>
      <c r="N183" s="1355"/>
      <c r="R183" s="1577"/>
      <c r="S183" s="1577"/>
      <c r="T183" s="1577"/>
      <c r="U183" s="1577"/>
      <c r="V183" s="1577"/>
      <c r="W183" s="1577"/>
      <c r="X183" s="1577"/>
      <c r="Y183" s="1577"/>
      <c r="Z183" s="1355"/>
    </row>
    <row r="184" spans="2:26" s="338" customFormat="1">
      <c r="B184" s="1746"/>
      <c r="C184" s="1746"/>
      <c r="D184" s="1380"/>
      <c r="E184" s="1381"/>
      <c r="J184" s="1355"/>
      <c r="K184" s="1355"/>
      <c r="N184" s="1355"/>
      <c r="R184" s="1577"/>
      <c r="S184" s="1577"/>
      <c r="T184" s="1577"/>
      <c r="U184" s="1577"/>
      <c r="V184" s="1577"/>
      <c r="W184" s="1577"/>
      <c r="X184" s="1577"/>
      <c r="Y184" s="1577"/>
      <c r="Z184" s="1355"/>
    </row>
    <row r="185" spans="2:26">
      <c r="B185" s="1349"/>
    </row>
    <row r="186" spans="2:26" ht="16.5" customHeight="1">
      <c r="B186" s="1858"/>
      <c r="C186" s="1858"/>
      <c r="D186" s="1858"/>
      <c r="E186" s="1858"/>
    </row>
    <row r="187" spans="2:26" ht="16.5" customHeight="1">
      <c r="B187" s="1486"/>
      <c r="C187" s="1486"/>
      <c r="D187" s="1486"/>
      <c r="E187" s="1486"/>
    </row>
    <row r="188" spans="2:26" ht="16.5" customHeight="1">
      <c r="B188" s="1486"/>
      <c r="C188" s="1486"/>
      <c r="D188" s="1486"/>
      <c r="E188" s="1486"/>
    </row>
    <row r="189" spans="2:26" ht="16.5" customHeight="1">
      <c r="B189" s="1486"/>
      <c r="C189" s="1486"/>
      <c r="D189" s="1486"/>
      <c r="E189" s="1486"/>
    </row>
    <row r="190" spans="2:26" ht="16.5" customHeight="1">
      <c r="B190" s="672" t="s">
        <v>2945</v>
      </c>
      <c r="C190" s="1344"/>
      <c r="D190" s="1374"/>
      <c r="E190" s="1344"/>
    </row>
    <row r="191" spans="2:26" ht="16.5" customHeight="1">
      <c r="B191" s="672" t="s">
        <v>2896</v>
      </c>
      <c r="C191" s="1344"/>
      <c r="D191" s="1374"/>
      <c r="E191" s="1344"/>
    </row>
    <row r="192" spans="2:26" ht="27.75" customHeight="1">
      <c r="B192" s="1867" t="str">
        <f>("Un detalle del "&amp;B191&amp;" al "&amp;BALANZA!$B$3&amp;" "&amp;BALANZA!$C$3&amp;" es como se detalla a continuación:")</f>
        <v>Un detalle del Pagos anticipados al 31 de marzo del 2026  - 2025 es como se detalla a continuación:</v>
      </c>
      <c r="C192" s="1906"/>
      <c r="D192" s="1906"/>
      <c r="E192" s="1906"/>
    </row>
    <row r="193" spans="2:26" ht="41.25" customHeight="1">
      <c r="B193" s="1858" t="str">
        <f>("Los  pagos anticipados están representados por las partidas de seguros pagados por adelantado, Para el "&amp;BALANZA!B4&amp;" el monto ascendio  a RD$ "&amp;R201&amp;" y para el "&amp;BALANZA!C4&amp;" el monto era RD$ "&amp;R202&amp;", Según el siguiente detalle:")</f>
        <v>Los  pagos anticipados están representados por las partidas de seguros pagados por adelantado, Para el 2026 el monto ascendio  a RD$ 325,699.31 y para el 2025 el monto era RD$ 488,548.94, Según el siguiente detalle:</v>
      </c>
      <c r="C193" s="1858"/>
      <c r="D193" s="1858"/>
      <c r="E193" s="1858"/>
    </row>
    <row r="194" spans="2:26">
      <c r="B194" s="1349"/>
    </row>
    <row r="195" spans="2:26">
      <c r="B195" s="164" t="s">
        <v>1076</v>
      </c>
      <c r="C195" s="1325">
        <f>+C166</f>
        <v>2026</v>
      </c>
      <c r="D195" s="1325">
        <f>+D166</f>
        <v>2025</v>
      </c>
      <c r="E195" s="164" t="s">
        <v>1220</v>
      </c>
    </row>
    <row r="196" spans="2:26" ht="15" customHeight="1">
      <c r="B196" s="171" t="s">
        <v>3870</v>
      </c>
      <c r="C196" s="169">
        <f>+D200</f>
        <v>488548.94</v>
      </c>
      <c r="D196" s="1312">
        <f>+D200-D198-D197</f>
        <v>907330.37999999989</v>
      </c>
      <c r="E196" s="1385">
        <f>+C196-D196</f>
        <v>-418781.43999999989</v>
      </c>
    </row>
    <row r="197" spans="2:26" ht="15" customHeight="1">
      <c r="B197" s="171" t="s">
        <v>3819</v>
      </c>
      <c r="C197" s="1701">
        <f>+C200-C196-C198</f>
        <v>45048.239999999991</v>
      </c>
      <c r="D197" s="1312">
        <f>205890.43+32007.08</f>
        <v>237897.51</v>
      </c>
      <c r="E197" s="1385">
        <f>+C197-D197</f>
        <v>-192849.27000000002</v>
      </c>
    </row>
    <row r="198" spans="2:26" ht="15" customHeight="1">
      <c r="B198" s="171" t="s">
        <v>4083</v>
      </c>
      <c r="C198" s="1568">
        <f>-'Notas NF'!C610</f>
        <v>-207897.87</v>
      </c>
      <c r="D198" s="1568">
        <f>-'Notas NF'!D610</f>
        <v>-656678.94999999995</v>
      </c>
      <c r="E198" s="1385">
        <f>+C198-D198</f>
        <v>448781.07999999996</v>
      </c>
      <c r="U198" s="1578"/>
    </row>
    <row r="199" spans="2:26" ht="15" customHeight="1">
      <c r="B199" s="171"/>
      <c r="C199" s="169"/>
      <c r="D199" s="169"/>
      <c r="E199" s="1385"/>
    </row>
    <row r="200" spans="2:26">
      <c r="B200" s="171" t="s">
        <v>2874</v>
      </c>
      <c r="C200" s="169">
        <f>+'BALANZA G'!C48</f>
        <v>325699.31</v>
      </c>
      <c r="D200" s="1309">
        <f>+'BALANZA G'!D48</f>
        <v>488548.94</v>
      </c>
      <c r="E200" s="1385">
        <f>+C200-D200</f>
        <v>-162849.63</v>
      </c>
    </row>
    <row r="201" spans="2:26">
      <c r="B201" s="172" t="s">
        <v>3871</v>
      </c>
      <c r="C201" s="170">
        <f>SUM(C200:C200)</f>
        <v>325699.31</v>
      </c>
      <c r="D201" s="170">
        <f>SUM(D200:D200)</f>
        <v>488548.94</v>
      </c>
      <c r="E201" s="1453">
        <f>+C201-D201</f>
        <v>-162849.63</v>
      </c>
      <c r="R201" s="1576" t="str">
        <f>+CONCATENATE(S201,",",T201,U201,"")</f>
        <v>325,699.31</v>
      </c>
      <c r="S201" s="1576" t="str">
        <f>MID(C201,1,3)</f>
        <v>325</v>
      </c>
      <c r="T201" s="1576" t="str">
        <f>MID(C201,4,3)</f>
        <v>699</v>
      </c>
      <c r="U201" s="1576" t="str">
        <f>MID(C201,7,3)</f>
        <v>.31</v>
      </c>
    </row>
    <row r="202" spans="2:26">
      <c r="B202" s="267"/>
      <c r="C202" s="1694">
        <f>+C201-'ES F '!B16</f>
        <v>0</v>
      </c>
      <c r="D202" s="1311"/>
      <c r="E202" s="232"/>
      <c r="R202" s="1576" t="str">
        <f>+CONCATENATE(S202,",",T202,U202)</f>
        <v>488,548.94</v>
      </c>
      <c r="S202" s="1576" t="str">
        <f>MID(D201,1,3)</f>
        <v>488</v>
      </c>
      <c r="T202" s="1576" t="str">
        <f>MID(D201,4,3)</f>
        <v>548</v>
      </c>
      <c r="U202" s="1576" t="str">
        <f>MID(D201,7,3)</f>
        <v>.94</v>
      </c>
    </row>
    <row r="203" spans="2:26" s="338" customFormat="1">
      <c r="B203" s="1904" t="str">
        <f>("Cambio porcentual con relación al "&amp;$D$118&amp;".")</f>
        <v>Cambio porcentual con relación al 2025.</v>
      </c>
      <c r="C203" s="1905"/>
      <c r="D203" s="1378" t="str">
        <f>IF(E203&gt;=0,"Aumento","Disminución")</f>
        <v>Disminución</v>
      </c>
      <c r="E203" s="1387">
        <f>IFERROR((+E201/D201),0)</f>
        <v>-0.33333329921870264</v>
      </c>
      <c r="J203" s="1355"/>
      <c r="K203" s="1355"/>
      <c r="N203" s="1355"/>
      <c r="R203" s="1577"/>
      <c r="S203" s="1577"/>
      <c r="T203" s="1577"/>
      <c r="U203" s="1577"/>
      <c r="V203" s="1577"/>
      <c r="W203" s="1577"/>
      <c r="X203" s="1577"/>
      <c r="Y203" s="1577"/>
      <c r="Z203" s="1355"/>
    </row>
    <row r="204" spans="2:26" ht="16.5" customHeight="1">
      <c r="B204" s="672"/>
      <c r="C204" s="1344"/>
      <c r="D204" s="1374"/>
      <c r="E204" s="1344"/>
    </row>
    <row r="205" spans="2:26" ht="16.5" customHeight="1">
      <c r="B205" s="672"/>
      <c r="C205" s="1596"/>
      <c r="D205" s="1374"/>
      <c r="E205" s="1344"/>
    </row>
    <row r="206" spans="2:26" ht="14.25" customHeight="1">
      <c r="B206" s="672" t="s">
        <v>2946</v>
      </c>
      <c r="C206" s="1596"/>
      <c r="D206" s="1374"/>
      <c r="E206" s="1344"/>
    </row>
    <row r="207" spans="2:26">
      <c r="B207" s="672" t="s">
        <v>2897</v>
      </c>
    </row>
    <row r="208" spans="2:26" ht="28.5" customHeight="1">
      <c r="B208" s="1867" t="str">
        <f>("Un detalle de "&amp;B207&amp;" al "&amp;BALANZA!$B$3&amp;" "&amp;BALANZA!$C$3&amp;" es como se detalla a continuación:")</f>
        <v>Un detalle de Otros activos corrientes al 31 de marzo del 2026  - 2025 es como se detalla a continuación:</v>
      </c>
      <c r="C208" s="1906"/>
      <c r="D208" s="1906"/>
      <c r="E208" s="1906"/>
    </row>
    <row r="209" spans="2:26" ht="49.5" customHeight="1">
      <c r="B209" s="1858" t="str">
        <f>("Los depósitos o fianzas por los alquileres de locales de CORAAMOCA, vigentes, están registrado en el Estado de Balance General, dentro  de la partida de otros activos, en  periodos "&amp;BALANZA!B4&amp;" el valor estaba en RD$ "&amp;R227&amp;".  Según detalles:")</f>
        <v>Los depósitos o fianzas por los alquileres de locales de CORAAMOCA, vigentes, están registrado en el Estado de Balance General, dentro  de la partida de otros activos, en  periodos 2026 el valor estaba en RD$ 0.00.  Según detalles:</v>
      </c>
      <c r="C209" s="1858"/>
      <c r="D209" s="1858"/>
      <c r="E209" s="1858"/>
    </row>
    <row r="210" spans="2:26" ht="37.5" customHeight="1">
      <c r="B210" s="1858" t="s">
        <v>4205</v>
      </c>
      <c r="C210" s="1858"/>
      <c r="D210" s="1858"/>
      <c r="E210" s="1858"/>
    </row>
    <row r="211" spans="2:26" ht="14.25" customHeight="1">
      <c r="B211" s="691"/>
    </row>
    <row r="212" spans="2:26" s="833" customFormat="1" ht="19.5" hidden="1" customHeight="1">
      <c r="B212" s="164" t="s">
        <v>1203</v>
      </c>
      <c r="C212" s="164" t="s">
        <v>1202</v>
      </c>
      <c r="D212" s="1388" t="s">
        <v>1204</v>
      </c>
      <c r="E212" s="1375" t="s">
        <v>1205</v>
      </c>
      <c r="J212" s="1356"/>
      <c r="K212" s="1356"/>
      <c r="N212" s="1356"/>
      <c r="R212" s="1579"/>
      <c r="S212" s="1579"/>
      <c r="T212" s="1579"/>
      <c r="U212" s="1579"/>
      <c r="V212" s="1579"/>
      <c r="W212" s="1579"/>
      <c r="X212" s="1579"/>
      <c r="Y212" s="1579"/>
      <c r="Z212" s="1356"/>
    </row>
    <row r="213" spans="2:26" hidden="1">
      <c r="B213" s="1389" t="s">
        <v>1190</v>
      </c>
      <c r="C213" s="1390" t="s">
        <v>1191</v>
      </c>
      <c r="D213" s="1391">
        <v>12000</v>
      </c>
      <c r="E213" s="198">
        <f>+D213</f>
        <v>12000</v>
      </c>
    </row>
    <row r="214" spans="2:26" hidden="1">
      <c r="B214" s="1389" t="s">
        <v>1192</v>
      </c>
      <c r="C214" s="1390" t="s">
        <v>1193</v>
      </c>
      <c r="D214" s="1391">
        <v>21000</v>
      </c>
      <c r="E214" s="198">
        <f t="shared" ref="E214:E221" si="1">+D214</f>
        <v>21000</v>
      </c>
    </row>
    <row r="215" spans="2:26" hidden="1">
      <c r="B215" s="1389" t="s">
        <v>1194</v>
      </c>
      <c r="C215" s="1390" t="s">
        <v>1977</v>
      </c>
      <c r="D215" s="1391">
        <v>28500</v>
      </c>
      <c r="E215" s="198">
        <f t="shared" si="1"/>
        <v>28500</v>
      </c>
    </row>
    <row r="216" spans="2:26" hidden="1">
      <c r="B216" s="1389" t="s">
        <v>1195</v>
      </c>
      <c r="C216" s="1390" t="s">
        <v>1978</v>
      </c>
      <c r="D216" s="1391">
        <v>33336</v>
      </c>
      <c r="E216" s="198">
        <f t="shared" si="1"/>
        <v>33336</v>
      </c>
    </row>
    <row r="217" spans="2:26" hidden="1">
      <c r="B217" s="1392" t="s">
        <v>1196</v>
      </c>
      <c r="C217" s="1393" t="s">
        <v>1197</v>
      </c>
      <c r="D217" s="1394">
        <v>20000</v>
      </c>
      <c r="E217" s="198">
        <f t="shared" si="1"/>
        <v>20000</v>
      </c>
    </row>
    <row r="218" spans="2:26" hidden="1">
      <c r="B218" s="1392" t="s">
        <v>1198</v>
      </c>
      <c r="C218" s="1393" t="s">
        <v>2868</v>
      </c>
      <c r="D218" s="1394">
        <v>18000</v>
      </c>
      <c r="E218" s="198">
        <f t="shared" si="1"/>
        <v>18000</v>
      </c>
    </row>
    <row r="219" spans="2:26" hidden="1">
      <c r="B219" s="1392" t="s">
        <v>1200</v>
      </c>
      <c r="C219" s="1393" t="s">
        <v>1997</v>
      </c>
      <c r="D219" s="1394">
        <v>33336</v>
      </c>
      <c r="E219" s="198">
        <f t="shared" si="1"/>
        <v>33336</v>
      </c>
    </row>
    <row r="220" spans="2:26" hidden="1">
      <c r="B220" s="1392" t="s">
        <v>1999</v>
      </c>
      <c r="C220" s="1393" t="s">
        <v>1998</v>
      </c>
      <c r="D220" s="1394">
        <v>27000</v>
      </c>
      <c r="E220" s="198">
        <v>27000</v>
      </c>
    </row>
    <row r="221" spans="2:26" hidden="1">
      <c r="B221" s="1392"/>
      <c r="C221" s="1393"/>
      <c r="D221" s="1394"/>
      <c r="E221" s="198">
        <f t="shared" si="1"/>
        <v>0</v>
      </c>
    </row>
    <row r="222" spans="2:26" hidden="1">
      <c r="B222" s="1395" t="s">
        <v>1080</v>
      </c>
      <c r="C222" s="1395"/>
      <c r="D222" s="1396"/>
      <c r="E222" s="1397">
        <f>SUM(E213:E221)</f>
        <v>193172</v>
      </c>
    </row>
    <row r="223" spans="2:26" hidden="1">
      <c r="B223" s="1398"/>
      <c r="C223" s="1398"/>
      <c r="D223" s="1399"/>
      <c r="E223" s="1400">
        <f>+E222-'ES F '!B17</f>
        <v>193172</v>
      </c>
    </row>
    <row r="224" spans="2:26" ht="26.25" customHeight="1">
      <c r="B224" s="164" t="s">
        <v>1076</v>
      </c>
      <c r="C224" s="164">
        <f>+C152</f>
        <v>2026</v>
      </c>
      <c r="D224" s="164">
        <f>+D152</f>
        <v>2025</v>
      </c>
      <c r="E224" s="164" t="s">
        <v>1220</v>
      </c>
    </row>
    <row r="225" spans="2:26" ht="15.75" hidden="1" customHeight="1">
      <c r="B225" s="171" t="s">
        <v>1078</v>
      </c>
      <c r="C225" s="169">
        <v>0</v>
      </c>
      <c r="D225" s="1312">
        <v>0</v>
      </c>
      <c r="E225" s="675">
        <f>+C225-D225</f>
        <v>0</v>
      </c>
    </row>
    <row r="226" spans="2:26">
      <c r="B226" s="171" t="s">
        <v>2200</v>
      </c>
      <c r="C226" s="1309">
        <f>+'BALANZA G'!C46</f>
        <v>0</v>
      </c>
      <c r="D226" s="1309">
        <v>0</v>
      </c>
      <c r="E226" s="1350">
        <f>+C226-D226</f>
        <v>0</v>
      </c>
    </row>
    <row r="227" spans="2:26" s="1357" customFormat="1">
      <c r="B227" s="1335" t="s">
        <v>3831</v>
      </c>
      <c r="C227" s="1337">
        <f>SUM(C225:C226)</f>
        <v>0</v>
      </c>
      <c r="D227" s="1337">
        <f>SUM(D225:D226)</f>
        <v>0</v>
      </c>
      <c r="E227" s="1337">
        <f>SUM(E225:E226)</f>
        <v>0</v>
      </c>
      <c r="J227" s="1358"/>
      <c r="K227" s="1358"/>
      <c r="N227" s="1358"/>
      <c r="R227" s="1576" t="str">
        <f>+CONCATENATE(S227,"",T227,".00")</f>
        <v>0.00</v>
      </c>
      <c r="S227" s="1576" t="str">
        <f>MID(C227,1,3)</f>
        <v>0</v>
      </c>
      <c r="T227" s="1576" t="str">
        <f>MID(C227,4,3)</f>
        <v/>
      </c>
      <c r="U227" s="1576" t="str">
        <f>MID(C227,7,3)</f>
        <v/>
      </c>
      <c r="V227" s="1576" t="str">
        <f>MID(C227,9,3)</f>
        <v/>
      </c>
      <c r="W227" s="1580"/>
      <c r="X227" s="1580"/>
      <c r="Y227" s="1580"/>
      <c r="Z227" s="1358"/>
    </row>
    <row r="228" spans="2:26" s="1357" customFormat="1">
      <c r="B228" s="1328"/>
      <c r="C228" s="1329">
        <f>+C227-'ES F '!B17</f>
        <v>0</v>
      </c>
      <c r="D228" s="1401">
        <f>+D227-'ES F '!C17</f>
        <v>0</v>
      </c>
      <c r="E228" s="1329"/>
      <c r="J228" s="1358"/>
      <c r="K228" s="1358"/>
      <c r="N228" s="1358"/>
      <c r="R228" s="1576" t="str">
        <f>+CONCATENATE(S228,",",T228,".00")</f>
        <v>0,.00</v>
      </c>
      <c r="S228" s="1576" t="str">
        <f>MID(D227,1,3)</f>
        <v>0</v>
      </c>
      <c r="T228" s="1576" t="str">
        <f>MID(D227,4,3)</f>
        <v/>
      </c>
      <c r="U228" s="1576" t="str">
        <f>MID(D227,7,3)</f>
        <v/>
      </c>
      <c r="V228" s="1576" t="str">
        <f>MID(D227,8,3)</f>
        <v/>
      </c>
      <c r="W228" s="1580"/>
      <c r="X228" s="1580"/>
      <c r="Y228" s="1580"/>
      <c r="Z228" s="1358"/>
    </row>
    <row r="229" spans="2:26" s="1359" customFormat="1">
      <c r="B229" s="1904" t="str">
        <f>("Cambio porcentual con relación al "&amp;$D$118&amp;".")</f>
        <v>Cambio porcentual con relación al 2025.</v>
      </c>
      <c r="C229" s="1905"/>
      <c r="D229" s="1402" t="str">
        <f>IF(E229&gt;=0,"Aumento","Disminución")</f>
        <v>Aumento</v>
      </c>
      <c r="E229" s="1403">
        <f>IFERROR((+E227/D227),0)</f>
        <v>0</v>
      </c>
      <c r="J229" s="1360"/>
      <c r="K229" s="1360"/>
      <c r="N229" s="1360"/>
      <c r="R229" s="1581"/>
      <c r="S229" s="1581"/>
      <c r="T229" s="1581"/>
      <c r="U229" s="1581"/>
      <c r="V229" s="1581"/>
      <c r="W229" s="1581"/>
      <c r="X229" s="1581"/>
      <c r="Y229" s="1581"/>
      <c r="Z229" s="1360"/>
    </row>
    <row r="230" spans="2:26" s="1359" customFormat="1">
      <c r="B230" s="1404"/>
      <c r="C230" s="1404"/>
      <c r="D230" s="1405"/>
      <c r="E230" s="1406"/>
      <c r="J230" s="1360"/>
      <c r="K230" s="1360"/>
      <c r="N230" s="1360"/>
      <c r="R230" s="1581"/>
      <c r="S230" s="1581"/>
      <c r="T230" s="1581"/>
      <c r="U230" s="1581"/>
      <c r="V230" s="1581"/>
      <c r="W230" s="1581"/>
      <c r="X230" s="1581"/>
      <c r="Y230" s="1581"/>
      <c r="Z230" s="1360"/>
    </row>
    <row r="231" spans="2:26">
      <c r="B231" s="149"/>
    </row>
    <row r="232" spans="2:26">
      <c r="B232" s="149"/>
    </row>
    <row r="233" spans="2:26">
      <c r="B233" s="149"/>
    </row>
    <row r="234" spans="2:26">
      <c r="B234" s="149"/>
    </row>
    <row r="235" spans="2:26">
      <c r="B235" s="149"/>
    </row>
    <row r="236" spans="2:26">
      <c r="B236" s="149"/>
    </row>
    <row r="237" spans="2:26">
      <c r="B237" s="149"/>
    </row>
    <row r="238" spans="2:26">
      <c r="B238" s="149"/>
    </row>
    <row r="239" spans="2:26">
      <c r="B239" s="149"/>
    </row>
    <row r="240" spans="2:26">
      <c r="B240" s="149"/>
    </row>
    <row r="241" spans="2:5">
      <c r="B241" s="149"/>
    </row>
    <row r="242" spans="2:5">
      <c r="B242" s="149"/>
    </row>
    <row r="243" spans="2:5">
      <c r="B243" s="149"/>
    </row>
    <row r="244" spans="2:5">
      <c r="B244" s="149"/>
    </row>
    <row r="245" spans="2:5">
      <c r="B245" s="149" t="s">
        <v>2947</v>
      </c>
    </row>
    <row r="246" spans="2:5" ht="19.5" customHeight="1">
      <c r="B246" s="1913" t="s">
        <v>2898</v>
      </c>
      <c r="C246" s="1913"/>
      <c r="D246" s="1913"/>
      <c r="E246" s="1913"/>
    </row>
    <row r="247" spans="2:5" ht="19.5" customHeight="1">
      <c r="B247" s="1867" t="str">
        <f>("Un detalle de "&amp;B246&amp;" al "&amp;BALANZA!$B$3&amp;" "&amp;BALANZA!$C$3&amp;" es como se detalla a continuación:")</f>
        <v>Un detalle de Propiedad planta y equipo al 31 de marzo del 2026  - 2025 es como se detalla a continuación:</v>
      </c>
      <c r="C247" s="1906"/>
      <c r="D247" s="1906"/>
      <c r="E247" s="1906"/>
    </row>
    <row r="248" spans="2:5" ht="19.5" customHeight="1">
      <c r="B248" s="1858" t="s">
        <v>2923</v>
      </c>
      <c r="C248" s="1858"/>
      <c r="D248" s="1858"/>
      <c r="E248" s="1858"/>
    </row>
    <row r="249" spans="2:5" ht="91.5" customHeight="1">
      <c r="B249" s="1911" t="s">
        <v>4010</v>
      </c>
      <c r="C249" s="1911"/>
      <c r="D249" s="1911"/>
      <c r="E249" s="1911"/>
    </row>
    <row r="250" spans="2:5">
      <c r="B250" s="156" t="str">
        <f>+B246</f>
        <v>Propiedad planta y equipo</v>
      </c>
      <c r="C250" s="1351" t="s">
        <v>3653</v>
      </c>
      <c r="D250" s="1352"/>
    </row>
    <row r="251" spans="2:5" hidden="1">
      <c r="B251" s="1407" t="s">
        <v>1082</v>
      </c>
      <c r="C251" s="1407">
        <f>+BALANZA!B4</f>
        <v>2026</v>
      </c>
      <c r="D251" s="1408">
        <f>+BALANZA!C4</f>
        <v>2025</v>
      </c>
      <c r="E251" s="1409" t="s">
        <v>1220</v>
      </c>
    </row>
    <row r="252" spans="2:5" hidden="1">
      <c r="B252" s="1410" t="s">
        <v>1083</v>
      </c>
      <c r="C252" s="1411"/>
      <c r="D252" s="1412"/>
      <c r="E252" s="1413"/>
    </row>
    <row r="253" spans="2:5" ht="20.25" hidden="1" customHeight="1">
      <c r="B253" s="1392" t="s">
        <v>1085</v>
      </c>
      <c r="C253" s="1411"/>
      <c r="D253" s="1412"/>
      <c r="E253" s="1413"/>
    </row>
    <row r="254" spans="2:5" ht="20.25" hidden="1" customHeight="1">
      <c r="B254" s="672" t="s">
        <v>2186</v>
      </c>
      <c r="C254" s="169">
        <f>+D254+D255</f>
        <v>33348683.210000001</v>
      </c>
      <c r="D254" s="1414">
        <f>+'BALANZA G'!D74+'BALANZA G'!D59-D255</f>
        <v>30171983.210000001</v>
      </c>
      <c r="E254" s="1385">
        <f>+C254-D254</f>
        <v>3176700</v>
      </c>
    </row>
    <row r="255" spans="2:5" ht="20.25" hidden="1" customHeight="1">
      <c r="B255" s="1392" t="s">
        <v>2187</v>
      </c>
      <c r="C255" s="169">
        <f>+'BALANZA G'!C74-'BALANZA G'!D74+'BALANZA G'!C59+'BALANZA G'!C77-E254</f>
        <v>2307629.4699999997</v>
      </c>
      <c r="D255" s="1415">
        <v>3176700</v>
      </c>
      <c r="E255" s="1385">
        <f>+C255-D255</f>
        <v>-869070.53000000026</v>
      </c>
    </row>
    <row r="256" spans="2:5" ht="20.25" hidden="1" customHeight="1">
      <c r="B256" s="1392" t="s">
        <v>2188</v>
      </c>
      <c r="C256" s="169"/>
      <c r="D256" s="1414"/>
      <c r="E256" s="1385">
        <f>+C256-D256</f>
        <v>0</v>
      </c>
    </row>
    <row r="257" spans="2:7" ht="20.25" hidden="1" customHeight="1">
      <c r="B257" s="1392" t="s">
        <v>2201</v>
      </c>
      <c r="C257" s="169">
        <f>-nota12!F28</f>
        <v>-28494114.41</v>
      </c>
      <c r="D257" s="1414"/>
      <c r="E257" s="1385"/>
    </row>
    <row r="258" spans="2:7" ht="20.25" hidden="1" customHeight="1">
      <c r="B258" s="1392" t="s">
        <v>2202</v>
      </c>
      <c r="C258" s="169">
        <f>-nota12!F29</f>
        <v>-3.4924596548080444E-10</v>
      </c>
      <c r="D258" s="1414"/>
      <c r="E258" s="1385"/>
    </row>
    <row r="259" spans="2:7" hidden="1">
      <c r="B259" s="1416" t="s">
        <v>1088</v>
      </c>
      <c r="C259" s="1417">
        <f>SUM(C254:C258)</f>
        <v>7162198.2699999996</v>
      </c>
      <c r="D259" s="1418">
        <f>SUM(D252:D256)</f>
        <v>33348683.210000001</v>
      </c>
      <c r="E259" s="1417">
        <f>SUM(E252:E256)</f>
        <v>2307629.4699999997</v>
      </c>
    </row>
    <row r="260" spans="2:7" ht="28.5" hidden="1">
      <c r="B260" s="1416" t="s">
        <v>1089</v>
      </c>
      <c r="C260" s="1419">
        <v>0</v>
      </c>
      <c r="D260" s="1420">
        <v>0</v>
      </c>
      <c r="E260" s="1421">
        <f>+C260-D260</f>
        <v>0</v>
      </c>
    </row>
    <row r="261" spans="2:7" ht="28.5" hidden="1">
      <c r="B261" s="1416" t="s">
        <v>1090</v>
      </c>
      <c r="C261" s="1417">
        <f>+C259-C260</f>
        <v>7162198.2699999996</v>
      </c>
      <c r="D261" s="1418">
        <f>+D259-D260</f>
        <v>33348683.210000001</v>
      </c>
      <c r="E261" s="1417">
        <f>+E259-E260</f>
        <v>2307629.4699999997</v>
      </c>
    </row>
    <row r="262" spans="2:7" ht="23.25" hidden="1" customHeight="1">
      <c r="B262" s="1410" t="s">
        <v>1091</v>
      </c>
      <c r="C262" s="1422"/>
      <c r="D262" s="1423"/>
      <c r="E262" s="1424"/>
    </row>
    <row r="263" spans="2:7" hidden="1">
      <c r="B263" s="1392" t="str">
        <f>+B254</f>
        <v xml:space="preserve">Costos de adquisición  </v>
      </c>
      <c r="C263" s="169">
        <f>+'BALANZA G'!C64</f>
        <v>55553258.920000002</v>
      </c>
      <c r="D263" s="1414">
        <f>+'BALANZA G'!D64</f>
        <v>55553258.920000002</v>
      </c>
      <c r="E263" s="1385">
        <f>+C263-D263</f>
        <v>0</v>
      </c>
      <c r="G263" s="334" t="s">
        <v>1038</v>
      </c>
    </row>
    <row r="264" spans="2:7" hidden="1">
      <c r="B264" s="1392" t="str">
        <f>+B255</f>
        <v>Adiciones</v>
      </c>
      <c r="C264" s="169"/>
      <c r="D264" s="1414">
        <f>+'BALANZA G'!F64</f>
        <v>48572302.979999997</v>
      </c>
      <c r="E264" s="1385">
        <f>+C264-D264</f>
        <v>-48572302.979999997</v>
      </c>
    </row>
    <row r="265" spans="2:7" hidden="1">
      <c r="B265" s="1392" t="str">
        <f>+B256</f>
        <v>Retiros</v>
      </c>
      <c r="C265" s="169"/>
      <c r="D265" s="1414"/>
      <c r="E265" s="1385">
        <f>+C265-D265</f>
        <v>0</v>
      </c>
    </row>
    <row r="266" spans="2:7" hidden="1">
      <c r="B266" s="1392" t="str">
        <f>+B257</f>
        <v>Depreciación Acumulada</v>
      </c>
      <c r="C266" s="169">
        <f>-nota12!I28</f>
        <v>-43479886.310000002</v>
      </c>
      <c r="D266" s="1414"/>
      <c r="E266" s="1385"/>
    </row>
    <row r="267" spans="2:7" hidden="1">
      <c r="B267" s="1392" t="str">
        <f>+B258</f>
        <v>Depreciación del periodo</v>
      </c>
      <c r="C267" s="169">
        <f>-nota12!I29</f>
        <v>0</v>
      </c>
      <c r="D267" s="1414"/>
      <c r="E267" s="1385"/>
    </row>
    <row r="268" spans="2:7" ht="28.5" hidden="1">
      <c r="B268" s="1425" t="s">
        <v>1095</v>
      </c>
      <c r="C268" s="1417">
        <f>SUM(C263:C267)</f>
        <v>12073372.609999999</v>
      </c>
      <c r="D268" s="1418">
        <f>SUM(D263:D265)</f>
        <v>104125561.90000001</v>
      </c>
      <c r="E268" s="1417">
        <f>SUM(E263:E265)</f>
        <v>-48572302.979999997</v>
      </c>
    </row>
    <row r="269" spans="2:7" ht="28.5" hidden="1">
      <c r="B269" s="1416" t="s">
        <v>1096</v>
      </c>
      <c r="C269" s="1419">
        <v>0</v>
      </c>
      <c r="D269" s="1420">
        <v>0</v>
      </c>
      <c r="E269" s="1421">
        <f>+C269-D269</f>
        <v>0</v>
      </c>
    </row>
    <row r="270" spans="2:7" ht="42.75" hidden="1">
      <c r="B270" s="1416" t="s">
        <v>1097</v>
      </c>
      <c r="C270" s="1417">
        <f>+C268-C269</f>
        <v>12073372.609999999</v>
      </c>
      <c r="D270" s="1418">
        <f>+D268-D269</f>
        <v>104125561.90000001</v>
      </c>
      <c r="E270" s="1417">
        <f>+E268-E269</f>
        <v>-48572302.979999997</v>
      </c>
    </row>
    <row r="271" spans="2:7" ht="26.25" hidden="1" customHeight="1">
      <c r="B271" s="1426" t="s">
        <v>1098</v>
      </c>
      <c r="C271" s="1422"/>
      <c r="D271" s="1423"/>
      <c r="E271" s="1424"/>
    </row>
    <row r="272" spans="2:7" hidden="1">
      <c r="B272" s="1392" t="str">
        <f>+B263</f>
        <v xml:space="preserve">Costos de adquisición  </v>
      </c>
      <c r="C272" s="169">
        <f>+'BALANZA G'!C68</f>
        <v>510150</v>
      </c>
      <c r="D272" s="1414">
        <f>+'BALANZA G'!D68-D273</f>
        <v>113500</v>
      </c>
      <c r="E272" s="1385">
        <f>+C272-D272</f>
        <v>396650</v>
      </c>
    </row>
    <row r="273" spans="2:5" hidden="1">
      <c r="B273" s="1392" t="str">
        <f>+B264</f>
        <v>Adiciones</v>
      </c>
      <c r="C273" s="169"/>
      <c r="D273" s="1414">
        <f>+'BALANZA G'!F68</f>
        <v>396650</v>
      </c>
      <c r="E273" s="1385">
        <f>+C273-D273</f>
        <v>-396650</v>
      </c>
    </row>
    <row r="274" spans="2:5" hidden="1">
      <c r="B274" s="1392" t="str">
        <f>+B265</f>
        <v>Retiros</v>
      </c>
      <c r="C274" s="169"/>
      <c r="D274" s="1414"/>
      <c r="E274" s="1385">
        <f>+C274-D274</f>
        <v>0</v>
      </c>
    </row>
    <row r="275" spans="2:5" hidden="1">
      <c r="B275" s="1392" t="str">
        <f>+B266</f>
        <v>Depreciación Acumulada</v>
      </c>
      <c r="C275" s="169"/>
      <c r="D275" s="1414"/>
      <c r="E275" s="1385"/>
    </row>
    <row r="276" spans="2:5" hidden="1">
      <c r="B276" s="1392" t="str">
        <f>+B267</f>
        <v>Depreciación del periodo</v>
      </c>
      <c r="C276" s="169">
        <f>-nota12!G29</f>
        <v>0</v>
      </c>
      <c r="D276" s="1414"/>
      <c r="E276" s="1385"/>
    </row>
    <row r="277" spans="2:5" ht="28.5" hidden="1">
      <c r="B277" s="1416" t="s">
        <v>1100</v>
      </c>
      <c r="C277" s="1417">
        <f>SUM(C272:C276)</f>
        <v>510150</v>
      </c>
      <c r="D277" s="1418">
        <f>SUM(D272:D276)</f>
        <v>510150</v>
      </c>
      <c r="E277" s="1417">
        <f>SUM(E272)</f>
        <v>396650</v>
      </c>
    </row>
    <row r="278" spans="2:5" ht="27" hidden="1" customHeight="1">
      <c r="B278" s="1416" t="s">
        <v>1101</v>
      </c>
      <c r="C278" s="1419">
        <v>0</v>
      </c>
      <c r="D278" s="1420">
        <v>0</v>
      </c>
      <c r="E278" s="1421">
        <f>+C278-D278</f>
        <v>0</v>
      </c>
    </row>
    <row r="279" spans="2:5" ht="28.5" hidden="1">
      <c r="B279" s="1416" t="s">
        <v>1102</v>
      </c>
      <c r="C279" s="1417">
        <f>+C277-C278</f>
        <v>510150</v>
      </c>
      <c r="D279" s="1418">
        <f>+D277-D278</f>
        <v>510150</v>
      </c>
      <c r="E279" s="1417">
        <f>+E277-E278</f>
        <v>396650</v>
      </c>
    </row>
    <row r="280" spans="2:5" hidden="1">
      <c r="B280" s="1410" t="s">
        <v>1103</v>
      </c>
      <c r="C280" s="1422"/>
      <c r="D280" s="1423"/>
      <c r="E280" s="1424"/>
    </row>
    <row r="281" spans="2:5" hidden="1">
      <c r="B281" s="1392" t="str">
        <f>+B272</f>
        <v xml:space="preserve">Costos de adquisición  </v>
      </c>
      <c r="C281" s="169">
        <f>+'BALANZA G'!C65+'BALANZA G'!C71-C282</f>
        <v>18404484.130000003</v>
      </c>
      <c r="D281" s="1414">
        <f>+'BALANZA G'!D65+'BALANZA G'!D71-D282</f>
        <v>11514419.150000002</v>
      </c>
      <c r="E281" s="1385">
        <f>+C281-D281</f>
        <v>6890064.9800000004</v>
      </c>
    </row>
    <row r="282" spans="2:5" hidden="1">
      <c r="B282" s="1392" t="str">
        <f>+B273</f>
        <v>Adiciones</v>
      </c>
      <c r="C282" s="169">
        <f>+'BALANZA G'!C71-D282+'BALANZA G'!C65-'BALANZA G'!D65</f>
        <v>0</v>
      </c>
      <c r="D282" s="1309">
        <f>+'BALANZA G'!D71</f>
        <v>6890064.9800000004</v>
      </c>
      <c r="E282" s="1385">
        <f>+C282-D282</f>
        <v>-6890064.9800000004</v>
      </c>
    </row>
    <row r="283" spans="2:5" hidden="1">
      <c r="B283" s="1392" t="str">
        <f>+B274</f>
        <v>Retiros</v>
      </c>
      <c r="C283" s="169"/>
      <c r="D283" s="1414"/>
      <c r="E283" s="1385">
        <f>+C283-D283</f>
        <v>0</v>
      </c>
    </row>
    <row r="284" spans="2:5" hidden="1">
      <c r="B284" s="1392" t="str">
        <f>+B275</f>
        <v>Depreciación Acumulada</v>
      </c>
      <c r="C284" s="169">
        <f>-nota12!H28</f>
        <v>-12507481.389999999</v>
      </c>
      <c r="D284" s="1414"/>
      <c r="E284" s="1385"/>
    </row>
    <row r="285" spans="2:5" hidden="1">
      <c r="B285" s="1392" t="str">
        <f>+B276</f>
        <v>Depreciación del periodo</v>
      </c>
      <c r="C285" s="169">
        <f>-nota12!H29</f>
        <v>0</v>
      </c>
      <c r="D285" s="1414"/>
      <c r="E285" s="1385"/>
    </row>
    <row r="286" spans="2:5" ht="28.5" hidden="1">
      <c r="B286" s="1416" t="s">
        <v>1112</v>
      </c>
      <c r="C286" s="1417">
        <f>SUM(C281:C285)</f>
        <v>5897002.7400000039</v>
      </c>
      <c r="D286" s="1418">
        <f>SUM(D281:D283)</f>
        <v>18404484.130000003</v>
      </c>
      <c r="E286" s="1417">
        <f>SUM(E281:E283)</f>
        <v>0</v>
      </c>
    </row>
    <row r="287" spans="2:5" ht="28.5" hidden="1">
      <c r="B287" s="1416" t="s">
        <v>1113</v>
      </c>
      <c r="C287" s="1419"/>
      <c r="D287" s="1420"/>
      <c r="E287" s="1421"/>
    </row>
    <row r="288" spans="2:5" ht="28.5" hidden="1">
      <c r="B288" s="1416" t="s">
        <v>1114</v>
      </c>
      <c r="C288" s="1417">
        <f>+C286-C287</f>
        <v>5897002.7400000039</v>
      </c>
      <c r="D288" s="1418">
        <f>+D286-D287</f>
        <v>18404484.130000003</v>
      </c>
      <c r="E288" s="1417">
        <f>+E286-E287</f>
        <v>0</v>
      </c>
    </row>
    <row r="289" spans="2:5" hidden="1">
      <c r="B289" s="1410" t="s">
        <v>1115</v>
      </c>
      <c r="C289" s="1427"/>
      <c r="D289" s="1414"/>
      <c r="E289" s="1385">
        <f>+C289-D289</f>
        <v>0</v>
      </c>
    </row>
    <row r="290" spans="2:5" hidden="1">
      <c r="B290" s="1392" t="s">
        <v>1116</v>
      </c>
      <c r="C290" s="169"/>
      <c r="D290" s="1414"/>
      <c r="E290" s="1385">
        <f>+C290-D290</f>
        <v>0</v>
      </c>
    </row>
    <row r="291" spans="2:5" hidden="1">
      <c r="B291" s="194" t="s">
        <v>1117</v>
      </c>
      <c r="C291" s="169"/>
      <c r="D291" s="1414"/>
      <c r="E291" s="1385">
        <f>+C291-D291</f>
        <v>0</v>
      </c>
    </row>
    <row r="292" spans="2:5" ht="28.5" hidden="1">
      <c r="B292" s="1416" t="s">
        <v>1118</v>
      </c>
      <c r="C292" s="1428">
        <f>SUM(C290:C291)</f>
        <v>0</v>
      </c>
      <c r="D292" s="1429">
        <f>SUM(D290:D291)</f>
        <v>0</v>
      </c>
      <c r="E292" s="1428">
        <f>SUM(E290:E291)</f>
        <v>0</v>
      </c>
    </row>
    <row r="293" spans="2:5" ht="28.5" hidden="1">
      <c r="B293" s="1416" t="s">
        <v>1119</v>
      </c>
      <c r="C293" s="1430">
        <v>0</v>
      </c>
      <c r="D293" s="1420">
        <v>0</v>
      </c>
      <c r="E293" s="1421">
        <f>+C293-D293</f>
        <v>0</v>
      </c>
    </row>
    <row r="294" spans="2:5" ht="28.5" hidden="1">
      <c r="B294" s="1416" t="s">
        <v>1120</v>
      </c>
      <c r="C294" s="1428">
        <f>+C292-C293</f>
        <v>0</v>
      </c>
      <c r="D294" s="1429">
        <f>+D292-D293</f>
        <v>0</v>
      </c>
      <c r="E294" s="1428">
        <f>+E292-E293</f>
        <v>0</v>
      </c>
    </row>
    <row r="295" spans="2:5" hidden="1">
      <c r="B295" s="1426" t="s">
        <v>1216</v>
      </c>
      <c r="C295" s="1422"/>
      <c r="D295" s="1423"/>
      <c r="E295" s="1424"/>
    </row>
    <row r="296" spans="2:5" hidden="1">
      <c r="B296" s="171" t="str">
        <f>+B281</f>
        <v xml:space="preserve">Costos de adquisición  </v>
      </c>
      <c r="C296" s="169">
        <f>+'BALANZA G'!D55</f>
        <v>1623675</v>
      </c>
      <c r="D296" s="1414">
        <f>+'BALANZA G'!D55</f>
        <v>1623675</v>
      </c>
      <c r="E296" s="1385">
        <f>+C296-D296</f>
        <v>0</v>
      </c>
    </row>
    <row r="297" spans="2:5" hidden="1">
      <c r="B297" s="171" t="str">
        <f>+B282</f>
        <v>Adiciones</v>
      </c>
      <c r="C297" s="169">
        <f>+'BALANZA G'!C55-'BALANZA G'!D55</f>
        <v>0</v>
      </c>
      <c r="D297" s="1414">
        <f>+'BALANZA G'!F55</f>
        <v>1623675</v>
      </c>
      <c r="E297" s="1385">
        <f>+C297-D297</f>
        <v>-1623675</v>
      </c>
    </row>
    <row r="298" spans="2:5" hidden="1">
      <c r="B298" s="171" t="str">
        <f>+B283</f>
        <v>Retiros</v>
      </c>
      <c r="C298" s="169"/>
      <c r="D298" s="1414"/>
      <c r="E298" s="1385">
        <f>+C298-D298</f>
        <v>0</v>
      </c>
    </row>
    <row r="299" spans="2:5" hidden="1">
      <c r="B299" s="171" t="str">
        <f>+B284</f>
        <v>Depreciación Acumulada</v>
      </c>
      <c r="C299" s="169"/>
      <c r="D299" s="1414"/>
      <c r="E299" s="1385"/>
    </row>
    <row r="300" spans="2:5" hidden="1">
      <c r="B300" s="171" t="str">
        <f>+B285</f>
        <v>Depreciación del periodo</v>
      </c>
      <c r="C300" s="169"/>
      <c r="D300" s="1414"/>
      <c r="E300" s="1385"/>
    </row>
    <row r="301" spans="2:5" hidden="1">
      <c r="B301" s="1416" t="s">
        <v>1123</v>
      </c>
      <c r="C301" s="1417">
        <f>SUM(C290:C297)</f>
        <v>1623675</v>
      </c>
      <c r="D301" s="1418">
        <f>SUM(D290:D297)</f>
        <v>3247350</v>
      </c>
      <c r="E301" s="1417">
        <f>SUM(E290:E297)</f>
        <v>-1623675</v>
      </c>
    </row>
    <row r="302" spans="2:5" hidden="1">
      <c r="B302" s="1426" t="s">
        <v>1122</v>
      </c>
      <c r="C302" s="1422"/>
      <c r="D302" s="1423"/>
      <c r="E302" s="1424"/>
    </row>
    <row r="303" spans="2:5" hidden="1">
      <c r="B303" s="171" t="str">
        <f>+B296</f>
        <v xml:space="preserve">Costos de adquisición  </v>
      </c>
      <c r="C303" s="169">
        <f>+'BALANZA G'!D58</f>
        <v>953149176.46000004</v>
      </c>
      <c r="D303" s="1414">
        <f>+'BALANZA G'!D58</f>
        <v>953149176.46000004</v>
      </c>
      <c r="E303" s="1385">
        <f>+C303-D303</f>
        <v>0</v>
      </c>
    </row>
    <row r="304" spans="2:5" hidden="1">
      <c r="B304" s="171" t="str">
        <f>+B297</f>
        <v>Adiciones</v>
      </c>
      <c r="C304" s="169">
        <f>+'BALANZA G'!C58-'BALANZA G'!D58</f>
        <v>0</v>
      </c>
      <c r="D304" s="1414">
        <f>+'BALANZA G'!J57</f>
        <v>0</v>
      </c>
      <c r="E304" s="1385">
        <f>+C304-D304</f>
        <v>0</v>
      </c>
    </row>
    <row r="305" spans="2:6" hidden="1">
      <c r="B305" s="171" t="str">
        <f>+B298</f>
        <v>Retiros</v>
      </c>
      <c r="C305" s="169"/>
      <c r="D305" s="1414"/>
      <c r="E305" s="1385"/>
    </row>
    <row r="306" spans="2:6" hidden="1">
      <c r="B306" s="171" t="str">
        <f>+B299</f>
        <v>Depreciación Acumulada</v>
      </c>
      <c r="C306" s="169">
        <f>-nota12!E28</f>
        <v>-309808868.79000002</v>
      </c>
      <c r="D306" s="1414"/>
      <c r="E306" s="1385"/>
    </row>
    <row r="307" spans="2:6" hidden="1">
      <c r="B307" s="171" t="str">
        <f>+B300</f>
        <v>Depreciación del periodo</v>
      </c>
      <c r="C307" s="169">
        <f>-nota12!E29</f>
        <v>0</v>
      </c>
      <c r="D307" s="1414"/>
      <c r="E307" s="1385"/>
    </row>
    <row r="308" spans="2:6" hidden="1">
      <c r="B308" s="1416" t="s">
        <v>2189</v>
      </c>
      <c r="C308" s="1417">
        <f>SUM(C303:C307)</f>
        <v>643340307.67000008</v>
      </c>
      <c r="D308" s="1418">
        <f>+D303+D304-D305</f>
        <v>953149176.46000004</v>
      </c>
      <c r="E308" s="1417">
        <f>+E303+E304-E305</f>
        <v>0</v>
      </c>
    </row>
    <row r="309" spans="2:6" hidden="1">
      <c r="B309" s="1416" t="s">
        <v>1123</v>
      </c>
      <c r="C309" s="1417">
        <f>+C308+C301</f>
        <v>644963982.67000008</v>
      </c>
      <c r="D309" s="1418">
        <f>+D308+D301</f>
        <v>956396526.46000004</v>
      </c>
      <c r="E309" s="1417">
        <f>+E308+E301</f>
        <v>-1623675</v>
      </c>
      <c r="F309" s="1431">
        <f>+F308+F301</f>
        <v>0</v>
      </c>
    </row>
    <row r="310" spans="2:6" hidden="1">
      <c r="B310" s="1416" t="s">
        <v>1124</v>
      </c>
      <c r="C310" s="1419"/>
      <c r="D310" s="1420"/>
      <c r="E310" s="1421">
        <f>+C310-D310</f>
        <v>0</v>
      </c>
    </row>
    <row r="311" spans="2:6" ht="27" hidden="1" customHeight="1">
      <c r="B311" s="1416" t="s">
        <v>1125</v>
      </c>
      <c r="C311" s="1417">
        <f>+C309-C310</f>
        <v>644963982.67000008</v>
      </c>
      <c r="D311" s="1418">
        <f>+D309-D310</f>
        <v>956396526.46000004</v>
      </c>
      <c r="E311" s="1417">
        <f>+E309-E310</f>
        <v>-1623675</v>
      </c>
    </row>
    <row r="312" spans="2:6" hidden="1">
      <c r="B312" s="1432" t="s">
        <v>1126</v>
      </c>
      <c r="C312" s="1427"/>
      <c r="D312" s="1414"/>
      <c r="E312" s="1385">
        <f>+C312-D312</f>
        <v>0</v>
      </c>
    </row>
    <row r="313" spans="2:6" hidden="1">
      <c r="B313" s="1392" t="s">
        <v>1127</v>
      </c>
      <c r="C313" s="169"/>
      <c r="D313" s="1414"/>
      <c r="E313" s="1385">
        <f>+C313-D313</f>
        <v>0</v>
      </c>
    </row>
    <row r="314" spans="2:6" hidden="1">
      <c r="B314" s="1416" t="s">
        <v>1128</v>
      </c>
      <c r="C314" s="1417">
        <f>SUM(C313)</f>
        <v>0</v>
      </c>
      <c r="D314" s="1418">
        <f>SUM(D313)</f>
        <v>0</v>
      </c>
      <c r="E314" s="1417">
        <f>SUM(E313)</f>
        <v>0</v>
      </c>
    </row>
    <row r="315" spans="2:6" ht="28.5" hidden="1">
      <c r="B315" s="1416" t="s">
        <v>1129</v>
      </c>
      <c r="C315" s="1419"/>
      <c r="D315" s="1420"/>
      <c r="E315" s="1421">
        <f>+C315-D315</f>
        <v>0</v>
      </c>
    </row>
    <row r="316" spans="2:6" ht="28.5" hidden="1">
      <c r="B316" s="1416" t="s">
        <v>1130</v>
      </c>
      <c r="C316" s="1417">
        <f>+C314-C315</f>
        <v>0</v>
      </c>
      <c r="D316" s="1418">
        <f>+D314-D315</f>
        <v>0</v>
      </c>
      <c r="E316" s="1417">
        <f>+E314-E315</f>
        <v>0</v>
      </c>
    </row>
    <row r="317" spans="2:6" hidden="1">
      <c r="B317" s="1432" t="s">
        <v>1131</v>
      </c>
      <c r="C317" s="1427"/>
      <c r="D317" s="1414"/>
      <c r="E317" s="1385"/>
    </row>
    <row r="318" spans="2:6" hidden="1">
      <c r="B318" s="194" t="s">
        <v>1132</v>
      </c>
      <c r="C318" s="169"/>
      <c r="D318" s="1414"/>
      <c r="E318" s="1385">
        <f>+C318-D318</f>
        <v>0</v>
      </c>
    </row>
    <row r="319" spans="2:6" ht="12" hidden="1" customHeight="1">
      <c r="B319" s="194" t="s">
        <v>1133</v>
      </c>
      <c r="C319" s="169"/>
      <c r="D319" s="1414"/>
      <c r="E319" s="1385">
        <f>+C319-D319</f>
        <v>0</v>
      </c>
    </row>
    <row r="320" spans="2:6" ht="13.5" hidden="1" customHeight="1">
      <c r="B320" s="194" t="s">
        <v>1134</v>
      </c>
      <c r="C320" s="169"/>
      <c r="D320" s="1414"/>
      <c r="E320" s="1385">
        <f>+C320-D320</f>
        <v>0</v>
      </c>
    </row>
    <row r="321" spans="2:26" ht="24.75" hidden="1" customHeight="1">
      <c r="B321" s="1416" t="s">
        <v>1135</v>
      </c>
      <c r="C321" s="1417">
        <f>SUM(C318:C320)</f>
        <v>0</v>
      </c>
      <c r="D321" s="1418">
        <f>SUM(D318:D320)</f>
        <v>0</v>
      </c>
      <c r="E321" s="1417">
        <f>SUM(E318:E320)</f>
        <v>0</v>
      </c>
    </row>
    <row r="322" spans="2:26" ht="21" hidden="1" customHeight="1">
      <c r="B322" s="1416" t="s">
        <v>1136</v>
      </c>
      <c r="C322" s="1419"/>
      <c r="D322" s="1420"/>
      <c r="E322" s="1421">
        <f>+C322-D322</f>
        <v>0</v>
      </c>
    </row>
    <row r="323" spans="2:26" ht="33" hidden="1" customHeight="1">
      <c r="B323" s="1416" t="s">
        <v>1137</v>
      </c>
      <c r="C323" s="1417">
        <f>+C321-C322</f>
        <v>0</v>
      </c>
      <c r="D323" s="1418">
        <f>+D321-D322</f>
        <v>0</v>
      </c>
      <c r="E323" s="1417">
        <f>+E321-E322</f>
        <v>0</v>
      </c>
    </row>
    <row r="324" spans="2:26" hidden="1">
      <c r="B324" s="1416" t="s">
        <v>2190</v>
      </c>
      <c r="C324" s="1433">
        <f>+C323+C316+C311+C294+C288+C279+C270+C261</f>
        <v>670606706.29000008</v>
      </c>
      <c r="D324" s="1434">
        <f>+D323+D316+D311+D294+D288+D279+D270+D261</f>
        <v>1112785405.7</v>
      </c>
      <c r="E324" s="1433">
        <f>+E323+E316+E311+E294+E288+E279+E270+E261</f>
        <v>-47491698.509999998</v>
      </c>
    </row>
    <row r="325" spans="2:26" hidden="1">
      <c r="B325" s="1416" t="s">
        <v>1139</v>
      </c>
      <c r="C325" s="1435">
        <f>+C322+C315+C310+C293+C287+C278+C269+C260</f>
        <v>0</v>
      </c>
      <c r="D325" s="1420">
        <f>+D322+D315+D310+D293+D287+D278+D269+D260</f>
        <v>0</v>
      </c>
      <c r="E325" s="1421">
        <f>+C325-D325</f>
        <v>0</v>
      </c>
    </row>
    <row r="326" spans="2:26" hidden="1">
      <c r="B326" s="1416" t="s">
        <v>1140</v>
      </c>
      <c r="C326" s="1433">
        <f>+C309+C288+C279+C270+C261</f>
        <v>670606706.29000008</v>
      </c>
      <c r="D326" s="1434">
        <f>+D309+D288+D279+D270+D261</f>
        <v>1112785405.7</v>
      </c>
      <c r="E326" s="1433">
        <f>+E324-E325</f>
        <v>-47491698.509999998</v>
      </c>
    </row>
    <row r="327" spans="2:26" s="1351" customFormat="1" ht="9.75" hidden="1" customHeight="1">
      <c r="B327" s="1436"/>
      <c r="C327" s="1437"/>
      <c r="D327" s="1438"/>
      <c r="E327" s="1439"/>
      <c r="J327" s="1352"/>
      <c r="K327" s="1352"/>
      <c r="N327" s="1352"/>
      <c r="R327" s="1576"/>
      <c r="S327" s="1576"/>
      <c r="T327" s="1576"/>
      <c r="U327" s="1576"/>
      <c r="V327" s="1576"/>
      <c r="W327" s="1576"/>
      <c r="X327" s="1576"/>
      <c r="Y327" s="1576"/>
      <c r="Z327" s="1352"/>
    </row>
    <row r="328" spans="2:26" s="338" customFormat="1">
      <c r="B328" s="1904" t="str">
        <f>("Cambio porcentual con relación al "&amp;$D$118&amp;".")</f>
        <v>Cambio porcentual con relación al 2025.</v>
      </c>
      <c r="C328" s="1905"/>
      <c r="D328" s="1402" t="str">
        <f>IF(E328&gt;=0,"Aumento","Disminución")</f>
        <v>Disminución</v>
      </c>
      <c r="E328" s="1403">
        <f>+E326/D326</f>
        <v>-4.2678218339972963E-2</v>
      </c>
      <c r="J328" s="1355"/>
      <c r="K328" s="1355"/>
      <c r="N328" s="1355"/>
      <c r="R328" s="1577"/>
      <c r="S328" s="1577"/>
      <c r="T328" s="1577"/>
      <c r="U328" s="1577"/>
      <c r="V328" s="1577"/>
      <c r="W328" s="1577"/>
      <c r="X328" s="1577"/>
      <c r="Y328" s="1577"/>
      <c r="Z328" s="1355"/>
    </row>
    <row r="329" spans="2:26">
      <c r="B329" s="691"/>
    </row>
    <row r="330" spans="2:26">
      <c r="B330" s="691"/>
    </row>
    <row r="331" spans="2:26">
      <c r="B331" s="691"/>
    </row>
    <row r="332" spans="2:26">
      <c r="B332" s="691"/>
    </row>
    <row r="333" spans="2:26">
      <c r="B333" s="691"/>
    </row>
    <row r="334" spans="2:26">
      <c r="B334" s="691"/>
    </row>
    <row r="335" spans="2:26">
      <c r="B335" s="691"/>
    </row>
    <row r="336" spans="2:26">
      <c r="B336" s="691"/>
    </row>
    <row r="337" spans="2:2">
      <c r="B337" s="691"/>
    </row>
    <row r="338" spans="2:2">
      <c r="B338" s="691"/>
    </row>
    <row r="339" spans="2:2">
      <c r="B339" s="691"/>
    </row>
    <row r="340" spans="2:2">
      <c r="B340" s="691"/>
    </row>
    <row r="341" spans="2:2">
      <c r="B341" s="691"/>
    </row>
    <row r="342" spans="2:2">
      <c r="B342" s="691"/>
    </row>
    <row r="343" spans="2:2">
      <c r="B343" s="691"/>
    </row>
    <row r="344" spans="2:2">
      <c r="B344" s="691"/>
    </row>
    <row r="345" spans="2:2">
      <c r="B345" s="691"/>
    </row>
    <row r="346" spans="2:2">
      <c r="B346" s="691"/>
    </row>
    <row r="347" spans="2:2">
      <c r="B347" s="691"/>
    </row>
    <row r="348" spans="2:2">
      <c r="B348" s="691"/>
    </row>
    <row r="349" spans="2:2">
      <c r="B349" s="691"/>
    </row>
    <row r="350" spans="2:2">
      <c r="B350" s="691"/>
    </row>
    <row r="351" spans="2:2">
      <c r="B351" s="691"/>
    </row>
    <row r="352" spans="2:2">
      <c r="B352" s="691"/>
    </row>
    <row r="353" spans="2:2">
      <c r="B353" s="691"/>
    </row>
    <row r="354" spans="2:2">
      <c r="B354" s="691"/>
    </row>
    <row r="355" spans="2:2">
      <c r="B355" s="691"/>
    </row>
    <row r="356" spans="2:2">
      <c r="B356" s="691"/>
    </row>
    <row r="357" spans="2:2" ht="35.25" customHeight="1">
      <c r="B357" s="691"/>
    </row>
    <row r="358" spans="2:2">
      <c r="B358" s="691"/>
    </row>
    <row r="359" spans="2:2">
      <c r="B359" s="691"/>
    </row>
    <row r="360" spans="2:2">
      <c r="B360" s="691"/>
    </row>
    <row r="361" spans="2:2">
      <c r="B361" s="691"/>
    </row>
    <row r="362" spans="2:2">
      <c r="B362" s="691"/>
    </row>
    <row r="363" spans="2:2" ht="6" customHeight="1">
      <c r="B363" s="691"/>
    </row>
    <row r="364" spans="2:2">
      <c r="B364" s="691"/>
    </row>
    <row r="365" spans="2:2">
      <c r="B365" s="691"/>
    </row>
    <row r="366" spans="2:2">
      <c r="B366" s="691"/>
    </row>
    <row r="367" spans="2:2">
      <c r="B367" s="672" t="s">
        <v>4175</v>
      </c>
    </row>
    <row r="368" spans="2:2">
      <c r="B368" s="672" t="s">
        <v>3907</v>
      </c>
    </row>
    <row r="369" spans="2:26" ht="15" customHeight="1">
      <c r="B369" s="1867" t="str">
        <f>("Un detalle de las  "&amp;B368&amp;" al "&amp;BALANZA!$B$3&amp;" "&amp;BALANZA!$C$3&amp;" es como se detalla a continuación:")</f>
        <v>Un detalle de las  Activos Intangible  al 31 de marzo del 2026  - 2025 es como se detalla a continuación:</v>
      </c>
      <c r="C369" s="1906"/>
      <c r="D369" s="1906"/>
      <c r="E369" s="1906"/>
    </row>
    <row r="370" spans="2:26" ht="33.75" customHeight="1">
      <c r="B370" s="1858" t="str">
        <f>("Las "&amp;B368&amp;" está integrado siguientes cuentas, para el "&amp;C372&amp;" el total era de RD$"&amp;R375&amp;" y para el "&amp;D372&amp;" el total fue de RD$"&amp;R376&amp;" , Según el siguiente detalle:")</f>
        <v>Las Activos Intangible  está integrado siguientes cuentas, para el 2026 el total era de RD$69,520.00 y para el 2025 el total fue de RD$121,660.00 , Según el siguiente detalle:</v>
      </c>
      <c r="C370" s="1858"/>
      <c r="D370" s="1858"/>
      <c r="E370" s="1858"/>
      <c r="I370" s="1362"/>
      <c r="J370" s="1361"/>
    </row>
    <row r="371" spans="2:26" s="338" customFormat="1" ht="12.75" customHeight="1">
      <c r="B371" s="1608"/>
      <c r="C371" s="1608"/>
      <c r="D371" s="1609"/>
      <c r="E371" s="337"/>
      <c r="J371" s="1355"/>
      <c r="K371" s="1355"/>
      <c r="N371" s="1355"/>
      <c r="R371" s="1577"/>
      <c r="S371" s="1577"/>
      <c r="T371" s="1577"/>
      <c r="U371" s="1577"/>
      <c r="V371" s="1577"/>
      <c r="W371" s="1577"/>
      <c r="X371" s="1577"/>
      <c r="Y371" s="1577"/>
      <c r="Z371" s="1355"/>
    </row>
    <row r="372" spans="2:26">
      <c r="B372" s="192" t="s">
        <v>1076</v>
      </c>
      <c r="C372" s="1605">
        <f>+BALANZA!B4</f>
        <v>2026</v>
      </c>
      <c r="D372" s="1605">
        <f>+BALANZA!C4</f>
        <v>2025</v>
      </c>
      <c r="E372" s="192" t="s">
        <v>1220</v>
      </c>
    </row>
    <row r="373" spans="2:26">
      <c r="B373" s="1610" t="s">
        <v>4084</v>
      </c>
      <c r="C373" s="1309">
        <f>D375</f>
        <v>121660</v>
      </c>
      <c r="D373" s="1309">
        <v>208560</v>
      </c>
      <c r="E373" s="1698">
        <f>+C373-D373</f>
        <v>-86900</v>
      </c>
      <c r="K373" s="1350">
        <v>160568.42000000001</v>
      </c>
    </row>
    <row r="374" spans="2:26">
      <c r="B374" s="1610" t="s">
        <v>4085</v>
      </c>
      <c r="C374" s="1309">
        <f>-C589</f>
        <v>-52140</v>
      </c>
      <c r="D374" s="1309">
        <v>-86900</v>
      </c>
      <c r="E374" s="1698">
        <f>+C374-D374</f>
        <v>34760</v>
      </c>
      <c r="J374" s="1350">
        <v>-20309</v>
      </c>
      <c r="K374" s="1350">
        <v>-160568.42000000001</v>
      </c>
    </row>
    <row r="375" spans="2:26">
      <c r="B375" s="1395" t="s">
        <v>1415</v>
      </c>
      <c r="C375" s="1396">
        <f>+C373+C374</f>
        <v>69520</v>
      </c>
      <c r="D375" s="1396">
        <f>SUM(D373:D373)+D374</f>
        <v>121660</v>
      </c>
      <c r="E375" s="1396">
        <f>SUM(E373:E373)-E374</f>
        <v>-121660</v>
      </c>
      <c r="K375" s="1350">
        <v>0</v>
      </c>
      <c r="R375" s="1576" t="str">
        <f>+CONCATENATE(S375,",",T375,".00",)</f>
        <v>69,520.00</v>
      </c>
      <c r="S375" s="1576" t="str">
        <f>MID(C375,1,2)</f>
        <v>69</v>
      </c>
      <c r="T375" s="1576" t="str">
        <f>MID(C375,3,3)</f>
        <v>520</v>
      </c>
      <c r="U375" s="1576" t="str">
        <f>MID(C375,6,3)</f>
        <v/>
      </c>
    </row>
    <row r="376" spans="2:26" ht="10.5" customHeight="1">
      <c r="B376" s="1611"/>
      <c r="C376" s="1612"/>
      <c r="D376" s="1613"/>
      <c r="E376" s="1614"/>
      <c r="R376" s="1576" t="str">
        <f>+CONCATENATE(S376,",",T376,U376,".00")</f>
        <v>121,660.00</v>
      </c>
      <c r="S376" s="1576" t="str">
        <f>MID(D375,1,3)</f>
        <v>121</v>
      </c>
      <c r="T376" s="1576" t="str">
        <f>MID(D375,4,3)</f>
        <v>660</v>
      </c>
      <c r="U376" s="1576" t="str">
        <f>MID(D375,7,3)</f>
        <v/>
      </c>
    </row>
    <row r="377" spans="2:26" s="338" customFormat="1">
      <c r="B377" s="1904" t="str">
        <f>("Cambio porcentual con relación al "&amp;$D$118&amp;".")</f>
        <v>Cambio porcentual con relación al 2025.</v>
      </c>
      <c r="C377" s="1905"/>
      <c r="D377" s="1615">
        <v>0</v>
      </c>
      <c r="E377" s="1387">
        <f>IFERROR(+E375/D375,0)</f>
        <v>-1</v>
      </c>
      <c r="J377" s="1355"/>
      <c r="K377" s="1355"/>
      <c r="N377" s="1355"/>
      <c r="R377" s="1577"/>
      <c r="S377" s="1577"/>
      <c r="T377" s="1577"/>
      <c r="U377" s="1577"/>
      <c r="V377" s="1577"/>
      <c r="W377" s="1577"/>
      <c r="X377" s="1577"/>
      <c r="Y377" s="1577"/>
      <c r="Z377" s="1355"/>
    </row>
    <row r="378" spans="2:26" s="338" customFormat="1">
      <c r="B378" s="1608"/>
      <c r="C378" s="1608"/>
      <c r="D378" s="1616"/>
      <c r="E378" s="337"/>
      <c r="J378" s="1355"/>
      <c r="K378" s="1355"/>
      <c r="N378" s="1355"/>
      <c r="R378" s="1577"/>
      <c r="S378" s="1577"/>
      <c r="T378" s="1577"/>
      <c r="U378" s="1577"/>
      <c r="V378" s="1577"/>
      <c r="W378" s="1577"/>
      <c r="X378" s="1577"/>
      <c r="Y378" s="1577"/>
      <c r="Z378" s="1355"/>
    </row>
    <row r="379" spans="2:26" s="338" customFormat="1">
      <c r="B379" s="1911" t="s">
        <v>4010</v>
      </c>
      <c r="C379" s="1911"/>
      <c r="D379" s="1911"/>
      <c r="E379" s="1911"/>
      <c r="J379" s="1355"/>
      <c r="K379" s="1355"/>
      <c r="N379" s="1355"/>
      <c r="R379" s="1577"/>
      <c r="S379" s="1577"/>
      <c r="T379" s="1577"/>
      <c r="U379" s="1577"/>
      <c r="V379" s="1577"/>
      <c r="W379" s="1577"/>
      <c r="X379" s="1577"/>
      <c r="Y379" s="1577"/>
      <c r="Z379" s="1355"/>
    </row>
    <row r="380" spans="2:26" s="338" customFormat="1">
      <c r="B380" s="1608"/>
      <c r="C380" s="1608"/>
      <c r="D380" s="1616"/>
      <c r="E380" s="337"/>
      <c r="J380" s="1355"/>
      <c r="K380" s="1355"/>
      <c r="N380" s="1355"/>
      <c r="R380" s="1577"/>
      <c r="S380" s="1577"/>
      <c r="T380" s="1577"/>
      <c r="U380" s="1577"/>
      <c r="V380" s="1577"/>
      <c r="W380" s="1577"/>
      <c r="X380" s="1577"/>
      <c r="Y380" s="1577"/>
      <c r="Z380" s="1355"/>
    </row>
    <row r="381" spans="2:26" s="338" customFormat="1">
      <c r="B381" s="1608"/>
      <c r="C381" s="1608"/>
      <c r="D381" s="1616"/>
      <c r="E381" s="337"/>
      <c r="J381" s="1355"/>
      <c r="K381" s="1355"/>
      <c r="N381" s="1355"/>
      <c r="R381" s="1577"/>
      <c r="S381" s="1577"/>
      <c r="T381" s="1577"/>
      <c r="U381" s="1577"/>
      <c r="V381" s="1577"/>
      <c r="W381" s="1577"/>
      <c r="X381" s="1577"/>
      <c r="Y381" s="1577"/>
      <c r="Z381" s="1355"/>
    </row>
    <row r="382" spans="2:26" s="338" customFormat="1">
      <c r="B382" s="1608"/>
      <c r="C382" s="1608"/>
      <c r="D382" s="1616"/>
      <c r="E382" s="337"/>
      <c r="J382" s="1355"/>
      <c r="K382" s="1355"/>
      <c r="N382" s="1355"/>
      <c r="R382" s="1577"/>
      <c r="S382" s="1577"/>
      <c r="T382" s="1577"/>
      <c r="U382" s="1577"/>
      <c r="V382" s="1577"/>
      <c r="W382" s="1577"/>
      <c r="X382" s="1577"/>
      <c r="Y382" s="1577"/>
      <c r="Z382" s="1355"/>
    </row>
    <row r="383" spans="2:26" s="338" customFormat="1">
      <c r="B383" s="1608"/>
      <c r="C383" s="1608"/>
      <c r="D383" s="1616"/>
      <c r="E383" s="337"/>
      <c r="J383" s="1355"/>
      <c r="K383" s="1355"/>
      <c r="N383" s="1355"/>
      <c r="R383" s="1577"/>
      <c r="S383" s="1577"/>
      <c r="T383" s="1577"/>
      <c r="U383" s="1577"/>
      <c r="V383" s="1577"/>
      <c r="W383" s="1577"/>
      <c r="X383" s="1577"/>
      <c r="Y383" s="1577"/>
      <c r="Z383" s="1355"/>
    </row>
    <row r="384" spans="2:26" s="338" customFormat="1" ht="8.25" customHeight="1">
      <c r="B384" s="1440"/>
      <c r="C384" s="1440"/>
      <c r="D384" s="1442"/>
      <c r="E384" s="1441"/>
      <c r="J384" s="1355"/>
      <c r="K384" s="1355"/>
      <c r="N384" s="1355"/>
      <c r="R384" s="1577"/>
      <c r="S384" s="1577"/>
      <c r="T384" s="1577"/>
      <c r="U384" s="1577"/>
      <c r="V384" s="1577"/>
      <c r="W384" s="1577"/>
      <c r="X384" s="1577"/>
      <c r="Y384" s="1577"/>
      <c r="Z384" s="1355"/>
    </row>
    <row r="385" spans="2:26">
      <c r="B385" s="1363" t="s">
        <v>4176</v>
      </c>
      <c r="C385" s="1353"/>
      <c r="D385" s="1354"/>
      <c r="E385" s="1353"/>
    </row>
    <row r="386" spans="2:26" ht="21.75" customHeight="1">
      <c r="B386" s="1861" t="s">
        <v>2899</v>
      </c>
      <c r="C386" s="1861"/>
      <c r="D386" s="1861"/>
      <c r="E386" s="1861"/>
    </row>
    <row r="387" spans="2:26" ht="27.75" customHeight="1">
      <c r="B387" s="1867" t="str">
        <f>("Un detalle de las  "&amp;B386&amp;" al "&amp;BALANZA!$B$3&amp;" "&amp;BALANZA!$C$3&amp;" es como se detalla a continuación:")</f>
        <v>Un detalle de las  Cuentas por pagar a corto plazo al 31 de marzo del 2026  - 2025 es como se detalla a continuación:</v>
      </c>
      <c r="C387" s="1906"/>
      <c r="D387" s="1906"/>
      <c r="E387" s="1906"/>
    </row>
    <row r="388" spans="2:26" ht="59.25" customHeight="1">
      <c r="B388" s="1858" t="str">
        <f>("Las Cuentas por Pagar está integrado por las deudas y compromisos de pago que tiene la institución con los suplidores de servicios, retenciones impositivas y documentos por pagar, con un aumento en el "&amp;C391&amp;"  el total era de RD$ "&amp;R395&amp;" y para el "&amp;D391&amp;" el total fue de RD$ "&amp;R396&amp;" , Según el siguiente detalle:")</f>
        <v>Las Cuentas por Pagar está integrado por las deudas y compromisos de pago que tiene la institución con los suplidores de servicios, retenciones impositivas y documentos por pagar, con un aumento en el 2026  el total era de RD$ 11,936,643.77 y para el 2025 el total fue de RD$ 8,951,65..09 , Según el siguiente detalle:</v>
      </c>
      <c r="C388" s="1858"/>
      <c r="D388" s="1858"/>
      <c r="E388" s="1858"/>
    </row>
    <row r="389" spans="2:26" ht="45" customHeight="1">
      <c r="B389" s="1867"/>
      <c r="C389" s="1867"/>
      <c r="D389" s="1867"/>
      <c r="E389" s="1867"/>
    </row>
    <row r="390" spans="2:26">
      <c r="B390" s="156" t="s">
        <v>1056</v>
      </c>
    </row>
    <row r="391" spans="2:26">
      <c r="B391" s="1443" t="s">
        <v>6</v>
      </c>
      <c r="C391" s="193">
        <f>+BALANZA!B4</f>
        <v>2026</v>
      </c>
      <c r="D391" s="193">
        <f>+BALANZA!C4</f>
        <v>2025</v>
      </c>
      <c r="E391" s="1444" t="s">
        <v>1213</v>
      </c>
      <c r="K391" s="1350">
        <f>+D392+D393+K394</f>
        <v>8952429.1600000001</v>
      </c>
    </row>
    <row r="392" spans="2:26">
      <c r="B392" s="194" t="s">
        <v>1224</v>
      </c>
      <c r="C392" s="1309">
        <f>+'BALANZA G'!C108-C393</f>
        <v>4295651.26</v>
      </c>
      <c r="D392" s="1309">
        <f>+'BALANZA G'!D108-D393</f>
        <v>8151565.0899999999</v>
      </c>
      <c r="E392" s="1502">
        <f>+C392-D392</f>
        <v>-3855913.83</v>
      </c>
      <c r="K392" s="1350">
        <v>930.44</v>
      </c>
    </row>
    <row r="393" spans="2:26">
      <c r="B393" s="194" t="s">
        <v>3818</v>
      </c>
      <c r="C393" s="1731">
        <f>6840992.51+800000</f>
        <v>7640992.5099999998</v>
      </c>
      <c r="D393" s="1309">
        <v>800000</v>
      </c>
      <c r="E393" s="1502">
        <f>+C393-D393</f>
        <v>6840992.5099999998</v>
      </c>
      <c r="K393" s="1350">
        <v>66.37</v>
      </c>
    </row>
    <row r="394" spans="2:26">
      <c r="B394" s="194" t="s">
        <v>3924</v>
      </c>
      <c r="C394" s="1731">
        <f>+'BALANZA G'!C109+'BALANZA G'!C110</f>
        <v>0</v>
      </c>
      <c r="D394" s="1309">
        <f>+'BALANZA G'!D109+'BALANZA G'!D110</f>
        <v>0</v>
      </c>
      <c r="E394" s="1502">
        <f>+C394-D394</f>
        <v>0</v>
      </c>
      <c r="K394" s="1350">
        <f>+K392-K393</f>
        <v>864.07</v>
      </c>
    </row>
    <row r="395" spans="2:26">
      <c r="B395" s="1443" t="s">
        <v>3830</v>
      </c>
      <c r="C395" s="1397">
        <f>SUM(C392:C394)</f>
        <v>11936643.77</v>
      </c>
      <c r="D395" s="1445">
        <f>SUM(D392:D394)</f>
        <v>8951565.0899999999</v>
      </c>
      <c r="E395" s="1397">
        <f>SUM(E392:E394)</f>
        <v>2985078.6799999997</v>
      </c>
      <c r="R395" s="1576" t="str">
        <f>+CONCATENATE(S395,",",T395,",",U395,V395,AB395,"")</f>
        <v>11,936,643.77</v>
      </c>
      <c r="S395" s="1576" t="str">
        <f>MID(C395,1,2)</f>
        <v>11</v>
      </c>
      <c r="T395" s="1576" t="str">
        <f>MID(C395,3,3)</f>
        <v>936</v>
      </c>
      <c r="U395" s="1576" t="str">
        <f>MID(C395,6,3)</f>
        <v>643</v>
      </c>
      <c r="V395" s="1576" t="str">
        <f>MID(C395,9,3)</f>
        <v>.77</v>
      </c>
    </row>
    <row r="396" spans="2:26">
      <c r="B396" s="1446"/>
      <c r="C396" s="1447"/>
      <c r="D396" s="1448"/>
      <c r="R396" s="1576" t="str">
        <f>+CONCATENATE(S396,",",T396,",",U396,V396,AB396)</f>
        <v>8,951,65..09</v>
      </c>
      <c r="S396" s="1576" t="str">
        <f>MID(D395,1,1)</f>
        <v>8</v>
      </c>
      <c r="T396" s="1576" t="str">
        <f>MID(D395,2,3)</f>
        <v>951</v>
      </c>
      <c r="U396" s="1576" t="str">
        <f>MID(D395,6,3)</f>
        <v>65.</v>
      </c>
      <c r="V396" s="1576" t="str">
        <f>MID(D395,8,3)</f>
        <v>.09</v>
      </c>
    </row>
    <row r="397" spans="2:26" s="338" customFormat="1">
      <c r="B397" s="1904" t="str">
        <f>("Cambio porcentual con relación al "&amp;$D$118&amp;".")</f>
        <v>Cambio porcentual con relación al 2025.</v>
      </c>
      <c r="C397" s="1905"/>
      <c r="D397" s="1378" t="str">
        <f>IF(E397&gt;=0,"Aumento","Disminución")</f>
        <v>Aumento</v>
      </c>
      <c r="E397" s="1387">
        <f>+E395/D395</f>
        <v>0.33347003009950743</v>
      </c>
      <c r="J397" s="1355"/>
      <c r="K397" s="1355"/>
      <c r="N397" s="1355"/>
      <c r="R397" s="1577"/>
      <c r="S397" s="1577"/>
      <c r="T397" s="1577"/>
      <c r="U397" s="1577"/>
      <c r="V397" s="1577"/>
      <c r="W397" s="1577"/>
      <c r="X397" s="1577"/>
      <c r="Y397" s="1577"/>
      <c r="Z397" s="1355"/>
    </row>
    <row r="398" spans="2:26" ht="22.5" customHeight="1">
      <c r="B398" s="1861" t="s">
        <v>1225</v>
      </c>
      <c r="C398" s="1861"/>
      <c r="D398" s="1861"/>
      <c r="E398" s="1861"/>
    </row>
    <row r="399" spans="2:26" ht="12.75" customHeight="1">
      <c r="B399" s="1346"/>
      <c r="C399" s="1346"/>
      <c r="D399" s="1449"/>
      <c r="E399" s="1346"/>
    </row>
    <row r="400" spans="2:26" hidden="1">
      <c r="B400" s="672" t="s">
        <v>2204</v>
      </c>
    </row>
    <row r="401" spans="2:26" ht="24" hidden="1" customHeight="1">
      <c r="B401" s="1858" t="str">
        <f>+B138</f>
        <v>Un detalle del Inversiones a corto plazo al 31 de marzo del 2026  - 2025 es como se detalla a continuación:</v>
      </c>
      <c r="C401" s="1858"/>
      <c r="D401" s="1858"/>
      <c r="E401" s="1858"/>
    </row>
    <row r="402" spans="2:26" ht="78" hidden="1" customHeight="1">
      <c r="B402" s="1858" t="str">
        <f>("Los Prestamos por Pagar está integrado por las deudas y compromisos de pago que tiene la institución con los bancos, para el "&amp;C404&amp;" el total era de RD$"&amp;C406&amp;" y para el "&amp;D404&amp;" el total fue de RD$"&amp;D406&amp;" , Según el siguiente detalle:")</f>
        <v>Los Prestamos por Pagar está integrado por las deudas y compromisos de pago que tiene la institución con los bancos, para el 2026 el total era de RD$0 y para el 2025 el total fue de RD$0 , Según el siguiente detalle:</v>
      </c>
      <c r="C402" s="1858"/>
      <c r="D402" s="1858"/>
      <c r="E402" s="1858"/>
    </row>
    <row r="403" spans="2:26" hidden="1">
      <c r="B403" s="156" t="s">
        <v>1056</v>
      </c>
    </row>
    <row r="404" spans="2:26" hidden="1">
      <c r="B404" s="1443" t="s">
        <v>6</v>
      </c>
      <c r="C404" s="193">
        <f>+C141</f>
        <v>2026</v>
      </c>
      <c r="D404" s="1318">
        <f>+D141</f>
        <v>2025</v>
      </c>
      <c r="E404" s="1444" t="s">
        <v>1213</v>
      </c>
    </row>
    <row r="405" spans="2:26" hidden="1">
      <c r="B405" s="194" t="s">
        <v>1222</v>
      </c>
      <c r="C405" s="169">
        <f>+'BALANZA G'!C119</f>
        <v>0</v>
      </c>
      <c r="D405" s="1309">
        <f>+'BALANZA G'!D119</f>
        <v>0</v>
      </c>
      <c r="E405" s="1385">
        <f>+C405-D405</f>
        <v>0</v>
      </c>
    </row>
    <row r="406" spans="2:26" hidden="1">
      <c r="B406" s="1443" t="s">
        <v>908</v>
      </c>
      <c r="C406" s="1397">
        <f>SUM(C405:C405)</f>
        <v>0</v>
      </c>
      <c r="D406" s="1445">
        <f>SUM(D405:D405)</f>
        <v>0</v>
      </c>
      <c r="E406" s="1397">
        <f>SUM(E405:E405)</f>
        <v>0</v>
      </c>
    </row>
    <row r="407" spans="2:26" hidden="1">
      <c r="B407" s="1446"/>
      <c r="C407" s="1400"/>
      <c r="D407" s="1448"/>
    </row>
    <row r="408" spans="2:26" s="338" customFormat="1" hidden="1">
      <c r="B408" s="1918" t="s">
        <v>3951</v>
      </c>
      <c r="C408" s="1919"/>
      <c r="D408" s="1378" t="e">
        <f>IF(E408&gt;=0,"Aumento","Disminución")</f>
        <v>#DIV/0!</v>
      </c>
      <c r="E408" s="1387" t="e">
        <f>+E406/D406</f>
        <v>#DIV/0!</v>
      </c>
      <c r="J408" s="1355"/>
      <c r="K408" s="1355"/>
      <c r="N408" s="1355"/>
      <c r="R408" s="1577"/>
      <c r="S408" s="1577"/>
      <c r="T408" s="1577"/>
      <c r="U408" s="1577"/>
      <c r="V408" s="1577"/>
      <c r="W408" s="1577"/>
      <c r="X408" s="1577"/>
      <c r="Y408" s="1577"/>
      <c r="Z408" s="1355"/>
    </row>
    <row r="409" spans="2:26" s="338" customFormat="1">
      <c r="B409" s="1365"/>
      <c r="C409" s="1365"/>
      <c r="D409" s="1380"/>
      <c r="E409" s="1381"/>
      <c r="J409" s="1355"/>
      <c r="K409" s="1355"/>
      <c r="N409" s="1355"/>
      <c r="R409" s="1577"/>
      <c r="S409" s="1577"/>
      <c r="T409" s="1577"/>
      <c r="U409" s="1577"/>
      <c r="V409" s="1577"/>
      <c r="W409" s="1577"/>
      <c r="X409" s="1577"/>
      <c r="Y409" s="1577"/>
      <c r="Z409" s="1355"/>
    </row>
    <row r="410" spans="2:26" s="338" customFormat="1">
      <c r="B410" s="1365"/>
      <c r="C410" s="1365"/>
      <c r="D410" s="1380"/>
      <c r="E410" s="1381"/>
      <c r="J410" s="1355"/>
      <c r="K410" s="1355"/>
      <c r="N410" s="1355"/>
      <c r="R410" s="1577"/>
      <c r="S410" s="1577"/>
      <c r="T410" s="1577"/>
      <c r="U410" s="1577"/>
      <c r="V410" s="1577"/>
      <c r="W410" s="1577"/>
      <c r="X410" s="1577"/>
      <c r="Y410" s="1577"/>
      <c r="Z410" s="1355"/>
    </row>
    <row r="411" spans="2:26" s="338" customFormat="1">
      <c r="B411" s="1365"/>
      <c r="C411" s="1365"/>
      <c r="D411" s="1380"/>
      <c r="E411" s="1381"/>
      <c r="J411" s="1355"/>
      <c r="K411" s="1355"/>
      <c r="N411" s="1355"/>
      <c r="R411" s="1577"/>
      <c r="S411" s="1577"/>
      <c r="T411" s="1577"/>
      <c r="U411" s="1577"/>
      <c r="V411" s="1577"/>
      <c r="W411" s="1577"/>
      <c r="X411" s="1577"/>
      <c r="Y411" s="1577"/>
      <c r="Z411" s="1355"/>
    </row>
    <row r="412" spans="2:26" s="338" customFormat="1">
      <c r="B412" s="1365"/>
      <c r="C412" s="1365"/>
      <c r="D412" s="1380"/>
      <c r="E412" s="1381"/>
      <c r="J412" s="1355"/>
      <c r="K412" s="1355"/>
      <c r="N412" s="1355"/>
      <c r="R412" s="1577"/>
      <c r="S412" s="1577"/>
      <c r="T412" s="1577"/>
      <c r="U412" s="1577"/>
      <c r="V412" s="1577"/>
      <c r="W412" s="1577"/>
      <c r="X412" s="1577"/>
      <c r="Y412" s="1577"/>
      <c r="Z412" s="1355"/>
    </row>
    <row r="413" spans="2:26" s="338" customFormat="1">
      <c r="B413" s="1365"/>
      <c r="C413" s="1365"/>
      <c r="D413" s="1380"/>
      <c r="E413" s="1381"/>
      <c r="J413" s="1355"/>
      <c r="K413" s="1355"/>
      <c r="N413" s="1355"/>
      <c r="R413" s="1577"/>
      <c r="S413" s="1577"/>
      <c r="T413" s="1577"/>
      <c r="U413" s="1577"/>
      <c r="V413" s="1577"/>
      <c r="W413" s="1577"/>
      <c r="X413" s="1577"/>
      <c r="Y413" s="1577"/>
      <c r="Z413" s="1355"/>
    </row>
    <row r="414" spans="2:26" s="338" customFormat="1">
      <c r="B414" s="1365"/>
      <c r="C414" s="1365"/>
      <c r="D414" s="1380"/>
      <c r="E414" s="1381"/>
      <c r="J414" s="1355"/>
      <c r="K414" s="1355"/>
      <c r="N414" s="1355"/>
      <c r="R414" s="1577"/>
      <c r="S414" s="1577"/>
      <c r="T414" s="1577"/>
      <c r="U414" s="1577"/>
      <c r="V414" s="1577"/>
      <c r="W414" s="1577"/>
      <c r="X414" s="1577"/>
      <c r="Y414" s="1577"/>
      <c r="Z414" s="1355"/>
    </row>
    <row r="415" spans="2:26" s="338" customFormat="1">
      <c r="B415" s="1365"/>
      <c r="C415" s="1365"/>
      <c r="D415" s="1380"/>
      <c r="E415" s="1381"/>
      <c r="J415" s="1355"/>
      <c r="K415" s="1355"/>
      <c r="N415" s="1355"/>
      <c r="R415" s="1577"/>
      <c r="S415" s="1577"/>
      <c r="T415" s="1577"/>
      <c r="U415" s="1577"/>
      <c r="V415" s="1577"/>
      <c r="W415" s="1577"/>
      <c r="X415" s="1577"/>
      <c r="Y415" s="1577"/>
      <c r="Z415" s="1355"/>
    </row>
    <row r="416" spans="2:26" s="338" customFormat="1">
      <c r="B416" s="1365"/>
      <c r="C416" s="1365"/>
      <c r="D416" s="1380"/>
      <c r="E416" s="1381"/>
      <c r="J416" s="1355"/>
      <c r="K416" s="1355"/>
      <c r="N416" s="1355"/>
      <c r="R416" s="1577"/>
      <c r="S416" s="1577"/>
      <c r="T416" s="1577"/>
      <c r="U416" s="1577"/>
      <c r="V416" s="1577"/>
      <c r="W416" s="1577"/>
      <c r="X416" s="1577"/>
      <c r="Y416" s="1577"/>
      <c r="Z416" s="1355"/>
    </row>
    <row r="417" spans="2:26" s="338" customFormat="1">
      <c r="B417" s="1365"/>
      <c r="C417" s="1365"/>
      <c r="D417" s="1380"/>
      <c r="E417" s="1381"/>
      <c r="J417" s="1355"/>
      <c r="K417" s="1355"/>
      <c r="N417" s="1355"/>
      <c r="R417" s="1577"/>
      <c r="S417" s="1577"/>
      <c r="T417" s="1577"/>
      <c r="U417" s="1577"/>
      <c r="V417" s="1577"/>
      <c r="W417" s="1577"/>
      <c r="X417" s="1577"/>
      <c r="Y417" s="1577"/>
      <c r="Z417" s="1355"/>
    </row>
    <row r="418" spans="2:26" s="338" customFormat="1">
      <c r="B418" s="1365"/>
      <c r="C418" s="1365"/>
      <c r="D418" s="1380"/>
      <c r="E418" s="1381"/>
      <c r="J418" s="1355"/>
      <c r="K418" s="1355"/>
      <c r="N418" s="1355"/>
      <c r="R418" s="1577"/>
      <c r="S418" s="1577"/>
      <c r="T418" s="1577"/>
      <c r="U418" s="1577"/>
      <c r="V418" s="1577"/>
      <c r="W418" s="1577"/>
      <c r="X418" s="1577"/>
      <c r="Y418" s="1577"/>
      <c r="Z418" s="1355"/>
    </row>
    <row r="419" spans="2:26" s="338" customFormat="1">
      <c r="B419" s="1365"/>
      <c r="C419" s="1365"/>
      <c r="D419" s="1380"/>
      <c r="E419" s="1381"/>
      <c r="J419" s="1355"/>
      <c r="K419" s="1355"/>
      <c r="N419" s="1355"/>
      <c r="R419" s="1577"/>
      <c r="S419" s="1577"/>
      <c r="T419" s="1577"/>
      <c r="U419" s="1577"/>
      <c r="V419" s="1577"/>
      <c r="W419" s="1577"/>
      <c r="X419" s="1577"/>
      <c r="Y419" s="1577"/>
      <c r="Z419" s="1355"/>
    </row>
    <row r="420" spans="2:26" s="338" customFormat="1" ht="17.25" customHeight="1">
      <c r="B420" s="1365" t="s">
        <v>2901</v>
      </c>
      <c r="C420" s="1365"/>
      <c r="D420" s="1380"/>
      <c r="E420" s="1381"/>
      <c r="J420" s="1355"/>
      <c r="K420" s="1355"/>
      <c r="N420" s="1355"/>
      <c r="R420" s="1577"/>
      <c r="S420" s="1577"/>
      <c r="T420" s="1577"/>
      <c r="U420" s="1577"/>
      <c r="V420" s="1577"/>
      <c r="W420" s="1577"/>
      <c r="X420" s="1577"/>
      <c r="Y420" s="1577"/>
      <c r="Z420" s="1355"/>
    </row>
    <row r="421" spans="2:26" s="338" customFormat="1" ht="17.25" customHeight="1">
      <c r="B421" s="1365" t="s">
        <v>4086</v>
      </c>
      <c r="C421" s="1365"/>
      <c r="D421" s="1380"/>
      <c r="E421" s="1381"/>
      <c r="J421" s="1355"/>
      <c r="K421" s="1355"/>
      <c r="N421" s="1355"/>
      <c r="R421" s="1577"/>
      <c r="S421" s="1577"/>
      <c r="T421" s="1577"/>
      <c r="U421" s="1577"/>
      <c r="V421" s="1577"/>
      <c r="W421" s="1577"/>
      <c r="X421" s="1577"/>
      <c r="Y421" s="1577"/>
      <c r="Z421" s="1355"/>
    </row>
    <row r="422" spans="2:26">
      <c r="B422" s="672" t="s">
        <v>2900</v>
      </c>
    </row>
    <row r="423" spans="2:26" ht="19.899999999999999" customHeight="1">
      <c r="B423" s="1867" t="str">
        <f>("Un detalle de las  "&amp;B422&amp;" al "&amp;BALANZA!$B$3&amp;" "&amp;BALANZA!$C$3&amp;" es como se detalla a continuación:")</f>
        <v>Un detalle de las  Acumulaciones por pagar al 31 de marzo del 2026  - 2025 es como se detalla a continuación:</v>
      </c>
      <c r="C423" s="1906"/>
      <c r="D423" s="1906"/>
      <c r="E423" s="1906"/>
    </row>
    <row r="424" spans="2:26" ht="36" hidden="1" customHeight="1">
      <c r="B424" s="1858" t="str">
        <f>("Las acumulaciones por pagar para el "&amp;C426&amp;" el total era RD$ "&amp;R430&amp;" y para el "&amp;D426&amp;" el total fue de RD$ "&amp;R431&amp;" , Según el siguiente detalle:")</f>
        <v>Las acumulaciones por pagar para el 2026 el total era RD$ 0.00 y para el 2025 el total fue de RD$ 0,0 , Según el siguiente detalle:</v>
      </c>
      <c r="C424" s="1858"/>
      <c r="D424" s="1858"/>
      <c r="E424" s="1858"/>
    </row>
    <row r="425" spans="2:26" ht="9" hidden="1" customHeight="1">
      <c r="B425" s="1907"/>
      <c r="C425" s="1907"/>
      <c r="D425" s="1907"/>
      <c r="E425" s="1907"/>
    </row>
    <row r="426" spans="2:26" hidden="1">
      <c r="B426" s="1443" t="s">
        <v>6</v>
      </c>
      <c r="C426" s="193">
        <f>+C141</f>
        <v>2026</v>
      </c>
      <c r="D426" s="193">
        <f>+D141</f>
        <v>2025</v>
      </c>
      <c r="E426" s="1444" t="s">
        <v>1213</v>
      </c>
    </row>
    <row r="427" spans="2:26" hidden="1">
      <c r="B427" s="194" t="s">
        <v>2924</v>
      </c>
      <c r="C427" s="1309">
        <f>+'BALANZA G'!C115+'BALANZA G'!C116</f>
        <v>0</v>
      </c>
      <c r="D427" s="1309">
        <f>+'BALANZA G'!D115+'BALANZA G'!D116</f>
        <v>0</v>
      </c>
      <c r="E427" s="1502">
        <f>+C427-D427</f>
        <v>0</v>
      </c>
    </row>
    <row r="428" spans="2:26" ht="14.25" hidden="1" customHeight="1">
      <c r="B428" s="194" t="s">
        <v>2236</v>
      </c>
      <c r="C428" s="1309">
        <f>+'BALANZA G'!C105+'BALANZA G'!C106</f>
        <v>0</v>
      </c>
      <c r="D428" s="1309">
        <f>+'BALANZA G'!D105+'BALANZA G'!D106</f>
        <v>0</v>
      </c>
      <c r="E428" s="1502">
        <f>+C428-D428</f>
        <v>0</v>
      </c>
    </row>
    <row r="429" spans="2:26" hidden="1">
      <c r="B429" s="194"/>
      <c r="C429" s="1309"/>
      <c r="D429" s="1309"/>
      <c r="E429" s="1502"/>
    </row>
    <row r="430" spans="2:26" hidden="1">
      <c r="B430" s="1443" t="s">
        <v>3829</v>
      </c>
      <c r="C430" s="1445">
        <f>SUM(C427:C429)</f>
        <v>0</v>
      </c>
      <c r="D430" s="1445">
        <f>SUM(D427:D429)</f>
        <v>0</v>
      </c>
      <c r="E430" s="1445">
        <f>SUM(E427:E429)</f>
        <v>0</v>
      </c>
      <c r="R430" s="1576" t="str">
        <f>+CONCATENATE(T430,"",U430,"",V430,"0.00")</f>
        <v>0.00</v>
      </c>
      <c r="U430" s="1576" t="str">
        <f>MID(C430,4,3)</f>
        <v/>
      </c>
      <c r="V430" s="1576" t="str">
        <f>MID(C430,7,3)</f>
        <v/>
      </c>
    </row>
    <row r="431" spans="2:26" ht="10.5" hidden="1" customHeight="1">
      <c r="B431" s="1446"/>
      <c r="C431" s="1692">
        <f>+C430-'ES F '!B36+C447</f>
        <v>0</v>
      </c>
      <c r="D431" s="1448"/>
      <c r="R431" s="1576" t="str">
        <f>+CONCATENATE(S431,",",T431,U431,V431,AB431,"0")</f>
        <v>0,0</v>
      </c>
      <c r="S431" s="1576" t="str">
        <f>MID(D430,1,3)</f>
        <v>0</v>
      </c>
      <c r="T431" s="1576" t="str">
        <f>MID(D430,4,3)</f>
        <v/>
      </c>
      <c r="U431" s="1576" t="str">
        <f>MID(D430,7,3)</f>
        <v/>
      </c>
    </row>
    <row r="432" spans="2:26" s="338" customFormat="1" hidden="1">
      <c r="B432" s="1904" t="str">
        <f>("Cambio porcentual con relación al "&amp;$D$118&amp;".")</f>
        <v>Cambio porcentual con relación al 2025.</v>
      </c>
      <c r="C432" s="1905"/>
      <c r="D432" s="1378" t="e">
        <f>IF(E432&gt;=0,"Aumento","Disminución")</f>
        <v>#DIV/0!</v>
      </c>
      <c r="E432" s="1387" t="e">
        <f>+E430/D430</f>
        <v>#DIV/0!</v>
      </c>
      <c r="J432" s="1355"/>
      <c r="K432" s="1355"/>
      <c r="N432" s="1355"/>
      <c r="R432" s="1577"/>
      <c r="S432" s="1577"/>
      <c r="T432" s="1577"/>
      <c r="U432" s="1577"/>
      <c r="V432" s="1577"/>
      <c r="W432" s="1577"/>
      <c r="X432" s="1577"/>
      <c r="Y432" s="1577"/>
      <c r="Z432" s="1355"/>
    </row>
    <row r="433" spans="2:28" s="338" customFormat="1" ht="6" hidden="1" customHeight="1">
      <c r="B433" s="1365"/>
      <c r="C433" s="1365"/>
      <c r="D433" s="1380"/>
      <c r="E433" s="1381"/>
      <c r="J433" s="1355"/>
      <c r="K433" s="1355"/>
      <c r="N433" s="1355"/>
      <c r="R433" s="1577"/>
      <c r="S433" s="1577"/>
      <c r="T433" s="1577"/>
      <c r="U433" s="1577"/>
      <c r="V433" s="1577"/>
      <c r="W433" s="1577"/>
      <c r="X433" s="1577"/>
      <c r="Y433" s="1577"/>
      <c r="Z433" s="1355"/>
    </row>
    <row r="434" spans="2:28" ht="14.25" customHeight="1">
      <c r="B434" s="672" t="s">
        <v>1223</v>
      </c>
      <c r="C434" s="1346"/>
      <c r="D434" s="1346"/>
      <c r="E434" s="1346"/>
    </row>
    <row r="435" spans="2:28" ht="24.75" customHeight="1">
      <c r="B435" s="1867" t="str">
        <f>("Un detalle de las "&amp;B434&amp;" al "&amp;BALANZA!$B$3&amp;" "&amp;BALANZA!$C$3&amp;" es como se detalla a continuación:")</f>
        <v>Un detalle de las Retenciones por pagar al 31 de marzo del 2026  - 2025 es como se detalla a continuación:</v>
      </c>
      <c r="C435" s="1906"/>
      <c r="D435" s="1906"/>
      <c r="E435" s="1906"/>
    </row>
    <row r="436" spans="2:28" ht="29.25" customHeight="1">
      <c r="B436" s="1858" t="str">
        <f>("Las  retenciones impositivas  por pagar  para el "&amp;C439&amp;" el total era RD$ "&amp;R447&amp;" y para el "&amp;D439&amp;" el total fue de RD$ "&amp;R448&amp;" , Según el siguiente detalle:")</f>
        <v>Las  retenciones impositivas  por pagar  para el 2026 el total era RD$ 139,610.85 y para el 2025 el total fue de RD$ 139,610.85 , Según el siguiente detalle:</v>
      </c>
      <c r="C436" s="1858"/>
      <c r="D436" s="1858"/>
      <c r="E436" s="1858"/>
    </row>
    <row r="437" spans="2:28" ht="6" customHeight="1">
      <c r="B437" s="672"/>
      <c r="C437" s="1346"/>
      <c r="D437" s="1346"/>
      <c r="E437" s="1346"/>
    </row>
    <row r="438" spans="2:28" ht="9.75" customHeight="1">
      <c r="B438" s="672"/>
      <c r="C438" s="1346"/>
      <c r="D438" s="1346"/>
      <c r="E438" s="1346"/>
    </row>
    <row r="439" spans="2:28">
      <c r="B439" s="1443" t="s">
        <v>6</v>
      </c>
      <c r="C439" s="193">
        <f>+C426</f>
        <v>2026</v>
      </c>
      <c r="D439" s="193">
        <f>+D426</f>
        <v>2025</v>
      </c>
      <c r="E439" s="1454" t="s">
        <v>1213</v>
      </c>
    </row>
    <row r="440" spans="2:28" hidden="1">
      <c r="B440" s="1392" t="s">
        <v>2875</v>
      </c>
      <c r="C440" s="169">
        <f>+'BALANZA G'!C95</f>
        <v>0</v>
      </c>
      <c r="D440" s="1309">
        <f>+'BALANZA G'!D95</f>
        <v>0</v>
      </c>
      <c r="E440" s="1385">
        <f>+C440-D440</f>
        <v>0</v>
      </c>
    </row>
    <row r="441" spans="2:28" hidden="1">
      <c r="B441" s="1392" t="s">
        <v>2878</v>
      </c>
      <c r="C441" s="169">
        <f>+'BALANZA G'!C97</f>
        <v>0</v>
      </c>
      <c r="D441" s="1309">
        <f>+'BALANZA G'!D97</f>
        <v>0</v>
      </c>
      <c r="E441" s="1385">
        <f t="shared" ref="E441:E446" si="2">+C441-D441</f>
        <v>0</v>
      </c>
    </row>
    <row r="442" spans="2:28" hidden="1">
      <c r="B442" s="1392" t="s">
        <v>3883</v>
      </c>
      <c r="C442" s="169">
        <f>+'BALANZA G'!C98</f>
        <v>11361</v>
      </c>
      <c r="D442" s="1309">
        <f>+'BALANZA G'!D98</f>
        <v>11361</v>
      </c>
      <c r="E442" s="1385">
        <f t="shared" si="2"/>
        <v>0</v>
      </c>
    </row>
    <row r="443" spans="2:28">
      <c r="B443" s="1392" t="s">
        <v>2879</v>
      </c>
      <c r="C443" s="169">
        <f>+'BALANZA G'!C99</f>
        <v>0</v>
      </c>
      <c r="D443" s="1309">
        <f>+'BALANZA G'!D99</f>
        <v>0</v>
      </c>
      <c r="E443" s="1385">
        <f t="shared" si="2"/>
        <v>0</v>
      </c>
    </row>
    <row r="444" spans="2:28">
      <c r="B444" s="1392" t="s">
        <v>2876</v>
      </c>
      <c r="C444" s="169">
        <f>+'BALANZA G'!C100</f>
        <v>56304.6</v>
      </c>
      <c r="D444" s="1309">
        <f>+'BALANZA G'!D100</f>
        <v>56304.6</v>
      </c>
      <c r="E444" s="1385">
        <f t="shared" si="2"/>
        <v>0</v>
      </c>
    </row>
    <row r="445" spans="2:28">
      <c r="B445" s="1392" t="s">
        <v>2877</v>
      </c>
      <c r="C445" s="169">
        <f>+'BALANZA G'!C101+'BALANZA G'!C96</f>
        <v>0</v>
      </c>
      <c r="D445" s="169">
        <f>+'BALANZA G'!D101+'BALANZA G'!D96+0.001</f>
        <v>1E-3</v>
      </c>
      <c r="E445" s="1385">
        <f t="shared" si="2"/>
        <v>-1E-3</v>
      </c>
    </row>
    <row r="446" spans="2:28">
      <c r="B446" s="1392" t="s">
        <v>2880</v>
      </c>
      <c r="C446" s="169">
        <f>+'BALANZA G'!C102</f>
        <v>71945.25</v>
      </c>
      <c r="D446" s="1309">
        <f>+'BALANZA G'!D102</f>
        <v>71945.25</v>
      </c>
      <c r="E446" s="1385">
        <f t="shared" si="2"/>
        <v>0</v>
      </c>
    </row>
    <row r="447" spans="2:28">
      <c r="B447" s="1443" t="s">
        <v>3828</v>
      </c>
      <c r="C447" s="1397">
        <f>SUM(C440:C446)</f>
        <v>139610.85</v>
      </c>
      <c r="D447" s="1445">
        <f>SUM(D440:D446)</f>
        <v>139610.85100000002</v>
      </c>
      <c r="E447" s="1397">
        <f>SUM(E440:E446)</f>
        <v>-1E-3</v>
      </c>
      <c r="R447" s="1576" t="str">
        <f>+CONCATENATE(T447,",",U447,"",V447,AB447)</f>
        <v>139,610.85</v>
      </c>
      <c r="T447" s="1576" t="str">
        <f>MID(C447,1,3)</f>
        <v>139</v>
      </c>
      <c r="U447" s="1576" t="str">
        <f>MID(C447,4,3)</f>
        <v>610</v>
      </c>
      <c r="V447" s="1576" t="str">
        <f>MID(C447,7,3)</f>
        <v>.85</v>
      </c>
      <c r="Z447" s="334"/>
      <c r="AA447" s="334" t="str">
        <f>MID(H447,7,3)</f>
        <v/>
      </c>
      <c r="AB447" s="334" t="str">
        <f>MID(C447,10,3)</f>
        <v/>
      </c>
    </row>
    <row r="448" spans="2:28" ht="6" customHeight="1">
      <c r="B448" s="1446"/>
      <c r="C448" s="1692">
        <f>+C447-'ES F '!B36+C430</f>
        <v>0</v>
      </c>
      <c r="D448" s="1448"/>
      <c r="R448" s="1576" t="str">
        <f>+CONCATENATE(S448,"",T448,",",U448,V448,AB448)</f>
        <v>139,610.85</v>
      </c>
      <c r="T448" s="1576" t="str">
        <f>MID(D447,1,3)</f>
        <v>139</v>
      </c>
      <c r="U448" s="1576" t="str">
        <f>MID(D447,4,3)</f>
        <v>610</v>
      </c>
      <c r="V448" s="1576" t="str">
        <f>MID(D447,7,3)</f>
        <v>.85</v>
      </c>
      <c r="W448" s="1576" t="str">
        <f>MID(H447,1,3)</f>
        <v/>
      </c>
      <c r="X448" s="1576" t="str">
        <f>MID(I447,1,3)</f>
        <v/>
      </c>
      <c r="Y448" s="1576" t="str">
        <f>MID(J447,1,3)</f>
        <v/>
      </c>
      <c r="Z448" s="334"/>
      <c r="AA448" s="334" t="str">
        <f>MID(L447,1,3)</f>
        <v/>
      </c>
      <c r="AB448" s="334" t="str">
        <f>MID(D447,11,3)</f>
        <v/>
      </c>
    </row>
    <row r="449" spans="2:27" ht="14.25" customHeight="1">
      <c r="B449" s="1904" t="str">
        <f>("Cambio porcentual con relación al "&amp;$D$118&amp;".")</f>
        <v>Cambio porcentual con relación al 2025.</v>
      </c>
      <c r="C449" s="1905"/>
      <c r="D449" s="1378" t="str">
        <f>IF(E449&gt;=0,"Aumento","Disminución")</f>
        <v>Aumento</v>
      </c>
      <c r="E449" s="1816">
        <v>1</v>
      </c>
    </row>
    <row r="450" spans="2:27" ht="7.5" customHeight="1">
      <c r="B450" s="1346"/>
      <c r="C450" s="1346"/>
      <c r="D450" s="1346"/>
      <c r="E450" s="1346"/>
    </row>
    <row r="451" spans="2:27" ht="16.5" customHeight="1">
      <c r="B451" s="1732" t="s">
        <v>4012</v>
      </c>
      <c r="C451" s="1733">
        <f>+C447+C430</f>
        <v>139610.85</v>
      </c>
      <c r="D451" s="1733">
        <f>+D447+D430</f>
        <v>139610.85100000002</v>
      </c>
      <c r="E451" s="1397">
        <f>SUM(E444:E450)</f>
        <v>0.998</v>
      </c>
    </row>
    <row r="452" spans="2:27" ht="14.25" customHeight="1">
      <c r="B452" s="1346"/>
      <c r="C452" s="1346"/>
      <c r="D452" s="1346"/>
      <c r="E452" s="1346"/>
    </row>
    <row r="453" spans="2:27" ht="14.25" customHeight="1">
      <c r="B453" s="672" t="s">
        <v>2903</v>
      </c>
      <c r="C453" s="1346"/>
      <c r="D453" s="1346"/>
      <c r="E453" s="1346"/>
    </row>
    <row r="454" spans="2:27" ht="19.5" customHeight="1">
      <c r="B454" s="672" t="s">
        <v>2902</v>
      </c>
      <c r="C454" s="1346"/>
      <c r="D454" s="1374"/>
      <c r="E454" s="1346"/>
    </row>
    <row r="455" spans="2:27" ht="26.25" customHeight="1">
      <c r="B455" s="1867" t="str">
        <f>("Un detalle del "&amp;B454&amp;" al "&amp;BALANZA!$B$3&amp;" "&amp;BALANZA!$C$3&amp;" es como se detalla a continuación:")</f>
        <v>Un detalle del Activos Netos/Patrimonio al 31 de marzo del 2026  - 2025 es como se detalla a continuación:</v>
      </c>
      <c r="C455" s="1906"/>
      <c r="D455" s="1906"/>
      <c r="E455" s="1906"/>
    </row>
    <row r="456" spans="2:27" ht="38.25" customHeight="1">
      <c r="B456" s="1908" t="str">
        <f>("El patrimonio institucional  para el "&amp;C458&amp;" tenia monto por RD$ "&amp;R463&amp;" y para el "&amp;D458&amp;" el monto fue de RD$ "&amp;R464&amp;" y está conformado con las siguientes partidas: ")</f>
        <v xml:space="preserve">El patrimonio institucional  para el 2026 tenia monto por RD$ 1,208,658,672.71 y para el 2025 el monto fue de RD$ 1,208,456,281.95 y está conformado con las siguientes partidas: </v>
      </c>
      <c r="C456" s="1858"/>
      <c r="D456" s="1858"/>
      <c r="E456" s="1858"/>
    </row>
    <row r="457" spans="2:27" ht="9.75" customHeight="1">
      <c r="B457" s="156"/>
    </row>
    <row r="458" spans="2:27">
      <c r="B458" s="1443" t="s">
        <v>6</v>
      </c>
      <c r="C458" s="164">
        <f>+C603</f>
        <v>2026</v>
      </c>
      <c r="D458" s="164">
        <f>+D603</f>
        <v>2025</v>
      </c>
      <c r="E458" s="1454" t="s">
        <v>1213</v>
      </c>
    </row>
    <row r="459" spans="2:27">
      <c r="B459" s="1327" t="s">
        <v>2057</v>
      </c>
      <c r="C459" s="1313">
        <f>+'BALANZA G'!C128</f>
        <v>808793054.60000002</v>
      </c>
      <c r="D459" s="1313">
        <f>+'BALANZA G'!D128</f>
        <v>808793054.60000002</v>
      </c>
      <c r="E459" s="1502">
        <f>+C459-D459</f>
        <v>0</v>
      </c>
      <c r="G459" s="1364"/>
      <c r="U459" s="1582"/>
    </row>
    <row r="460" spans="2:27">
      <c r="B460" s="1327" t="s">
        <v>2881</v>
      </c>
      <c r="C460" s="1314">
        <f>+D462+D461+D460</f>
        <v>399663227.34979999</v>
      </c>
      <c r="D460" s="1314">
        <v>277803499.63989997</v>
      </c>
      <c r="E460" s="1502">
        <f>+C460-D460</f>
        <v>121859727.70990002</v>
      </c>
      <c r="G460" s="1364"/>
      <c r="I460" s="675"/>
      <c r="U460" s="1582"/>
    </row>
    <row r="461" spans="2:27">
      <c r="B461" s="165" t="s">
        <v>1145</v>
      </c>
      <c r="C461" s="1314">
        <f>+BALANZA!B6</f>
        <v>0</v>
      </c>
      <c r="D461" s="1314">
        <v>1485895.3399999999</v>
      </c>
      <c r="E461" s="1502">
        <f>+C461-D461</f>
        <v>-1485895.3399999999</v>
      </c>
      <c r="G461" s="1364"/>
      <c r="I461" s="675"/>
      <c r="U461" s="1582"/>
      <c r="Z461" s="334"/>
    </row>
    <row r="462" spans="2:27">
      <c r="B462" s="165" t="s">
        <v>1146</v>
      </c>
      <c r="C462" s="1314">
        <f>+ERF!B35</f>
        <v>202390.76999999583</v>
      </c>
      <c r="D462" s="1314">
        <f>+ERF!C30</f>
        <v>120373832.36989999</v>
      </c>
      <c r="E462" s="1502">
        <f>+C462-D462</f>
        <v>-120171441.59989999</v>
      </c>
      <c r="G462" s="1364"/>
      <c r="I462" s="675"/>
      <c r="U462" s="1582"/>
      <c r="Z462" s="1355"/>
    </row>
    <row r="463" spans="2:27">
      <c r="B463" s="172" t="s">
        <v>1147</v>
      </c>
      <c r="C463" s="1315">
        <f>SUM(C459:C462)</f>
        <v>1208658672.7198</v>
      </c>
      <c r="D463" s="1315">
        <f>SUM(D459:D462)</f>
        <v>1208456281.9498</v>
      </c>
      <c r="E463" s="1315">
        <f>SUM(E459:E462)</f>
        <v>202390.77000002563</v>
      </c>
      <c r="I463" s="675"/>
      <c r="R463" s="1576" t="str">
        <f>+CONCATENATE(S463,",",T463,",",U463,",",V463,W463)</f>
        <v>1,208,658,672.71</v>
      </c>
      <c r="S463" s="1576" t="str">
        <f>MID(C463,1,1)</f>
        <v>1</v>
      </c>
      <c r="T463" s="1576" t="str">
        <f>MID(C463,2,3)</f>
        <v>208</v>
      </c>
      <c r="U463" s="1576" t="str">
        <f>MID(C463,5,3)</f>
        <v>658</v>
      </c>
      <c r="V463" s="1576" t="str">
        <f>MID(C463,8,3)</f>
        <v>672</v>
      </c>
      <c r="W463" s="1576" t="str">
        <f>MID(C463,11,3)</f>
        <v>.71</v>
      </c>
      <c r="Z463" s="334"/>
      <c r="AA463" s="334" t="str">
        <f>MID(H463,7,3)</f>
        <v/>
      </c>
    </row>
    <row r="464" spans="2:27">
      <c r="B464" s="868"/>
      <c r="C464" s="1695">
        <f>+C463-'ES F '!B60</f>
        <v>0</v>
      </c>
      <c r="D464" s="1695">
        <f>+D463-'ES F '!C60</f>
        <v>0</v>
      </c>
      <c r="E464" s="869"/>
      <c r="R464" s="1576" t="str">
        <f>+CONCATENATE(S464,",",T464,",",U464,",",V464,W464,".95")</f>
        <v>1,208,456,281.95</v>
      </c>
      <c r="S464" s="1576" t="str">
        <f>MID(D463,1,1)</f>
        <v>1</v>
      </c>
      <c r="T464" s="1576" t="str">
        <f>MID(D463,2,3)</f>
        <v>208</v>
      </c>
      <c r="U464" s="1576" t="str">
        <f>MID(D463,5,3)</f>
        <v>456</v>
      </c>
      <c r="V464" s="1576" t="str">
        <f>MID(D463,8,3)</f>
        <v>281</v>
      </c>
      <c r="W464" s="1582"/>
      <c r="X464" s="1576" t="str">
        <f>MID(I463,1,3)</f>
        <v/>
      </c>
      <c r="AA464" s="334" t="str">
        <f>MID(L463,1,3)</f>
        <v/>
      </c>
    </row>
    <row r="465" spans="2:25" s="338" customFormat="1">
      <c r="B465" s="1904" t="str">
        <f>("Cambio porcentual con relación al "&amp;$D$118&amp;".")</f>
        <v>Cambio porcentual con relación al 2025.</v>
      </c>
      <c r="C465" s="1905"/>
      <c r="D465" s="1378" t="str">
        <f>IF(E465&gt;=0,"Aumento","Disminución")</f>
        <v>Aumento</v>
      </c>
      <c r="E465" s="1387">
        <f>+E463/D463</f>
        <v>1.6747876859349477E-4</v>
      </c>
      <c r="J465" s="1355"/>
      <c r="K465" s="1355"/>
      <c r="N465" s="1355"/>
      <c r="R465" s="1577"/>
      <c r="S465" s="1577"/>
      <c r="T465" s="1577"/>
      <c r="U465" s="1577"/>
      <c r="V465" s="1577"/>
      <c r="W465" s="1577"/>
      <c r="X465" s="1577"/>
      <c r="Y465" s="1577"/>
    </row>
    <row r="466" spans="2:25" ht="21" customHeight="1">
      <c r="B466" s="1917" t="s">
        <v>1229</v>
      </c>
      <c r="C466" s="1917"/>
      <c r="D466" s="1917"/>
      <c r="E466" s="1917"/>
    </row>
    <row r="467" spans="2:25" ht="21" customHeight="1">
      <c r="B467" s="1487"/>
      <c r="C467" s="1487"/>
      <c r="D467" s="1487"/>
      <c r="E467" s="1487"/>
    </row>
    <row r="468" spans="2:25" ht="31.5" customHeight="1">
      <c r="B468" s="1487"/>
      <c r="C468" s="1487"/>
      <c r="D468" s="1487"/>
      <c r="E468" s="1487"/>
    </row>
    <row r="469" spans="2:25" ht="12" customHeight="1">
      <c r="B469" s="1487"/>
      <c r="C469" s="1487"/>
      <c r="D469" s="1487"/>
      <c r="E469" s="1487"/>
    </row>
    <row r="470" spans="2:25" ht="12" customHeight="1">
      <c r="B470" s="1487"/>
      <c r="C470" s="1487"/>
      <c r="D470" s="1487"/>
      <c r="E470" s="1487"/>
    </row>
    <row r="471" spans="2:25" ht="12" customHeight="1">
      <c r="B471" s="1349"/>
    </row>
    <row r="472" spans="2:25" ht="13.5" customHeight="1">
      <c r="B472" s="672" t="s">
        <v>2906</v>
      </c>
    </row>
    <row r="473" spans="2:25">
      <c r="B473" s="672" t="s">
        <v>2904</v>
      </c>
    </row>
    <row r="474" spans="2:25" ht="39.75" customHeight="1">
      <c r="B474" s="1867" t="str">
        <f>("Un detalle del "&amp;B473&amp;" al "&amp;BALANZA!$B$3&amp;" "&amp;BALANZA!$C$3&amp;" es como se detalla a continuación:")</f>
        <v>Un detalle del Ingresos por transacciones con contraprestaciones al 31 de marzo del 2026  - 2025 es como se detalla a continuación:</v>
      </c>
      <c r="C474" s="1906"/>
      <c r="D474" s="1906"/>
      <c r="E474" s="1906"/>
    </row>
    <row r="475" spans="2:25" ht="42.75" customHeight="1">
      <c r="B475" s="1908" t="str">
        <f>("Los ingresos recibidos por cobros de  servicios de aguas potable y saneamiento (APS) para en el  "&amp;C478&amp;" es RD$ "&amp;R481&amp;" y del "&amp;D478&amp;" es RD$ "&amp;R482&amp;" :")</f>
        <v>Los ingresos recibidos por cobros de  servicios de aguas potable y saneamiento (APS) para en el  2026 es RD$ 45,032,091.25 y del 2025 es RD$ 186,534,488.11 :</v>
      </c>
      <c r="C475" s="1908"/>
      <c r="D475" s="1908"/>
      <c r="E475" s="1908"/>
    </row>
    <row r="476" spans="2:25">
      <c r="B476" s="1292"/>
    </row>
    <row r="477" spans="2:25">
      <c r="B477" s="1443"/>
      <c r="C477" s="1912" t="s">
        <v>921</v>
      </c>
      <c r="D477" s="1912"/>
      <c r="E477" s="1450"/>
    </row>
    <row r="478" spans="2:25">
      <c r="B478" s="1443" t="s">
        <v>6</v>
      </c>
      <c r="C478" s="212">
        <f>+C141</f>
        <v>2026</v>
      </c>
      <c r="D478" s="212">
        <f>+D141</f>
        <v>2025</v>
      </c>
      <c r="E478" s="1444" t="s">
        <v>1213</v>
      </c>
    </row>
    <row r="479" spans="2:25">
      <c r="B479" s="194" t="s">
        <v>2905</v>
      </c>
      <c r="C479" s="1451">
        <f>+'BALANZA G'!C136-C480</f>
        <v>45032091.25</v>
      </c>
      <c r="D479" s="1414">
        <f>+'BALANZA G'!D136-D480</f>
        <v>186511255.39000002</v>
      </c>
      <c r="E479" s="1385">
        <f>+C479-D479</f>
        <v>-141479164.14000002</v>
      </c>
      <c r="H479" s="675"/>
    </row>
    <row r="480" spans="2:25">
      <c r="B480" s="194" t="s">
        <v>4011</v>
      </c>
      <c r="C480" s="1451">
        <v>0</v>
      </c>
      <c r="D480" s="1451">
        <f>1936.06*12</f>
        <v>23232.720000000001</v>
      </c>
      <c r="E480" s="1385">
        <f>+C480-D480</f>
        <v>-23232.720000000001</v>
      </c>
      <c r="H480" s="675"/>
    </row>
    <row r="481" spans="2:26" ht="28.5">
      <c r="B481" s="1572" t="s">
        <v>3827</v>
      </c>
      <c r="C481" s="214">
        <f>SUM(C479:C480)</f>
        <v>45032091.25</v>
      </c>
      <c r="D481" s="1316">
        <f>SUM(D479:D480)</f>
        <v>186534488.11000001</v>
      </c>
      <c r="E481" s="214">
        <f>SUM(E479:E479)</f>
        <v>-141479164.14000002</v>
      </c>
      <c r="H481" s="675"/>
      <c r="R481" s="1576" t="str">
        <f>+CONCATENATE(S481,",",T481,",",U481,V481,"")</f>
        <v>45,032,091.25</v>
      </c>
      <c r="S481" s="1576" t="str">
        <f>MID(C481,1,2)</f>
        <v>45</v>
      </c>
      <c r="T481" s="1576" t="str">
        <f>MID(C481,3,3)</f>
        <v>032</v>
      </c>
      <c r="U481" s="1576" t="str">
        <f>MID(C481,6,3)</f>
        <v>091</v>
      </c>
      <c r="V481" s="1576" t="str">
        <f>MID(C481,9,3)</f>
        <v>.25</v>
      </c>
    </row>
    <row r="482" spans="2:26">
      <c r="B482" s="236"/>
      <c r="C482" s="1696">
        <f>+C481-ERF!B11-ERF!B13</f>
        <v>0</v>
      </c>
      <c r="D482" s="1317"/>
      <c r="E482" s="237"/>
      <c r="H482" s="675"/>
      <c r="R482" s="1576" t="str">
        <f>+CONCATENATE(S482,",",T482,",",U482,V482,AB482,"")</f>
        <v>186,534,488.11</v>
      </c>
      <c r="S482" s="1576" t="str">
        <f>MID(D481,1,3)</f>
        <v>186</v>
      </c>
      <c r="T482" s="1576" t="str">
        <f>MID(D481,4,3)</f>
        <v>534</v>
      </c>
      <c r="U482" s="1576" t="str">
        <f>MID(D481,7,3)</f>
        <v>488</v>
      </c>
      <c r="V482" s="1576" t="str">
        <f>MID(D481,10,3)</f>
        <v>.11</v>
      </c>
    </row>
    <row r="483" spans="2:26" s="338" customFormat="1">
      <c r="B483" s="1904" t="str">
        <f>("Cambio porcentual con relación al "&amp;$D$118&amp;".")</f>
        <v>Cambio porcentual con relación al 2025.</v>
      </c>
      <c r="C483" s="1905"/>
      <c r="D483" s="1378" t="str">
        <f>IF(E483&gt;=0,"Aumento","Disminución")</f>
        <v>Disminución</v>
      </c>
      <c r="E483" s="1387">
        <f>+E481/D481</f>
        <v>-0.75846115950723958</v>
      </c>
      <c r="J483" s="1355"/>
      <c r="K483" s="1355"/>
      <c r="N483" s="1355"/>
      <c r="R483" s="1577"/>
      <c r="S483" s="1577"/>
      <c r="T483" s="1577"/>
      <c r="U483" s="1577"/>
      <c r="V483" s="1577"/>
      <c r="W483" s="1577"/>
      <c r="X483" s="1577"/>
      <c r="Y483" s="1577"/>
      <c r="Z483" s="1355"/>
    </row>
    <row r="484" spans="2:26">
      <c r="B484" s="1349"/>
    </row>
    <row r="486" spans="2:26">
      <c r="B486" s="672" t="s">
        <v>2948</v>
      </c>
    </row>
    <row r="487" spans="2:26">
      <c r="B487" s="672" t="s">
        <v>3884</v>
      </c>
    </row>
    <row r="488" spans="2:26" ht="32.25" customHeight="1">
      <c r="B488" s="1867" t="str">
        <f>("Un detalle de las "&amp;B487&amp;" al "&amp;BALANZA!$B$3&amp;" "&amp;BALANZA!$C$3&amp;" es como se detalla a continuación:")</f>
        <v>Un detalle de las Transferencias y donaciones  al 31 de marzo del 2026  - 2025 es como se detalla a continuación:</v>
      </c>
      <c r="C488" s="1906"/>
      <c r="D488" s="1906"/>
      <c r="E488" s="1906"/>
    </row>
    <row r="489" spans="2:26" ht="61.5" customHeight="1">
      <c r="B489" s="1908" t="str">
        <f>("Los recursos recibidos por transferencias fueron por los montos según el siguiente detalle:  para el "&amp;C493&amp;" transferencia de para Gasto  Corrientes RD$ "&amp;R494&amp;", para Gasto de  Capital RD$ "&amp;R495&amp;" y para Energia no cortable RD$ "&amp;R496&amp;" y para el "&amp;D493&amp;" Transferencia para Gasto  Corrientes RD$ "&amp;R500&amp;", para Gasto  de Capital RD$ "&amp;R501&amp;" y para Energia no cortable RD$ "&amp;R502&amp;" ")</f>
        <v xml:space="preserve">Los recursos recibidos por transferencias fueron por los montos según el siguiente detalle:  para el 2026 transferencia de para Gasto  Corrientes RD$ 11,979,501.00, para Gasto de  Capital RD$ 0,, y para Energia no cortable RD$ 13,885,956.00 y para el 2025 Transferencia para Gasto  Corrientes RD$ 243,333,278.96.00, para Gasto  de Capital RD$ 12,714,356.04 y para Energia no cortable RD$ 51,161,468.00 </v>
      </c>
      <c r="C489" s="1908"/>
      <c r="D489" s="1908"/>
      <c r="E489" s="1908"/>
    </row>
    <row r="490" spans="2:26" ht="27.75" customHeight="1">
      <c r="B490" s="1908" t="str">
        <f>("Para el "&amp;D493&amp;" recibimos transferencia fuera del circuito para Gasto  Corrientes RD$ "&amp;R493&amp;" ")</f>
        <v xml:space="preserve">Para el 2025 recibimos transferencia fuera del circuito para Gasto  Corrientes RD$ 4,235,517.00 </v>
      </c>
      <c r="C490" s="1908"/>
      <c r="D490" s="1908"/>
      <c r="E490" s="1908"/>
    </row>
    <row r="491" spans="2:26">
      <c r="B491" s="156"/>
    </row>
    <row r="492" spans="2:26">
      <c r="B492" s="192" t="str">
        <f>+B478</f>
        <v>Cuenta</v>
      </c>
      <c r="C492" s="1912" t="s">
        <v>921</v>
      </c>
      <c r="D492" s="1912"/>
      <c r="E492" s="1450"/>
    </row>
    <row r="493" spans="2:26">
      <c r="B493" s="192" t="s">
        <v>3874</v>
      </c>
      <c r="C493" s="212">
        <f>+BALANZA!B4</f>
        <v>2026</v>
      </c>
      <c r="D493" s="212">
        <f>+BALANZA!C4</f>
        <v>2025</v>
      </c>
      <c r="E493" s="1444" t="s">
        <v>1213</v>
      </c>
      <c r="R493" s="1576" t="str">
        <f>+CONCATENATE(S493,",",T493,",",U493,V493,".00")</f>
        <v>4,235,517.00</v>
      </c>
      <c r="S493" s="1576" t="str">
        <f>MID(D497,1,1)</f>
        <v>4</v>
      </c>
      <c r="T493" s="1576" t="str">
        <f>MID(D497,2,3)</f>
        <v>235</v>
      </c>
      <c r="U493" s="1576" t="str">
        <f>MID(D497,5,3)</f>
        <v>517</v>
      </c>
      <c r="V493" s="1576" t="str">
        <f>MID(G497,1,1)</f>
        <v/>
      </c>
      <c r="W493" s="1576" t="str">
        <f>MID(H497,1,1)</f>
        <v/>
      </c>
    </row>
    <row r="494" spans="2:26" ht="15.75" customHeight="1">
      <c r="B494" s="194" t="s">
        <v>2883</v>
      </c>
      <c r="C494" s="1414">
        <f>+'BALANZA G'!C149+'BALANZA G'!C153-C497</f>
        <v>11979501</v>
      </c>
      <c r="D494" s="1414">
        <f>+RESULTADO!E10-D495-D496</f>
        <v>243333278.95999998</v>
      </c>
      <c r="E494" s="1385">
        <f>+C494-D494</f>
        <v>-231353777.95999998</v>
      </c>
      <c r="R494" s="1576" t="str">
        <f>+CONCATENATE(S494,",",T494,",",U494,V494,".00")</f>
        <v>11,979,501.00</v>
      </c>
      <c r="S494" s="1576" t="str">
        <f>MID(C494,1,2)</f>
        <v>11</v>
      </c>
      <c r="T494" s="1576" t="str">
        <f>MID(C494,3,3)</f>
        <v>979</v>
      </c>
      <c r="U494" s="1576" t="str">
        <f>MID(C494,6,3)</f>
        <v>501</v>
      </c>
      <c r="V494" s="1576" t="str">
        <f>MID(C494,9,3)</f>
        <v/>
      </c>
    </row>
    <row r="495" spans="2:26" ht="15.75" customHeight="1">
      <c r="B495" s="194" t="s">
        <v>2884</v>
      </c>
      <c r="C495" s="1537">
        <f>+'BALANZA G'!C154</f>
        <v>0</v>
      </c>
      <c r="D495" s="1537">
        <v>12714356.039999999</v>
      </c>
      <c r="E495" s="1385">
        <f>+C495-D495</f>
        <v>-12714356.039999999</v>
      </c>
      <c r="R495" s="1576" t="str">
        <f>+CONCATENATE(S495,",",T495,",",U495,V495,"")</f>
        <v>0,,</v>
      </c>
      <c r="S495" s="1576" t="str">
        <f>MID(C495,1,3)</f>
        <v>0</v>
      </c>
      <c r="T495" s="1576" t="str">
        <f>MID(C495,4,3)</f>
        <v/>
      </c>
      <c r="U495" s="1576" t="str">
        <f>MID(C495,7,3)</f>
        <v/>
      </c>
      <c r="V495" s="1576" t="str">
        <f>MID(C495,10,3)</f>
        <v/>
      </c>
    </row>
    <row r="496" spans="2:26" ht="28.5" customHeight="1">
      <c r="B496" s="1499" t="s">
        <v>3878</v>
      </c>
      <c r="C496" s="1537">
        <f>+'BALANZA G'!C155</f>
        <v>13885956</v>
      </c>
      <c r="D496" s="1537">
        <v>51161468</v>
      </c>
      <c r="E496" s="1604">
        <f>+C496-D496</f>
        <v>-37275512</v>
      </c>
      <c r="N496" s="1350">
        <f>3106590.67*5</f>
        <v>15532953.35</v>
      </c>
      <c r="R496" s="1576" t="str">
        <f>+CONCATENATE(S496,",",T496,",",U496,V496,".00")</f>
        <v>13,885,956.00</v>
      </c>
      <c r="S496" s="1576" t="str">
        <f>MID(C496,1,2)</f>
        <v>13</v>
      </c>
      <c r="T496" s="1576" t="str">
        <f>MID(C496,3,3)</f>
        <v>885</v>
      </c>
      <c r="U496" s="1576" t="str">
        <f>MID(C496,6,3)</f>
        <v>956</v>
      </c>
      <c r="V496" s="1576" t="str">
        <f>MID(C496,9,3)</f>
        <v/>
      </c>
    </row>
    <row r="497" spans="2:26" ht="19.5" customHeight="1">
      <c r="B497" s="1499" t="s">
        <v>4096</v>
      </c>
      <c r="C497" s="1537">
        <v>0</v>
      </c>
      <c r="D497" s="1537">
        <v>4235517</v>
      </c>
      <c r="E497" s="1604">
        <f>+C497-D497</f>
        <v>-4235517</v>
      </c>
    </row>
    <row r="498" spans="2:26">
      <c r="B498" s="192" t="s">
        <v>3826</v>
      </c>
      <c r="C498" s="214">
        <f>SUM(C494:C497)</f>
        <v>25865457</v>
      </c>
      <c r="D498" s="1316">
        <f>SUM(D494:D496)</f>
        <v>307209103</v>
      </c>
      <c r="E498" s="214">
        <f>SUM(E494:E496)</f>
        <v>-281343646</v>
      </c>
      <c r="H498" s="675"/>
      <c r="N498" s="1350">
        <v>2556519</v>
      </c>
      <c r="R498" s="1576" t="str">
        <f>+CONCATENATE(S498,",",T498,",",U498,V498,AB498)</f>
        <v>25,865,457</v>
      </c>
      <c r="S498" s="1576" t="str">
        <f>MID(C498,1,2)</f>
        <v>25</v>
      </c>
      <c r="T498" s="1576" t="str">
        <f>MID(C498,3,3)</f>
        <v>865</v>
      </c>
      <c r="U498" s="1576" t="str">
        <f>MID(C498,6,3)</f>
        <v>457</v>
      </c>
      <c r="V498" s="1576" t="str">
        <f>MID(C498,9,3)</f>
        <v/>
      </c>
    </row>
    <row r="499" spans="2:26">
      <c r="B499" s="236"/>
      <c r="C499" s="1696">
        <f>+C498-ERF!B12</f>
        <v>0</v>
      </c>
      <c r="D499" s="1696">
        <f>+D498-ERF!C12</f>
        <v>0</v>
      </c>
      <c r="E499" s="237"/>
      <c r="H499" s="675"/>
      <c r="N499" s="1350">
        <f>+N496+N498</f>
        <v>18089472.350000001</v>
      </c>
      <c r="R499" s="1576" t="str">
        <f>+CONCATENATE(S499,",",T499,",",U499,V499,AB499)</f>
        <v>307,209,103</v>
      </c>
      <c r="S499" s="1576" t="str">
        <f>MID(D498,1,3)</f>
        <v>307</v>
      </c>
      <c r="T499" s="1576" t="str">
        <f>MID(D498,4,3)</f>
        <v>209</v>
      </c>
      <c r="U499" s="1576" t="str">
        <f>MID(D498,7,3)</f>
        <v>103</v>
      </c>
      <c r="V499" s="1576" t="str">
        <f>MID(D498,10,3)</f>
        <v/>
      </c>
    </row>
    <row r="500" spans="2:26" s="338" customFormat="1">
      <c r="B500" s="1904" t="str">
        <f>("Cambio porcentual con relación al "&amp;$D$118&amp;".")</f>
        <v>Cambio porcentual con relación al 2025.</v>
      </c>
      <c r="C500" s="1905"/>
      <c r="D500" s="1378" t="str">
        <f>IF(E500&gt;=0,"Aumento","Disminución")</f>
        <v>Disminución</v>
      </c>
      <c r="E500" s="1387">
        <f>+E498/D498</f>
        <v>-0.91580504370666382</v>
      </c>
      <c r="J500" s="1355"/>
      <c r="K500" s="1355"/>
      <c r="N500" s="1355"/>
      <c r="R500" s="1576" t="str">
        <f>+CONCATENATE(S500,",",T500,",",U500,V500,AB500,".00")</f>
        <v>243,333,278.96.00</v>
      </c>
      <c r="S500" s="1576" t="str">
        <f>MID(D494,1,3)</f>
        <v>243</v>
      </c>
      <c r="T500" s="1576" t="str">
        <f>MID(D494,4,3)</f>
        <v>333</v>
      </c>
      <c r="U500" s="1576" t="str">
        <f>MID(D494,7,3)</f>
        <v>278</v>
      </c>
      <c r="V500" s="1576" t="str">
        <f>MID(D494,10,3)</f>
        <v>.96</v>
      </c>
      <c r="W500" s="1577"/>
      <c r="X500" s="1577"/>
      <c r="Y500" s="1577"/>
      <c r="Z500" s="1355"/>
    </row>
    <row r="501" spans="2:26" ht="21" customHeight="1">
      <c r="B501" s="156"/>
      <c r="H501" s="675"/>
      <c r="R501" s="1576" t="str">
        <f>+CONCATENATE(S501,",",T501,",",U501,V501,AB501)</f>
        <v>12,714,356.04</v>
      </c>
      <c r="S501" s="1576" t="str">
        <f>MID(D495,1,2)</f>
        <v>12</v>
      </c>
      <c r="T501" s="1576" t="str">
        <f>MID(D495,3,3)</f>
        <v>714</v>
      </c>
      <c r="U501" s="1576" t="str">
        <f>MID(D495,6,3)</f>
        <v>356</v>
      </c>
      <c r="V501" s="1576" t="str">
        <f>MID(D495,9,3)</f>
        <v>.04</v>
      </c>
    </row>
    <row r="502" spans="2:26" ht="28.5" hidden="1" customHeight="1">
      <c r="B502" s="1910" t="e">
        <f>("Nota: CORAAMOCA tiene un presupuesto aprobado para el "&amp;C493&amp;" por un valor de RD$ "&amp;#REF!&amp;" ")</f>
        <v>#REF!</v>
      </c>
      <c r="C502" s="1910"/>
      <c r="D502" s="1910"/>
      <c r="E502" s="1910"/>
      <c r="R502" s="1576" t="str">
        <f>+CONCATENATE(S502,",",T502,",",U502,V502,AB502,".00")</f>
        <v>51,161,468.00</v>
      </c>
      <c r="S502" s="1576" t="str">
        <f>MID(D496,1,2)</f>
        <v>51</v>
      </c>
      <c r="T502" s="1576" t="str">
        <f>MID(D496,3,3)</f>
        <v>161</v>
      </c>
      <c r="U502" s="1576" t="str">
        <f>MID(D496,6,3)</f>
        <v>468</v>
      </c>
      <c r="V502" s="1576" t="str">
        <f>MID(D496,9,3)</f>
        <v/>
      </c>
    </row>
    <row r="503" spans="2:26" ht="69.75" customHeight="1">
      <c r="B503" s="1910" t="str">
        <f>("El cual  recibirá mediante asignación de fondos del Gobierno Central,  para gastos corriente RD$ "&amp;R503&amp;" , para Gasto de capital RD$ "&amp;R505&amp;" y para  Energia Electrica de  RD$ "&amp;R504&amp;" y la Institución ingresará por ventas de servicios agua y saneamiento  un monto de RD$ "&amp;R506&amp;".")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RD$ 239,995,000.00.</v>
      </c>
      <c r="C503" s="1910"/>
      <c r="D503" s="1910"/>
      <c r="E503" s="1910"/>
      <c r="R503" s="1576" t="str">
        <f>+CONCATENATE(T503,",",U503,",",V503,W503,".00")</f>
        <v>51,195,285.00</v>
      </c>
      <c r="S503" s="1583">
        <f>+'Pres A'!E289</f>
        <v>51195285</v>
      </c>
      <c r="T503" s="1576" t="str">
        <f>MID(S503,1,2)</f>
        <v>51</v>
      </c>
      <c r="U503" s="1576" t="str">
        <f>MID(S503,3,3)</f>
        <v>195</v>
      </c>
      <c r="V503" s="1576" t="str">
        <f>MID(S503,6,3)</f>
        <v>285</v>
      </c>
    </row>
    <row r="504" spans="2:26" ht="15.75" customHeight="1">
      <c r="B504" s="1348"/>
      <c r="C504" s="1348"/>
      <c r="D504" s="1348"/>
      <c r="E504" s="1348"/>
      <c r="R504" s="1576" t="str">
        <f>+CONCATENATE(T504,",",U504,",",V504,W504,".00")</f>
        <v>55,543,832.00</v>
      </c>
      <c r="S504" s="1583">
        <f>+'Pres A'!E290</f>
        <v>55543832</v>
      </c>
      <c r="T504" s="1576" t="str">
        <f>MID(S504,1,2)</f>
        <v>55</v>
      </c>
      <c r="U504" s="1576" t="str">
        <f>MID(S504,3,3)</f>
        <v>543</v>
      </c>
      <c r="V504" s="1576" t="str">
        <f>MID(S504,6,3)</f>
        <v>832</v>
      </c>
      <c r="W504" s="1576" t="str">
        <f>MID(S504,9,3)</f>
        <v/>
      </c>
    </row>
    <row r="505" spans="2:26" ht="9" customHeight="1">
      <c r="B505" s="1348"/>
      <c r="C505" s="1348"/>
      <c r="D505" s="1348"/>
      <c r="E505" s="1348"/>
      <c r="R505" s="1576" t="str">
        <f>+CONCATENATE(T505,",",U505,",",V505,W505,".00")</f>
        <v>100,470,000.00</v>
      </c>
      <c r="S505" s="1583">
        <f>+'Pres A'!E291</f>
        <v>100470000</v>
      </c>
      <c r="T505" s="1576" t="str">
        <f>MID(S505,1,3)</f>
        <v>100</v>
      </c>
      <c r="U505" s="1576" t="str">
        <f>MID(S505,4,3)</f>
        <v>470</v>
      </c>
      <c r="V505" s="1576" t="str">
        <f>MID(S505,7,3)</f>
        <v>000</v>
      </c>
      <c r="W505" s="1576" t="str">
        <f>MID(S505,10,3)</f>
        <v/>
      </c>
    </row>
    <row r="506" spans="2:26" ht="12.75" customHeight="1">
      <c r="B506" s="1348"/>
      <c r="C506" s="1348"/>
      <c r="D506" s="1348"/>
      <c r="E506" s="1348"/>
      <c r="R506" s="1576" t="str">
        <f>+CONCATENATE(T506,",",U506,",",V506,W506,".00")</f>
        <v>239,995,000.00</v>
      </c>
      <c r="S506" s="1583">
        <f>+'Pres A'!E295</f>
        <v>239995000</v>
      </c>
      <c r="T506" s="1576" t="str">
        <f>MID(S506,1,3)</f>
        <v>239</v>
      </c>
      <c r="U506" s="1576" t="str">
        <f>MID(S506,4,3)</f>
        <v>995</v>
      </c>
      <c r="V506" s="1576" t="str">
        <f>MID(S506,7,3)</f>
        <v>000</v>
      </c>
    </row>
    <row r="507" spans="2:26" ht="15.75" customHeight="1">
      <c r="B507" s="1348"/>
      <c r="C507" s="1348"/>
      <c r="D507" s="1348"/>
      <c r="E507" s="1348"/>
    </row>
    <row r="508" spans="2:26" ht="15.75" customHeight="1">
      <c r="B508" s="1348"/>
      <c r="C508" s="1348"/>
      <c r="D508" s="1348"/>
      <c r="E508" s="1348"/>
    </row>
    <row r="509" spans="2:26" ht="15.75" customHeight="1">
      <c r="B509" s="1348"/>
      <c r="C509" s="1348"/>
      <c r="D509" s="1348"/>
      <c r="E509" s="1348"/>
    </row>
    <row r="510" spans="2:26" ht="15.75" customHeight="1">
      <c r="B510" s="1348"/>
      <c r="C510" s="1348"/>
      <c r="D510" s="1348"/>
      <c r="E510" s="1348"/>
    </row>
    <row r="511" spans="2:26" ht="32.25" customHeight="1">
      <c r="B511" s="192" t="s">
        <v>3874</v>
      </c>
      <c r="C511" s="1622" t="s">
        <v>3875</v>
      </c>
      <c r="D511" s="1622" t="s">
        <v>2057</v>
      </c>
      <c r="E511" s="1622" t="s">
        <v>3879</v>
      </c>
    </row>
    <row r="512" spans="2:26" ht="15.75" customHeight="1">
      <c r="B512" s="1330" t="s">
        <v>1418</v>
      </c>
      <c r="C512" s="1598">
        <f>+'19'!$D$25</f>
        <v>3993167</v>
      </c>
      <c r="D512" s="1598">
        <f>+'19'!$D$26</f>
        <v>0</v>
      </c>
      <c r="E512" s="1598">
        <f>+'19'!$D$27</f>
        <v>4628652</v>
      </c>
    </row>
    <row r="513" spans="2:5" ht="15.75" customHeight="1">
      <c r="B513" s="1330" t="s">
        <v>1434</v>
      </c>
      <c r="C513" s="1598">
        <f>+'19'!$E$25</f>
        <v>3993167</v>
      </c>
      <c r="D513" s="1598">
        <f>+'19'!$E$26</f>
        <v>0</v>
      </c>
      <c r="E513" s="1598">
        <f>+'19'!$E$27</f>
        <v>4628652</v>
      </c>
    </row>
    <row r="514" spans="2:5" ht="15.75" customHeight="1">
      <c r="B514" s="1330" t="s">
        <v>1435</v>
      </c>
      <c r="C514" s="1598">
        <f>+'19'!$F$25</f>
        <v>3993167</v>
      </c>
      <c r="D514" s="1598">
        <f>+'19'!$F$26</f>
        <v>0</v>
      </c>
      <c r="E514" s="1598">
        <f>+'19'!$F$27</f>
        <v>4628652</v>
      </c>
    </row>
    <row r="515" spans="2:5" ht="15.75" customHeight="1">
      <c r="B515" s="1330" t="s">
        <v>1436</v>
      </c>
      <c r="C515" s="1598">
        <f>+'19'!$G$25</f>
        <v>0</v>
      </c>
      <c r="D515" s="1598">
        <f>+'19'!$G$26</f>
        <v>0</v>
      </c>
      <c r="E515" s="1598">
        <f>+'19'!$G$27</f>
        <v>0</v>
      </c>
    </row>
    <row r="516" spans="2:5" ht="15.75" customHeight="1">
      <c r="B516" s="1330" t="s">
        <v>1437</v>
      </c>
      <c r="C516" s="1598">
        <f>+'19'!$H$25</f>
        <v>0</v>
      </c>
      <c r="D516" s="1598">
        <f>+'19'!$H$26</f>
        <v>0</v>
      </c>
      <c r="E516" s="1598">
        <f>+'19'!$H$27</f>
        <v>0</v>
      </c>
    </row>
    <row r="517" spans="2:5" ht="15.75" customHeight="1">
      <c r="B517" s="1330" t="s">
        <v>1438</v>
      </c>
      <c r="C517" s="1598">
        <f>+'19'!$I$25</f>
        <v>0</v>
      </c>
      <c r="D517" s="1598">
        <f>+'19'!$I$26</f>
        <v>0</v>
      </c>
      <c r="E517" s="1598">
        <f>+'19'!$I$27</f>
        <v>0</v>
      </c>
    </row>
    <row r="518" spans="2:5" ht="15.75" customHeight="1">
      <c r="B518" s="1330" t="s">
        <v>1439</v>
      </c>
      <c r="C518" s="1598">
        <f>+'19'!$J$25</f>
        <v>0</v>
      </c>
      <c r="D518" s="1598">
        <f>+'19'!$J$26</f>
        <v>0</v>
      </c>
      <c r="E518" s="1598">
        <f>+'19'!$J$27</f>
        <v>0</v>
      </c>
    </row>
    <row r="519" spans="2:5" ht="15.75" customHeight="1">
      <c r="B519" s="1330" t="s">
        <v>1440</v>
      </c>
      <c r="C519" s="1598">
        <f>+'19'!$K$25</f>
        <v>0</v>
      </c>
      <c r="D519" s="1598">
        <f>+'19'!$K$26</f>
        <v>0</v>
      </c>
      <c r="E519" s="1598">
        <f>+'19'!$K$27</f>
        <v>0</v>
      </c>
    </row>
    <row r="520" spans="2:5" ht="15.75" customHeight="1">
      <c r="B520" s="1330" t="s">
        <v>1441</v>
      </c>
      <c r="C520" s="1598">
        <f>+'19'!$L$25</f>
        <v>0</v>
      </c>
      <c r="D520" s="1598">
        <f>+'19'!$L$26</f>
        <v>0</v>
      </c>
      <c r="E520" s="1598">
        <f>+'19'!$L$27</f>
        <v>0</v>
      </c>
    </row>
    <row r="521" spans="2:5" ht="15.75" customHeight="1">
      <c r="B521" s="1330" t="s">
        <v>1410</v>
      </c>
      <c r="C521" s="1598">
        <f>+'19'!$M$25</f>
        <v>0</v>
      </c>
      <c r="D521" s="1598">
        <f>+'19'!$M$26</f>
        <v>0</v>
      </c>
      <c r="E521" s="1598">
        <f>+'19'!$M$27</f>
        <v>0</v>
      </c>
    </row>
    <row r="522" spans="2:5" ht="15.75" customHeight="1">
      <c r="B522" s="1330" t="s">
        <v>1411</v>
      </c>
      <c r="C522" s="1598">
        <f>+'19'!$N$25</f>
        <v>0</v>
      </c>
      <c r="D522" s="1598">
        <f>+'19'!$N$26</f>
        <v>0</v>
      </c>
      <c r="E522" s="1598">
        <f>+'19'!$N$27</f>
        <v>0</v>
      </c>
    </row>
    <row r="523" spans="2:5" ht="15.75" customHeight="1">
      <c r="B523" s="1330" t="s">
        <v>1412</v>
      </c>
      <c r="C523" s="1598">
        <f>+'19'!$O$25</f>
        <v>0</v>
      </c>
      <c r="D523" s="1598">
        <f>+'19'!$O$26</f>
        <v>0</v>
      </c>
      <c r="E523" s="1598">
        <f>+'19'!$O$27</f>
        <v>0</v>
      </c>
    </row>
    <row r="524" spans="2:5" ht="15.75" customHeight="1">
      <c r="B524" s="1623" t="s">
        <v>1415</v>
      </c>
      <c r="C524" s="1624">
        <f>SUM(C512:C523)</f>
        <v>11979501</v>
      </c>
      <c r="D524" s="1624">
        <f>SUM(D512:D523)</f>
        <v>0</v>
      </c>
      <c r="E524" s="1624">
        <f>SUM(E512:E523)</f>
        <v>13885956</v>
      </c>
    </row>
    <row r="525" spans="2:5" ht="15.75" customHeight="1">
      <c r="B525" s="1793"/>
      <c r="C525" s="1796"/>
      <c r="D525" s="1796"/>
      <c r="E525" s="1796"/>
    </row>
    <row r="526" spans="2:5" ht="15.75" customHeight="1">
      <c r="B526" s="1793" t="s">
        <v>4210</v>
      </c>
      <c r="C526" s="1796">
        <f>+C524+E524</f>
        <v>25865457</v>
      </c>
      <c r="D526" s="1796"/>
      <c r="E526" s="1796"/>
    </row>
    <row r="527" spans="2:5" ht="15.75" customHeight="1">
      <c r="B527" s="1793" t="s">
        <v>4211</v>
      </c>
      <c r="C527" s="1796">
        <f>+D524</f>
        <v>0</v>
      </c>
      <c r="D527" s="1796"/>
      <c r="E527" s="1796"/>
    </row>
    <row r="528" spans="2:5" ht="30" customHeight="1">
      <c r="B528" s="1348"/>
      <c r="C528" s="1348"/>
      <c r="D528" s="1348"/>
      <c r="E528" s="1348"/>
    </row>
    <row r="529" spans="2:21" ht="32.25" customHeight="1">
      <c r="B529" s="1910"/>
      <c r="C529" s="1910"/>
      <c r="D529" s="1910"/>
      <c r="E529" s="1910"/>
    </row>
    <row r="530" spans="2:21" ht="15.75" customHeight="1">
      <c r="B530" s="1348"/>
      <c r="C530" s="1348"/>
      <c r="D530" s="1348"/>
      <c r="E530" s="1348"/>
    </row>
    <row r="531" spans="2:21" ht="23.25" customHeight="1">
      <c r="B531" s="672" t="s">
        <v>4177</v>
      </c>
      <c r="C531" s="1364"/>
      <c r="J531" s="1350">
        <v>192000000</v>
      </c>
      <c r="K531" s="1350">
        <f>J531/12</f>
        <v>16000000</v>
      </c>
    </row>
    <row r="532" spans="2:21">
      <c r="B532" s="672" t="s">
        <v>2907</v>
      </c>
      <c r="J532" s="1350">
        <v>21106726</v>
      </c>
      <c r="K532" s="1350">
        <f>J532/12</f>
        <v>1758893.8333333333</v>
      </c>
    </row>
    <row r="533" spans="2:21" ht="36.75" customHeight="1">
      <c r="B533" s="1867" t="str">
        <f>("Un detalle de los "&amp;B532&amp;" al "&amp;BALANZA!$B$3&amp;" "&amp;BALANZA!$C$3&amp;" es como se detalla a continuación:")</f>
        <v>Un detalle de los Sueldos, Salarios y beneficios a empleados al 31 de marzo del 2026  - 2025 es como se detalla a continuación:</v>
      </c>
      <c r="C533" s="1906"/>
      <c r="D533" s="1906"/>
      <c r="E533" s="1906"/>
      <c r="J533" s="1350">
        <v>70000000</v>
      </c>
      <c r="K533" s="1350">
        <f>J533/12</f>
        <v>5833333.333333333</v>
      </c>
      <c r="L533" s="1350">
        <f>4666666*3</f>
        <v>13999998</v>
      </c>
    </row>
    <row r="534" spans="2:21" ht="16.5" customHeight="1">
      <c r="B534" s="1908"/>
      <c r="C534" s="1858"/>
      <c r="D534" s="1858"/>
      <c r="E534" s="1858"/>
      <c r="J534" s="1350">
        <v>37279088</v>
      </c>
      <c r="L534" s="1350">
        <f>1598764*5</f>
        <v>7993820</v>
      </c>
    </row>
    <row r="535" spans="2:21">
      <c r="B535" s="192" t="str">
        <f>+B478</f>
        <v>Cuenta</v>
      </c>
      <c r="C535" s="193">
        <f>+BALANZA!B4</f>
        <v>2026</v>
      </c>
      <c r="D535" s="193">
        <f>+BALANZA!C4</f>
        <v>2025</v>
      </c>
      <c r="E535" s="1444" t="s">
        <v>1213</v>
      </c>
      <c r="K535" s="1350">
        <f>J532+J533+J534</f>
        <v>128385814</v>
      </c>
      <c r="L535" s="1350">
        <f>10296372.36+13618335.6</f>
        <v>23914707.960000001</v>
      </c>
    </row>
    <row r="536" spans="2:21">
      <c r="B536" s="1452" t="s">
        <v>1155</v>
      </c>
      <c r="C536" s="1319">
        <f>+'BALANZA G'!C162+'BALANZA G'!C163+'BALANZA G'!C165</f>
        <v>37501006.670000002</v>
      </c>
      <c r="D536" s="1319">
        <v>145335261.69</v>
      </c>
      <c r="E536" s="1502">
        <f t="shared" ref="E536:E541" si="3">+C536-D536</f>
        <v>-107834255.02</v>
      </c>
      <c r="J536" s="1350">
        <f>+J534+J531+J533+J532</f>
        <v>320385814</v>
      </c>
      <c r="S536" s="1582"/>
      <c r="U536" s="1582"/>
    </row>
    <row r="537" spans="2:21">
      <c r="B537" s="1452" t="s">
        <v>1210</v>
      </c>
      <c r="C537" s="1319">
        <f>+'BALANZA G'!C166+'BALANZA G'!C167+'BALANZA G'!C169+'BALANZA G'!C170+'BALANZA G'!C164</f>
        <v>614250</v>
      </c>
      <c r="D537" s="1319">
        <v>0</v>
      </c>
      <c r="E537" s="1502">
        <f t="shared" si="3"/>
        <v>614250</v>
      </c>
      <c r="L537" s="1364">
        <f>L535+L534+L533</f>
        <v>45908525.960000001</v>
      </c>
      <c r="S537" s="1582"/>
      <c r="U537" s="1582"/>
    </row>
    <row r="538" spans="2:21" ht="44.25" customHeight="1">
      <c r="B538" s="1452" t="s">
        <v>3880</v>
      </c>
      <c r="C538" s="1319">
        <f>+'BALANZA G'!C174+'BALANZA G'!C175+'BALANZA G'!C171+'BALANZA G'!C176+'BALANZA G'!C178+'BALANZA G'!C173+'BALANZA G'!C172</f>
        <v>2331135.4900000002</v>
      </c>
      <c r="D538" s="1319">
        <v>17865012.939999998</v>
      </c>
      <c r="E538" s="1502">
        <f t="shared" si="3"/>
        <v>-15533877.449999997</v>
      </c>
      <c r="S538" s="1582"/>
      <c r="U538" s="1582"/>
    </row>
    <row r="539" spans="2:21" hidden="1">
      <c r="B539" s="1452" t="s">
        <v>2249</v>
      </c>
      <c r="C539" s="1319">
        <f>+'BALANZA G'!C180</f>
        <v>0</v>
      </c>
      <c r="D539" s="1319">
        <v>0</v>
      </c>
      <c r="E539" s="1502">
        <f t="shared" si="3"/>
        <v>0</v>
      </c>
      <c r="S539" s="1582"/>
      <c r="U539" s="1582"/>
    </row>
    <row r="540" spans="2:21">
      <c r="B540" s="1452" t="s">
        <v>1157</v>
      </c>
      <c r="C540" s="1319">
        <f>+'BALANZA G'!C181+'BALANZA G'!C182+'BALANZA G'!C183+'BALANZA G'!C185</f>
        <v>430000</v>
      </c>
      <c r="D540" s="1319">
        <v>2365000</v>
      </c>
      <c r="E540" s="1502">
        <f t="shared" si="3"/>
        <v>-1935000</v>
      </c>
      <c r="S540" s="1582"/>
      <c r="U540" s="1582"/>
    </row>
    <row r="541" spans="2:21">
      <c r="B541" s="1452" t="s">
        <v>1158</v>
      </c>
      <c r="C541" s="1319">
        <f>+'BALANZA G'!C186+'BALANZA G'!C188+'BALANZA G'!C185+'BALANZA G'!C187+'BALANZA G'!C184+'BALANZA G'!C177</f>
        <v>155800</v>
      </c>
      <c r="D541" s="1319">
        <v>12070148.16</v>
      </c>
      <c r="E541" s="1502">
        <f t="shared" si="3"/>
        <v>-11914348.16</v>
      </c>
      <c r="S541" s="1582"/>
      <c r="U541" s="1582"/>
    </row>
    <row r="542" spans="2:21">
      <c r="B542" s="1452" t="s">
        <v>3881</v>
      </c>
      <c r="C542" s="1319">
        <f>+'BALANZA G'!C307+'BALANZA G'!C168</f>
        <v>0</v>
      </c>
      <c r="D542" s="1319">
        <v>2356004.96</v>
      </c>
      <c r="E542" s="1502">
        <f>+C542-D542</f>
        <v>-2356004.96</v>
      </c>
      <c r="S542" s="1582"/>
      <c r="U542" s="1582"/>
    </row>
    <row r="543" spans="2:21">
      <c r="B543" s="1452" t="s">
        <v>2953</v>
      </c>
      <c r="C543" s="1319">
        <f>+'BALANZA G'!C191</f>
        <v>2650100.36</v>
      </c>
      <c r="D543" s="1319">
        <v>10303960.34</v>
      </c>
      <c r="E543" s="1502">
        <f>+C543-D543</f>
        <v>-7653859.9800000004</v>
      </c>
      <c r="S543" s="1582"/>
      <c r="U543" s="1582"/>
    </row>
    <row r="544" spans="2:21">
      <c r="B544" s="1452" t="s">
        <v>2954</v>
      </c>
      <c r="C544" s="1319">
        <f>+'BALANZA G'!C192</f>
        <v>2700676.93</v>
      </c>
      <c r="D544" s="1319">
        <v>10318673.390000001</v>
      </c>
      <c r="E544" s="1502">
        <f>+C544-D544</f>
        <v>-7617996.4600000009</v>
      </c>
      <c r="S544" s="1582"/>
      <c r="U544" s="1582"/>
    </row>
    <row r="545" spans="2:26">
      <c r="B545" s="1452" t="s">
        <v>2955</v>
      </c>
      <c r="C545" s="1319">
        <f>+'BALANZA G'!C193</f>
        <v>437355</v>
      </c>
      <c r="D545" s="1319">
        <v>1728679.77</v>
      </c>
      <c r="E545" s="1502">
        <f>+C545-D545</f>
        <v>-1291324.77</v>
      </c>
      <c r="S545" s="1582"/>
      <c r="U545" s="1582"/>
    </row>
    <row r="546" spans="2:26" ht="28.5">
      <c r="B546" s="195" t="s">
        <v>3825</v>
      </c>
      <c r="C546" s="1397">
        <f>SUM(C536:C545)</f>
        <v>46820324.450000003</v>
      </c>
      <c r="D546" s="1445">
        <f>SUM(D536:D545)</f>
        <v>202342741.25000003</v>
      </c>
      <c r="E546" s="1571">
        <f>SUM(E536:E545)</f>
        <v>-155522416.80000001</v>
      </c>
    </row>
    <row r="547" spans="2:26">
      <c r="B547" s="149"/>
      <c r="C547" s="1697">
        <f>+C546-ERF!B17</f>
        <v>0</v>
      </c>
      <c r="J547" s="1355"/>
    </row>
    <row r="548" spans="2:26" s="338" customFormat="1">
      <c r="B548" s="1904" t="str">
        <f>("Cambio porcentual con relación al "&amp;$D$118&amp;".")</f>
        <v>Cambio porcentual con relación al 2025.</v>
      </c>
      <c r="C548" s="1905"/>
      <c r="D548" s="1500" t="str">
        <f>IF(E548&gt;=0,"Aumento","Disminución")</f>
        <v>Aumento</v>
      </c>
      <c r="E548" s="1501">
        <f>+C546/D546</f>
        <v>0.23139117400881806</v>
      </c>
      <c r="J548" s="1350"/>
      <c r="K548" s="1355"/>
      <c r="N548" s="1355"/>
      <c r="R548" s="1577"/>
      <c r="S548" s="1577"/>
      <c r="T548" s="1577"/>
      <c r="U548" s="1577"/>
      <c r="V548" s="1577"/>
      <c r="W548" s="1577"/>
      <c r="X548" s="1577"/>
      <c r="Y548" s="1577"/>
      <c r="Z548" s="1355"/>
    </row>
    <row r="549" spans="2:26">
      <c r="B549" s="149"/>
    </row>
    <row r="550" spans="2:26">
      <c r="B550" s="149"/>
    </row>
    <row r="551" spans="2:26">
      <c r="B551" s="149"/>
    </row>
    <row r="552" spans="2:26">
      <c r="B552" s="149"/>
    </row>
    <row r="553" spans="2:26" ht="9.75" customHeight="1">
      <c r="B553" s="149"/>
    </row>
    <row r="554" spans="2:26">
      <c r="B554" s="672" t="s">
        <v>4178</v>
      </c>
    </row>
    <row r="555" spans="2:26">
      <c r="B555" s="672" t="s">
        <v>2069</v>
      </c>
    </row>
    <row r="556" spans="2:26" ht="38.25" customHeight="1">
      <c r="B556" s="1867" t="str">
        <f>("Un detalle de  "&amp;B555&amp;" al "&amp;BALANZA!$B$3&amp;" "&amp;BALANZA!$C$3&amp;" es como se detalla a continuación:")</f>
        <v>Un detalle de  Subvenciones y otros pagos por transferencias al 31 de marzo del 2026  - 2025 es como se detalla a continuación:</v>
      </c>
      <c r="C556" s="1906"/>
      <c r="D556" s="1906"/>
      <c r="E556" s="1906"/>
    </row>
    <row r="557" spans="2:26" ht="9" customHeight="1">
      <c r="B557" s="156"/>
    </row>
    <row r="558" spans="2:26">
      <c r="B558" s="192" t="s">
        <v>1149</v>
      </c>
      <c r="C558" s="193">
        <f>+C570</f>
        <v>2026</v>
      </c>
      <c r="D558" s="193">
        <f>+D570</f>
        <v>2025</v>
      </c>
      <c r="E558" s="1454" t="s">
        <v>1213</v>
      </c>
    </row>
    <row r="559" spans="2:26" ht="16.5" customHeight="1">
      <c r="B559" s="197" t="s">
        <v>1178</v>
      </c>
      <c r="C559" s="198">
        <f>+'BALANZA G'!C308</f>
        <v>0</v>
      </c>
      <c r="D559" s="1319">
        <f>+'BALANZA G'!D308+'BALANZA G'!D309</f>
        <v>30000</v>
      </c>
      <c r="E559" s="1385">
        <f>+C559-D559</f>
        <v>-30000</v>
      </c>
    </row>
    <row r="560" spans="2:26" ht="23.25" hidden="1" customHeight="1">
      <c r="B560" s="1321"/>
      <c r="C560" s="1322"/>
      <c r="D560" s="1323"/>
      <c r="E560" s="1455"/>
      <c r="I560" s="1362"/>
      <c r="J560" s="1361"/>
      <c r="K560" s="1361"/>
    </row>
    <row r="561" spans="2:27" ht="28.5">
      <c r="B561" s="195" t="s">
        <v>3824</v>
      </c>
      <c r="C561" s="1397">
        <f>SUM(C559+C560)</f>
        <v>0</v>
      </c>
      <c r="D561" s="1445">
        <f>SUM(D559)+0.0001</f>
        <v>30000.000100000001</v>
      </c>
      <c r="E561" s="1600">
        <f>+C561-D561</f>
        <v>-30000.000100000001</v>
      </c>
    </row>
    <row r="562" spans="2:27">
      <c r="B562" s="691"/>
      <c r="C562" s="1697">
        <f>+C561-ERF!B18</f>
        <v>0</v>
      </c>
      <c r="J562" s="1355"/>
    </row>
    <row r="563" spans="2:27" s="338" customFormat="1" ht="13.5" customHeight="1">
      <c r="B563" s="1904" t="str">
        <f>("Cambio porcentual con relación al "&amp;$D$118&amp;".")</f>
        <v>Cambio porcentual con relación al 2025.</v>
      </c>
      <c r="C563" s="1905"/>
      <c r="D563" s="1378" t="str">
        <f>IF(E563&gt;=0,"Aumento","Disminución")</f>
        <v>Aumento</v>
      </c>
      <c r="E563" s="1819" t="s">
        <v>1458</v>
      </c>
      <c r="J563" s="1355"/>
      <c r="K563" s="1355"/>
      <c r="N563" s="1355"/>
      <c r="R563" s="1577"/>
      <c r="S563" s="1577"/>
      <c r="T563" s="1577"/>
      <c r="U563" s="1577"/>
      <c r="V563" s="1577"/>
      <c r="W563" s="1577"/>
      <c r="X563" s="1577"/>
      <c r="Y563" s="1577"/>
      <c r="Z563" s="1355"/>
    </row>
    <row r="564" spans="2:27" s="338" customFormat="1" ht="45" customHeight="1">
      <c r="B564" s="1920" t="s">
        <v>4230</v>
      </c>
      <c r="C564" s="1920"/>
      <c r="D564" s="1920"/>
      <c r="E564" s="1920"/>
      <c r="J564" s="1355"/>
      <c r="K564" s="1355"/>
      <c r="N564" s="1355"/>
      <c r="R564" s="1577"/>
      <c r="S564" s="1577"/>
      <c r="T564" s="1577"/>
      <c r="U564" s="1577"/>
      <c r="V564" s="1577"/>
      <c r="W564" s="1577"/>
      <c r="X564" s="1577"/>
      <c r="Y564" s="1577"/>
      <c r="Z564" s="1355"/>
    </row>
    <row r="565" spans="2:27" s="338" customFormat="1" ht="12.75" customHeight="1">
      <c r="B565" s="1365"/>
      <c r="C565" s="1365"/>
      <c r="D565" s="1380"/>
      <c r="E565" s="1381"/>
      <c r="J565" s="1350"/>
      <c r="K565" s="1355"/>
      <c r="N565" s="1355"/>
      <c r="R565" s="1577"/>
      <c r="S565" s="1577"/>
      <c r="T565" s="1577"/>
      <c r="U565" s="1577"/>
      <c r="V565" s="1577"/>
      <c r="W565" s="1577"/>
      <c r="X565" s="1577"/>
      <c r="Y565" s="1577"/>
      <c r="Z565" s="1355"/>
    </row>
    <row r="566" spans="2:27">
      <c r="B566" s="672" t="s">
        <v>3975</v>
      </c>
    </row>
    <row r="567" spans="2:27">
      <c r="B567" s="672" t="s">
        <v>2908</v>
      </c>
    </row>
    <row r="568" spans="2:27" ht="36.75" customHeight="1">
      <c r="B568" s="1867" t="str">
        <f>("Un detalle del "&amp;B567&amp;" al "&amp;BALANZA!$B$3&amp;" "&amp;BALANZA!$C$3&amp;" es como se detalla a continuación:")</f>
        <v>Un detalle del Suministro y materiales para consumo al 31 de marzo del 2026  - 2025 es como se detalla a continuación:</v>
      </c>
      <c r="C568" s="1906"/>
      <c r="D568" s="1906"/>
      <c r="E568" s="1906"/>
    </row>
    <row r="569" spans="2:27" ht="8.25" customHeight="1">
      <c r="B569" s="156"/>
    </row>
    <row r="570" spans="2:27">
      <c r="B570" s="192" t="s">
        <v>1149</v>
      </c>
      <c r="C570" s="193">
        <f>+BALANZA!B4</f>
        <v>2026</v>
      </c>
      <c r="D570" s="193">
        <f>+BALANZA!C4</f>
        <v>2025</v>
      </c>
      <c r="E570" s="1454" t="s">
        <v>1213</v>
      </c>
    </row>
    <row r="571" spans="2:27">
      <c r="B571" s="194" t="s">
        <v>1173</v>
      </c>
      <c r="C571" s="167">
        <f>+'BALANZA G'!C260+'BALANZA G'!C262+'BALANZA G'!C261+'BALANZA G'!C298</f>
        <v>1228061.3999999999</v>
      </c>
      <c r="D571" s="167">
        <f>+'BALANZA G'!D260+'BALANZA G'!D262+'BALANZA G'!D261+'BALANZA G'!D298</f>
        <v>2765461.46</v>
      </c>
      <c r="E571" s="1385">
        <f t="shared" ref="E571:E577" si="4">+C571-D571</f>
        <v>-1537400.06</v>
      </c>
      <c r="K571" s="1350">
        <v>866355.16</v>
      </c>
      <c r="T571" s="1578"/>
      <c r="Z571" s="1350">
        <v>1008264.5</v>
      </c>
      <c r="AA571" s="1364">
        <f t="shared" ref="AA571:AA576" si="5">+D571-Z571</f>
        <v>1757196.96</v>
      </c>
    </row>
    <row r="572" spans="2:27">
      <c r="B572" s="194" t="s">
        <v>1174</v>
      </c>
      <c r="C572" s="167">
        <f>+'BALANZA G'!C263+'BALANZA G'!C264+'BALANZA G'!C265</f>
        <v>0</v>
      </c>
      <c r="D572" s="1306">
        <f>+'BALANZA G'!D263+'BALANZA G'!D264+'BALANZA G'!D265</f>
        <v>636000</v>
      </c>
      <c r="E572" s="1385">
        <f t="shared" si="4"/>
        <v>-636000</v>
      </c>
      <c r="K572" s="1350">
        <v>0</v>
      </c>
      <c r="T572" s="1578"/>
      <c r="Z572" s="1350">
        <v>1300</v>
      </c>
      <c r="AA572" s="1364">
        <f t="shared" si="5"/>
        <v>634700</v>
      </c>
    </row>
    <row r="573" spans="2:27">
      <c r="B573" s="194" t="s">
        <v>1175</v>
      </c>
      <c r="C573" s="167">
        <f>+'BALANZA G'!C266+'BALANZA G'!C268+'BALANZA G'!C269+'BALANZA G'!C267</f>
        <v>39850</v>
      </c>
      <c r="D573" s="1306">
        <f>+'BALANZA G'!D266+'BALANZA G'!D268+'BALANZA G'!D269+'BALANZA G'!D267</f>
        <v>382921.93</v>
      </c>
      <c r="E573" s="1385">
        <f t="shared" si="4"/>
        <v>-343071.93</v>
      </c>
      <c r="K573" s="1350">
        <v>480383.55</v>
      </c>
      <c r="T573" s="1578"/>
      <c r="Z573" s="1350">
        <v>330702</v>
      </c>
      <c r="AA573" s="1364">
        <f t="shared" si="5"/>
        <v>52219.929999999993</v>
      </c>
    </row>
    <row r="574" spans="2:27">
      <c r="B574" s="194" t="s">
        <v>1214</v>
      </c>
      <c r="C574" s="167">
        <f>+'BALANZA G'!C271+'BALANZA G'!C273+'BALANZA G'!C277+'BALANZA G'!C272</f>
        <v>2076350</v>
      </c>
      <c r="D574" s="1306">
        <f>+'BALANZA G'!D271+'BALANZA G'!D273+'BALANZA G'!D277+'BALANZA G'!D272</f>
        <v>9387735</v>
      </c>
      <c r="E574" s="1385">
        <f t="shared" si="4"/>
        <v>-7311385</v>
      </c>
      <c r="K574" s="1350">
        <v>8347130</v>
      </c>
      <c r="T574" s="1578"/>
      <c r="Z574" s="1350">
        <v>7580799</v>
      </c>
      <c r="AA574" s="1364">
        <f t="shared" si="5"/>
        <v>1806936</v>
      </c>
    </row>
    <row r="575" spans="2:27">
      <c r="B575" s="194" t="s">
        <v>1215</v>
      </c>
      <c r="C575" s="167">
        <f>+'BALANZA G'!C274+'BALANZA G'!C278+'BALANZA G'!C276+'BALANZA G'!C275+'BALANZA G'!C280</f>
        <v>1109500</v>
      </c>
      <c r="D575" s="167">
        <f>+'BALANZA G'!D274+'BALANZA G'!D278+'BALANZA G'!D276+'BALANZA G'!D275+'BALANZA G'!D280</f>
        <v>4567147.57</v>
      </c>
      <c r="E575" s="1385">
        <f t="shared" si="4"/>
        <v>-3457647.5700000003</v>
      </c>
      <c r="K575" s="1350">
        <v>4435677.3899999997</v>
      </c>
      <c r="T575" s="1578"/>
      <c r="Z575" s="1350">
        <v>7786358.3699999992</v>
      </c>
      <c r="AA575" s="1364">
        <f t="shared" si="5"/>
        <v>-3219210.7999999989</v>
      </c>
    </row>
    <row r="576" spans="2:27">
      <c r="B576" s="194" t="s">
        <v>1176</v>
      </c>
      <c r="C576" s="167">
        <f>+'BALANZA G'!C281+'BALANZA G'!C282+'BALANZA G'!C283+'BALANZA G'!C284+'BALANZA G'!C285+'BALANZA G'!C286+'BALANZA G'!C303+'BALANZA G'!C293+'BALANZA G'!C294+'BALANZA G'!C291+'BALANZA G'!C292+'BALANZA G'!C288+'BALANZA G'!C289+'BALANZA G'!C290+'BALANZA G'!C295+'BALANZA G'!C296+'BALANZA G'!C297+'BALANZA G'!C299+'BALANZA G'!C301+'BALANZA G'!C300+'BALANZA G'!C287+'BALANZA G'!C242</f>
        <v>140023.32999999999</v>
      </c>
      <c r="D576" s="167">
        <f>+'BALANZA G'!D281+'BALANZA G'!D282+'BALANZA G'!D283+'BALANZA G'!D284+'BALANZA G'!D285+'BALANZA G'!D286+'BALANZA G'!D303+'BALANZA G'!D293+'BALANZA G'!D294+'BALANZA G'!D291+'BALANZA G'!D292+'BALANZA G'!D288+'BALANZA G'!D289+'BALANZA G'!D290+'BALANZA G'!D295+'BALANZA G'!D296+'BALANZA G'!D297+'BALANZA G'!D299+'BALANZA G'!D301+'BALANZA G'!D300+'BALANZA G'!D287+'BALANZA G'!D242</f>
        <v>9813882.0600000005</v>
      </c>
      <c r="E576" s="1385">
        <f t="shared" si="4"/>
        <v>-9673858.7300000004</v>
      </c>
      <c r="K576" s="1350">
        <v>12024201.759999998</v>
      </c>
      <c r="T576" s="1578"/>
      <c r="Z576" s="1350">
        <v>3423165.7</v>
      </c>
      <c r="AA576" s="1364">
        <f t="shared" si="5"/>
        <v>6390716.3600000003</v>
      </c>
    </row>
    <row r="577" spans="2:26">
      <c r="B577" s="194" t="s">
        <v>1235</v>
      </c>
      <c r="C577" s="167">
        <f>+'BALANZA G'!C303</f>
        <v>0</v>
      </c>
      <c r="D577" s="1306">
        <v>0</v>
      </c>
      <c r="E577" s="1385">
        <f t="shared" si="4"/>
        <v>0</v>
      </c>
      <c r="K577" s="1350">
        <v>0</v>
      </c>
    </row>
    <row r="578" spans="2:26">
      <c r="B578" s="195" t="s">
        <v>3820</v>
      </c>
      <c r="C578" s="170">
        <f>SUM(C571:C577)</f>
        <v>4593784.7300000004</v>
      </c>
      <c r="D578" s="1310">
        <f>SUM(D571:D577)</f>
        <v>27553148.020000003</v>
      </c>
      <c r="E578" s="170">
        <f>SUM(E571:E577)</f>
        <v>-22959363.289999999</v>
      </c>
      <c r="K578" s="1350">
        <v>26153747.859999999</v>
      </c>
    </row>
    <row r="579" spans="2:26">
      <c r="B579" s="885"/>
      <c r="C579" s="1692">
        <f>+C578-ERF!B19</f>
        <v>0</v>
      </c>
      <c r="D579" s="1320"/>
      <c r="E579" s="1456"/>
      <c r="J579" s="1355"/>
    </row>
    <row r="580" spans="2:26" s="338" customFormat="1">
      <c r="B580" s="1904" t="str">
        <f>("Cambio porcentual con relación al "&amp;$D$118&amp;".")</f>
        <v>Cambio porcentual con relación al 2025.</v>
      </c>
      <c r="C580" s="1905"/>
      <c r="D580" s="1378" t="str">
        <f>IF(E580&gt;=0,"Aumento","Disminución")</f>
        <v>Disminución</v>
      </c>
      <c r="E580" s="1387">
        <f>+E578/D578</f>
        <v>-0.83327550352266411</v>
      </c>
      <c r="J580" s="1350"/>
      <c r="K580" s="1355"/>
      <c r="N580" s="1355"/>
      <c r="R580" s="1577"/>
      <c r="S580" s="1577"/>
      <c r="T580" s="1577"/>
      <c r="U580" s="1577"/>
      <c r="V580" s="1577"/>
      <c r="W580" s="1577"/>
      <c r="X580" s="1577"/>
      <c r="Y580" s="1577"/>
      <c r="Z580" s="1355"/>
    </row>
    <row r="581" spans="2:26">
      <c r="B581" s="1365"/>
      <c r="C581" s="1365"/>
      <c r="D581" s="1366"/>
      <c r="E581" s="1381"/>
    </row>
    <row r="582" spans="2:26" ht="9.75" customHeight="1">
      <c r="B582" s="1365"/>
      <c r="C582" s="1365"/>
      <c r="D582" s="1366"/>
      <c r="E582" s="1381"/>
    </row>
    <row r="583" spans="2:26">
      <c r="B583" s="672" t="s">
        <v>2909</v>
      </c>
    </row>
    <row r="584" spans="2:26">
      <c r="B584" s="672" t="s">
        <v>3921</v>
      </c>
    </row>
    <row r="585" spans="2:26">
      <c r="B585" s="1867" t="str">
        <f>("Un detalle del "&amp;B584&amp;" al "&amp;BALANZA!$B$3&amp;" "&amp;BALANZA!$C$3&amp;" es como se detalla a continuación:")</f>
        <v>Un detalle del Gasto de Depreciación y Amortización al 31 de marzo del 2026  - 2025 es como se detalla a continuación:</v>
      </c>
      <c r="C585" s="1906"/>
      <c r="D585" s="1906"/>
      <c r="E585" s="1906"/>
    </row>
    <row r="586" spans="2:26">
      <c r="B586" s="156"/>
    </row>
    <row r="587" spans="2:26">
      <c r="B587" s="192" t="s">
        <v>1149</v>
      </c>
      <c r="C587" s="1626" t="str">
        <f>+BALANZA!B21</f>
        <v>AUTOMOVILES Y CAMIONES</v>
      </c>
      <c r="D587" s="1626">
        <f>+BALANZA!C21</f>
        <v>55553258.920000002</v>
      </c>
      <c r="E587" s="1454" t="s">
        <v>1213</v>
      </c>
    </row>
    <row r="588" spans="2:26">
      <c r="B588" s="194" t="s">
        <v>3922</v>
      </c>
      <c r="C588" s="167">
        <f>+nota12!K29</f>
        <v>3.4924596548080444E-10</v>
      </c>
      <c r="D588" s="1306">
        <f>+nota12!K14</f>
        <v>46443109.390000008</v>
      </c>
      <c r="E588" s="1385">
        <f>+C588-D588</f>
        <v>-46443109.390000008</v>
      </c>
    </row>
    <row r="589" spans="2:26">
      <c r="B589" s="194" t="s">
        <v>3923</v>
      </c>
      <c r="C589" s="167">
        <f>+'BALANZA G'!C304</f>
        <v>52140</v>
      </c>
      <c r="D589" s="167">
        <f>-D374</f>
        <v>86900</v>
      </c>
      <c r="E589" s="1385">
        <f>+C589-D589</f>
        <v>-34760</v>
      </c>
    </row>
    <row r="590" spans="2:26">
      <c r="B590" s="194"/>
      <c r="C590" s="167"/>
      <c r="D590" s="1306"/>
      <c r="E590" s="1385">
        <f>+C590-D590</f>
        <v>0</v>
      </c>
    </row>
    <row r="591" spans="2:26">
      <c r="B591" s="195" t="s">
        <v>3846</v>
      </c>
      <c r="C591" s="170">
        <f>SUM(C588:C590)</f>
        <v>52140.000000000349</v>
      </c>
      <c r="D591" s="1310">
        <f>SUM(D588:D590)</f>
        <v>46530009.390000008</v>
      </c>
      <c r="E591" s="170">
        <f>SUM(E588:E590)</f>
        <v>-46477869.390000008</v>
      </c>
    </row>
    <row r="592" spans="2:26">
      <c r="B592" s="885"/>
      <c r="C592" s="1693">
        <f>+C591-ERF!B20</f>
        <v>0</v>
      </c>
      <c r="D592" s="1693">
        <f>+D591-ERF!C20</f>
        <v>0</v>
      </c>
      <c r="E592" s="1456"/>
    </row>
    <row r="593" spans="2:21">
      <c r="B593" s="1904" t="str">
        <f>("Cambio porcentual con relación al "&amp;$D$118&amp;".")</f>
        <v>Cambio porcentual con relación al 2025.</v>
      </c>
      <c r="C593" s="1905"/>
      <c r="D593" s="1378" t="str">
        <f>IF(E593&gt;=0,"Aumento","Disminución")</f>
        <v>Disminución</v>
      </c>
      <c r="E593" s="1387">
        <f>+E591/D591</f>
        <v>-0.99887943285024983</v>
      </c>
    </row>
    <row r="594" spans="2:21">
      <c r="B594" s="1365"/>
      <c r="C594" s="1365"/>
      <c r="D594" s="1366"/>
      <c r="E594" s="1381"/>
    </row>
    <row r="595" spans="2:21">
      <c r="B595" s="1365"/>
      <c r="C595" s="1365"/>
      <c r="D595" s="1366"/>
      <c r="E595" s="1381"/>
    </row>
    <row r="596" spans="2:21" ht="11.25" customHeight="1">
      <c r="B596" s="1365"/>
      <c r="C596" s="1734"/>
      <c r="D596" s="1366"/>
      <c r="E596" s="1381"/>
    </row>
    <row r="597" spans="2:21" ht="9.75" customHeight="1">
      <c r="B597" s="1365"/>
      <c r="C597" s="1365"/>
      <c r="D597" s="1366"/>
      <c r="E597" s="1381"/>
    </row>
    <row r="598" spans="2:21" ht="56.25" customHeight="1">
      <c r="B598" s="1365"/>
      <c r="C598" s="1365"/>
      <c r="D598" s="1366"/>
      <c r="E598" s="1381"/>
    </row>
    <row r="599" spans="2:21" ht="16.5" customHeight="1">
      <c r="B599" s="1457" t="s">
        <v>2911</v>
      </c>
    </row>
    <row r="600" spans="2:21">
      <c r="B600" s="1457" t="s">
        <v>2910</v>
      </c>
    </row>
    <row r="601" spans="2:21" ht="18.75" customHeight="1">
      <c r="B601" s="1867" t="str">
        <f>("Un detalle de "&amp;B600&amp;" al "&amp;BALANZA!$B$3&amp;" "&amp;BALANZA!$C$3&amp;" es como se detalla a continuación:")</f>
        <v>Un detalle de Otros gastos  al 31 de marzo del 2026  - 2025 es como se detalla a continuación:</v>
      </c>
      <c r="C601" s="1906"/>
      <c r="D601" s="1906"/>
      <c r="E601" s="1906"/>
    </row>
    <row r="602" spans="2:21" ht="8.25" customHeight="1">
      <c r="B602" s="156"/>
      <c r="G602" s="1351"/>
    </row>
    <row r="603" spans="2:21" ht="18.75" customHeight="1">
      <c r="B603" s="164" t="s">
        <v>1162</v>
      </c>
      <c r="C603" s="1375">
        <f>+BALANZA!B4</f>
        <v>2026</v>
      </c>
      <c r="D603" s="1375">
        <f>+BALANZA!C4</f>
        <v>2025</v>
      </c>
      <c r="E603" s="1454" t="s">
        <v>1213</v>
      </c>
    </row>
    <row r="604" spans="2:21">
      <c r="B604" s="1392" t="s">
        <v>1163</v>
      </c>
      <c r="C604" s="1458">
        <f>+'BALANZA G'!C205+'BALANZA G'!C206+'BALANZA G'!C207+'BALANZA G'!C208</f>
        <v>768000.19000000006</v>
      </c>
      <c r="D604" s="1458">
        <f>+'BALANZA G'!D205+'BALANZA G'!D206+'BALANZA G'!D207+'BALANZA G'!D208</f>
        <v>3043466.5100000002</v>
      </c>
      <c r="E604" s="1502">
        <f>+C604-D604</f>
        <v>-2275466.3200000003</v>
      </c>
      <c r="I604" s="675"/>
      <c r="K604" s="1350">
        <v>2898777.65</v>
      </c>
      <c r="U604" s="1582"/>
    </row>
    <row r="605" spans="2:21">
      <c r="B605" s="1392" t="s">
        <v>2873</v>
      </c>
      <c r="C605" s="1458">
        <f>+'BALANZA G'!C209</f>
        <v>14880572.050000001</v>
      </c>
      <c r="D605" s="1458">
        <f>+'BALANZA G'!D209</f>
        <v>72820992.290000007</v>
      </c>
      <c r="E605" s="1502">
        <f>+C605-D605</f>
        <v>-57940420.24000001</v>
      </c>
      <c r="I605" s="675"/>
      <c r="K605" s="1350">
        <v>63713429.090000004</v>
      </c>
      <c r="U605" s="1582"/>
    </row>
    <row r="606" spans="2:21">
      <c r="B606" s="194" t="s">
        <v>1164</v>
      </c>
      <c r="C606" s="1458">
        <f>+'BALANZA G'!C213+'BALANZA G'!C210+'BALANZA G'!C211</f>
        <v>354</v>
      </c>
      <c r="D606" s="1458">
        <f>+'BALANZA G'!D213+'BALANZA G'!D210+'BALANZA G'!D211</f>
        <v>1240392.55</v>
      </c>
      <c r="E606" s="1502">
        <f t="shared" ref="E606:E612" si="6">+C606-D606</f>
        <v>-1240038.55</v>
      </c>
      <c r="I606" s="675"/>
      <c r="K606" s="1350">
        <v>1132137.44</v>
      </c>
      <c r="U606" s="1582"/>
    </row>
    <row r="607" spans="2:21">
      <c r="B607" s="194" t="s">
        <v>1165</v>
      </c>
      <c r="C607" s="1458">
        <f>+'BALANZA G'!C215+'BALANZA G'!C214+'BALANZA G'!C212</f>
        <v>594499.5</v>
      </c>
      <c r="D607" s="1458">
        <f>+'BALANZA G'!D212+'BALANZA G'!D214+'BALANZA G'!D215</f>
        <v>984627</v>
      </c>
      <c r="E607" s="1502">
        <f t="shared" si="6"/>
        <v>-390127.5</v>
      </c>
      <c r="I607" s="675"/>
      <c r="K607" s="1350">
        <v>925630</v>
      </c>
      <c r="U607" s="1582"/>
    </row>
    <row r="608" spans="2:21">
      <c r="B608" s="194" t="s">
        <v>1166</v>
      </c>
      <c r="C608" s="1458">
        <f>+'BALANZA G'!C218+'BALANZA G'!C217+'BALANZA G'!C216</f>
        <v>2200</v>
      </c>
      <c r="D608" s="1458">
        <f>+'BALANZA G'!D218+'BALANZA G'!D217+'BALANZA G'!D216</f>
        <v>0</v>
      </c>
      <c r="E608" s="1502">
        <f t="shared" si="6"/>
        <v>2200</v>
      </c>
      <c r="I608" s="675"/>
      <c r="K608" s="1350">
        <v>175</v>
      </c>
      <c r="U608" s="1582"/>
    </row>
    <row r="609" spans="2:26">
      <c r="B609" s="1392" t="s">
        <v>1167</v>
      </c>
      <c r="C609" s="1458">
        <f>+'BALANZA G'!C220+'BALANZA G'!C221+'BALANZA G'!C223+'BALANZA G'!C224+'BALANZA G'!C225+'BALANZA G'!C222+'BALANZA G'!C226</f>
        <v>0</v>
      </c>
      <c r="D609" s="1458">
        <f>+'BALANZA G'!D220+'BALANZA G'!D221+'BALANZA G'!D223+'BALANZA G'!D224+'BALANZA G'!D225+'BALANZA G'!D222+'BALANZA G'!D226</f>
        <v>3525989.46</v>
      </c>
      <c r="E609" s="1502">
        <f t="shared" si="6"/>
        <v>-3525989.46</v>
      </c>
      <c r="G609" s="1364">
        <f>+K609-D609</f>
        <v>-374140.87999999989</v>
      </c>
      <c r="I609" s="675"/>
      <c r="K609" s="1350">
        <v>3151848.58</v>
      </c>
      <c r="U609" s="1582"/>
    </row>
    <row r="610" spans="2:26">
      <c r="B610" s="1392" t="s">
        <v>1168</v>
      </c>
      <c r="C610" s="1458">
        <f>+'BALANZA G'!C227+'BALANZA G'!C228</f>
        <v>207897.87</v>
      </c>
      <c r="D610" s="1458">
        <f>+'BALANZA G'!D228+'BALANZA G'!D227</f>
        <v>656678.94999999995</v>
      </c>
      <c r="E610" s="1502">
        <f t="shared" si="6"/>
        <v>-448781.07999999996</v>
      </c>
      <c r="I610" s="675"/>
      <c r="K610" s="1350">
        <v>657127.22</v>
      </c>
      <c r="U610" s="1582"/>
    </row>
    <row r="611" spans="2:26" ht="30">
      <c r="B611" s="194" t="s">
        <v>1169</v>
      </c>
      <c r="C611" s="1458">
        <f>+'BALANZA G'!C230+'BALANZA G'!C231+'BALANZA G'!C232+'BALANZA G'!C233+'BALANZA G'!C234+'BALANZA G'!C236+'BALANZA G'!C238+'BALANZA G'!C239+'BALANZA G'!C240+'BALANZA G'!C241+'BALANZA G'!C243+'BALANZA G'!C244+'BALANZA G'!C245+'BALANZA G'!C235</f>
        <v>1756744.99</v>
      </c>
      <c r="D611" s="1458">
        <f>+'BALANZA G'!D230+'BALANZA G'!D231+'BALANZA G'!D232+'BALANZA G'!D233+'BALANZA G'!D234+'BALANZA G'!D236+'BALANZA G'!D238+'BALANZA G'!D239+'BALANZA G'!D240+'BALANZA G'!D241+'BALANZA G'!D243+'BALANZA G'!D244+'BALANZA G'!D245+'BALANZA G'!D235</f>
        <v>5248535.1899999995</v>
      </c>
      <c r="E611" s="1723">
        <f t="shared" si="6"/>
        <v>-3491790.1999999993</v>
      </c>
      <c r="I611" s="675"/>
      <c r="K611" s="1350">
        <v>9859491.7400000002</v>
      </c>
      <c r="U611" s="1582"/>
    </row>
    <row r="612" spans="2:26" ht="21.75" customHeight="1">
      <c r="B612" s="194" t="s">
        <v>1170</v>
      </c>
      <c r="C612" s="1458">
        <f>+'BALANZA G'!C247+'BALANZA G'!C248+'BALANZA G'!C250+'BALANZA G'!C251+'BALANZA G'!C252+'BALANZA G'!C254+'BALANZA G'!C199+'BALANZA G'!C200+'BALANZA G'!C204+'BALANZA G'!C253</f>
        <v>840651.72</v>
      </c>
      <c r="D612" s="1458">
        <f>+'BALANZA G'!D199+'BALANZA G'!D200+'BALANZA G'!D247+'BALANZA G'!D250+'BALANZA G'!D251+'BALANZA G'!D252+'BALANZA G'!D254+'BALANZA G'!D248+'BALANZA G'!D204+'BALANZA G'!D253</f>
        <v>8700280.1900000013</v>
      </c>
      <c r="E612" s="1724">
        <f t="shared" si="6"/>
        <v>-7859628.4700000016</v>
      </c>
      <c r="I612" s="675"/>
      <c r="K612" s="1350">
        <v>7481995.21</v>
      </c>
      <c r="U612" s="1582"/>
    </row>
    <row r="613" spans="2:26" ht="18.75" customHeight="1">
      <c r="B613" s="172" t="s">
        <v>3821</v>
      </c>
      <c r="C613" s="170">
        <f>SUM(C604:C612)</f>
        <v>19050920.319999997</v>
      </c>
      <c r="D613" s="1388">
        <f>SUM(D604:D612)</f>
        <v>96220962.140000001</v>
      </c>
      <c r="E613" s="1459">
        <f>SUM(E604:E612)</f>
        <v>-77170041.820000008</v>
      </c>
      <c r="K613" s="1350">
        <v>89820611.929999992</v>
      </c>
    </row>
    <row r="614" spans="2:26" ht="12.75" customHeight="1">
      <c r="B614" s="156" t="s">
        <v>1038</v>
      </c>
      <c r="C614" s="1697">
        <f>+C613-ERF!B22</f>
        <v>0</v>
      </c>
      <c r="J614" s="1355"/>
    </row>
    <row r="615" spans="2:26" s="338" customFormat="1">
      <c r="B615" s="1904" t="str">
        <f>("Cambio porcentual con relación al "&amp;$D$118&amp;".")</f>
        <v>Cambio porcentual con relación al 2025.</v>
      </c>
      <c r="C615" s="1905"/>
      <c r="D615" s="1378" t="str">
        <f>IF(E615&gt;=0,"Aumento","Disminución")</f>
        <v>Disminución</v>
      </c>
      <c r="E615" s="1387">
        <f>+E613/D613</f>
        <v>-0.80200862788836802</v>
      </c>
      <c r="J615" s="1350"/>
      <c r="K615" s="1355"/>
      <c r="N615" s="1355"/>
      <c r="R615" s="1577"/>
      <c r="S615" s="1577"/>
      <c r="T615" s="1577"/>
      <c r="U615" s="1577"/>
      <c r="V615" s="1577"/>
      <c r="W615" s="1577"/>
      <c r="X615" s="1577"/>
      <c r="Y615" s="1577"/>
      <c r="Z615" s="1355"/>
    </row>
    <row r="616" spans="2:26" s="338" customFormat="1">
      <c r="B616" s="1365"/>
      <c r="C616" s="1365"/>
      <c r="D616" s="1380"/>
      <c r="E616" s="1381"/>
      <c r="J616" s="1350"/>
      <c r="K616" s="1355"/>
      <c r="N616" s="1355"/>
      <c r="R616" s="1577"/>
      <c r="S616" s="1577"/>
      <c r="T616" s="1577"/>
      <c r="U616" s="1577"/>
      <c r="V616" s="1577"/>
      <c r="W616" s="1577"/>
      <c r="X616" s="1577"/>
      <c r="Y616" s="1577"/>
      <c r="Z616" s="1355"/>
    </row>
    <row r="617" spans="2:26" s="338" customFormat="1">
      <c r="B617" s="1365"/>
      <c r="C617" s="1365"/>
      <c r="D617" s="1380"/>
      <c r="E617" s="1381"/>
      <c r="J617" s="1350"/>
      <c r="K617" s="1355"/>
      <c r="N617" s="1355"/>
      <c r="R617" s="1577"/>
      <c r="S617" s="1577"/>
      <c r="T617" s="1577"/>
      <c r="U617" s="1577"/>
      <c r="V617" s="1577"/>
      <c r="W617" s="1577"/>
      <c r="X617" s="1577"/>
      <c r="Y617" s="1577"/>
      <c r="Z617" s="1355"/>
    </row>
    <row r="618" spans="2:26" ht="10.5" customHeight="1">
      <c r="B618" s="1365"/>
      <c r="C618" s="1365"/>
      <c r="D618" s="1366"/>
      <c r="E618" s="1381"/>
    </row>
    <row r="619" spans="2:26">
      <c r="B619" s="672" t="s">
        <v>2949</v>
      </c>
    </row>
    <row r="620" spans="2:26" ht="21" customHeight="1">
      <c r="B620" s="672" t="s">
        <v>2912</v>
      </c>
    </row>
    <row r="621" spans="2:26" ht="30" customHeight="1">
      <c r="B621" s="1867" t="str">
        <f>("Un detalle del "&amp;B620&amp;" al "&amp;BALANZA!$B$3&amp;" "&amp;BALANZA!$C$3&amp;" es como se detalla a continuación:")</f>
        <v>Un detalle del Gastos Financieros  al 31 de marzo del 2026  - 2025 es como se detalla a continuación:</v>
      </c>
      <c r="C621" s="1906"/>
      <c r="D621" s="1906"/>
      <c r="E621" s="1906"/>
    </row>
    <row r="622" spans="2:26" ht="13.5" customHeight="1">
      <c r="B622" s="334"/>
    </row>
    <row r="623" spans="2:26">
      <c r="B623" s="1325" t="str">
        <f>+B603</f>
        <v>PARTIDA</v>
      </c>
      <c r="C623" s="1326">
        <f>+C603</f>
        <v>2026</v>
      </c>
      <c r="D623" s="1326">
        <f>+D603</f>
        <v>2025</v>
      </c>
      <c r="E623" s="1454" t="s">
        <v>1213</v>
      </c>
    </row>
    <row r="624" spans="2:26">
      <c r="B624" s="194" t="s">
        <v>2288</v>
      </c>
      <c r="C624" s="1306">
        <f>+'BALANZA G'!C249</f>
        <v>177987.98</v>
      </c>
      <c r="D624" s="1306">
        <f>+'BALANZA G'!D249</f>
        <v>692897.94</v>
      </c>
      <c r="E624" s="1502">
        <f>+C624-D624</f>
        <v>-514909.95999999996</v>
      </c>
    </row>
    <row r="625" spans="2:26" hidden="1">
      <c r="B625" s="194" t="s">
        <v>2191</v>
      </c>
      <c r="C625" s="1306">
        <f>+'BALANZA G'!C255</f>
        <v>0</v>
      </c>
      <c r="D625" s="1306">
        <f>+'BALANZA G'!D255</f>
        <v>0</v>
      </c>
      <c r="E625" s="1502">
        <f>+C625-D625</f>
        <v>0</v>
      </c>
    </row>
    <row r="626" spans="2:26">
      <c r="B626" s="195" t="s">
        <v>3823</v>
      </c>
      <c r="C626" s="1310">
        <f>SUM(C624:C625)</f>
        <v>177987.98</v>
      </c>
      <c r="D626" s="1310">
        <f>SUM(D624:D625)</f>
        <v>692897.94</v>
      </c>
      <c r="E626" s="1310">
        <f>SUM(E624:E625)</f>
        <v>-514909.95999999996</v>
      </c>
    </row>
    <row r="627" spans="2:26">
      <c r="B627" s="231"/>
      <c r="C627" s="1694">
        <f>+C626-ERF!B23</f>
        <v>0</v>
      </c>
      <c r="D627" s="1311"/>
      <c r="E627" s="232"/>
      <c r="J627" s="1355"/>
    </row>
    <row r="628" spans="2:26" s="338" customFormat="1">
      <c r="B628" s="1904" t="str">
        <f>("Cambio porcentual con relación al "&amp;$D$118&amp;".")</f>
        <v>Cambio porcentual con relación al 2025.</v>
      </c>
      <c r="C628" s="1905"/>
      <c r="D628" s="1378" t="str">
        <f>IF(E628&gt;=0,"Aumento","Disminución")</f>
        <v>Disminución</v>
      </c>
      <c r="E628" s="1387">
        <f>+E626/D626</f>
        <v>-0.74312525737917479</v>
      </c>
      <c r="J628" s="1350"/>
      <c r="K628" s="1355"/>
      <c r="N628" s="1355"/>
      <c r="R628" s="1577"/>
      <c r="S628" s="1577"/>
      <c r="T628" s="1577"/>
      <c r="U628" s="1577"/>
      <c r="V628" s="1577"/>
      <c r="W628" s="1577"/>
      <c r="X628" s="1577"/>
      <c r="Y628" s="1577"/>
      <c r="Z628" s="1355"/>
    </row>
    <row r="629" spans="2:26">
      <c r="B629" s="1365"/>
      <c r="C629" s="1365"/>
      <c r="D629" s="1366"/>
      <c r="E629" s="1381"/>
    </row>
    <row r="630" spans="2:26">
      <c r="B630" s="672" t="s">
        <v>2950</v>
      </c>
      <c r="C630" s="1365"/>
      <c r="D630" s="1366"/>
      <c r="E630" s="1381"/>
    </row>
    <row r="631" spans="2:26">
      <c r="B631" s="672" t="s">
        <v>2913</v>
      </c>
      <c r="C631" s="1365"/>
      <c r="D631" s="1366"/>
      <c r="E631" s="1381"/>
    </row>
    <row r="632" spans="2:26" ht="15" customHeight="1">
      <c r="B632" s="1867" t="str">
        <f>("Un detalle de "&amp;B631&amp;" al "&amp;BALANZA!$B$3&amp;" "&amp;BALANZA!$C$3&amp;" es como se detalla a continuación:")</f>
        <v>Un detalle de Compromisos y contingencias al 31 de marzo del 2026  - 2025 es como se detalla a continuación:</v>
      </c>
      <c r="C632" s="1906"/>
      <c r="D632" s="1906"/>
      <c r="E632" s="1906"/>
    </row>
    <row r="633" spans="2:26" ht="41.25" customHeight="1">
      <c r="B633" s="1858" t="str">
        <f>("La facturación historica no cobrada a la fecha de corte, para el "&amp;C635&amp;" presenta un monto de RD$"&amp;R638&amp;" y para el "&amp;D635&amp;" presenta un monto de RD$"&amp;R639&amp;"." )</f>
        <v>La facturación historica no cobrada a la fecha de corte, para el 2026 presenta un monto de RD$513,985,120.94 y para el 2025 presenta un monto de RD$453,841,689.00.</v>
      </c>
      <c r="C633" s="1858"/>
      <c r="D633" s="1858"/>
      <c r="E633" s="1858"/>
    </row>
    <row r="634" spans="2:26" ht="13.5" customHeight="1">
      <c r="B634" s="1858"/>
      <c r="C634" s="1858"/>
      <c r="D634" s="1858"/>
      <c r="E634" s="1858"/>
    </row>
    <row r="635" spans="2:26">
      <c r="B635" s="1326" t="str">
        <f>+B623</f>
        <v>PARTIDA</v>
      </c>
      <c r="C635" s="1326">
        <f>+C623</f>
        <v>2026</v>
      </c>
      <c r="D635" s="1326">
        <f>+D623</f>
        <v>2025</v>
      </c>
      <c r="E635" s="1454" t="s">
        <v>1213</v>
      </c>
    </row>
    <row r="636" spans="2:26">
      <c r="B636" s="194" t="s">
        <v>2914</v>
      </c>
      <c r="C636" s="167">
        <f>+C652</f>
        <v>1817264</v>
      </c>
      <c r="D636" s="167">
        <f>+D652</f>
        <v>7909235</v>
      </c>
      <c r="E636" s="1385">
        <f>+C636-D636</f>
        <v>-6091971</v>
      </c>
    </row>
    <row r="637" spans="2:26">
      <c r="B637" s="194" t="s">
        <v>2915</v>
      </c>
      <c r="C637" s="167">
        <f>+C663-C636</f>
        <v>512167856.94</v>
      </c>
      <c r="D637" s="167">
        <f>+D663-D636</f>
        <v>445932454</v>
      </c>
      <c r="E637" s="1385">
        <f>+C637-D637</f>
        <v>66235402.939999998</v>
      </c>
    </row>
    <row r="638" spans="2:26">
      <c r="B638" s="195" t="s">
        <v>3822</v>
      </c>
      <c r="C638" s="170">
        <f>SUM(C636:C637)</f>
        <v>513985120.94</v>
      </c>
      <c r="D638" s="170">
        <f>SUM(D636:D637)</f>
        <v>453841689</v>
      </c>
      <c r="E638" s="170">
        <f>SUM(E636:E637)</f>
        <v>60143431.939999998</v>
      </c>
      <c r="R638" s="1576" t="str">
        <f>+CONCATENATE(S638,",",T638,",",U638,V638,AB638)</f>
        <v>513,985,120.94</v>
      </c>
      <c r="S638" s="1576" t="str">
        <f>MID(C638,1,3)</f>
        <v>513</v>
      </c>
      <c r="T638" s="1576" t="str">
        <f>MID(C638,4,3)</f>
        <v>985</v>
      </c>
      <c r="U638" s="1576" t="str">
        <f>MID(C638,7,3)</f>
        <v>120</v>
      </c>
      <c r="V638" s="1576" t="str">
        <f>MID(C638,10,3)</f>
        <v>.94</v>
      </c>
    </row>
    <row r="639" spans="2:26">
      <c r="B639" s="231"/>
      <c r="C639" s="1386"/>
      <c r="D639" s="1311"/>
      <c r="E639" s="232"/>
      <c r="J639" s="1355"/>
      <c r="R639" s="1576" t="str">
        <f>+CONCATENATE(S639,",",T639,",",U639,V639,AB639,".00")</f>
        <v>453,841,689.00</v>
      </c>
      <c r="S639" s="1576" t="str">
        <f>MID(D638,1,3)</f>
        <v>453</v>
      </c>
      <c r="T639" s="1576" t="str">
        <f>MID(D638,4,3)</f>
        <v>841</v>
      </c>
      <c r="U639" s="1576" t="str">
        <f>MID(D638,7,3)</f>
        <v>689</v>
      </c>
      <c r="V639" s="1576" t="str">
        <f>MID(D638,10,3)</f>
        <v/>
      </c>
    </row>
    <row r="640" spans="2:26" s="338" customFormat="1">
      <c r="B640" s="1904" t="str">
        <f>("Cambio porcentual con relación al "&amp;$D$118&amp;".")</f>
        <v>Cambio porcentual con relación al 2025.</v>
      </c>
      <c r="C640" s="1905"/>
      <c r="D640" s="1569" t="str">
        <f>IF(E640&gt;=0,"Aumento","Disminución")</f>
        <v>Aumento</v>
      </c>
      <c r="E640" s="1570">
        <f>IFERROR((+E638/D638),0)</f>
        <v>0.13252073002046313</v>
      </c>
      <c r="J640" s="1350"/>
      <c r="K640" s="1355"/>
      <c r="N640" s="1355"/>
      <c r="R640" s="1577"/>
      <c r="S640" s="1577"/>
      <c r="T640" s="1577"/>
      <c r="U640" s="1577"/>
      <c r="V640" s="1577"/>
      <c r="W640" s="1577"/>
      <c r="X640" s="1577"/>
      <c r="Y640" s="1577"/>
      <c r="Z640" s="1355"/>
    </row>
    <row r="641" spans="2:26" s="338" customFormat="1">
      <c r="B641" s="1746"/>
      <c r="C641" s="1746"/>
      <c r="D641" s="1748"/>
      <c r="E641" s="1749"/>
      <c r="J641" s="1350"/>
      <c r="K641" s="1355"/>
      <c r="N641" s="1355"/>
      <c r="R641" s="1577"/>
      <c r="S641" s="1577"/>
      <c r="T641" s="1577"/>
      <c r="U641" s="1577"/>
      <c r="V641" s="1577"/>
      <c r="W641" s="1577"/>
      <c r="X641" s="1577"/>
      <c r="Y641" s="1577"/>
      <c r="Z641" s="1355"/>
    </row>
    <row r="642" spans="2:26" s="338" customFormat="1">
      <c r="B642" s="1746"/>
      <c r="C642" s="1746"/>
      <c r="D642" s="1748"/>
      <c r="E642" s="1749"/>
      <c r="J642" s="1350"/>
      <c r="K642" s="1355"/>
      <c r="N642" s="1355"/>
      <c r="R642" s="1577"/>
      <c r="S642" s="1577"/>
      <c r="T642" s="1577"/>
      <c r="U642" s="1577"/>
      <c r="V642" s="1577"/>
      <c r="W642" s="1577"/>
      <c r="X642" s="1577"/>
      <c r="Y642" s="1577"/>
      <c r="Z642" s="1355"/>
    </row>
    <row r="643" spans="2:26" ht="13.5" customHeight="1">
      <c r="B643" s="1344"/>
      <c r="C643" s="1344"/>
      <c r="D643" s="1344"/>
      <c r="E643" s="1344"/>
    </row>
    <row r="644" spans="2:26" ht="14.25" customHeight="1"/>
    <row r="645" spans="2:26" ht="41.25" customHeight="1"/>
    <row r="646" spans="2:26" ht="70.5" customHeight="1">
      <c r="B646" s="1921" t="s">
        <v>3925</v>
      </c>
      <c r="C646" s="1921"/>
      <c r="D646" s="1921"/>
      <c r="E646" s="1921"/>
    </row>
    <row r="647" spans="2:26" s="1347" customFormat="1" ht="42.75" customHeight="1">
      <c r="B647" s="1909" t="str">
        <f>("La informacion de  Cuentas por Cobrar según el Sistema Comercial al "&amp;BALANZA!B3&amp;" "&amp;BALANZA!C3&amp;" se detalla a continuación")</f>
        <v>La informacion de  Cuentas por Cobrar según el Sistema Comercial al 31 de marzo del 2026  - 2025 se detalla a continuación</v>
      </c>
      <c r="C647" s="1909"/>
      <c r="D647" s="1909"/>
      <c r="E647" s="1909"/>
      <c r="J647" s="1367"/>
      <c r="K647" s="1367"/>
      <c r="N647" s="1367"/>
      <c r="R647" s="1584"/>
      <c r="S647" s="1584"/>
      <c r="T647" s="1584"/>
      <c r="U647" s="1584"/>
      <c r="V647" s="1584"/>
      <c r="W647" s="1584"/>
      <c r="X647" s="1584"/>
      <c r="Y647" s="1584"/>
      <c r="Z647" s="1367"/>
    </row>
    <row r="648" spans="2:26">
      <c r="B648" s="1454" t="str">
        <f>+B635</f>
        <v>PARTIDA</v>
      </c>
      <c r="C648" s="1454">
        <f>+C635</f>
        <v>2026</v>
      </c>
      <c r="D648" s="1454">
        <f>+D635</f>
        <v>2025</v>
      </c>
      <c r="E648" s="1567"/>
    </row>
    <row r="649" spans="2:26">
      <c r="B649" s="1450"/>
      <c r="C649" s="1502"/>
      <c r="D649" s="1503"/>
    </row>
    <row r="650" spans="2:26">
      <c r="B650" s="1450" t="s">
        <v>2958</v>
      </c>
      <c r="C650" s="1502">
        <v>243262</v>
      </c>
      <c r="D650" s="1698">
        <v>235712</v>
      </c>
    </row>
    <row r="651" spans="2:26">
      <c r="B651" s="1450" t="s">
        <v>2959</v>
      </c>
      <c r="C651" s="1502">
        <v>2000</v>
      </c>
      <c r="D651" s="1698">
        <v>1210</v>
      </c>
    </row>
    <row r="652" spans="2:26">
      <c r="B652" s="1450" t="s">
        <v>2960</v>
      </c>
      <c r="C652" s="1502">
        <f>980788+836476</f>
        <v>1817264</v>
      </c>
      <c r="D652" s="1698">
        <f>7130810+778425</f>
        <v>7909235</v>
      </c>
    </row>
    <row r="653" spans="2:26">
      <c r="B653" s="1450" t="s">
        <v>2961</v>
      </c>
      <c r="C653" s="1502">
        <v>590249</v>
      </c>
      <c r="D653" s="1698">
        <v>869044</v>
      </c>
    </row>
    <row r="654" spans="2:26">
      <c r="B654" s="1450" t="s">
        <v>2962</v>
      </c>
      <c r="C654" s="1502">
        <v>635899</v>
      </c>
      <c r="D654" s="1698">
        <v>920884</v>
      </c>
    </row>
    <row r="655" spans="2:26">
      <c r="B655" s="1625" t="s">
        <v>4006</v>
      </c>
      <c r="C655" s="1699">
        <f>SUM(C650:C654)</f>
        <v>3288674</v>
      </c>
      <c r="D655" s="1699">
        <f>SUM(D650:D654)</f>
        <v>9936085</v>
      </c>
    </row>
    <row r="656" spans="2:26">
      <c r="B656" s="1450" t="s">
        <v>2958</v>
      </c>
      <c r="C656" s="1502">
        <v>24407875</v>
      </c>
      <c r="D656" s="1698">
        <f>14368305</f>
        <v>14368305</v>
      </c>
    </row>
    <row r="657" spans="2:5">
      <c r="B657" s="1450" t="s">
        <v>2959</v>
      </c>
      <c r="C657" s="1502">
        <v>90874</v>
      </c>
      <c r="D657" s="1698">
        <v>68295</v>
      </c>
    </row>
    <row r="658" spans="2:5">
      <c r="B658" s="1450" t="s">
        <v>2963</v>
      </c>
      <c r="C658" s="1502">
        <v>267076</v>
      </c>
      <c r="D658" s="1698">
        <v>63646</v>
      </c>
    </row>
    <row r="659" spans="2:5">
      <c r="B659" s="1450" t="s">
        <v>2964</v>
      </c>
      <c r="C659" s="1502">
        <v>3804338</v>
      </c>
      <c r="D659" s="1698">
        <v>3352009</v>
      </c>
    </row>
    <row r="660" spans="2:5">
      <c r="B660" s="1450" t="s">
        <v>2961</v>
      </c>
      <c r="C660" s="1502">
        <v>197155719.75</v>
      </c>
      <c r="D660" s="1698">
        <v>133132858</v>
      </c>
    </row>
    <row r="661" spans="2:5">
      <c r="B661" s="1450" t="s">
        <v>2962</v>
      </c>
      <c r="C661" s="1502">
        <v>284970564.19</v>
      </c>
      <c r="D661" s="1698">
        <v>292920491</v>
      </c>
    </row>
    <row r="662" spans="2:5">
      <c r="B662" s="1625" t="s">
        <v>4006</v>
      </c>
      <c r="C662" s="1699">
        <f>SUM(C656:C661)</f>
        <v>510696446.94</v>
      </c>
      <c r="D662" s="1699">
        <f>SUM(D656:D661)</f>
        <v>443905604</v>
      </c>
    </row>
    <row r="663" spans="2:5">
      <c r="B663" s="1625" t="s">
        <v>2965</v>
      </c>
      <c r="C663" s="1699">
        <f>+C655+C662</f>
        <v>513985120.94</v>
      </c>
      <c r="D663" s="1699">
        <f>+D655+D662</f>
        <v>453841689</v>
      </c>
    </row>
    <row r="664" spans="2:5">
      <c r="B664" s="1343"/>
      <c r="E664" s="1342"/>
    </row>
    <row r="665" spans="2:5">
      <c r="B665" s="1343"/>
      <c r="C665" s="1617"/>
      <c r="E665" s="1556"/>
    </row>
    <row r="666" spans="2:5">
      <c r="B666" s="1343"/>
      <c r="E666" s="1556"/>
    </row>
    <row r="667" spans="2:5">
      <c r="B667" s="1343"/>
      <c r="E667" s="1342"/>
    </row>
    <row r="668" spans="2:5">
      <c r="B668" s="1343"/>
      <c r="E668" s="1342"/>
    </row>
    <row r="669" spans="2:5">
      <c r="B669" s="1343"/>
      <c r="E669" s="1556"/>
    </row>
    <row r="670" spans="2:5">
      <c r="B670" s="1343"/>
      <c r="E670" s="1342"/>
    </row>
    <row r="671" spans="2:5">
      <c r="B671" s="1343"/>
      <c r="E671" s="1342"/>
    </row>
    <row r="672" spans="2:5">
      <c r="B672" s="1343"/>
      <c r="E672" s="1342"/>
    </row>
    <row r="673" spans="2:5">
      <c r="B673" s="1343"/>
      <c r="E673" s="1342"/>
    </row>
    <row r="674" spans="2:5">
      <c r="B674" s="1343"/>
      <c r="E674" s="1342"/>
    </row>
    <row r="675" spans="2:5">
      <c r="B675" s="1343"/>
      <c r="E675" s="1342"/>
    </row>
    <row r="676" spans="2:5">
      <c r="B676" s="1343"/>
      <c r="E676" s="1342"/>
    </row>
    <row r="677" spans="2:5">
      <c r="B677" s="1343"/>
      <c r="E677" s="1342"/>
    </row>
    <row r="678" spans="2:5">
      <c r="B678" s="1343"/>
      <c r="E678" s="1342"/>
    </row>
    <row r="679" spans="2:5">
      <c r="B679" s="1343"/>
      <c r="E679" s="1342"/>
    </row>
    <row r="680" spans="2:5">
      <c r="B680" s="1343"/>
      <c r="E680" s="1342"/>
    </row>
    <row r="681" spans="2:5">
      <c r="B681" s="1343"/>
      <c r="E681" s="1342"/>
    </row>
    <row r="682" spans="2:5">
      <c r="B682" s="1343"/>
      <c r="E682" s="1342"/>
    </row>
    <row r="683" spans="2:5">
      <c r="B683" s="1343"/>
      <c r="E683" s="1342"/>
    </row>
    <row r="684" spans="2:5">
      <c r="B684" s="1343"/>
      <c r="E684" s="1342"/>
    </row>
    <row r="685" spans="2:5">
      <c r="B685" s="1343"/>
      <c r="E685" s="1342"/>
    </row>
    <row r="686" spans="2:5">
      <c r="B686" s="1343"/>
      <c r="E686" s="1342"/>
    </row>
    <row r="687" spans="2:5">
      <c r="B687" s="1343"/>
      <c r="E687" s="1342"/>
    </row>
    <row r="688" spans="2:5">
      <c r="B688" s="1343"/>
      <c r="E688" s="1342"/>
    </row>
    <row r="689" spans="2:5">
      <c r="B689" s="1343"/>
      <c r="E689" s="1342"/>
    </row>
    <row r="690" spans="2:5">
      <c r="B690" s="1343"/>
      <c r="E690" s="1342"/>
    </row>
    <row r="691" spans="2:5">
      <c r="B691" s="1343"/>
      <c r="E691" s="1342"/>
    </row>
    <row r="692" spans="2:5">
      <c r="B692" s="1343"/>
      <c r="E692" s="1342"/>
    </row>
    <row r="693" spans="2:5">
      <c r="B693" s="1343"/>
      <c r="E693" s="1342"/>
    </row>
    <row r="694" spans="2:5">
      <c r="B694" s="1343"/>
      <c r="E694" s="1342"/>
    </row>
    <row r="695" spans="2:5">
      <c r="B695" s="1343"/>
      <c r="E695" s="1342"/>
    </row>
    <row r="696" spans="2:5">
      <c r="B696" s="1343"/>
      <c r="E696" s="1342"/>
    </row>
    <row r="697" spans="2:5">
      <c r="B697" s="1343"/>
      <c r="E697" s="1342"/>
    </row>
    <row r="698" spans="2:5">
      <c r="B698" s="1343"/>
      <c r="E698" s="1342"/>
    </row>
    <row r="699" spans="2:5">
      <c r="B699" s="1343"/>
      <c r="E699" s="1342"/>
    </row>
    <row r="700" spans="2:5">
      <c r="B700" s="1343"/>
      <c r="E700" s="1342"/>
    </row>
    <row r="701" spans="2:5">
      <c r="B701" s="1343"/>
      <c r="E701" s="1342"/>
    </row>
    <row r="702" spans="2:5">
      <c r="B702" s="1343"/>
      <c r="E702" s="1342"/>
    </row>
    <row r="703" spans="2:5" ht="15" customHeight="1">
      <c r="B703" s="1343"/>
      <c r="E703" s="1342"/>
    </row>
    <row r="704" spans="2:5">
      <c r="B704" s="1343"/>
    </row>
    <row r="705" spans="2:7">
      <c r="C705" s="1350"/>
    </row>
    <row r="708" spans="2:7">
      <c r="B708" s="1497"/>
    </row>
    <row r="710" spans="2:7">
      <c r="B710" s="1497">
        <v>136059</v>
      </c>
      <c r="C710" s="334" t="s">
        <v>3578</v>
      </c>
    </row>
    <row r="711" spans="2:7">
      <c r="B711" s="1497">
        <v>135946</v>
      </c>
      <c r="C711" s="334" t="s">
        <v>3579</v>
      </c>
      <c r="G711" s="334">
        <v>705696</v>
      </c>
    </row>
    <row r="712" spans="2:7">
      <c r="B712" s="1497">
        <v>135979</v>
      </c>
      <c r="C712" s="334" t="s">
        <v>3580</v>
      </c>
      <c r="G712" s="334">
        <v>599024</v>
      </c>
    </row>
    <row r="713" spans="2:7">
      <c r="B713" s="1497">
        <v>135955</v>
      </c>
      <c r="C713" s="334" t="s">
        <v>3581</v>
      </c>
      <c r="G713" s="334">
        <v>339264</v>
      </c>
    </row>
    <row r="714" spans="2:7">
      <c r="B714" s="1497" t="s">
        <v>3582</v>
      </c>
      <c r="C714" s="334" t="s">
        <v>3583</v>
      </c>
      <c r="G714" s="334">
        <v>18350</v>
      </c>
    </row>
    <row r="715" spans="2:7">
      <c r="B715" s="1497">
        <v>136575</v>
      </c>
      <c r="C715" s="334" t="s">
        <v>3584</v>
      </c>
      <c r="G715" s="334">
        <v>26051</v>
      </c>
    </row>
    <row r="716" spans="2:7">
      <c r="B716" s="1497">
        <v>136082</v>
      </c>
      <c r="C716" s="334" t="s">
        <v>3585</v>
      </c>
      <c r="G716" s="334">
        <v>24600</v>
      </c>
    </row>
    <row r="717" spans="2:7">
      <c r="B717" s="1497">
        <v>135945</v>
      </c>
      <c r="C717" s="334" t="s">
        <v>3586</v>
      </c>
      <c r="G717" s="334">
        <v>6250</v>
      </c>
    </row>
    <row r="718" spans="2:7">
      <c r="B718" s="1497">
        <v>135971</v>
      </c>
      <c r="C718" s="334" t="s">
        <v>3587</v>
      </c>
      <c r="G718" s="334">
        <v>53616</v>
      </c>
    </row>
    <row r="719" spans="2:7">
      <c r="B719" s="1497">
        <v>137615</v>
      </c>
      <c r="C719" s="334" t="s">
        <v>3588</v>
      </c>
      <c r="G719" s="334">
        <v>29900</v>
      </c>
    </row>
    <row r="720" spans="2:7">
      <c r="B720" s="1497">
        <v>135962</v>
      </c>
      <c r="C720" s="334" t="s">
        <v>3589</v>
      </c>
      <c r="G720" s="334">
        <v>33200</v>
      </c>
    </row>
    <row r="721" spans="2:7">
      <c r="B721" s="1497">
        <v>136744</v>
      </c>
      <c r="C721" s="334" t="s">
        <v>3590</v>
      </c>
      <c r="G721" s="334">
        <v>36189</v>
      </c>
    </row>
    <row r="722" spans="2:7">
      <c r="B722" s="1497">
        <v>136065</v>
      </c>
      <c r="C722" s="334" t="s">
        <v>3591</v>
      </c>
      <c r="G722" s="334">
        <v>31000</v>
      </c>
    </row>
    <row r="723" spans="2:7">
      <c r="B723" s="1497">
        <v>135951</v>
      </c>
      <c r="C723" s="334" t="s">
        <v>3592</v>
      </c>
      <c r="G723" s="334">
        <v>36491</v>
      </c>
    </row>
    <row r="724" spans="2:7">
      <c r="B724" s="1497">
        <v>136077</v>
      </c>
      <c r="C724" s="334" t="s">
        <v>3593</v>
      </c>
      <c r="G724" s="334">
        <v>38832</v>
      </c>
    </row>
    <row r="725" spans="2:7">
      <c r="B725" s="1497">
        <v>136090</v>
      </c>
      <c r="C725" s="334" t="s">
        <v>3594</v>
      </c>
      <c r="G725" s="334">
        <v>37600</v>
      </c>
    </row>
    <row r="726" spans="2:7">
      <c r="B726" s="1497">
        <v>135990</v>
      </c>
      <c r="C726" s="334" t="s">
        <v>3595</v>
      </c>
      <c r="G726" s="334">
        <v>229332</v>
      </c>
    </row>
    <row r="727" spans="2:7">
      <c r="B727" s="1497">
        <v>1000226</v>
      </c>
      <c r="C727" s="334" t="s">
        <v>3596</v>
      </c>
      <c r="G727" s="334">
        <v>223940</v>
      </c>
    </row>
    <row r="728" spans="2:7">
      <c r="B728" s="1497">
        <v>135993</v>
      </c>
      <c r="C728" s="334" t="s">
        <v>3597</v>
      </c>
      <c r="G728" s="334">
        <v>218600</v>
      </c>
    </row>
    <row r="729" spans="2:7">
      <c r="B729" s="1497">
        <v>135954</v>
      </c>
      <c r="C729" s="334" t="s">
        <v>3598</v>
      </c>
      <c r="G729" s="334">
        <v>207352</v>
      </c>
    </row>
    <row r="730" spans="2:7">
      <c r="B730" s="1497">
        <v>135981</v>
      </c>
      <c r="C730" s="334" t="s">
        <v>3599</v>
      </c>
      <c r="G730" s="334">
        <v>197166</v>
      </c>
    </row>
    <row r="731" spans="2:7">
      <c r="B731" s="1497">
        <v>135953</v>
      </c>
      <c r="C731" s="334" t="s">
        <v>3600</v>
      </c>
      <c r="G731" s="334">
        <v>171745</v>
      </c>
    </row>
    <row r="732" spans="2:7">
      <c r="B732" s="1497">
        <v>136092</v>
      </c>
      <c r="C732" s="334" t="s">
        <v>3601</v>
      </c>
      <c r="G732" s="334">
        <v>166194</v>
      </c>
    </row>
    <row r="733" spans="2:7">
      <c r="B733" s="1497">
        <v>137613</v>
      </c>
      <c r="C733" s="334" t="s">
        <v>3602</v>
      </c>
      <c r="G733" s="334">
        <v>130205</v>
      </c>
    </row>
    <row r="734" spans="2:7">
      <c r="B734" s="1497">
        <v>136083</v>
      </c>
      <c r="C734" s="334" t="s">
        <v>3603</v>
      </c>
      <c r="G734" s="334">
        <v>121935</v>
      </c>
    </row>
    <row r="735" spans="2:7">
      <c r="B735" s="1497">
        <v>135709</v>
      </c>
      <c r="C735" s="334" t="s">
        <v>3604</v>
      </c>
      <c r="G735" s="334">
        <v>104675</v>
      </c>
    </row>
    <row r="736" spans="2:7">
      <c r="B736" s="1497">
        <v>135961</v>
      </c>
      <c r="C736" s="334" t="s">
        <v>3605</v>
      </c>
      <c r="G736" s="334">
        <v>104176</v>
      </c>
    </row>
    <row r="737" spans="2:7">
      <c r="B737" s="1497">
        <v>135957</v>
      </c>
      <c r="C737" s="334" t="s">
        <v>3606</v>
      </c>
      <c r="G737" s="334">
        <v>101378</v>
      </c>
    </row>
    <row r="738" spans="2:7">
      <c r="B738" s="1497">
        <v>135710</v>
      </c>
      <c r="C738" s="334" t="s">
        <v>3607</v>
      </c>
      <c r="G738" s="334">
        <v>82568</v>
      </c>
    </row>
    <row r="739" spans="2:7">
      <c r="B739" s="1497">
        <v>135986</v>
      </c>
      <c r="C739" s="334" t="s">
        <v>3608</v>
      </c>
      <c r="G739" s="334">
        <v>82040</v>
      </c>
    </row>
    <row r="740" spans="2:7">
      <c r="B740" s="1497">
        <v>135958</v>
      </c>
      <c r="C740" s="334" t="s">
        <v>3609</v>
      </c>
      <c r="G740" s="334">
        <v>71637</v>
      </c>
    </row>
    <row r="741" spans="2:7">
      <c r="B741" s="1497">
        <v>136731</v>
      </c>
      <c r="C741" s="334" t="s">
        <v>3610</v>
      </c>
      <c r="G741" s="334">
        <v>70474</v>
      </c>
    </row>
    <row r="742" spans="2:7">
      <c r="B742" s="1497">
        <v>136080</v>
      </c>
      <c r="C742" s="334" t="s">
        <v>3611</v>
      </c>
      <c r="G742" s="334">
        <v>61952</v>
      </c>
    </row>
    <row r="743" spans="2:7">
      <c r="B743" s="1497">
        <v>135982</v>
      </c>
      <c r="C743" s="334" t="s">
        <v>3612</v>
      </c>
      <c r="G743" s="334">
        <v>61844</v>
      </c>
    </row>
    <row r="744" spans="2:7">
      <c r="B744" s="1497">
        <v>17</v>
      </c>
      <c r="C744" s="334" t="s">
        <v>3613</v>
      </c>
      <c r="G744" s="334">
        <v>59930</v>
      </c>
    </row>
    <row r="745" spans="2:7">
      <c r="B745" s="1497">
        <v>135991</v>
      </c>
      <c r="C745" s="334" t="s">
        <v>3614</v>
      </c>
      <c r="G745" s="334">
        <v>59227</v>
      </c>
    </row>
    <row r="746" spans="2:7">
      <c r="B746" s="1497">
        <v>136740</v>
      </c>
      <c r="C746" s="334" t="s">
        <v>3615</v>
      </c>
      <c r="G746" s="334">
        <v>47597</v>
      </c>
    </row>
    <row r="747" spans="2:7">
      <c r="B747" s="1497">
        <v>135992</v>
      </c>
      <c r="C747" s="334" t="s">
        <v>3616</v>
      </c>
      <c r="G747" s="334">
        <v>47517</v>
      </c>
    </row>
    <row r="748" spans="2:7">
      <c r="B748" s="1497">
        <v>135966</v>
      </c>
      <c r="C748" s="334" t="s">
        <v>3617</v>
      </c>
      <c r="G748" s="334">
        <v>46137</v>
      </c>
    </row>
    <row r="749" spans="2:7">
      <c r="B749" s="1497">
        <v>136085</v>
      </c>
      <c r="C749" s="334" t="s">
        <v>3618</v>
      </c>
      <c r="G749" s="334">
        <v>42950</v>
      </c>
    </row>
    <row r="750" spans="2:7">
      <c r="B750" s="1497">
        <v>136094</v>
      </c>
      <c r="C750" s="334" t="s">
        <v>3619</v>
      </c>
      <c r="G750" s="334">
        <v>42836</v>
      </c>
    </row>
    <row r="751" spans="2:7">
      <c r="B751" s="1497">
        <v>135985</v>
      </c>
      <c r="C751" s="334" t="s">
        <v>3620</v>
      </c>
      <c r="G751" s="334">
        <v>40966</v>
      </c>
    </row>
    <row r="752" spans="2:7">
      <c r="B752" s="1497">
        <v>136095</v>
      </c>
      <c r="C752" s="334" t="s">
        <v>3621</v>
      </c>
      <c r="G752" s="334">
        <v>40394</v>
      </c>
    </row>
    <row r="753" spans="2:7">
      <c r="B753" s="1497">
        <v>136081</v>
      </c>
      <c r="C753" s="334" t="s">
        <v>3622</v>
      </c>
      <c r="G753" s="334">
        <v>40350</v>
      </c>
    </row>
    <row r="754" spans="2:7">
      <c r="B754" s="1497">
        <v>135963</v>
      </c>
      <c r="C754" s="334" t="s">
        <v>3623</v>
      </c>
      <c r="G754" s="334">
        <v>40130</v>
      </c>
    </row>
    <row r="755" spans="2:7">
      <c r="B755" s="1497">
        <v>135964</v>
      </c>
      <c r="C755" s="334" t="s">
        <v>3624</v>
      </c>
      <c r="G755" s="334">
        <v>36739</v>
      </c>
    </row>
    <row r="756" spans="2:7">
      <c r="B756" s="1497">
        <v>135965</v>
      </c>
      <c r="C756" s="334" t="s">
        <v>3625</v>
      </c>
      <c r="G756" s="334">
        <v>36739</v>
      </c>
    </row>
    <row r="757" spans="2:7">
      <c r="B757" s="1497">
        <v>138150</v>
      </c>
      <c r="C757" s="334" t="s">
        <v>3626</v>
      </c>
      <c r="G757" s="334">
        <v>36717</v>
      </c>
    </row>
    <row r="758" spans="2:7">
      <c r="B758" s="1497">
        <v>135959</v>
      </c>
      <c r="C758" s="334" t="s">
        <v>3627</v>
      </c>
      <c r="G758" s="334">
        <v>36588</v>
      </c>
    </row>
    <row r="759" spans="2:7">
      <c r="B759" s="1497">
        <v>135950</v>
      </c>
      <c r="C759" s="334" t="s">
        <v>3628</v>
      </c>
      <c r="G759" s="334">
        <v>36060</v>
      </c>
    </row>
    <row r="760" spans="2:7">
      <c r="B760" s="1497">
        <v>135960</v>
      </c>
      <c r="C760" s="334" t="s">
        <v>3629</v>
      </c>
      <c r="G760" s="334">
        <v>35706</v>
      </c>
    </row>
    <row r="761" spans="2:7">
      <c r="B761" s="1497">
        <v>136084</v>
      </c>
      <c r="C761" s="334" t="s">
        <v>3630</v>
      </c>
      <c r="G761" s="334">
        <v>34715</v>
      </c>
    </row>
    <row r="762" spans="2:7">
      <c r="B762" s="1497">
        <v>136086</v>
      </c>
      <c r="C762" s="334" t="s">
        <v>3631</v>
      </c>
      <c r="G762" s="334">
        <v>33596</v>
      </c>
    </row>
    <row r="763" spans="2:7">
      <c r="B763" s="1497">
        <v>135972</v>
      </c>
      <c r="C763" s="334" t="s">
        <v>3632</v>
      </c>
      <c r="G763" s="334">
        <v>31000</v>
      </c>
    </row>
    <row r="764" spans="2:7">
      <c r="B764" s="1497">
        <v>136097</v>
      </c>
      <c r="C764" s="334" t="s">
        <v>3633</v>
      </c>
      <c r="G764" s="334">
        <v>30450</v>
      </c>
    </row>
    <row r="765" spans="2:7">
      <c r="B765" s="1497">
        <v>135756</v>
      </c>
      <c r="C765" s="334" t="s">
        <v>3634</v>
      </c>
      <c r="G765" s="334">
        <v>28406</v>
      </c>
    </row>
    <row r="766" spans="2:7">
      <c r="B766" s="1497">
        <v>135967</v>
      </c>
      <c r="C766" s="334" t="s">
        <v>3635</v>
      </c>
      <c r="G766" s="334">
        <v>27700</v>
      </c>
    </row>
    <row r="767" spans="2:7">
      <c r="B767" s="1497">
        <v>135968</v>
      </c>
      <c r="C767" s="334" t="s">
        <v>3636</v>
      </c>
      <c r="G767" s="334">
        <v>27700</v>
      </c>
    </row>
    <row r="768" spans="2:7">
      <c r="B768" s="1497">
        <v>135969</v>
      </c>
      <c r="C768" s="334" t="s">
        <v>3637</v>
      </c>
      <c r="G768" s="334">
        <v>27700</v>
      </c>
    </row>
    <row r="769" spans="2:7">
      <c r="B769" s="1497">
        <v>135994</v>
      </c>
      <c r="C769" s="334" t="s">
        <v>3638</v>
      </c>
      <c r="G769" s="334">
        <v>27700</v>
      </c>
    </row>
    <row r="770" spans="2:7">
      <c r="B770" s="1497">
        <v>136087</v>
      </c>
      <c r="C770" s="334" t="s">
        <v>3639</v>
      </c>
      <c r="G770" s="334">
        <v>27700</v>
      </c>
    </row>
    <row r="771" spans="2:7">
      <c r="B771" s="1497">
        <v>136724</v>
      </c>
      <c r="C771" s="334" t="s">
        <v>3640</v>
      </c>
      <c r="G771" s="334">
        <v>27612</v>
      </c>
    </row>
    <row r="772" spans="2:7">
      <c r="B772" s="1497">
        <v>136079</v>
      </c>
      <c r="C772" s="334" t="s">
        <v>3641</v>
      </c>
      <c r="G772" s="334">
        <v>27425</v>
      </c>
    </row>
    <row r="773" spans="2:7">
      <c r="B773" s="1497">
        <v>135984</v>
      </c>
      <c r="C773" s="334" t="s">
        <v>3642</v>
      </c>
      <c r="G773" s="334">
        <v>24950</v>
      </c>
    </row>
    <row r="774" spans="2:7">
      <c r="B774" s="1497">
        <v>135956</v>
      </c>
      <c r="C774" s="334" t="s">
        <v>3643</v>
      </c>
      <c r="G774" s="334">
        <v>19538</v>
      </c>
    </row>
    <row r="775" spans="2:7">
      <c r="B775" s="1497">
        <v>137195</v>
      </c>
      <c r="C775" s="334" t="s">
        <v>3644</v>
      </c>
      <c r="G775" s="334">
        <v>11635</v>
      </c>
    </row>
    <row r="776" spans="2:7">
      <c r="B776" s="1497">
        <v>135987</v>
      </c>
      <c r="C776" s="334" t="s">
        <v>3645</v>
      </c>
      <c r="G776" s="334">
        <v>4805</v>
      </c>
    </row>
    <row r="777" spans="2:7">
      <c r="B777" s="1497">
        <v>136726</v>
      </c>
      <c r="C777" s="334" t="s">
        <v>3646</v>
      </c>
      <c r="G777" s="334">
        <v>3250</v>
      </c>
    </row>
    <row r="778" spans="2:7">
      <c r="B778" s="1497">
        <v>135980</v>
      </c>
      <c r="C778" s="334" t="s">
        <v>3647</v>
      </c>
      <c r="G778" s="334">
        <v>2620</v>
      </c>
    </row>
    <row r="779" spans="2:7">
      <c r="B779" s="1497">
        <v>136091</v>
      </c>
      <c r="C779" s="334" t="s">
        <v>3648</v>
      </c>
      <c r="G779" s="334">
        <v>2400</v>
      </c>
    </row>
    <row r="780" spans="2:7">
      <c r="B780" s="1497">
        <v>136089</v>
      </c>
      <c r="C780" s="334" t="s">
        <v>3649</v>
      </c>
      <c r="G780" s="334">
        <v>1834</v>
      </c>
    </row>
    <row r="781" spans="2:7">
      <c r="B781" s="1497">
        <v>136093</v>
      </c>
      <c r="C781" s="334" t="s">
        <v>3650</v>
      </c>
      <c r="G781" s="334">
        <v>1210</v>
      </c>
    </row>
    <row r="782" spans="2:7">
      <c r="B782" s="1497">
        <v>135989</v>
      </c>
      <c r="C782" s="334" t="s">
        <v>3651</v>
      </c>
      <c r="G782" s="334">
        <v>1100</v>
      </c>
    </row>
    <row r="783" spans="2:7">
      <c r="G783" s="334">
        <v>550</v>
      </c>
    </row>
  </sheetData>
  <mergeCells count="145">
    <mergeCell ref="B646:E646"/>
    <mergeCell ref="B640:C640"/>
    <mergeCell ref="B81:E81"/>
    <mergeCell ref="C477:D477"/>
    <mergeCell ref="B483:C483"/>
    <mergeCell ref="B388:E388"/>
    <mergeCell ref="B455:E455"/>
    <mergeCell ref="B633:E633"/>
    <mergeCell ref="B634:E634"/>
    <mergeCell ref="B387:E387"/>
    <mergeCell ref="B466:E466"/>
    <mergeCell ref="B402:E402"/>
    <mergeCell ref="B408:C408"/>
    <mergeCell ref="B564:E564"/>
    <mergeCell ref="B97:E97"/>
    <mergeCell ref="B475:E475"/>
    <mergeCell ref="B424:E424"/>
    <mergeCell ref="B105:E105"/>
    <mergeCell ref="B163:E163"/>
    <mergeCell ref="B164:E164"/>
    <mergeCell ref="B193:E193"/>
    <mergeCell ref="B370:E370"/>
    <mergeCell ref="B150:E150"/>
    <mergeCell ref="B151:E151"/>
    <mergeCell ref="B601:E601"/>
    <mergeCell ref="B435:E435"/>
    <mergeCell ref="B161:E161"/>
    <mergeCell ref="B186:E186"/>
    <mergeCell ref="B398:E398"/>
    <mergeCell ref="B328:C328"/>
    <mergeCell ref="B139:E139"/>
    <mergeCell ref="B436:E436"/>
    <mergeCell ref="B107:E107"/>
    <mergeCell ref="B108:E108"/>
    <mergeCell ref="B75:E75"/>
    <mergeCell ref="B109:E109"/>
    <mergeCell ref="B94:E94"/>
    <mergeCell ref="B82:E82"/>
    <mergeCell ref="B89:E89"/>
    <mergeCell ref="B157:C157"/>
    <mergeCell ref="B129:C129"/>
    <mergeCell ref="B96:E96"/>
    <mergeCell ref="B90:E90"/>
    <mergeCell ref="B103:E103"/>
    <mergeCell ref="B104:E104"/>
    <mergeCell ref="B116:E116"/>
    <mergeCell ref="B111:E111"/>
    <mergeCell ref="B112:E112"/>
    <mergeCell ref="B91:E91"/>
    <mergeCell ref="B115:E115"/>
    <mergeCell ref="B84:E84"/>
    <mergeCell ref="B85:E85"/>
    <mergeCell ref="B114:E114"/>
    <mergeCell ref="B73:E73"/>
    <mergeCell ref="B71:E71"/>
    <mergeCell ref="B83:E83"/>
    <mergeCell ref="B113:E113"/>
    <mergeCell ref="B95:E95"/>
    <mergeCell ref="B63:E63"/>
    <mergeCell ref="B64:E64"/>
    <mergeCell ref="B92:E92"/>
    <mergeCell ref="B74:E74"/>
    <mergeCell ref="B77:E77"/>
    <mergeCell ref="B60:E60"/>
    <mergeCell ref="B54:E54"/>
    <mergeCell ref="B47:E47"/>
    <mergeCell ref="B68:E68"/>
    <mergeCell ref="B69:E69"/>
    <mergeCell ref="B70:E70"/>
    <mergeCell ref="B46:E46"/>
    <mergeCell ref="B14:E14"/>
    <mergeCell ref="B48:E48"/>
    <mergeCell ref="B51:E51"/>
    <mergeCell ref="B52:E52"/>
    <mergeCell ref="B59:E59"/>
    <mergeCell ref="B87:E87"/>
    <mergeCell ref="B389:E389"/>
    <mergeCell ref="B93:E93"/>
    <mergeCell ref="B88:E88"/>
    <mergeCell ref="B78:E78"/>
    <mergeCell ref="A4:E4"/>
    <mergeCell ref="B6:E6"/>
    <mergeCell ref="B10:E10"/>
    <mergeCell ref="B12:E12"/>
    <mergeCell ref="B45:E45"/>
    <mergeCell ref="B246:E246"/>
    <mergeCell ref="B210:E210"/>
    <mergeCell ref="B192:E192"/>
    <mergeCell ref="B171:C171"/>
    <mergeCell ref="B66:E66"/>
    <mergeCell ref="B106:E106"/>
    <mergeCell ref="B72:E72"/>
    <mergeCell ref="B67:E67"/>
    <mergeCell ref="B159:E159"/>
    <mergeCell ref="B149:E149"/>
    <mergeCell ref="B502:E502"/>
    <mergeCell ref="B529:E529"/>
    <mergeCell ref="B61:E61"/>
    <mergeCell ref="B62:E62"/>
    <mergeCell ref="B86:E86"/>
    <mergeCell ref="B465:C465"/>
    <mergeCell ref="B423:E423"/>
    <mergeCell ref="B401:E401"/>
    <mergeCell ref="B208:E208"/>
    <mergeCell ref="B209:E209"/>
    <mergeCell ref="B247:E247"/>
    <mergeCell ref="B432:C432"/>
    <mergeCell ref="B474:E474"/>
    <mergeCell ref="B488:E488"/>
    <mergeCell ref="B490:E490"/>
    <mergeCell ref="B369:E369"/>
    <mergeCell ref="B249:E249"/>
    <mergeCell ref="B379:E379"/>
    <mergeCell ref="B397:C397"/>
    <mergeCell ref="B489:E489"/>
    <mergeCell ref="B162:E162"/>
    <mergeCell ref="B503:E503"/>
    <mergeCell ref="B632:E632"/>
    <mergeCell ref="B533:E533"/>
    <mergeCell ref="B534:E534"/>
    <mergeCell ref="B585:E585"/>
    <mergeCell ref="B615:C615"/>
    <mergeCell ref="B548:C548"/>
    <mergeCell ref="B556:E556"/>
    <mergeCell ref="B563:C563"/>
    <mergeCell ref="B386:E386"/>
    <mergeCell ref="B377:C377"/>
    <mergeCell ref="B425:E425"/>
    <mergeCell ref="B449:C449"/>
    <mergeCell ref="B456:E456"/>
    <mergeCell ref="B647:E647"/>
    <mergeCell ref="B628:C628"/>
    <mergeCell ref="B621:E621"/>
    <mergeCell ref="C492:D492"/>
    <mergeCell ref="B500:C500"/>
    <mergeCell ref="B173:E173"/>
    <mergeCell ref="B203:C203"/>
    <mergeCell ref="B593:C593"/>
    <mergeCell ref="B568:E568"/>
    <mergeCell ref="B580:C580"/>
    <mergeCell ref="B137:E137"/>
    <mergeCell ref="B146:C146"/>
    <mergeCell ref="B138:E138"/>
    <mergeCell ref="B248:E248"/>
    <mergeCell ref="B229:C229"/>
  </mergeCells>
  <conditionalFormatting sqref="D615:D617 D580 D548 D500 D465 D397 D377:D378 D328 D229:D230 D483 D171:D172 D157 D449 D146:D147 D563 D432:D433 D380:D384 D408:D421 D129:D135 D565 D174:D184">
    <cfRule type="expression" priority="13" stopIfTrue="1">
      <formula>"$E$165&gt;=1,¨Aumento¨"</formula>
    </cfRule>
  </conditionalFormatting>
  <conditionalFormatting sqref="D593">
    <cfRule type="expression" priority="1" stopIfTrue="1">
      <formula>"$E$165&gt;=1,¨Aumento¨"</formula>
    </cfRule>
  </conditionalFormatting>
  <pageMargins left="0.70866141732283472" right="0.70866141732283472" top="1.3130314960629921" bottom="0.74803149606299213" header="0.31496062992125984" footer="0.31496062992125984"/>
  <pageSetup scale="85" orientation="portrait" r:id="rId1"/>
  <headerFooter>
    <oddFooter>Página &amp;P</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4:V408"/>
  <sheetViews>
    <sheetView showGridLines="0" zoomScale="90" zoomScaleNormal="90" workbookViewId="0">
      <selection activeCell="E33" sqref="E33"/>
    </sheetView>
  </sheetViews>
  <sheetFormatPr baseColWidth="10" defaultColWidth="9.140625" defaultRowHeight="15"/>
  <cols>
    <col min="1" max="1" width="4.28515625" customWidth="1"/>
    <col min="2" max="2" width="31.140625" customWidth="1"/>
    <col min="3" max="3" width="16" customWidth="1"/>
    <col min="4" max="4" width="18.5703125" customWidth="1"/>
    <col min="5" max="5" width="16" customWidth="1"/>
    <col min="6" max="6" width="16.85546875" customWidth="1"/>
    <col min="7" max="7" width="15" customWidth="1"/>
    <col min="8" max="8" width="17.85546875" customWidth="1"/>
    <col min="9" max="9" width="12.7109375" customWidth="1"/>
    <col min="10" max="10" width="11.7109375" hidden="1" customWidth="1"/>
    <col min="11" max="11" width="15" customWidth="1"/>
    <col min="12" max="12" width="20.28515625" hidden="1" customWidth="1"/>
    <col min="13" max="13" width="18.42578125" customWidth="1"/>
    <col min="14" max="14" width="18.7109375" customWidth="1"/>
    <col min="15" max="15" width="16" style="1628" bestFit="1" customWidth="1"/>
    <col min="16" max="16" width="19" style="1628" bestFit="1" customWidth="1"/>
    <col min="17" max="17" width="15.5703125" style="1628" bestFit="1" customWidth="1"/>
    <col min="18" max="18" width="23.28515625" style="1628" bestFit="1" customWidth="1"/>
    <col min="19" max="19" width="21.5703125" style="1628" bestFit="1" customWidth="1"/>
    <col min="20" max="20" width="21.28515625" style="1628" bestFit="1" customWidth="1"/>
    <col min="21" max="21" width="23.7109375" style="1628" bestFit="1" customWidth="1"/>
    <col min="22" max="22" width="13.28515625" bestFit="1" customWidth="1"/>
  </cols>
  <sheetData>
    <row r="4" spans="2:22" ht="15.75">
      <c r="B4" s="940" t="s">
        <v>3873</v>
      </c>
      <c r="C4" s="939"/>
      <c r="D4" s="939"/>
      <c r="E4" s="939"/>
      <c r="F4" s="939"/>
      <c r="G4" s="939"/>
      <c r="H4" s="939"/>
      <c r="I4" s="939"/>
      <c r="J4" s="939"/>
      <c r="K4" s="939"/>
    </row>
    <row r="5" spans="2:22" ht="15.75">
      <c r="B5" s="940"/>
      <c r="C5" s="1283"/>
      <c r="D5" s="1283"/>
      <c r="E5" s="1283"/>
      <c r="F5" s="1283"/>
      <c r="G5" s="1283"/>
      <c r="H5" s="1283"/>
      <c r="I5" s="1283"/>
      <c r="J5" s="1283"/>
      <c r="K5" s="1283"/>
    </row>
    <row r="6" spans="2:22" ht="24">
      <c r="B6" s="942"/>
      <c r="C6" s="943" t="s">
        <v>1216</v>
      </c>
      <c r="D6" s="943" t="s">
        <v>2382</v>
      </c>
      <c r="E6" s="943" t="s">
        <v>2383</v>
      </c>
      <c r="F6" s="943" t="s">
        <v>2384</v>
      </c>
      <c r="G6" s="943" t="s">
        <v>2391</v>
      </c>
      <c r="H6" s="943" t="s">
        <v>2390</v>
      </c>
      <c r="I6" s="943" t="s">
        <v>2385</v>
      </c>
      <c r="J6" s="943" t="s">
        <v>2386</v>
      </c>
      <c r="K6" s="944" t="s">
        <v>1415</v>
      </c>
    </row>
    <row r="7" spans="2:22" ht="15.75">
      <c r="B7" s="941" t="s">
        <v>4227</v>
      </c>
      <c r="C7" s="945">
        <v>1623675</v>
      </c>
      <c r="D7" s="945"/>
      <c r="E7" s="945">
        <v>1016680796.5599999</v>
      </c>
      <c r="F7" s="945">
        <v>37303885.030000001</v>
      </c>
      <c r="G7" s="945">
        <v>578847</v>
      </c>
      <c r="H7" s="945">
        <v>16016968.830000002</v>
      </c>
      <c r="I7" s="945">
        <v>53558445.270000003</v>
      </c>
      <c r="J7" s="945"/>
      <c r="K7" s="945">
        <f>SUM(C7:J7)</f>
        <v>1125762617.6900001</v>
      </c>
      <c r="L7" s="11">
        <v>1021442441.35</v>
      </c>
      <c r="N7">
        <v>1623675</v>
      </c>
      <c r="P7" s="1628">
        <v>1007476893.79</v>
      </c>
      <c r="Q7" s="1628">
        <v>35530944.769999996</v>
      </c>
      <c r="R7" s="1628">
        <v>396650</v>
      </c>
      <c r="S7" s="1628">
        <v>15624467.83</v>
      </c>
      <c r="T7" s="1628">
        <v>49247422.689999998</v>
      </c>
      <c r="V7">
        <v>1109900054.0799999</v>
      </c>
    </row>
    <row r="8" spans="2:22" ht="15.75">
      <c r="B8" s="941" t="s">
        <v>2187</v>
      </c>
      <c r="C8" s="945">
        <v>0</v>
      </c>
      <c r="D8" s="945"/>
      <c r="E8" s="945">
        <v>33222592.969999999</v>
      </c>
      <c r="F8" s="945">
        <v>8494223.2399999984</v>
      </c>
      <c r="G8" s="945">
        <v>10596.94</v>
      </c>
      <c r="H8" s="945">
        <v>2387515.2999999989</v>
      </c>
      <c r="I8" s="945">
        <v>2965022.7099999986</v>
      </c>
      <c r="J8" s="945"/>
      <c r="K8" s="945">
        <f>SUM(C8:J8)</f>
        <v>47079951.159999989</v>
      </c>
      <c r="L8" s="11">
        <v>38565764.04999999</v>
      </c>
      <c r="N8">
        <v>0</v>
      </c>
      <c r="P8" s="1628">
        <v>9203902.7700000033</v>
      </c>
      <c r="Q8" s="1628">
        <v>1772940.2600000079</v>
      </c>
      <c r="R8" s="1628">
        <v>182197</v>
      </c>
      <c r="S8" s="1628">
        <v>392501.00000000093</v>
      </c>
      <c r="T8" s="1628">
        <v>4311022.5800000047</v>
      </c>
      <c r="V8">
        <v>15862563.610000018</v>
      </c>
    </row>
    <row r="9" spans="2:22" ht="15.75">
      <c r="B9" s="941" t="s">
        <v>2188</v>
      </c>
      <c r="C9" s="945">
        <v>0</v>
      </c>
      <c r="D9" s="945"/>
      <c r="E9" s="945">
        <v>0</v>
      </c>
      <c r="F9" s="945">
        <v>0</v>
      </c>
      <c r="G9" s="945">
        <v>0</v>
      </c>
      <c r="H9" s="945">
        <v>0</v>
      </c>
      <c r="I9" s="945">
        <v>0</v>
      </c>
      <c r="J9" s="945"/>
      <c r="K9" s="945">
        <f>SUM(C9:J9)</f>
        <v>0</v>
      </c>
      <c r="L9" s="11">
        <v>0</v>
      </c>
      <c r="N9">
        <v>0</v>
      </c>
      <c r="P9" s="1628">
        <v>0</v>
      </c>
      <c r="Q9" s="1628">
        <v>0</v>
      </c>
      <c r="R9" s="1628">
        <v>0</v>
      </c>
      <c r="S9" s="1628">
        <v>0</v>
      </c>
      <c r="T9" s="1628">
        <v>0</v>
      </c>
      <c r="V9">
        <v>0</v>
      </c>
    </row>
    <row r="10" spans="2:22" ht="15.75">
      <c r="B10" s="941" t="s">
        <v>2387</v>
      </c>
      <c r="C10" s="945"/>
      <c r="D10" s="945"/>
      <c r="E10" s="945"/>
      <c r="F10" s="945"/>
      <c r="G10" s="945"/>
      <c r="H10" s="945"/>
      <c r="I10" s="945"/>
      <c r="J10" s="945"/>
      <c r="K10" s="945">
        <f>SUM(C10:J10)</f>
        <v>0</v>
      </c>
      <c r="L10" s="11">
        <v>0</v>
      </c>
      <c r="V10">
        <v>0</v>
      </c>
    </row>
    <row r="11" spans="2:22" ht="15.75">
      <c r="B11" s="941" t="s">
        <v>1642</v>
      </c>
      <c r="C11" s="946"/>
      <c r="D11" s="946"/>
      <c r="E11" s="946"/>
      <c r="F11" s="946">
        <v>-5291040</v>
      </c>
      <c r="G11" s="946"/>
      <c r="H11" s="946"/>
      <c r="I11" s="946">
        <v>5291040</v>
      </c>
      <c r="J11" s="946"/>
      <c r="K11" s="946">
        <f>SUM(C11:J11)</f>
        <v>0</v>
      </c>
      <c r="L11" s="11">
        <v>0</v>
      </c>
      <c r="V11">
        <v>0</v>
      </c>
    </row>
    <row r="12" spans="2:22" ht="15.75">
      <c r="B12" s="941" t="s">
        <v>2388</v>
      </c>
      <c r="C12" s="947">
        <v>1623675</v>
      </c>
      <c r="D12" s="947">
        <v>0</v>
      </c>
      <c r="E12" s="947">
        <f>SUM(E7:E9)</f>
        <v>1049903389.53</v>
      </c>
      <c r="F12" s="947">
        <f t="shared" ref="F12:K12" si="0">SUM(F7:F9)</f>
        <v>45798108.269999996</v>
      </c>
      <c r="G12" s="947">
        <f t="shared" si="0"/>
        <v>589443.93999999994</v>
      </c>
      <c r="H12" s="947">
        <f t="shared" si="0"/>
        <v>18404484.130000003</v>
      </c>
      <c r="I12" s="947">
        <f t="shared" si="0"/>
        <v>56523467.980000004</v>
      </c>
      <c r="J12" s="947">
        <f t="shared" si="0"/>
        <v>0</v>
      </c>
      <c r="K12" s="947">
        <f t="shared" si="0"/>
        <v>1172842568.8500001</v>
      </c>
      <c r="L12" s="11">
        <v>1060008205.4</v>
      </c>
      <c r="N12">
        <v>1623675</v>
      </c>
      <c r="O12" s="1628">
        <v>0</v>
      </c>
      <c r="P12" s="1628">
        <v>1016680796.5599999</v>
      </c>
      <c r="Q12" s="1628">
        <v>37303885.030000001</v>
      </c>
      <c r="R12" s="1628">
        <v>578847</v>
      </c>
      <c r="S12" s="1628">
        <v>16016968.830000002</v>
      </c>
      <c r="T12" s="1628">
        <v>53558445.270000003</v>
      </c>
      <c r="U12" s="1628">
        <v>0</v>
      </c>
      <c r="V12">
        <v>1125762617.6900001</v>
      </c>
    </row>
    <row r="13" spans="2:22" ht="31.5">
      <c r="B13" s="941" t="s">
        <v>2389</v>
      </c>
      <c r="C13" s="948"/>
      <c r="D13" s="948">
        <v>0</v>
      </c>
      <c r="E13" s="948">
        <v>270856525.61000001</v>
      </c>
      <c r="F13" s="948">
        <v>26935891.919999998</v>
      </c>
      <c r="G13" s="948">
        <v>156514.22</v>
      </c>
      <c r="H13" s="948">
        <v>11856936.66</v>
      </c>
      <c r="I13" s="948">
        <v>38206151.979999997</v>
      </c>
      <c r="J13" s="948"/>
      <c r="K13" s="945">
        <f>SUM(C13:J13)</f>
        <v>348012020.3900001</v>
      </c>
      <c r="L13" s="11">
        <v>145584593.88</v>
      </c>
      <c r="O13" s="1628">
        <v>0</v>
      </c>
      <c r="P13" s="1628">
        <v>220360422.87</v>
      </c>
      <c r="Q13" s="1628">
        <v>24689545.350000001</v>
      </c>
      <c r="R13" s="1628">
        <v>131638.68</v>
      </c>
      <c r="S13" s="1628">
        <v>10876825.58</v>
      </c>
      <c r="T13" s="1628">
        <v>34810179.979999997</v>
      </c>
      <c r="V13">
        <v>290868612.46000004</v>
      </c>
    </row>
    <row r="14" spans="2:22" ht="15.75">
      <c r="B14" s="941" t="s">
        <v>2784</v>
      </c>
      <c r="C14" s="948"/>
      <c r="D14" s="948"/>
      <c r="E14" s="948">
        <v>38952343.180000007</v>
      </c>
      <c r="F14" s="948">
        <v>1558222.4900000026</v>
      </c>
      <c r="G14" s="948">
        <v>8264.6600000000035</v>
      </c>
      <c r="H14" s="948">
        <v>650544.72999999905</v>
      </c>
      <c r="I14" s="948">
        <v>5273734.3300000057</v>
      </c>
      <c r="J14" s="948"/>
      <c r="K14" s="1479">
        <f>SUM(C14:J14)</f>
        <v>46443109.390000008</v>
      </c>
      <c r="L14" s="11">
        <v>47033171.399999991</v>
      </c>
      <c r="P14" s="1628">
        <v>50496102.74000001</v>
      </c>
      <c r="Q14" s="1628">
        <v>2246346.5699999975</v>
      </c>
      <c r="R14" s="1628">
        <v>24875.540000000008</v>
      </c>
      <c r="S14" s="1628">
        <v>980111.08000000054</v>
      </c>
      <c r="T14" s="1628">
        <v>3395972</v>
      </c>
      <c r="V14">
        <v>57143407.930000007</v>
      </c>
    </row>
    <row r="15" spans="2:22" ht="15.75">
      <c r="B15" s="941" t="s">
        <v>2188</v>
      </c>
      <c r="C15" s="946"/>
      <c r="D15" s="946"/>
      <c r="E15" s="946"/>
      <c r="F15" s="946"/>
      <c r="G15" s="946"/>
      <c r="H15" s="946"/>
      <c r="I15" s="946"/>
      <c r="J15" s="946"/>
      <c r="K15" s="945">
        <f>SUM(C15:J15)</f>
        <v>0</v>
      </c>
      <c r="L15" s="11">
        <v>0</v>
      </c>
      <c r="V15">
        <v>0</v>
      </c>
    </row>
    <row r="16" spans="2:22" ht="15.75">
      <c r="B16" s="941" t="s">
        <v>2388</v>
      </c>
      <c r="C16" s="946">
        <f ca="1">SUM(C13:C16)</f>
        <v>0</v>
      </c>
      <c r="D16" s="946">
        <f ca="1">SUM(D13:D16)</f>
        <v>0</v>
      </c>
      <c r="E16" s="946">
        <f t="shared" ref="E16:K16" si="1">SUM(E13:E15)</f>
        <v>309808868.79000002</v>
      </c>
      <c r="F16" s="946">
        <f t="shared" si="1"/>
        <v>28494114.41</v>
      </c>
      <c r="G16" s="946">
        <f t="shared" si="1"/>
        <v>164778.88</v>
      </c>
      <c r="H16" s="946">
        <f t="shared" si="1"/>
        <v>12507481.389999999</v>
      </c>
      <c r="I16" s="946">
        <f t="shared" si="1"/>
        <v>43479886.310000002</v>
      </c>
      <c r="J16" s="946">
        <f t="shared" si="1"/>
        <v>0</v>
      </c>
      <c r="K16" s="946">
        <f t="shared" si="1"/>
        <v>394455129.78000009</v>
      </c>
      <c r="L16" s="11">
        <v>192617765.27999997</v>
      </c>
      <c r="N16">
        <v>0</v>
      </c>
      <c r="O16" s="1628">
        <v>0</v>
      </c>
      <c r="P16" s="1628">
        <v>270856525.61000001</v>
      </c>
      <c r="Q16" s="1628">
        <v>26935891.919999998</v>
      </c>
      <c r="R16" s="1628">
        <v>156514.22</v>
      </c>
      <c r="S16" s="1628">
        <v>11856936.66</v>
      </c>
      <c r="T16" s="1628">
        <v>38206151.979999997</v>
      </c>
      <c r="U16" s="1628">
        <v>0</v>
      </c>
      <c r="V16">
        <v>348012020.39000005</v>
      </c>
    </row>
    <row r="17" spans="2:22" ht="31.5">
      <c r="B17" s="941" t="s">
        <v>4243</v>
      </c>
      <c r="C17" s="947">
        <v>1623675</v>
      </c>
      <c r="D17" s="947">
        <v>0</v>
      </c>
      <c r="E17" s="947">
        <f>+E12-E16</f>
        <v>740094520.74000001</v>
      </c>
      <c r="F17" s="947">
        <f t="shared" ref="F17:K17" si="2">+F12-F16</f>
        <v>17303993.859999996</v>
      </c>
      <c r="G17" s="947">
        <f t="shared" si="2"/>
        <v>424665.05999999994</v>
      </c>
      <c r="H17" s="947">
        <f t="shared" si="2"/>
        <v>5897002.7400000039</v>
      </c>
      <c r="I17" s="947">
        <f t="shared" si="2"/>
        <v>13043581.670000002</v>
      </c>
      <c r="J17" s="947">
        <f t="shared" si="2"/>
        <v>0</v>
      </c>
      <c r="K17" s="947">
        <f t="shared" si="2"/>
        <v>778387439.07000005</v>
      </c>
      <c r="L17" s="11">
        <v>867390440.12</v>
      </c>
      <c r="M17" s="11"/>
      <c r="N17" s="11">
        <v>1623675</v>
      </c>
      <c r="O17" s="1628">
        <v>0</v>
      </c>
      <c r="P17" s="1628">
        <v>745824270.94999993</v>
      </c>
      <c r="Q17" s="1628">
        <v>10367993.110000003</v>
      </c>
      <c r="R17" s="1628">
        <v>422332.78</v>
      </c>
      <c r="S17" s="1628">
        <v>4160032.1700000018</v>
      </c>
      <c r="T17" s="1628">
        <v>15352293.290000007</v>
      </c>
      <c r="U17" s="1628">
        <v>0</v>
      </c>
      <c r="V17">
        <v>777750597.29999995</v>
      </c>
    </row>
    <row r="18" spans="2:22" ht="15.75">
      <c r="B18" s="940"/>
      <c r="C18" s="1283"/>
      <c r="D18" s="1283"/>
      <c r="E18" s="1283"/>
      <c r="F18" s="1283"/>
      <c r="G18" s="1283"/>
      <c r="H18" s="599"/>
      <c r="I18" s="1283"/>
      <c r="J18" s="1283"/>
      <c r="K18" s="1690">
        <f>+K17-'ES F '!C24</f>
        <v>0</v>
      </c>
      <c r="V18">
        <v>0</v>
      </c>
    </row>
    <row r="19" spans="2:22" ht="15.75">
      <c r="B19" s="940"/>
      <c r="C19" s="599"/>
      <c r="D19" s="599"/>
      <c r="E19" s="599"/>
      <c r="F19" s="599"/>
      <c r="G19" s="599"/>
      <c r="H19" s="599"/>
      <c r="I19" s="599"/>
      <c r="J19" s="1283"/>
      <c r="K19" s="1283"/>
    </row>
    <row r="20" spans="2:22" ht="15.75">
      <c r="B20" s="940"/>
      <c r="C20" s="1283"/>
      <c r="D20" s="1283"/>
      <c r="E20" s="1283"/>
      <c r="F20" s="1283"/>
      <c r="G20" s="1283"/>
      <c r="H20" s="1283"/>
      <c r="I20" s="1283"/>
      <c r="J20" s="1283"/>
      <c r="K20" s="1283"/>
    </row>
    <row r="21" spans="2:22" ht="24">
      <c r="B21" s="942"/>
      <c r="C21" s="943" t="s">
        <v>1216</v>
      </c>
      <c r="D21" s="943" t="s">
        <v>2382</v>
      </c>
      <c r="E21" s="943" t="s">
        <v>2383</v>
      </c>
      <c r="F21" s="943" t="s">
        <v>2384</v>
      </c>
      <c r="G21" s="943" t="s">
        <v>2391</v>
      </c>
      <c r="H21" s="943" t="s">
        <v>2390</v>
      </c>
      <c r="I21" s="943" t="s">
        <v>2385</v>
      </c>
      <c r="J21" s="943" t="s">
        <v>2386</v>
      </c>
      <c r="K21" s="944" t="s">
        <v>1415</v>
      </c>
      <c r="N21" t="s">
        <v>1216</v>
      </c>
      <c r="O21" s="1628" t="s">
        <v>2382</v>
      </c>
      <c r="P21" s="1628" t="s">
        <v>2383</v>
      </c>
      <c r="Q21" s="1628" t="s">
        <v>2384</v>
      </c>
      <c r="R21" s="1628" t="s">
        <v>2391</v>
      </c>
      <c r="S21" s="1628" t="s">
        <v>3797</v>
      </c>
      <c r="T21" s="1628" t="s">
        <v>2385</v>
      </c>
      <c r="U21" s="1628" t="s">
        <v>2386</v>
      </c>
      <c r="V21" t="s">
        <v>1415</v>
      </c>
    </row>
    <row r="22" spans="2:22" ht="15.75">
      <c r="B22" s="941" t="s">
        <v>4244</v>
      </c>
      <c r="C22" s="945">
        <f>+C17</f>
        <v>1623675</v>
      </c>
      <c r="D22" s="945"/>
      <c r="E22" s="945">
        <f>+E12</f>
        <v>1049903389.53</v>
      </c>
      <c r="F22" s="945">
        <f>+F12</f>
        <v>45798108.269999996</v>
      </c>
      <c r="G22" s="945">
        <f>+G12</f>
        <v>589443.93999999994</v>
      </c>
      <c r="H22" s="945">
        <f>+H12</f>
        <v>18404484.130000003</v>
      </c>
      <c r="I22" s="945">
        <f>+I12</f>
        <v>56523467.980000004</v>
      </c>
      <c r="J22" s="945"/>
      <c r="K22" s="945">
        <f>SUM(C22:J22)</f>
        <v>1172842568.8500001</v>
      </c>
      <c r="M22" s="11"/>
      <c r="N22">
        <v>1623675</v>
      </c>
      <c r="P22" s="1628">
        <v>1016680796.5599999</v>
      </c>
      <c r="Q22" s="1628">
        <v>37303885.030000001</v>
      </c>
      <c r="R22" s="1628">
        <v>578847</v>
      </c>
      <c r="S22" s="1628">
        <v>16016968.830000002</v>
      </c>
      <c r="T22" s="1628">
        <v>53558445.270000003</v>
      </c>
      <c r="V22">
        <v>1125762617.6900001</v>
      </c>
    </row>
    <row r="23" spans="2:22" ht="15.75">
      <c r="B23" s="941" t="s">
        <v>2187</v>
      </c>
      <c r="C23" s="945">
        <f>+'Notas NF'!C297</f>
        <v>0</v>
      </c>
      <c r="D23" s="945"/>
      <c r="E23" s="945">
        <f>+'BALANZA G'!C58-'BALANZA G'!D58+'BALANZA G'!C57-'BALANZA G'!D57+'BALANZA G'!C56-'BALANZA G'!D56</f>
        <v>5541311.1799999923</v>
      </c>
      <c r="F23" s="945">
        <f>+'BALANZA G'!C59+'BALANZA G'!C74+'BALANZA G'!C76+'BALANZA G'!C77+'BALANZA G'!C78+'BALANZA G'!C72+'BALANZA G'!C63-nota12!F22+'BALANZA G'!C61+'BALANZA G'!C67+'BALANZA G'!C75+'BALANZA G'!C76-'BALANZA G'!D76+'BALANZA G'!C80</f>
        <v>2.7939677238464355E-9</v>
      </c>
      <c r="G23" s="945">
        <f>-G22+'BALANZA G'!C68+'BALANZA G'!C69+'BALANZA G'!C70</f>
        <v>5.6388671509921551E-11</v>
      </c>
      <c r="H23" s="945">
        <f>-H22+'BALANZA G'!C65+'BALANZA G'!C71</f>
        <v>0</v>
      </c>
      <c r="I23" s="945">
        <f>-I22+'BALANZA G'!C64+'BALANZA G'!C79+'BALANZA G'!C66+'BALANZA G'!C91</f>
        <v>-2.3865140974521637E-9</v>
      </c>
      <c r="J23" s="945"/>
      <c r="K23" s="945">
        <f>SUM(C23:J23)</f>
        <v>5541311.1799999923</v>
      </c>
      <c r="M23" s="11"/>
      <c r="N23" s="11">
        <v>0</v>
      </c>
      <c r="P23" s="1628">
        <v>33222592.969999999</v>
      </c>
      <c r="Q23" s="1628">
        <v>8494223.2399999984</v>
      </c>
      <c r="R23" s="1628">
        <v>10596.94</v>
      </c>
      <c r="S23" s="1628">
        <v>2387515.2999999989</v>
      </c>
      <c r="T23" s="1628">
        <v>2965022.7099999986</v>
      </c>
      <c r="V23">
        <v>47079951.159999989</v>
      </c>
    </row>
    <row r="24" spans="2:22" ht="15.75">
      <c r="B24" s="941" t="s">
        <v>2188</v>
      </c>
      <c r="C24" s="945">
        <f>-'Notas NF'!C298</f>
        <v>0</v>
      </c>
      <c r="D24" s="945"/>
      <c r="E24" s="945">
        <f>-'Notas NF'!C305</f>
        <v>0</v>
      </c>
      <c r="F24" s="945">
        <f>-'Notas NF'!C256</f>
        <v>0</v>
      </c>
      <c r="G24" s="945">
        <f>-'Notas NF'!C274</f>
        <v>0</v>
      </c>
      <c r="H24" s="945">
        <f>-'Notas NF'!C283</f>
        <v>0</v>
      </c>
      <c r="I24" s="945">
        <f>-'Notas NF'!C265</f>
        <v>0</v>
      </c>
      <c r="J24" s="945"/>
      <c r="K24" s="945">
        <f>SUM(C24:J24)</f>
        <v>0</v>
      </c>
      <c r="M24" s="11"/>
      <c r="N24" s="11">
        <v>0</v>
      </c>
      <c r="P24" s="1628">
        <v>0</v>
      </c>
      <c r="Q24" s="1628">
        <v>0</v>
      </c>
      <c r="R24" s="1628">
        <v>0</v>
      </c>
      <c r="S24" s="1628">
        <v>0</v>
      </c>
      <c r="T24" s="1628">
        <v>0</v>
      </c>
      <c r="V24">
        <v>0</v>
      </c>
    </row>
    <row r="25" spans="2:22" ht="15.75">
      <c r="B25" s="941" t="s">
        <v>2387</v>
      </c>
      <c r="C25" s="945"/>
      <c r="D25" s="945"/>
      <c r="E25" s="945"/>
      <c r="F25" s="945"/>
      <c r="G25" s="945"/>
      <c r="H25" s="945"/>
      <c r="I25" s="945"/>
      <c r="J25" s="945"/>
      <c r="K25" s="945">
        <f>SUM(C25:J25)</f>
        <v>0</v>
      </c>
      <c r="M25" s="11"/>
      <c r="V25">
        <v>0</v>
      </c>
    </row>
    <row r="26" spans="2:22" ht="15.75">
      <c r="B26" s="941" t="s">
        <v>1642</v>
      </c>
      <c r="C26" s="946"/>
      <c r="D26" s="946"/>
      <c r="E26" s="946"/>
      <c r="F26" s="946">
        <f>-I26</f>
        <v>-5291040</v>
      </c>
      <c r="G26" s="946"/>
      <c r="H26" s="946"/>
      <c r="I26" s="946">
        <v>5291040</v>
      </c>
      <c r="J26" s="946"/>
      <c r="K26" s="946">
        <f>SUM(C26:J26)</f>
        <v>0</v>
      </c>
      <c r="Q26" s="1628">
        <v>-5291040</v>
      </c>
      <c r="T26" s="1628">
        <v>5291040</v>
      </c>
      <c r="V26">
        <v>0</v>
      </c>
    </row>
    <row r="27" spans="2:22" ht="15.75">
      <c r="B27" s="1324" t="s">
        <v>4228</v>
      </c>
      <c r="C27" s="947">
        <f>SUM(C22:C26)</f>
        <v>1623675</v>
      </c>
      <c r="D27" s="947">
        <f t="shared" ref="D27:K27" si="3">SUM(D22:D26)</f>
        <v>0</v>
      </c>
      <c r="E27" s="947">
        <f t="shared" si="3"/>
        <v>1055444700.7099999</v>
      </c>
      <c r="F27" s="947">
        <f t="shared" si="3"/>
        <v>40507068.269999996</v>
      </c>
      <c r="G27" s="947">
        <f t="shared" si="3"/>
        <v>589443.93999999994</v>
      </c>
      <c r="H27" s="947">
        <f t="shared" si="3"/>
        <v>18404484.130000003</v>
      </c>
      <c r="I27" s="947">
        <f t="shared" si="3"/>
        <v>61814507.980000004</v>
      </c>
      <c r="J27" s="947">
        <f t="shared" si="3"/>
        <v>0</v>
      </c>
      <c r="K27" s="947">
        <f t="shared" si="3"/>
        <v>1178383880.0300002</v>
      </c>
      <c r="N27">
        <v>1623675</v>
      </c>
      <c r="O27" s="1628">
        <v>0</v>
      </c>
      <c r="P27" s="1628">
        <v>1049903389.53</v>
      </c>
      <c r="Q27" s="1628">
        <v>40507068.269999996</v>
      </c>
      <c r="R27" s="1628">
        <v>589443.93999999994</v>
      </c>
      <c r="S27" s="1628">
        <v>18404484.130000003</v>
      </c>
      <c r="T27" s="1628">
        <v>61814507.980000004</v>
      </c>
      <c r="U27" s="1628">
        <v>0</v>
      </c>
      <c r="V27">
        <v>1172842568.8500001</v>
      </c>
    </row>
    <row r="28" spans="2:22" ht="31.5">
      <c r="B28" s="941" t="s">
        <v>2389</v>
      </c>
      <c r="C28" s="948"/>
      <c r="D28" s="948">
        <v>0</v>
      </c>
      <c r="E28" s="948">
        <f>+'BALANZA G'!D81</f>
        <v>309808868.79000002</v>
      </c>
      <c r="F28" s="948">
        <f>+'BALANZA G'!D82+'BALANZA G'!D83+'BALANZA G'!D84</f>
        <v>28494114.41</v>
      </c>
      <c r="G28" s="948">
        <f>+'BALANZA G'!D85</f>
        <v>164778.88</v>
      </c>
      <c r="H28" s="948">
        <f>+'BALANZA G'!D86+'BALANZA G'!D87</f>
        <v>12507481.389999999</v>
      </c>
      <c r="I28" s="948">
        <f>+'BALANZA G'!D88</f>
        <v>43479886.310000002</v>
      </c>
      <c r="J28" s="948"/>
      <c r="K28" s="945">
        <f>SUM(C28:J28)</f>
        <v>394455129.78000003</v>
      </c>
      <c r="M28" s="11"/>
      <c r="O28" s="1628">
        <v>0</v>
      </c>
      <c r="P28" s="1628">
        <v>270856525.61000001</v>
      </c>
      <c r="Q28" s="1628">
        <v>26935891.919999998</v>
      </c>
      <c r="R28" s="1628">
        <v>156514.22</v>
      </c>
      <c r="S28" s="1628">
        <v>11856936.66</v>
      </c>
      <c r="T28" s="1628">
        <v>38206151.979999997</v>
      </c>
      <c r="V28">
        <v>348012020.3900001</v>
      </c>
    </row>
    <row r="29" spans="2:22" ht="15.75">
      <c r="B29" s="941" t="s">
        <v>2784</v>
      </c>
      <c r="C29" s="948"/>
      <c r="D29" s="948"/>
      <c r="E29" s="948">
        <f>-E28+'BALANZA G'!C81</f>
        <v>0</v>
      </c>
      <c r="F29" s="948">
        <f>-F28+'BALANZA G'!C82+'BALANZA G'!C83+'BALANZA G'!C84</f>
        <v>3.4924596548080444E-10</v>
      </c>
      <c r="G29" s="948">
        <f>-G28+'BALANZA G'!C85</f>
        <v>0</v>
      </c>
      <c r="H29" s="948">
        <f>-H28+'BALANZA G'!C86+'BALANZA G'!C87</f>
        <v>0</v>
      </c>
      <c r="I29" s="948">
        <f>-I28+'BALANZA G'!C88</f>
        <v>0</v>
      </c>
      <c r="J29" s="948"/>
      <c r="K29" s="1479">
        <f>SUM(C29:J29)</f>
        <v>3.4924596548080444E-10</v>
      </c>
      <c r="M29" s="11"/>
      <c r="N29" s="1627"/>
      <c r="P29" s="1628">
        <v>38952343.180000007</v>
      </c>
      <c r="Q29" s="1628">
        <v>1558222.4900000026</v>
      </c>
      <c r="R29" s="1628">
        <v>8264.6600000000035</v>
      </c>
      <c r="S29" s="1628">
        <v>650544.72999999905</v>
      </c>
      <c r="T29" s="1628">
        <v>5273734.3300000057</v>
      </c>
      <c r="V29">
        <v>46443109.390000008</v>
      </c>
    </row>
    <row r="30" spans="2:22" ht="15.75">
      <c r="B30" s="941" t="s">
        <v>2188</v>
      </c>
      <c r="C30" s="946"/>
      <c r="D30" s="946"/>
      <c r="E30" s="946"/>
      <c r="F30" s="946"/>
      <c r="G30" s="946"/>
      <c r="H30" s="946"/>
      <c r="I30" s="946"/>
      <c r="J30" s="946"/>
      <c r="K30" s="945">
        <f>SUM(C30:J30)</f>
        <v>0</v>
      </c>
      <c r="N30" s="11"/>
      <c r="V30">
        <v>0</v>
      </c>
    </row>
    <row r="31" spans="2:22" ht="15.75">
      <c r="B31" s="941" t="s">
        <v>2388</v>
      </c>
      <c r="C31" s="946">
        <f t="shared" ref="C31:K31" si="4">SUM(C28:C30)</f>
        <v>0</v>
      </c>
      <c r="D31" s="946">
        <f t="shared" si="4"/>
        <v>0</v>
      </c>
      <c r="E31" s="946">
        <f t="shared" si="4"/>
        <v>309808868.79000002</v>
      </c>
      <c r="F31" s="946">
        <f t="shared" si="4"/>
        <v>28494114.41</v>
      </c>
      <c r="G31" s="946">
        <f t="shared" si="4"/>
        <v>164778.88</v>
      </c>
      <c r="H31" s="946">
        <f t="shared" si="4"/>
        <v>12507481.389999999</v>
      </c>
      <c r="I31" s="946">
        <f t="shared" si="4"/>
        <v>43479886.310000002</v>
      </c>
      <c r="J31" s="946">
        <f t="shared" si="4"/>
        <v>0</v>
      </c>
      <c r="K31" s="946">
        <f t="shared" si="4"/>
        <v>394455129.78000003</v>
      </c>
      <c r="N31">
        <v>0</v>
      </c>
      <c r="O31" s="1628">
        <v>0</v>
      </c>
      <c r="P31" s="1628">
        <v>309808868.79000002</v>
      </c>
      <c r="Q31" s="1628">
        <v>28494114.41</v>
      </c>
      <c r="R31" s="1628">
        <v>164778.88</v>
      </c>
      <c r="S31" s="1628">
        <v>12507481.389999999</v>
      </c>
      <c r="T31" s="1628">
        <v>43479886.310000002</v>
      </c>
      <c r="U31" s="1628">
        <v>0</v>
      </c>
      <c r="V31">
        <v>394455129.78000009</v>
      </c>
    </row>
    <row r="32" spans="2:22" ht="31.5">
      <c r="B32" s="941" t="s">
        <v>4245</v>
      </c>
      <c r="C32" s="947">
        <f>+C27-C31</f>
        <v>1623675</v>
      </c>
      <c r="D32" s="947">
        <f t="shared" ref="D32:K32" si="5">+D27-D31</f>
        <v>0</v>
      </c>
      <c r="E32" s="947">
        <f t="shared" si="5"/>
        <v>745635831.91999984</v>
      </c>
      <c r="F32" s="947">
        <f t="shared" si="5"/>
        <v>12012953.859999996</v>
      </c>
      <c r="G32" s="947">
        <f t="shared" si="5"/>
        <v>424665.05999999994</v>
      </c>
      <c r="H32" s="947">
        <f t="shared" si="5"/>
        <v>5897002.7400000039</v>
      </c>
      <c r="I32" s="947">
        <f t="shared" si="5"/>
        <v>18334621.670000002</v>
      </c>
      <c r="J32" s="947">
        <f t="shared" si="5"/>
        <v>0</v>
      </c>
      <c r="K32" s="947">
        <f t="shared" si="5"/>
        <v>783928750.25000024</v>
      </c>
      <c r="N32">
        <v>1623675</v>
      </c>
      <c r="O32" s="1628">
        <v>0</v>
      </c>
      <c r="P32" s="1628">
        <v>740094520.74000001</v>
      </c>
      <c r="Q32" s="1628">
        <v>12012953.859999996</v>
      </c>
      <c r="R32" s="1628">
        <v>424665.05999999994</v>
      </c>
      <c r="S32" s="1628">
        <v>5897002.7400000039</v>
      </c>
      <c r="T32" s="1628">
        <v>18334621.670000002</v>
      </c>
      <c r="U32" s="1628">
        <v>0</v>
      </c>
      <c r="V32">
        <v>778387439.07000005</v>
      </c>
    </row>
    <row r="33" spans="5:21">
      <c r="K33" s="1691">
        <f>+K32-'ES F '!B24</f>
        <v>0</v>
      </c>
    </row>
    <row r="34" spans="5:21">
      <c r="E34" s="11"/>
      <c r="K34" s="949"/>
    </row>
    <row r="35" spans="5:21">
      <c r="E35" s="11"/>
      <c r="K35" s="949"/>
      <c r="O35" s="1743"/>
      <c r="P35" s="1743"/>
      <c r="Q35" s="1743"/>
      <c r="R35" s="1743"/>
      <c r="S35" s="1743"/>
      <c r="T35" s="1743"/>
      <c r="U35" s="1743"/>
    </row>
    <row r="36" spans="5:21">
      <c r="E36" s="11"/>
      <c r="K36" s="949"/>
      <c r="O36" s="1743"/>
      <c r="P36" s="1743"/>
      <c r="Q36" s="1743"/>
      <c r="R36" s="1743"/>
      <c r="S36" s="1743"/>
      <c r="T36" s="1743"/>
      <c r="U36" s="1743"/>
    </row>
    <row r="37" spans="5:21">
      <c r="E37" s="11"/>
      <c r="K37" s="949"/>
      <c r="O37" s="1743"/>
      <c r="P37" s="1743"/>
      <c r="Q37" s="1743"/>
      <c r="R37" s="1743"/>
      <c r="S37" s="1743"/>
      <c r="T37" s="1743"/>
      <c r="U37" s="1743"/>
    </row>
    <row r="38" spans="5:21">
      <c r="E38" s="11"/>
      <c r="K38" s="949"/>
      <c r="O38" s="1743"/>
      <c r="P38" s="1743"/>
      <c r="Q38" s="1743"/>
      <c r="R38" s="1743"/>
      <c r="S38" s="1743"/>
      <c r="T38" s="1743"/>
      <c r="U38" s="1743"/>
    </row>
    <row r="39" spans="5:21">
      <c r="E39" s="11"/>
      <c r="K39" s="949"/>
      <c r="O39" s="1743"/>
      <c r="P39" s="1743"/>
      <c r="Q39" s="1743"/>
      <c r="R39" s="1743"/>
      <c r="S39" s="1743"/>
      <c r="T39" s="1743"/>
      <c r="U39" s="1743"/>
    </row>
    <row r="40" spans="5:21">
      <c r="E40" s="11"/>
      <c r="K40" s="949"/>
      <c r="O40" s="1743"/>
      <c r="P40" s="1743"/>
      <c r="Q40" s="1743"/>
      <c r="R40" s="1743"/>
      <c r="S40" s="1743"/>
      <c r="T40" s="1743"/>
      <c r="U40" s="1743"/>
    </row>
    <row r="41" spans="5:21">
      <c r="E41" s="11"/>
      <c r="K41" s="949"/>
      <c r="O41" s="1743"/>
      <c r="P41" s="1743"/>
      <c r="Q41" s="1743"/>
      <c r="R41" s="1743"/>
      <c r="S41" s="1743"/>
      <c r="T41" s="1743"/>
      <c r="U41" s="1743"/>
    </row>
    <row r="42" spans="5:21">
      <c r="E42" s="11"/>
      <c r="K42" s="949"/>
      <c r="O42" s="1743"/>
      <c r="P42" s="1743"/>
      <c r="Q42" s="1743"/>
      <c r="R42" s="1743"/>
      <c r="S42" s="1743"/>
      <c r="T42" s="1743"/>
      <c r="U42" s="1743"/>
    </row>
    <row r="43" spans="5:21">
      <c r="E43" s="11"/>
      <c r="K43" s="949"/>
      <c r="O43" s="1743"/>
      <c r="P43" s="1743"/>
      <c r="Q43" s="1743"/>
      <c r="R43" s="1743"/>
      <c r="S43" s="1743"/>
      <c r="T43" s="1743"/>
      <c r="U43" s="1743"/>
    </row>
    <row r="44" spans="5:21">
      <c r="E44" s="11"/>
      <c r="K44" s="949"/>
      <c r="O44" s="1743"/>
      <c r="P44" s="1743"/>
      <c r="Q44" s="1743"/>
      <c r="R44" s="1743"/>
      <c r="S44" s="1743"/>
      <c r="T44" s="1743"/>
      <c r="U44" s="1743"/>
    </row>
    <row r="45" spans="5:21">
      <c r="E45" s="11"/>
      <c r="K45" s="949"/>
      <c r="O45" s="1743"/>
      <c r="P45" s="1743"/>
      <c r="Q45" s="1743"/>
      <c r="R45" s="1743"/>
      <c r="S45" s="1743"/>
      <c r="T45" s="1743"/>
      <c r="U45" s="1743"/>
    </row>
    <row r="46" spans="5:21">
      <c r="E46" s="11"/>
      <c r="K46" s="949"/>
      <c r="O46" s="1743"/>
      <c r="P46" s="1743"/>
      <c r="Q46" s="1743"/>
      <c r="R46" s="1743"/>
      <c r="S46" s="1743"/>
      <c r="T46" s="1743"/>
      <c r="U46" s="1743"/>
    </row>
    <row r="47" spans="5:21" hidden="1">
      <c r="E47" s="1786"/>
      <c r="K47" s="949"/>
    </row>
    <row r="48" spans="5:21" hidden="1"/>
    <row r="49" spans="2:14" hidden="1">
      <c r="B49" s="1213" t="s">
        <v>892</v>
      </c>
      <c r="C49" s="1214" t="s">
        <v>893</v>
      </c>
      <c r="D49" s="1214" t="s">
        <v>2785</v>
      </c>
      <c r="E49" s="1214" t="s">
        <v>2786</v>
      </c>
      <c r="F49" s="1214" t="s">
        <v>2788</v>
      </c>
      <c r="G49" s="1214" t="s">
        <v>2787</v>
      </c>
      <c r="H49" s="1214" t="s">
        <v>2789</v>
      </c>
      <c r="J49" s="11">
        <v>865174866.42999995</v>
      </c>
      <c r="K49" s="11"/>
    </row>
    <row r="50" spans="2:14" hidden="1">
      <c r="B50" s="1216" t="s">
        <v>2216</v>
      </c>
      <c r="C50" s="1226">
        <v>1623675</v>
      </c>
      <c r="D50" s="1217">
        <v>0</v>
      </c>
      <c r="E50" s="1217">
        <v>0</v>
      </c>
      <c r="F50" s="1217">
        <f t="shared" ref="F50:F58" si="6">+D50+E50</f>
        <v>0</v>
      </c>
      <c r="G50" s="1217">
        <f t="shared" ref="G50:G58" si="7">+C50-D50-E50</f>
        <v>1623675</v>
      </c>
      <c r="H50" s="1222">
        <f>+'[4]7'!B27</f>
        <v>0</v>
      </c>
      <c r="I50" s="11"/>
      <c r="J50" s="11">
        <v>7506794.9499999993</v>
      </c>
      <c r="K50" s="11"/>
      <c r="L50" s="11"/>
      <c r="M50" s="1230"/>
      <c r="N50" s="1231"/>
    </row>
    <row r="51" spans="2:14" hidden="1">
      <c r="B51" s="1216" t="s">
        <v>178</v>
      </c>
      <c r="C51" s="1226">
        <v>953149176.46000004</v>
      </c>
      <c r="D51" s="1217">
        <v>47657458.823000006</v>
      </c>
      <c r="E51" s="1217">
        <v>45274585.881850004</v>
      </c>
      <c r="F51" s="1217">
        <f t="shared" si="6"/>
        <v>92932044.704850018</v>
      </c>
      <c r="G51" s="1217">
        <f t="shared" si="7"/>
        <v>860217131.75515008</v>
      </c>
      <c r="H51" s="1222">
        <f>+'[4]9'!B27</f>
        <v>0</v>
      </c>
      <c r="I51" s="11"/>
      <c r="J51" s="11">
        <v>56175</v>
      </c>
      <c r="K51" s="11"/>
      <c r="L51" s="11"/>
      <c r="M51" s="1230" t="s">
        <v>3962</v>
      </c>
      <c r="N51" s="1231"/>
    </row>
    <row r="52" spans="2:14" hidden="1">
      <c r="B52" s="1227" t="s">
        <v>2211</v>
      </c>
      <c r="C52" s="1226">
        <v>22975954.309999999</v>
      </c>
      <c r="D52" s="1228">
        <v>17929433.711353708</v>
      </c>
      <c r="E52" s="1228">
        <v>756978.08979694359</v>
      </c>
      <c r="F52" s="1228">
        <f t="shared" si="6"/>
        <v>18686411.80115065</v>
      </c>
      <c r="G52" s="1228">
        <f t="shared" si="7"/>
        <v>4289542.508849347</v>
      </c>
      <c r="H52" s="1229">
        <f>+'[4]1'!B27</f>
        <v>0</v>
      </c>
      <c r="I52" s="11"/>
      <c r="J52" s="11">
        <v>2712217.4799999995</v>
      </c>
      <c r="K52" s="11"/>
      <c r="L52" s="11"/>
      <c r="M52" s="1230"/>
      <c r="N52" s="1231"/>
    </row>
    <row r="53" spans="2:14" hidden="1">
      <c r="B53" s="1227" t="s">
        <v>2392</v>
      </c>
      <c r="C53" s="1226">
        <v>3176700</v>
      </c>
      <c r="D53" s="1228">
        <v>0</v>
      </c>
      <c r="E53" s="1228">
        <v>794175</v>
      </c>
      <c r="F53" s="1228">
        <f t="shared" si="6"/>
        <v>794175</v>
      </c>
      <c r="G53" s="1228">
        <f t="shared" si="7"/>
        <v>2382525</v>
      </c>
      <c r="H53" s="1229">
        <f>+'[4]8'!B27</f>
        <v>0</v>
      </c>
      <c r="I53" s="11"/>
      <c r="J53" s="11">
        <v>7404102.3000000007</v>
      </c>
      <c r="K53" s="11"/>
      <c r="L53" s="11"/>
      <c r="M53" s="1230"/>
      <c r="N53" s="1231"/>
    </row>
    <row r="54" spans="2:14" hidden="1">
      <c r="B54" s="1227" t="s">
        <v>2316</v>
      </c>
      <c r="C54" s="1226">
        <v>169035</v>
      </c>
      <c r="D54" s="1228"/>
      <c r="E54" s="1228">
        <v>42258.75</v>
      </c>
      <c r="F54" s="1228">
        <f t="shared" si="6"/>
        <v>42258.75</v>
      </c>
      <c r="G54" s="1228">
        <f t="shared" si="7"/>
        <v>126776.25</v>
      </c>
      <c r="H54" s="1229">
        <f>+'[4]4'!B27</f>
        <v>0</v>
      </c>
      <c r="I54" s="11"/>
      <c r="J54" s="11"/>
      <c r="K54" s="11"/>
      <c r="L54" s="11"/>
      <c r="M54" s="1230"/>
      <c r="N54" s="1231"/>
    </row>
    <row r="55" spans="2:14" hidden="1">
      <c r="B55" s="1216" t="s">
        <v>2214</v>
      </c>
      <c r="C55" s="1226">
        <v>74900</v>
      </c>
      <c r="D55" s="1217"/>
      <c r="E55" s="1217">
        <v>18725</v>
      </c>
      <c r="F55" s="1217">
        <f t="shared" si="6"/>
        <v>18725</v>
      </c>
      <c r="G55" s="1217">
        <f t="shared" si="7"/>
        <v>56175</v>
      </c>
      <c r="H55" s="1222">
        <f>+'[4]5'!B27</f>
        <v>0</v>
      </c>
      <c r="I55" s="11"/>
      <c r="J55" s="11"/>
      <c r="K55" s="11"/>
      <c r="L55" s="11"/>
      <c r="M55" s="1230"/>
      <c r="N55" s="1231"/>
    </row>
    <row r="56" spans="2:14" hidden="1">
      <c r="B56" s="1227" t="s">
        <v>2215</v>
      </c>
      <c r="C56" s="1226">
        <v>8248911.1900000004</v>
      </c>
      <c r="D56" s="1228">
        <v>6437090.8984432444</v>
      </c>
      <c r="E56" s="1228">
        <v>452955.072889189</v>
      </c>
      <c r="F56" s="1228">
        <f t="shared" si="6"/>
        <v>6890045.9713324336</v>
      </c>
      <c r="G56" s="1228">
        <f t="shared" si="7"/>
        <v>1358865.218667567</v>
      </c>
      <c r="H56" s="1229">
        <f>+'[4]6'!B27</f>
        <v>0</v>
      </c>
      <c r="I56" s="11"/>
      <c r="J56" s="11"/>
      <c r="K56" s="11"/>
      <c r="L56" s="11"/>
      <c r="M56" s="1230"/>
      <c r="N56" s="1231"/>
    </row>
    <row r="57" spans="2:14" hidden="1">
      <c r="B57" s="1227" t="s">
        <v>2213</v>
      </c>
      <c r="C57" s="1226">
        <v>637328.86</v>
      </c>
      <c r="D57" s="1228">
        <v>497343.6747621487</v>
      </c>
      <c r="E57" s="1228">
        <v>34996.296309462821</v>
      </c>
      <c r="F57" s="1228">
        <f t="shared" si="6"/>
        <v>532339.97107161151</v>
      </c>
      <c r="G57" s="1228">
        <f t="shared" si="7"/>
        <v>104988.88892838846</v>
      </c>
      <c r="H57" s="1229">
        <f>+'[4]3'!B27</f>
        <v>0</v>
      </c>
      <c r="I57" s="11"/>
      <c r="J57" s="11"/>
      <c r="K57" s="11"/>
      <c r="L57" s="11"/>
      <c r="M57" s="1230"/>
      <c r="N57" s="1231"/>
    </row>
    <row r="58" spans="2:14" hidden="1">
      <c r="B58" s="1216" t="s">
        <v>2212</v>
      </c>
      <c r="C58" s="1221">
        <v>30754935.530000001</v>
      </c>
      <c r="D58" s="1217">
        <v>23999811.735440902</v>
      </c>
      <c r="E58" s="1217">
        <v>1688780.9486397747</v>
      </c>
      <c r="F58" s="1217">
        <f t="shared" si="6"/>
        <v>25688592.684080675</v>
      </c>
      <c r="G58" s="1217">
        <f t="shared" si="7"/>
        <v>5066342.8459193241</v>
      </c>
      <c r="H58" s="1222">
        <f>+'[4]2'!C27</f>
        <v>0</v>
      </c>
      <c r="I58" s="11"/>
      <c r="J58" s="11"/>
      <c r="K58" s="11"/>
      <c r="L58" s="11"/>
      <c r="M58" s="1230"/>
      <c r="N58" s="1231"/>
    </row>
    <row r="59" spans="2:14" hidden="1">
      <c r="B59" s="1218" t="s">
        <v>908</v>
      </c>
      <c r="C59" s="1223">
        <f>SUM(C50:C58)</f>
        <v>1020810616.35</v>
      </c>
      <c r="D59" s="1225">
        <f>SUM(D50:D58)</f>
        <v>96521138.842999995</v>
      </c>
      <c r="E59" s="1225">
        <f>SUM(E50:E58)</f>
        <v>49063455.039485373</v>
      </c>
      <c r="F59" s="1225">
        <f>SUM(F50:F58)</f>
        <v>145584593.88248539</v>
      </c>
      <c r="G59" s="1225">
        <f>SUM(G50:G58)</f>
        <v>875226022.46751487</v>
      </c>
      <c r="H59" s="1223"/>
      <c r="M59" s="27"/>
      <c r="N59" s="27"/>
    </row>
    <row r="60" spans="2:14" hidden="1"/>
    <row r="61" spans="2:14" hidden="1">
      <c r="G61" s="11">
        <f>G59-K32</f>
        <v>91297272.217514634</v>
      </c>
    </row>
    <row r="62" spans="2:14" hidden="1">
      <c r="C62" s="737"/>
      <c r="D62" s="737"/>
      <c r="E62" s="737"/>
      <c r="F62" s="737"/>
      <c r="G62" s="737"/>
      <c r="H62" s="737"/>
      <c r="I62" s="11"/>
      <c r="J62" s="11"/>
      <c r="K62" s="11"/>
      <c r="L62" s="11"/>
      <c r="N62" s="740"/>
    </row>
    <row r="63" spans="2:14" hidden="1">
      <c r="C63" s="737"/>
      <c r="D63" s="737"/>
      <c r="E63" s="737"/>
      <c r="F63" s="737"/>
      <c r="G63" s="737"/>
      <c r="H63" s="737"/>
      <c r="I63" s="11"/>
      <c r="J63" s="11"/>
      <c r="K63" s="11"/>
      <c r="L63" s="11"/>
      <c r="N63" s="740"/>
    </row>
    <row r="64" spans="2:14" hidden="1">
      <c r="B64" s="1219" t="s">
        <v>2791</v>
      </c>
      <c r="C64" s="1224" t="s">
        <v>923</v>
      </c>
      <c r="D64" s="1224" t="s">
        <v>924</v>
      </c>
      <c r="E64" s="737"/>
      <c r="F64" s="737"/>
      <c r="G64" s="737"/>
      <c r="H64" s="737"/>
      <c r="I64" s="11"/>
      <c r="J64" s="11"/>
      <c r="K64" s="11"/>
      <c r="L64" s="11"/>
      <c r="N64" s="740"/>
    </row>
    <row r="65" spans="2:14" hidden="1">
      <c r="B65" s="243" t="s">
        <v>2792</v>
      </c>
      <c r="C65" s="904">
        <f>+D59</f>
        <v>96521138.842999995</v>
      </c>
      <c r="D65" s="904"/>
      <c r="E65" s="737"/>
      <c r="F65" s="737"/>
      <c r="G65" s="737"/>
      <c r="H65" s="737"/>
      <c r="I65" s="11"/>
      <c r="J65" s="11"/>
      <c r="K65" s="11"/>
      <c r="L65" s="11"/>
      <c r="N65" s="740"/>
    </row>
    <row r="66" spans="2:14" hidden="1">
      <c r="B66" s="243" t="s">
        <v>2793</v>
      </c>
      <c r="C66" s="904">
        <f>+E59</f>
        <v>49063455.039485373</v>
      </c>
      <c r="D66" s="904"/>
      <c r="E66" s="737"/>
      <c r="F66" s="737"/>
      <c r="G66" s="737"/>
      <c r="H66" s="737"/>
      <c r="I66" s="11"/>
      <c r="J66" s="11"/>
      <c r="K66" s="11"/>
      <c r="L66" s="11"/>
      <c r="N66" s="740"/>
    </row>
    <row r="67" spans="2:14" hidden="1">
      <c r="B67" s="243" t="s">
        <v>2809</v>
      </c>
      <c r="C67" s="904"/>
      <c r="D67" s="904">
        <f>+C66+C65</f>
        <v>145584593.88248536</v>
      </c>
      <c r="E67" s="737"/>
      <c r="F67" s="737"/>
      <c r="G67" s="737"/>
      <c r="H67" s="737"/>
      <c r="I67" s="11"/>
      <c r="J67" s="11"/>
      <c r="K67" s="11"/>
      <c r="L67" s="11"/>
      <c r="N67" s="740"/>
    </row>
    <row r="68" spans="2:14" hidden="1">
      <c r="C68" s="904">
        <f>SUM(C65:C67)</f>
        <v>145584593.88248536</v>
      </c>
      <c r="D68" s="904">
        <f>SUM(D65:D67)</f>
        <v>145584593.88248536</v>
      </c>
      <c r="E68" s="737"/>
      <c r="F68" s="737"/>
      <c r="G68" s="737"/>
      <c r="H68" s="737"/>
      <c r="I68" s="11"/>
      <c r="J68" s="11"/>
      <c r="K68" s="11"/>
      <c r="L68" s="11"/>
      <c r="N68" s="740"/>
    </row>
    <row r="69" spans="2:14" hidden="1">
      <c r="C69" s="737"/>
      <c r="D69" s="737"/>
      <c r="E69" s="737"/>
      <c r="F69" s="737"/>
      <c r="G69" s="737"/>
      <c r="H69" s="737"/>
      <c r="I69" s="11"/>
      <c r="J69" s="11"/>
      <c r="K69" s="11"/>
      <c r="L69" s="11"/>
      <c r="N69" s="740"/>
    </row>
    <row r="70" spans="2:14" hidden="1">
      <c r="B70" s="1219" t="s">
        <v>2807</v>
      </c>
      <c r="C70" s="243"/>
      <c r="D70" s="1244" t="s">
        <v>2805</v>
      </c>
      <c r="E70" s="1244" t="s">
        <v>2806</v>
      </c>
    </row>
    <row r="71" spans="2:14" hidden="1">
      <c r="B71" s="243" t="str">
        <f t="shared" ref="B71:B78" si="8">+B51</f>
        <v xml:space="preserve"> EDIFICACIONES  </v>
      </c>
      <c r="C71" s="1558"/>
      <c r="D71" s="1558"/>
      <c r="E71" s="909">
        <f t="shared" ref="E71:E78" si="9">+F51</f>
        <v>92932044.704850018</v>
      </c>
    </row>
    <row r="72" spans="2:14" hidden="1">
      <c r="B72" s="243" t="str">
        <f t="shared" si="8"/>
        <v>MAQUINARIAS Y EQUIPOS DE CONSTRUCCION</v>
      </c>
      <c r="C72" s="1558"/>
      <c r="D72" s="1558"/>
      <c r="E72" s="909">
        <f t="shared" si="9"/>
        <v>18686411.80115065</v>
      </c>
    </row>
    <row r="73" spans="2:14" hidden="1">
      <c r="B73" s="243" t="str">
        <f t="shared" si="8"/>
        <v>EQUIPO GENERACION ELECTRICA, APARATOS, ACC. ELECT.</v>
      </c>
      <c r="C73" s="1558"/>
      <c r="D73" s="1558"/>
      <c r="E73" s="909">
        <f t="shared" si="9"/>
        <v>794175</v>
      </c>
    </row>
    <row r="74" spans="2:14" hidden="1">
      <c r="B74" s="243" t="str">
        <f t="shared" si="8"/>
        <v>EQUIPO  MEDICO Y LABORATORIO</v>
      </c>
      <c r="C74" s="1558"/>
      <c r="D74" s="1558"/>
      <c r="E74" s="909">
        <f t="shared" si="9"/>
        <v>42258.75</v>
      </c>
    </row>
    <row r="75" spans="2:14" hidden="1">
      <c r="B75" s="243" t="str">
        <f t="shared" si="8"/>
        <v xml:space="preserve"> EQUIPO DE COMUNICACION  Y TELECOMUNICACION</v>
      </c>
      <c r="C75" s="1558"/>
      <c r="D75" s="1558"/>
      <c r="E75" s="909">
        <f t="shared" si="9"/>
        <v>18725</v>
      </c>
    </row>
    <row r="76" spans="2:14" hidden="1">
      <c r="B76" s="243" t="str">
        <f t="shared" si="8"/>
        <v xml:space="preserve"> MUEBLES DE OFICINA Y ESTANTERIA </v>
      </c>
      <c r="C76" s="1558"/>
      <c r="D76" s="1558"/>
      <c r="E76" s="909">
        <f t="shared" si="9"/>
        <v>6890045.9713324336</v>
      </c>
    </row>
    <row r="77" spans="2:14" hidden="1">
      <c r="B77" s="243" t="str">
        <f t="shared" si="8"/>
        <v xml:space="preserve"> EQUIPOS DE COMPUTO</v>
      </c>
      <c r="C77" s="1558"/>
      <c r="D77" s="1558"/>
      <c r="E77" s="909">
        <f t="shared" si="9"/>
        <v>532339.97107161151</v>
      </c>
      <c r="I77" s="11"/>
      <c r="J77" s="11"/>
      <c r="K77" s="11"/>
      <c r="L77" s="11"/>
      <c r="M77" s="1215" t="s">
        <v>2790</v>
      </c>
      <c r="N77" s="1220"/>
    </row>
    <row r="78" spans="2:14" hidden="1">
      <c r="B78" s="243" t="str">
        <f t="shared" si="8"/>
        <v>AUTOMOVILES Y CAMIONES</v>
      </c>
      <c r="C78" s="1558"/>
      <c r="D78" s="1558"/>
      <c r="E78" s="909">
        <f t="shared" si="9"/>
        <v>25688592.684080675</v>
      </c>
    </row>
    <row r="79" spans="2:14" hidden="1">
      <c r="B79" s="1245" t="str">
        <f>+B67</f>
        <v>Depreciación acumulada</v>
      </c>
      <c r="C79" s="1558"/>
      <c r="D79" s="909">
        <f>SUM(E71:E78)</f>
        <v>145584593.88248539</v>
      </c>
      <c r="E79" s="1558"/>
    </row>
    <row r="80" spans="2:14" hidden="1">
      <c r="B80" s="243" t="s">
        <v>908</v>
      </c>
      <c r="C80" s="1558"/>
      <c r="D80" s="909">
        <f>SUM(D71:D79)</f>
        <v>145584593.88248539</v>
      </c>
      <c r="E80" s="909">
        <f>SUM(E71:E79)</f>
        <v>145584593.88248539</v>
      </c>
    </row>
    <row r="81" spans="2:15" hidden="1"/>
    <row r="82" spans="2:15" hidden="1">
      <c r="C82" s="11"/>
      <c r="D82" s="11"/>
      <c r="E82" s="11"/>
      <c r="F82" s="11"/>
      <c r="G82" s="11"/>
      <c r="H82" s="11"/>
      <c r="I82" s="11"/>
      <c r="J82" s="11"/>
      <c r="K82" s="11"/>
      <c r="L82" s="11"/>
      <c r="N82" s="740"/>
    </row>
    <row r="83" spans="2:15" hidden="1">
      <c r="B83" s="1825" t="s">
        <v>1955</v>
      </c>
      <c r="C83" s="1825"/>
      <c r="D83" s="1825"/>
      <c r="E83" s="1825"/>
      <c r="F83" s="1825"/>
      <c r="G83" s="1825"/>
      <c r="H83" s="11"/>
      <c r="I83" s="11"/>
      <c r="J83" s="11"/>
      <c r="K83" s="11"/>
      <c r="L83" s="11"/>
      <c r="N83" s="740"/>
    </row>
    <row r="84" spans="2:15" hidden="1">
      <c r="B84" s="1823" t="s">
        <v>2808</v>
      </c>
      <c r="C84" s="1823"/>
      <c r="D84" s="1823"/>
      <c r="E84" s="1823"/>
      <c r="F84" s="1823"/>
      <c r="G84" s="1823"/>
      <c r="H84" s="11"/>
      <c r="I84" s="11"/>
      <c r="J84" s="11"/>
      <c r="K84" s="11"/>
      <c r="L84" s="11"/>
      <c r="N84" s="740"/>
    </row>
    <row r="85" spans="2:15" hidden="1">
      <c r="C85" s="11"/>
      <c r="D85" s="11"/>
      <c r="E85" s="11"/>
      <c r="F85" s="11"/>
      <c r="G85" s="11"/>
      <c r="H85" s="11"/>
      <c r="I85" s="11"/>
      <c r="J85" s="11"/>
      <c r="K85" s="11"/>
      <c r="L85" s="11"/>
      <c r="N85" s="740"/>
    </row>
    <row r="86" spans="2:15" hidden="1"/>
    <row r="87" spans="2:15" hidden="1">
      <c r="B87" s="1925" t="s">
        <v>2863</v>
      </c>
      <c r="C87" s="1925"/>
      <c r="D87" s="1925"/>
      <c r="E87" s="1925"/>
      <c r="F87" s="1925"/>
      <c r="G87" s="1925"/>
      <c r="H87" s="1925"/>
      <c r="I87" s="1925"/>
      <c r="J87" s="1925"/>
    </row>
    <row r="88" spans="2:15" hidden="1">
      <c r="B88" s="1213"/>
      <c r="C88" s="1213" t="s">
        <v>1826</v>
      </c>
      <c r="D88" s="1213" t="s">
        <v>892</v>
      </c>
      <c r="E88" s="1214" t="s">
        <v>893</v>
      </c>
      <c r="F88" s="1214" t="s">
        <v>2785</v>
      </c>
      <c r="G88" s="1214" t="s">
        <v>2786</v>
      </c>
      <c r="H88" s="1214" t="s">
        <v>2788</v>
      </c>
      <c r="I88" s="1214" t="s">
        <v>2787</v>
      </c>
      <c r="J88" s="1214" t="s">
        <v>2789</v>
      </c>
      <c r="K88" s="11"/>
      <c r="L88" s="11"/>
      <c r="M88" s="11"/>
      <c r="N88" s="11"/>
      <c r="O88" s="1629"/>
    </row>
    <row r="89" spans="2:15" hidden="1">
      <c r="B89" s="1284">
        <v>1</v>
      </c>
      <c r="C89" s="1216" t="s">
        <v>132</v>
      </c>
      <c r="D89" s="1216" t="s">
        <v>2211</v>
      </c>
      <c r="E89" s="1217">
        <v>22975954.309999999</v>
      </c>
      <c r="F89" s="1217">
        <f>+F52</f>
        <v>18686411.80115065</v>
      </c>
      <c r="G89" s="1217">
        <f>(+E89-F89)*0.15/2</f>
        <v>321715.68816370115</v>
      </c>
      <c r="H89" s="1217">
        <f>+F89+G89</f>
        <v>19008127.489314351</v>
      </c>
      <c r="I89" s="1217">
        <f>+E89-F89-G89</f>
        <v>3967826.8206856479</v>
      </c>
      <c r="J89" s="1285"/>
      <c r="K89" s="11"/>
      <c r="L89" s="11"/>
      <c r="M89" s="11"/>
      <c r="N89" s="11"/>
      <c r="O89" s="1630"/>
    </row>
    <row r="90" spans="2:15" hidden="1">
      <c r="B90" s="1284">
        <v>2</v>
      </c>
      <c r="C90" s="1216" t="s">
        <v>140</v>
      </c>
      <c r="D90" s="1216" t="s">
        <v>2212</v>
      </c>
      <c r="E90" s="1217">
        <v>30754935.530000001</v>
      </c>
      <c r="F90" s="1217">
        <f>+F58</f>
        <v>25688592.684080675</v>
      </c>
      <c r="G90" s="1217">
        <f>(+E90-F90)*0.25/2</f>
        <v>633292.85573991574</v>
      </c>
      <c r="H90" s="1217">
        <f t="shared" ref="H90:H97" si="10">+F90+G90</f>
        <v>26321885.539820589</v>
      </c>
      <c r="I90" s="1217">
        <f t="shared" ref="I90:I97" si="11">+E90-F90-G90</f>
        <v>4433049.9901794102</v>
      </c>
      <c r="J90" s="1285"/>
      <c r="K90" s="11"/>
      <c r="L90" s="11"/>
      <c r="M90" s="11"/>
      <c r="N90" s="11"/>
      <c r="O90" s="1630"/>
    </row>
    <row r="91" spans="2:15" hidden="1">
      <c r="B91" s="1284">
        <v>3</v>
      </c>
      <c r="C91" s="1216" t="s">
        <v>143</v>
      </c>
      <c r="D91" s="1216" t="s">
        <v>2865</v>
      </c>
      <c r="E91" s="1217">
        <v>637328.86</v>
      </c>
      <c r="F91" s="1217">
        <f>+F57</f>
        <v>532339.97107161151</v>
      </c>
      <c r="G91" s="1217">
        <f>(+E91-F91)*0.25/2</f>
        <v>13123.61111604856</v>
      </c>
      <c r="H91" s="1217">
        <f t="shared" si="10"/>
        <v>545463.58218766004</v>
      </c>
      <c r="I91" s="1217">
        <f t="shared" si="11"/>
        <v>91865.277812339918</v>
      </c>
      <c r="J91" s="1285"/>
      <c r="K91" s="11"/>
      <c r="L91" s="11"/>
      <c r="M91" s="11"/>
      <c r="N91" s="11"/>
      <c r="O91" s="1630"/>
    </row>
    <row r="92" spans="2:15" hidden="1">
      <c r="B92" s="1284">
        <v>4</v>
      </c>
      <c r="C92" s="1216" t="s">
        <v>146</v>
      </c>
      <c r="D92" s="1216" t="s">
        <v>2316</v>
      </c>
      <c r="E92" s="1217">
        <v>169035</v>
      </c>
      <c r="F92" s="1217">
        <f>+F54</f>
        <v>42258.75</v>
      </c>
      <c r="G92" s="1217">
        <f>(+E92-F92)*0.25/2</f>
        <v>15847.03125</v>
      </c>
      <c r="H92" s="1217">
        <f t="shared" si="10"/>
        <v>58105.78125</v>
      </c>
      <c r="I92" s="1217">
        <f t="shared" si="11"/>
        <v>110929.21875</v>
      </c>
      <c r="J92" s="1285"/>
      <c r="K92" s="11"/>
      <c r="L92" s="11"/>
      <c r="M92" s="11"/>
      <c r="N92" s="11"/>
      <c r="O92" s="1630"/>
    </row>
    <row r="93" spans="2:15" hidden="1">
      <c r="B93" s="1284">
        <v>5</v>
      </c>
      <c r="C93" s="1216" t="s">
        <v>149</v>
      </c>
      <c r="D93" s="1216" t="s">
        <v>2866</v>
      </c>
      <c r="E93" s="1217">
        <v>74900</v>
      </c>
      <c r="F93" s="1217">
        <f>+F55</f>
        <v>18725</v>
      </c>
      <c r="G93" s="1217">
        <f>(+E93-F93)*0.25/2</f>
        <v>7021.875</v>
      </c>
      <c r="H93" s="1217">
        <f t="shared" si="10"/>
        <v>25746.875</v>
      </c>
      <c r="I93" s="1217">
        <f t="shared" si="11"/>
        <v>49153.125</v>
      </c>
      <c r="J93" s="1285"/>
      <c r="K93" s="11"/>
      <c r="L93" s="11"/>
      <c r="M93" s="11"/>
      <c r="N93" s="11"/>
      <c r="O93" s="1630"/>
    </row>
    <row r="94" spans="2:15" hidden="1">
      <c r="B94" s="1284">
        <v>6</v>
      </c>
      <c r="C94" s="1216" t="s">
        <v>152</v>
      </c>
      <c r="D94" s="1216" t="s">
        <v>2867</v>
      </c>
      <c r="E94" s="1217">
        <v>8248911.1900000004</v>
      </c>
      <c r="F94" s="1217">
        <f>+F56</f>
        <v>6890045.9713324336</v>
      </c>
      <c r="G94" s="1217">
        <f>(+E94-F94)*0.25/2</f>
        <v>169858.15233344585</v>
      </c>
      <c r="H94" s="1217">
        <f t="shared" si="10"/>
        <v>7059904.1236658795</v>
      </c>
      <c r="I94" s="1217">
        <f t="shared" si="11"/>
        <v>1189007.0663341209</v>
      </c>
      <c r="J94" s="1285"/>
      <c r="K94" s="11"/>
      <c r="L94" s="11"/>
      <c r="M94" s="11"/>
      <c r="N94" s="11"/>
      <c r="O94" s="1630"/>
    </row>
    <row r="95" spans="2:15" hidden="1">
      <c r="B95" s="1284">
        <v>7</v>
      </c>
      <c r="C95" s="1216" t="s">
        <v>163</v>
      </c>
      <c r="D95" s="1216" t="s">
        <v>2216</v>
      </c>
      <c r="E95" s="1217">
        <v>1623675</v>
      </c>
      <c r="F95" s="1217">
        <v>0</v>
      </c>
      <c r="G95" s="1217"/>
      <c r="H95" s="1217">
        <f t="shared" si="10"/>
        <v>0</v>
      </c>
      <c r="I95" s="1217">
        <f t="shared" si="11"/>
        <v>1623675</v>
      </c>
      <c r="J95" s="1285"/>
      <c r="K95" s="11"/>
      <c r="L95" s="11"/>
      <c r="M95" s="11"/>
      <c r="N95" s="11"/>
      <c r="O95" s="1630"/>
    </row>
    <row r="96" spans="2:15" hidden="1">
      <c r="B96" s="1284">
        <v>8</v>
      </c>
      <c r="C96" s="1216" t="s">
        <v>2839</v>
      </c>
      <c r="D96" s="1216" t="s">
        <v>2392</v>
      </c>
      <c r="E96" s="1217">
        <v>3176700</v>
      </c>
      <c r="F96" s="1217">
        <f>+F53</f>
        <v>794175</v>
      </c>
      <c r="G96" s="1217">
        <f>(+E96-F96)*0.15/2</f>
        <v>178689.375</v>
      </c>
      <c r="H96" s="1217">
        <f t="shared" si="10"/>
        <v>972864.375</v>
      </c>
      <c r="I96" s="1217">
        <f t="shared" si="11"/>
        <v>2203835.625</v>
      </c>
      <c r="J96" s="1285"/>
      <c r="K96" s="11"/>
      <c r="L96" s="11"/>
      <c r="M96" s="11"/>
      <c r="N96" s="11"/>
      <c r="O96" s="1630"/>
    </row>
    <row r="97" spans="2:21" hidden="1">
      <c r="B97" s="1284">
        <v>9</v>
      </c>
      <c r="C97" s="1216" t="s">
        <v>177</v>
      </c>
      <c r="D97" s="1216" t="s">
        <v>2864</v>
      </c>
      <c r="E97" s="1217">
        <v>953149176.46000004</v>
      </c>
      <c r="F97" s="1217">
        <f>+F51</f>
        <v>92932044.704850018</v>
      </c>
      <c r="G97" s="1217">
        <f>(+E97-F97)*0.05/2</f>
        <v>21505428.293878753</v>
      </c>
      <c r="H97" s="1217">
        <f t="shared" si="10"/>
        <v>114437472.99872877</v>
      </c>
      <c r="I97" s="1217">
        <f t="shared" si="11"/>
        <v>838711703.46127129</v>
      </c>
      <c r="J97" s="1285"/>
      <c r="K97" s="11"/>
      <c r="L97" s="11"/>
      <c r="M97" s="11"/>
      <c r="N97" s="11"/>
      <c r="O97" s="1630"/>
    </row>
    <row r="98" spans="2:21" s="134" customFormat="1" ht="12" hidden="1">
      <c r="B98" s="1287"/>
      <c r="C98" s="1287"/>
      <c r="D98" s="1287" t="s">
        <v>908</v>
      </c>
      <c r="E98" s="1288">
        <f>SUM(E89:E97)</f>
        <v>1020810616.35</v>
      </c>
      <c r="F98" s="1288">
        <f>SUM(F89:F97)</f>
        <v>145584593.88248539</v>
      </c>
      <c r="G98" s="1288">
        <f>SUM(G89:G97)</f>
        <v>22844976.882481866</v>
      </c>
      <c r="H98" s="1288">
        <f>SUM(H89:H97)</f>
        <v>168429570.76496726</v>
      </c>
      <c r="I98" s="1288">
        <f>SUM(I89:I97)</f>
        <v>852381045.58503282</v>
      </c>
      <c r="J98" s="1288"/>
      <c r="K98" s="110"/>
      <c r="L98" s="110"/>
      <c r="M98" s="110"/>
      <c r="N98" s="110"/>
      <c r="O98" s="1631"/>
      <c r="P98" s="1632"/>
      <c r="Q98" s="1632"/>
      <c r="R98" s="1632"/>
      <c r="S98" s="1632"/>
      <c r="T98" s="1632"/>
      <c r="U98" s="1632"/>
    </row>
    <row r="99" spans="2:21" hidden="1">
      <c r="E99" s="11"/>
      <c r="F99" s="11"/>
      <c r="G99" s="11"/>
      <c r="H99" s="11"/>
      <c r="I99" s="11"/>
      <c r="J99" s="11"/>
      <c r="K99" s="11"/>
      <c r="L99" s="11"/>
      <c r="M99" s="11"/>
      <c r="N99" s="11"/>
    </row>
    <row r="100" spans="2:21" hidden="1">
      <c r="E100" s="11"/>
      <c r="F100" s="11"/>
      <c r="G100" s="11"/>
      <c r="H100" s="11"/>
      <c r="I100" s="11"/>
      <c r="J100" s="11"/>
      <c r="K100" s="11"/>
      <c r="L100" s="11"/>
      <c r="M100" s="11"/>
      <c r="N100" s="11"/>
    </row>
    <row r="101" spans="2:21" hidden="1">
      <c r="B101" s="1219" t="s">
        <v>2791</v>
      </c>
      <c r="C101" s="1219" t="s">
        <v>2862</v>
      </c>
      <c r="D101" s="1286" t="s">
        <v>923</v>
      </c>
      <c r="E101" s="1286" t="s">
        <v>924</v>
      </c>
      <c r="G101" s="11"/>
      <c r="H101" s="11"/>
      <c r="I101" s="11"/>
      <c r="J101" s="11"/>
      <c r="K101" s="11"/>
      <c r="L101" s="11"/>
      <c r="M101" s="11"/>
      <c r="N101" s="11"/>
    </row>
    <row r="102" spans="2:21" hidden="1">
      <c r="B102" s="243"/>
      <c r="C102" s="243"/>
      <c r="D102" s="733"/>
      <c r="E102" s="733"/>
      <c r="G102" s="11"/>
      <c r="H102" s="11"/>
      <c r="I102" s="11"/>
      <c r="J102" s="11"/>
      <c r="K102" s="11"/>
      <c r="L102" s="11"/>
      <c r="M102" s="11"/>
      <c r="N102" s="11"/>
    </row>
    <row r="103" spans="2:21" hidden="1">
      <c r="B103" s="243" t="s">
        <v>2793</v>
      </c>
      <c r="C103" s="243">
        <v>5101990001</v>
      </c>
      <c r="D103" s="733">
        <f>+G98</f>
        <v>22844976.882481866</v>
      </c>
      <c r="E103" s="733"/>
      <c r="G103" s="11"/>
      <c r="H103" s="11"/>
      <c r="I103" s="11"/>
      <c r="J103" s="11"/>
      <c r="K103" s="11"/>
      <c r="L103" s="11"/>
      <c r="M103" s="11"/>
      <c r="N103" s="11"/>
    </row>
    <row r="104" spans="2:21" hidden="1">
      <c r="B104" s="243" t="s">
        <v>2810</v>
      </c>
      <c r="C104" s="243" t="s">
        <v>2840</v>
      </c>
      <c r="D104" s="733"/>
      <c r="E104" s="733">
        <f>+G97</f>
        <v>21505428.293878753</v>
      </c>
      <c r="G104" s="11"/>
      <c r="H104" s="11"/>
      <c r="I104" s="11"/>
      <c r="J104" s="11"/>
      <c r="K104" s="11"/>
      <c r="L104" s="11"/>
      <c r="M104" s="11"/>
      <c r="N104" s="11"/>
    </row>
    <row r="105" spans="2:21" hidden="1">
      <c r="B105" s="243" t="s">
        <v>2811</v>
      </c>
      <c r="C105" s="243" t="s">
        <v>2841</v>
      </c>
      <c r="D105" s="733"/>
      <c r="E105" s="733">
        <f>+G89</f>
        <v>321715.68816370115</v>
      </c>
      <c r="G105" s="11"/>
      <c r="H105" s="11"/>
      <c r="I105" s="11"/>
      <c r="J105" s="11"/>
      <c r="K105" s="11"/>
      <c r="L105" s="11"/>
      <c r="M105" s="11"/>
      <c r="N105" s="11"/>
    </row>
    <row r="106" spans="2:21" hidden="1">
      <c r="B106" s="243" t="s">
        <v>2812</v>
      </c>
      <c r="C106" s="243" t="s">
        <v>2842</v>
      </c>
      <c r="D106" s="733"/>
      <c r="E106" s="733">
        <f>+G96</f>
        <v>178689.375</v>
      </c>
      <c r="G106" s="11"/>
      <c r="H106" s="11"/>
      <c r="I106" s="11"/>
      <c r="J106" s="11"/>
      <c r="K106" s="11"/>
      <c r="L106" s="11"/>
      <c r="M106" s="11"/>
      <c r="N106" s="11"/>
    </row>
    <row r="107" spans="2:21" hidden="1">
      <c r="B107" s="243" t="s">
        <v>2813</v>
      </c>
      <c r="C107" s="243" t="s">
        <v>2843</v>
      </c>
      <c r="D107" s="733"/>
      <c r="E107" s="733">
        <f>+G92</f>
        <v>15847.03125</v>
      </c>
      <c r="G107" s="11"/>
      <c r="H107" s="11"/>
      <c r="I107" s="11"/>
      <c r="J107" s="11"/>
      <c r="K107" s="11"/>
      <c r="L107" s="11"/>
      <c r="M107" s="11"/>
      <c r="N107" s="11"/>
    </row>
    <row r="108" spans="2:21" hidden="1">
      <c r="B108" s="243" t="s">
        <v>2814</v>
      </c>
      <c r="C108" s="243" t="s">
        <v>2844</v>
      </c>
      <c r="D108" s="733"/>
      <c r="E108" s="733">
        <f>+G93</f>
        <v>7021.875</v>
      </c>
      <c r="G108" s="11"/>
      <c r="H108" s="11"/>
      <c r="I108" s="11"/>
      <c r="J108" s="11"/>
      <c r="K108" s="11"/>
      <c r="L108" s="11"/>
      <c r="M108" s="11"/>
      <c r="N108" s="11"/>
    </row>
    <row r="109" spans="2:21" hidden="1">
      <c r="B109" s="243" t="s">
        <v>2815</v>
      </c>
      <c r="C109" s="243" t="s">
        <v>2845</v>
      </c>
      <c r="D109" s="733"/>
      <c r="E109" s="733">
        <f>+G94</f>
        <v>169858.15233344585</v>
      </c>
      <c r="G109" s="11"/>
      <c r="H109" s="11"/>
      <c r="I109" s="11"/>
      <c r="J109" s="11"/>
      <c r="K109" s="11"/>
      <c r="L109" s="11"/>
      <c r="M109" s="11"/>
      <c r="N109" s="11"/>
    </row>
    <row r="110" spans="2:21" hidden="1">
      <c r="B110" s="243" t="s">
        <v>2816</v>
      </c>
      <c r="C110" s="243" t="s">
        <v>2846</v>
      </c>
      <c r="D110" s="733"/>
      <c r="E110" s="733">
        <f>+G91</f>
        <v>13123.61111604856</v>
      </c>
      <c r="G110" s="11"/>
      <c r="H110" s="11"/>
      <c r="I110" s="11"/>
      <c r="J110" s="11"/>
      <c r="K110" s="11"/>
      <c r="L110" s="11"/>
      <c r="M110" s="11"/>
      <c r="N110" s="11"/>
    </row>
    <row r="111" spans="2:21" hidden="1">
      <c r="B111" s="243" t="s">
        <v>2817</v>
      </c>
      <c r="C111" s="243" t="s">
        <v>2847</v>
      </c>
      <c r="D111" s="733"/>
      <c r="E111" s="733">
        <f>+G90</f>
        <v>633292.85573991574</v>
      </c>
      <c r="G111" s="11"/>
      <c r="H111" s="11"/>
      <c r="I111" s="11"/>
      <c r="J111" s="11"/>
      <c r="K111" s="11"/>
      <c r="L111" s="11"/>
      <c r="M111" s="11"/>
      <c r="N111" s="11"/>
    </row>
    <row r="112" spans="2:21" hidden="1">
      <c r="D112" s="1291">
        <f>SUM(D102:D111)</f>
        <v>22844976.882481866</v>
      </c>
      <c r="E112" s="1291">
        <f>SUM(E102:E111)</f>
        <v>22844976.882481866</v>
      </c>
      <c r="G112" s="11"/>
      <c r="H112" s="11"/>
      <c r="I112" s="11"/>
      <c r="J112" s="11"/>
      <c r="K112" s="11"/>
      <c r="L112" s="11"/>
      <c r="M112" s="11"/>
      <c r="N112" s="11"/>
    </row>
    <row r="113" spans="2:13" hidden="1"/>
    <row r="114" spans="2:13" hidden="1">
      <c r="B114" s="1823" t="s">
        <v>2951</v>
      </c>
      <c r="C114" s="1823"/>
      <c r="D114" s="1823"/>
      <c r="E114" s="1823"/>
      <c r="F114" s="1823"/>
      <c r="G114" s="1823"/>
    </row>
    <row r="115" spans="2:13" hidden="1">
      <c r="B115" s="1219" t="s">
        <v>2791</v>
      </c>
      <c r="C115" s="1219" t="s">
        <v>2862</v>
      </c>
      <c r="D115" s="1286" t="s">
        <v>923</v>
      </c>
      <c r="E115" s="1286" t="s">
        <v>924</v>
      </c>
      <c r="F115" s="243" t="s">
        <v>2952</v>
      </c>
      <c r="G115" s="1286" t="s">
        <v>924</v>
      </c>
    </row>
    <row r="116" spans="2:13" hidden="1">
      <c r="B116" s="243" t="s">
        <v>2793</v>
      </c>
      <c r="C116" s="243">
        <v>5101990001</v>
      </c>
      <c r="D116" s="733">
        <f>+D103</f>
        <v>22844976.882481866</v>
      </c>
      <c r="E116" s="733"/>
      <c r="F116" s="243"/>
      <c r="G116" s="243"/>
    </row>
    <row r="117" spans="2:13" hidden="1">
      <c r="B117" s="243" t="s">
        <v>2810</v>
      </c>
      <c r="C117" s="243" t="s">
        <v>2840</v>
      </c>
      <c r="D117" s="733"/>
      <c r="E117" s="733">
        <f>+E104</f>
        <v>21505428.293878753</v>
      </c>
      <c r="F117" s="733">
        <v>549056.71408333327</v>
      </c>
      <c r="G117" s="733">
        <f>+E117+F117</f>
        <v>22054485.007962085</v>
      </c>
      <c r="H117" s="11"/>
      <c r="K117" s="11" t="s">
        <v>2871</v>
      </c>
      <c r="M117" s="11">
        <v>5224661.0199999996</v>
      </c>
    </row>
    <row r="118" spans="2:13" hidden="1">
      <c r="B118" s="243" t="s">
        <v>2811</v>
      </c>
      <c r="C118" s="243" t="s">
        <v>2841</v>
      </c>
      <c r="D118" s="733"/>
      <c r="E118" s="733">
        <f t="shared" ref="E118:E124" si="12">+E105</f>
        <v>321715.68816370115</v>
      </c>
      <c r="F118" s="733">
        <f>+I118/10/2</f>
        <v>1.3969838619232177E-10</v>
      </c>
      <c r="G118" s="733">
        <f t="shared" ref="G118:G124" si="13">+E118+F118</f>
        <v>321715.68816370127</v>
      </c>
      <c r="I118" s="11">
        <f>+F23</f>
        <v>2.7939677238464355E-9</v>
      </c>
      <c r="K118" s="11" t="s">
        <v>2212</v>
      </c>
      <c r="M118" s="902">
        <v>7416089.4499999955</v>
      </c>
    </row>
    <row r="119" spans="2:13" hidden="1">
      <c r="B119" s="243" t="s">
        <v>2812</v>
      </c>
      <c r="C119" s="243" t="s">
        <v>2842</v>
      </c>
      <c r="D119" s="733"/>
      <c r="E119" s="733">
        <f t="shared" si="12"/>
        <v>178689.375</v>
      </c>
      <c r="F119" s="733">
        <f t="shared" ref="F119:F124" si="14">+I119/10/2</f>
        <v>0</v>
      </c>
      <c r="G119" s="733">
        <f t="shared" si="13"/>
        <v>178689.375</v>
      </c>
      <c r="K119" s="11" t="s">
        <v>2215</v>
      </c>
      <c r="M119" s="11">
        <v>976914.32999999914</v>
      </c>
    </row>
    <row r="120" spans="2:13" hidden="1">
      <c r="B120" s="243" t="s">
        <v>2813</v>
      </c>
      <c r="C120" s="243" t="s">
        <v>2843</v>
      </c>
      <c r="D120" s="733"/>
      <c r="E120" s="733">
        <f t="shared" si="12"/>
        <v>15847.03125</v>
      </c>
      <c r="F120" s="733">
        <f t="shared" si="14"/>
        <v>0</v>
      </c>
      <c r="G120" s="733">
        <f t="shared" si="13"/>
        <v>15847.03125</v>
      </c>
      <c r="K120" s="11" t="s">
        <v>2214</v>
      </c>
      <c r="M120" s="11">
        <v>0</v>
      </c>
    </row>
    <row r="121" spans="2:13" hidden="1">
      <c r="B121" s="243" t="s">
        <v>2814</v>
      </c>
      <c r="C121" s="243" t="s">
        <v>2844</v>
      </c>
      <c r="D121" s="733"/>
      <c r="E121" s="733">
        <f t="shared" si="12"/>
        <v>7021.875</v>
      </c>
      <c r="F121" s="733">
        <f t="shared" si="14"/>
        <v>0</v>
      </c>
      <c r="G121" s="733">
        <f t="shared" si="13"/>
        <v>7021.875</v>
      </c>
      <c r="K121" s="11" t="s">
        <v>2213</v>
      </c>
      <c r="M121" s="11">
        <v>1924459.4</v>
      </c>
    </row>
    <row r="122" spans="2:13" hidden="1">
      <c r="B122" s="243" t="s">
        <v>2815</v>
      </c>
      <c r="C122" s="243" t="s">
        <v>2845</v>
      </c>
      <c r="D122" s="733"/>
      <c r="E122" s="733">
        <f t="shared" si="12"/>
        <v>169858.15233344585</v>
      </c>
      <c r="F122" s="733">
        <f t="shared" si="14"/>
        <v>48845.716499999959</v>
      </c>
      <c r="G122" s="733">
        <f t="shared" si="13"/>
        <v>218703.8688334458</v>
      </c>
      <c r="I122" s="11">
        <f>+M119</f>
        <v>976914.32999999914</v>
      </c>
      <c r="K122" s="11" t="s">
        <v>2315</v>
      </c>
      <c r="M122" s="11">
        <v>293635</v>
      </c>
    </row>
    <row r="123" spans="2:13" hidden="1">
      <c r="B123" s="243" t="s">
        <v>2816</v>
      </c>
      <c r="C123" s="243" t="s">
        <v>2846</v>
      </c>
      <c r="D123" s="733"/>
      <c r="E123" s="733">
        <f t="shared" si="12"/>
        <v>13123.61111604856</v>
      </c>
      <c r="F123" s="733">
        <f t="shared" si="14"/>
        <v>96222.97</v>
      </c>
      <c r="G123" s="733">
        <f t="shared" si="13"/>
        <v>109346.58111604856</v>
      </c>
      <c r="I123" s="11">
        <f>+M121</f>
        <v>1924459.4</v>
      </c>
      <c r="K123" s="11" t="s">
        <v>2211</v>
      </c>
      <c r="M123" s="11">
        <v>0</v>
      </c>
    </row>
    <row r="124" spans="2:13" hidden="1">
      <c r="B124" s="243" t="s">
        <v>2817</v>
      </c>
      <c r="C124" s="243" t="s">
        <v>2847</v>
      </c>
      <c r="D124" s="733"/>
      <c r="E124" s="733">
        <f t="shared" si="12"/>
        <v>633292.85573991574</v>
      </c>
      <c r="F124" s="733">
        <f t="shared" si="14"/>
        <v>-1.1932570487260817E-10</v>
      </c>
      <c r="G124" s="733">
        <f t="shared" si="13"/>
        <v>633292.85573991563</v>
      </c>
      <c r="I124" s="11">
        <f>+I23</f>
        <v>-2.3865140974521637E-9</v>
      </c>
      <c r="K124" s="11" t="s">
        <v>2316</v>
      </c>
      <c r="M124" s="11">
        <v>25789</v>
      </c>
    </row>
    <row r="125" spans="2:13" hidden="1">
      <c r="D125" s="1291">
        <f>SUM(D115:D124)</f>
        <v>22844976.882481866</v>
      </c>
      <c r="E125" s="1291">
        <f>SUM(E115:E124)</f>
        <v>22844976.882481866</v>
      </c>
      <c r="F125" s="1291">
        <f>SUM(F115:F124)</f>
        <v>694125.40058333322</v>
      </c>
      <c r="G125" s="1291">
        <f>SUM(G115:G124)</f>
        <v>23539102.283065192</v>
      </c>
      <c r="K125" t="s">
        <v>194</v>
      </c>
      <c r="M125" s="902">
        <v>21670</v>
      </c>
    </row>
    <row r="126" spans="2:13" hidden="1">
      <c r="D126" s="11">
        <f>+D125+F125</f>
        <v>23539102.2830652</v>
      </c>
      <c r="F126" s="11">
        <f>+M118+M125</f>
        <v>7437759.4499999955</v>
      </c>
    </row>
    <row r="127" spans="2:13" hidden="1">
      <c r="F127" s="11">
        <f>+M117+M122+M124</f>
        <v>5544085.0199999996</v>
      </c>
    </row>
    <row r="128" spans="2:13" hidden="1"/>
    <row r="129" spans="2:21" s="1289" customFormat="1" hidden="1">
      <c r="E129" s="1289" t="str">
        <f>+E21</f>
        <v>Edif. Y componente</v>
      </c>
      <c r="F129" s="1289" t="str">
        <f>+F21</f>
        <v>Maq. Y Equipos</v>
      </c>
      <c r="G129" s="1289" t="str">
        <f>+G21</f>
        <v>Equipo de comunicación</v>
      </c>
      <c r="H129" s="1289" t="str">
        <f>+H21</f>
        <v>Mob. Y equipo de ofic.</v>
      </c>
      <c r="I129" s="1289" t="str">
        <f>+I21</f>
        <v>Equipo Transp y otros</v>
      </c>
      <c r="O129" s="1633"/>
      <c r="P129" s="1633"/>
      <c r="Q129" s="1633"/>
      <c r="R129" s="1633"/>
      <c r="S129" s="1633"/>
      <c r="T129" s="1633"/>
      <c r="U129" s="1633"/>
    </row>
    <row r="130" spans="2:21" hidden="1">
      <c r="E130" s="11">
        <f>+E22-E28</f>
        <v>740094520.74000001</v>
      </c>
      <c r="F130" s="11">
        <f>+F22-F28</f>
        <v>17303993.859999996</v>
      </c>
      <c r="G130" s="11">
        <f>+G22-G28</f>
        <v>424665.05999999994</v>
      </c>
      <c r="H130" s="11">
        <f>+H22-H28</f>
        <v>5897002.7400000039</v>
      </c>
      <c r="I130" s="11">
        <f>+I22-I28</f>
        <v>13043581.670000002</v>
      </c>
      <c r="J130" s="11"/>
      <c r="K130" s="11"/>
    </row>
    <row r="131" spans="2:21" hidden="1">
      <c r="E131" s="11">
        <f>+E23</f>
        <v>5541311.1799999923</v>
      </c>
      <c r="F131" s="11">
        <f>+F23</f>
        <v>2.7939677238464355E-9</v>
      </c>
      <c r="G131" s="11">
        <f>+G23</f>
        <v>5.6388671509921551E-11</v>
      </c>
      <c r="H131" s="11">
        <f>+H23</f>
        <v>0</v>
      </c>
      <c r="I131" s="11">
        <f>+I23</f>
        <v>-2.3865140974521637E-9</v>
      </c>
      <c r="J131" s="11"/>
      <c r="K131" s="11"/>
    </row>
    <row r="132" spans="2:21" hidden="1">
      <c r="B132" t="s">
        <v>2793</v>
      </c>
      <c r="E132" s="11">
        <f>+E130*0.05</f>
        <v>37004726.037</v>
      </c>
      <c r="F132" s="11">
        <f>+F130*0.15</f>
        <v>2595599.0789999994</v>
      </c>
      <c r="G132" s="11">
        <f>+G130*0.25</f>
        <v>106166.26499999998</v>
      </c>
      <c r="H132" s="11">
        <f>+H130*0.25</f>
        <v>1474250.685000001</v>
      </c>
      <c r="I132" s="11">
        <f>+I130*0.25</f>
        <v>3260895.4175000004</v>
      </c>
      <c r="J132" s="11"/>
      <c r="K132" s="11">
        <f>SUM(E132:I132)</f>
        <v>44441637.483500004</v>
      </c>
    </row>
    <row r="133" spans="2:21" hidden="1">
      <c r="E133" s="11">
        <f>+E132/2</f>
        <v>18502363.0185</v>
      </c>
      <c r="F133" s="11">
        <f>+F132/2</f>
        <v>1297799.5394999997</v>
      </c>
      <c r="G133" s="11">
        <f>+G132/2</f>
        <v>53083.132499999992</v>
      </c>
      <c r="H133" s="11">
        <f>+H132/2</f>
        <v>737125.34250000049</v>
      </c>
      <c r="I133" s="11">
        <f>+I132/2</f>
        <v>1630447.7087500002</v>
      </c>
      <c r="J133" s="11"/>
      <c r="K133" s="11">
        <f>SUM(E133:I133)</f>
        <v>22220818.741750002</v>
      </c>
    </row>
    <row r="134" spans="2:21" hidden="1">
      <c r="E134" s="11">
        <f>+E131*0.05/2</f>
        <v>138532.7794999998</v>
      </c>
      <c r="F134" s="11">
        <f>+F131*0.15/2</f>
        <v>2.0954757928848265E-10</v>
      </c>
      <c r="G134" s="11">
        <f>+G131*0.25/2</f>
        <v>7.0485839387401938E-12</v>
      </c>
      <c r="H134" s="11">
        <f>+H131*0.25/2</f>
        <v>0</v>
      </c>
      <c r="I134" s="11">
        <f>+I131*0.25/2</f>
        <v>-2.9831426218152046E-10</v>
      </c>
      <c r="J134" s="11"/>
      <c r="K134" s="11">
        <f>SUM(E134:I134)</f>
        <v>138532.77949999971</v>
      </c>
    </row>
    <row r="135" spans="2:21" hidden="1">
      <c r="E135" s="11">
        <f>+E134/2</f>
        <v>69266.3897499999</v>
      </c>
      <c r="F135" s="11">
        <f>+F134/2</f>
        <v>1.0477378964424132E-10</v>
      </c>
      <c r="G135" s="11">
        <f>+G134/2</f>
        <v>3.5242919693700969E-12</v>
      </c>
      <c r="H135" s="11">
        <f>+H134/2</f>
        <v>0</v>
      </c>
      <c r="I135" s="11">
        <f>+I134/2</f>
        <v>-1.4915713109076023E-10</v>
      </c>
      <c r="J135" s="11"/>
      <c r="K135" s="11">
        <f>SUM(E135:I135)</f>
        <v>69266.389749999857</v>
      </c>
    </row>
    <row r="136" spans="2:21" hidden="1">
      <c r="E136" s="11"/>
      <c r="F136" s="11"/>
      <c r="G136" s="11"/>
      <c r="H136" s="11"/>
      <c r="I136" s="11"/>
      <c r="J136" s="11"/>
      <c r="K136" s="11">
        <f>+K133+K135</f>
        <v>22290085.131500002</v>
      </c>
    </row>
    <row r="137" spans="2:21" hidden="1">
      <c r="K137" s="11"/>
    </row>
    <row r="138" spans="2:21" hidden="1">
      <c r="K138">
        <f>+K132/2</f>
        <v>22220818.741750002</v>
      </c>
    </row>
    <row r="139" spans="2:21" hidden="1">
      <c r="K139" s="11">
        <f>+K135</f>
        <v>69266.389749999857</v>
      </c>
    </row>
    <row r="140" spans="2:21" hidden="1">
      <c r="K140" s="11">
        <f>+K134+K132</f>
        <v>44580170.263000004</v>
      </c>
    </row>
    <row r="141" spans="2:21" hidden="1"/>
    <row r="142" spans="2:21" hidden="1">
      <c r="B142" s="1825" t="s">
        <v>899</v>
      </c>
      <c r="C142" s="1825"/>
      <c r="D142" s="1825"/>
      <c r="E142" s="1825"/>
      <c r="F142" s="1825"/>
      <c r="G142" s="1825"/>
      <c r="H142" s="1825"/>
    </row>
    <row r="143" spans="2:21" hidden="1">
      <c r="B143" s="1922" t="s">
        <v>3799</v>
      </c>
      <c r="C143" s="1923"/>
      <c r="D143" s="1923"/>
      <c r="E143" s="1923"/>
      <c r="F143" s="1923"/>
      <c r="G143" s="1923"/>
      <c r="H143" s="1923"/>
    </row>
    <row r="144" spans="2:21" hidden="1">
      <c r="B144" s="243"/>
      <c r="C144" s="1214" t="s">
        <v>893</v>
      </c>
      <c r="D144" s="243" t="s">
        <v>3800</v>
      </c>
      <c r="E144" s="1214" t="s">
        <v>2785</v>
      </c>
      <c r="F144" s="1214" t="s">
        <v>2786</v>
      </c>
      <c r="G144" s="1214" t="s">
        <v>2788</v>
      </c>
      <c r="H144" s="1214" t="s">
        <v>2787</v>
      </c>
    </row>
    <row r="145" spans="2:13" hidden="1">
      <c r="B145" s="516" t="s">
        <v>1216</v>
      </c>
      <c r="C145" s="513">
        <f>+D238</f>
        <v>0</v>
      </c>
      <c r="D145" s="513">
        <v>0</v>
      </c>
      <c r="E145" s="513"/>
      <c r="F145" s="513"/>
      <c r="G145" s="513"/>
      <c r="H145" s="513"/>
      <c r="I145" s="1476"/>
      <c r="J145" s="11"/>
      <c r="K145" s="11"/>
    </row>
    <row r="146" spans="2:13" hidden="1">
      <c r="B146" s="516" t="s">
        <v>2382</v>
      </c>
      <c r="C146" s="513">
        <v>0</v>
      </c>
      <c r="D146" s="513"/>
      <c r="E146" s="513">
        <v>0</v>
      </c>
      <c r="F146" s="513"/>
      <c r="G146" s="513"/>
      <c r="H146" s="513"/>
      <c r="I146" s="1476"/>
      <c r="J146" s="11"/>
      <c r="K146" s="11"/>
    </row>
    <row r="147" spans="2:13" hidden="1">
      <c r="B147" s="516" t="s">
        <v>2383</v>
      </c>
      <c r="C147" s="1559">
        <f>+D239+D240+D241</f>
        <v>0</v>
      </c>
      <c r="D147" s="513">
        <v>10140571.66</v>
      </c>
      <c r="E147" s="513">
        <v>136491958</v>
      </c>
      <c r="F147" s="513">
        <f>(+C147-E147:E147)*0.05</f>
        <v>-6824597.9000000004</v>
      </c>
      <c r="G147" s="513">
        <f>+E147+F147</f>
        <v>129667360.09999999</v>
      </c>
      <c r="H147" s="513">
        <f>+C147+D147-G147</f>
        <v>-119526788.44</v>
      </c>
      <c r="I147" s="1476"/>
      <c r="J147" s="11"/>
      <c r="K147" s="11"/>
    </row>
    <row r="148" spans="2:13" hidden="1">
      <c r="B148" s="516" t="s">
        <v>2384</v>
      </c>
      <c r="C148" s="1562" t="e">
        <f>+D242+D243+D248+D249+D250+D251</f>
        <v>#VALUE!</v>
      </c>
      <c r="D148" s="513">
        <v>890</v>
      </c>
      <c r="E148" s="513">
        <v>20832554</v>
      </c>
      <c r="F148" s="513" t="e">
        <f>(+C148-E148:E148)*0.15</f>
        <v>#VALUE!</v>
      </c>
      <c r="G148" s="513" t="e">
        <f>+E148+F148</f>
        <v>#VALUE!</v>
      </c>
      <c r="H148" s="513" t="e">
        <f>+C148+D148-G148</f>
        <v>#VALUE!</v>
      </c>
      <c r="I148" s="1476"/>
      <c r="J148" s="11"/>
      <c r="K148" s="11"/>
    </row>
    <row r="149" spans="2:13" hidden="1">
      <c r="B149" s="516" t="s">
        <v>2391</v>
      </c>
      <c r="C149" s="1561">
        <f>+D246</f>
        <v>0</v>
      </c>
      <c r="D149" s="513">
        <v>0</v>
      </c>
      <c r="E149" s="513">
        <v>32768.76</v>
      </c>
      <c r="F149" s="513">
        <f>(+C149-E149:E149)*0.25</f>
        <v>-8192.19</v>
      </c>
      <c r="G149" s="513">
        <f>+E149+F149</f>
        <v>24576.57</v>
      </c>
      <c r="H149" s="513">
        <f>+C149+D149-G149</f>
        <v>-24576.57</v>
      </c>
      <c r="I149" s="1476"/>
      <c r="J149" s="11"/>
      <c r="K149" s="11"/>
    </row>
    <row r="150" spans="2:13" hidden="1">
      <c r="B150" s="516" t="s">
        <v>3797</v>
      </c>
      <c r="C150" s="1563">
        <f>+D245+D247</f>
        <v>0</v>
      </c>
      <c r="D150" s="513">
        <v>0</v>
      </c>
      <c r="E150" s="513">
        <v>7933418.1600000001</v>
      </c>
      <c r="F150" s="513">
        <f>(+C150-E150:E150)*0.25</f>
        <v>-1983354.54</v>
      </c>
      <c r="G150" s="513">
        <f>+E150+F150</f>
        <v>5950063.6200000001</v>
      </c>
      <c r="H150" s="513">
        <f>+C150+D150-G150</f>
        <v>-5950063.6200000001</v>
      </c>
      <c r="I150" s="1476"/>
      <c r="J150" s="11"/>
      <c r="K150" s="11"/>
    </row>
    <row r="151" spans="2:13" hidden="1">
      <c r="B151" s="516" t="s">
        <v>2385</v>
      </c>
      <c r="C151" s="1560">
        <f>+D244</f>
        <v>0</v>
      </c>
      <c r="D151" s="513">
        <v>4900000</v>
      </c>
      <c r="E151" s="513">
        <v>27327066.359999999</v>
      </c>
      <c r="F151" s="513">
        <f>(+C151-E151:E151)*0.25</f>
        <v>-6831766.5899999999</v>
      </c>
      <c r="G151" s="513">
        <f>+E151+F151</f>
        <v>20495299.77</v>
      </c>
      <c r="H151" s="513">
        <f>+C151+D151-G151</f>
        <v>-15595299.77</v>
      </c>
      <c r="I151" s="1476"/>
      <c r="J151" s="11"/>
      <c r="K151" s="11"/>
      <c r="L151">
        <v>5</v>
      </c>
      <c r="M151">
        <v>15</v>
      </c>
    </row>
    <row r="152" spans="2:13" hidden="1">
      <c r="B152" s="516" t="s">
        <v>1415</v>
      </c>
      <c r="C152" s="513" t="e">
        <f>SUM(C145:C151)</f>
        <v>#VALUE!</v>
      </c>
      <c r="D152" s="513">
        <f t="shared" ref="D152:J152" si="15">SUM(D145:D151)</f>
        <v>15041461.66</v>
      </c>
      <c r="E152" s="513">
        <f t="shared" si="15"/>
        <v>192617765.27999997</v>
      </c>
      <c r="F152" s="513" t="e">
        <f t="shared" si="15"/>
        <v>#VALUE!</v>
      </c>
      <c r="G152" s="513" t="e">
        <f t="shared" si="15"/>
        <v>#VALUE!</v>
      </c>
      <c r="H152" s="513" t="e">
        <f t="shared" si="15"/>
        <v>#VALUE!</v>
      </c>
      <c r="I152" s="1476">
        <f t="shared" si="15"/>
        <v>0</v>
      </c>
      <c r="J152" s="11">
        <f t="shared" si="15"/>
        <v>0</v>
      </c>
      <c r="K152" s="11"/>
      <c r="L152">
        <v>10</v>
      </c>
      <c r="M152">
        <f>+M151+5</f>
        <v>20</v>
      </c>
    </row>
    <row r="153" spans="2:13" hidden="1">
      <c r="L153">
        <v>15</v>
      </c>
      <c r="M153">
        <f>+M152+5</f>
        <v>25</v>
      </c>
    </row>
    <row r="154" spans="2:13" hidden="1">
      <c r="D154" s="1924">
        <v>2022</v>
      </c>
      <c r="E154" s="1924"/>
      <c r="F154" s="1924" t="s">
        <v>3798</v>
      </c>
      <c r="G154" s="1924"/>
      <c r="L154">
        <v>20</v>
      </c>
      <c r="M154">
        <f>+M153+5</f>
        <v>30</v>
      </c>
    </row>
    <row r="155" spans="2:13" hidden="1">
      <c r="B155" s="1565" t="s">
        <v>2793</v>
      </c>
      <c r="C155" s="1565">
        <v>5101990001</v>
      </c>
      <c r="D155" s="935" t="e">
        <f>SUM(E156:E163)</f>
        <v>#VALUE!</v>
      </c>
      <c r="E155" s="1566"/>
      <c r="F155" s="935" t="e">
        <f>+D155/2</f>
        <v>#VALUE!</v>
      </c>
      <c r="G155" s="935"/>
    </row>
    <row r="156" spans="2:13" hidden="1">
      <c r="B156" s="1558" t="s">
        <v>2810</v>
      </c>
      <c r="C156" s="243" t="s">
        <v>2840</v>
      </c>
      <c r="D156" s="733"/>
      <c r="E156" s="1564">
        <f>+F147</f>
        <v>-6824597.9000000004</v>
      </c>
      <c r="F156" s="733"/>
      <c r="G156" s="733">
        <f t="shared" ref="G156:G163" si="16">+E156/2</f>
        <v>-3412298.95</v>
      </c>
    </row>
    <row r="157" spans="2:13" hidden="1">
      <c r="B157" s="1558" t="s">
        <v>2811</v>
      </c>
      <c r="C157" s="243" t="s">
        <v>2841</v>
      </c>
      <c r="D157" s="733"/>
      <c r="E157" s="1564">
        <v>875214.01750000007</v>
      </c>
      <c r="F157" s="733"/>
      <c r="G157" s="733">
        <f t="shared" si="16"/>
        <v>437607.00875000004</v>
      </c>
    </row>
    <row r="158" spans="2:13" hidden="1">
      <c r="B158" s="1558" t="s">
        <v>2812</v>
      </c>
      <c r="C158" s="243" t="s">
        <v>2842</v>
      </c>
      <c r="D158" s="733"/>
      <c r="E158" s="1564" t="e">
        <f>+F148-E159-E157</f>
        <v>#VALUE!</v>
      </c>
      <c r="F158" s="733"/>
      <c r="G158" s="733" t="e">
        <f t="shared" si="16"/>
        <v>#VALUE!</v>
      </c>
    </row>
    <row r="159" spans="2:13" hidden="1">
      <c r="B159" s="1558" t="s">
        <v>2813</v>
      </c>
      <c r="C159" s="243" t="s">
        <v>2843</v>
      </c>
      <c r="D159" s="733"/>
      <c r="E159" s="1564">
        <v>30217.797500000001</v>
      </c>
      <c r="F159" s="733"/>
      <c r="G159" s="733">
        <f t="shared" si="16"/>
        <v>15108.89875</v>
      </c>
    </row>
    <row r="160" spans="2:13" hidden="1">
      <c r="B160" s="1558" t="s">
        <v>2814</v>
      </c>
      <c r="C160" s="243" t="s">
        <v>2844</v>
      </c>
      <c r="D160" s="733"/>
      <c r="E160" s="1564">
        <f>+F149</f>
        <v>-8192.19</v>
      </c>
      <c r="F160" s="733"/>
      <c r="G160" s="733">
        <f t="shared" si="16"/>
        <v>-4096.0950000000003</v>
      </c>
    </row>
    <row r="161" spans="2:8" hidden="1">
      <c r="B161" s="1558" t="s">
        <v>2815</v>
      </c>
      <c r="C161" s="243" t="s">
        <v>2845</v>
      </c>
      <c r="D161" s="733"/>
      <c r="E161" s="1564">
        <f>+F150-E162</f>
        <v>-2471031.2675000001</v>
      </c>
      <c r="F161" s="733"/>
      <c r="G161" s="733">
        <f t="shared" si="16"/>
        <v>-1235515.63375</v>
      </c>
    </row>
    <row r="162" spans="2:8" hidden="1">
      <c r="B162" s="1558" t="s">
        <v>2816</v>
      </c>
      <c r="C162" s="243" t="s">
        <v>2846</v>
      </c>
      <c r="D162" s="733"/>
      <c r="E162" s="1564">
        <v>487676.72749999992</v>
      </c>
      <c r="F162" s="733"/>
      <c r="G162" s="733">
        <f t="shared" si="16"/>
        <v>243838.36374999996</v>
      </c>
    </row>
    <row r="163" spans="2:8" hidden="1">
      <c r="B163" s="1558" t="s">
        <v>2817</v>
      </c>
      <c r="C163" s="243" t="s">
        <v>2847</v>
      </c>
      <c r="D163" s="733"/>
      <c r="E163" s="1564">
        <f>+F151</f>
        <v>-6831766.5899999999</v>
      </c>
      <c r="F163" s="733"/>
      <c r="G163" s="733">
        <f t="shared" si="16"/>
        <v>-3415883.2949999999</v>
      </c>
    </row>
    <row r="164" spans="2:8" hidden="1">
      <c r="D164" s="733" t="e">
        <f>SUM(D155:D163)</f>
        <v>#VALUE!</v>
      </c>
      <c r="E164" s="733" t="e">
        <f>SUM(E155:E163)</f>
        <v>#VALUE!</v>
      </c>
      <c r="F164" s="733" t="e">
        <f>SUM(F155:F163)</f>
        <v>#VALUE!</v>
      </c>
      <c r="G164" s="733" t="e">
        <f>SUM(G155:G163)</f>
        <v>#VALUE!</v>
      </c>
    </row>
    <row r="165" spans="2:8" hidden="1"/>
    <row r="166" spans="2:8" hidden="1"/>
    <row r="167" spans="2:8" hidden="1">
      <c r="B167" s="1825" t="s">
        <v>899</v>
      </c>
      <c r="C167" s="1825"/>
      <c r="D167" s="1825"/>
      <c r="E167" s="1825"/>
      <c r="F167" s="1825"/>
      <c r="G167" s="1825"/>
      <c r="H167" s="1825"/>
    </row>
    <row r="168" spans="2:8" hidden="1">
      <c r="B168" s="1922" t="s">
        <v>3857</v>
      </c>
      <c r="C168" s="1923"/>
      <c r="D168" s="1923"/>
      <c r="E168" s="1923"/>
      <c r="F168" s="1923"/>
      <c r="G168" s="1923"/>
      <c r="H168" s="1923"/>
    </row>
    <row r="169" spans="2:8" hidden="1">
      <c r="B169" s="243"/>
      <c r="C169" s="1214" t="s">
        <v>893</v>
      </c>
      <c r="D169" s="243" t="s">
        <v>3800</v>
      </c>
      <c r="E169" s="1214" t="s">
        <v>2785</v>
      </c>
      <c r="F169" s="1214" t="s">
        <v>2786</v>
      </c>
      <c r="G169" s="1214" t="s">
        <v>2788</v>
      </c>
      <c r="H169" s="1214" t="s">
        <v>2787</v>
      </c>
    </row>
    <row r="170" spans="2:8" hidden="1">
      <c r="B170" s="516" t="s">
        <v>1216</v>
      </c>
      <c r="C170" s="513">
        <f>+C145</f>
        <v>0</v>
      </c>
      <c r="D170" s="513">
        <v>0</v>
      </c>
      <c r="E170" s="513"/>
      <c r="F170" s="513"/>
      <c r="G170" s="513"/>
      <c r="H170" s="513"/>
    </row>
    <row r="171" spans="2:8" hidden="1">
      <c r="B171" s="516" t="s">
        <v>2382</v>
      </c>
      <c r="C171" s="513">
        <f t="shared" ref="C171:C176" si="17">+C146</f>
        <v>0</v>
      </c>
      <c r="D171" s="513"/>
      <c r="E171" s="513">
        <v>0</v>
      </c>
      <c r="F171" s="513"/>
      <c r="G171" s="513"/>
      <c r="H171" s="513"/>
    </row>
    <row r="172" spans="2:8" hidden="1">
      <c r="B172" s="516" t="s">
        <v>2383</v>
      </c>
      <c r="C172" s="513">
        <f t="shared" si="17"/>
        <v>0</v>
      </c>
      <c r="D172" s="513">
        <v>16915626.73</v>
      </c>
      <c r="E172" s="513">
        <v>136491958</v>
      </c>
      <c r="F172" s="513">
        <f>(+C172+D172-E172)*0.05</f>
        <v>-5978816.5635000002</v>
      </c>
      <c r="G172" s="513">
        <f>+E172+F172</f>
        <v>130513141.4365</v>
      </c>
      <c r="H172" s="513">
        <f>+C172+D172-G172</f>
        <v>-113597514.70649999</v>
      </c>
    </row>
    <row r="173" spans="2:8" hidden="1">
      <c r="B173" s="516" t="s">
        <v>2384</v>
      </c>
      <c r="C173" s="513" t="e">
        <f t="shared" si="17"/>
        <v>#VALUE!</v>
      </c>
      <c r="D173" s="513">
        <v>106617.88</v>
      </c>
      <c r="E173" s="513">
        <v>20832554</v>
      </c>
      <c r="F173" s="513" t="e">
        <f>(+C173+D173-E173)*0.15</f>
        <v>#VALUE!</v>
      </c>
      <c r="G173" s="513" t="e">
        <f>+E173+F173</f>
        <v>#VALUE!</v>
      </c>
      <c r="H173" s="513" t="e">
        <f>+C173+D173-G173</f>
        <v>#VALUE!</v>
      </c>
    </row>
    <row r="174" spans="2:8" hidden="1">
      <c r="B174" s="516" t="s">
        <v>2391</v>
      </c>
      <c r="C174" s="513">
        <f t="shared" si="17"/>
        <v>0</v>
      </c>
      <c r="D174" s="513"/>
      <c r="E174" s="513">
        <v>32768.76</v>
      </c>
      <c r="F174" s="513">
        <f>(+C174-E174:E174)*0.25</f>
        <v>-8192.19</v>
      </c>
      <c r="G174" s="513">
        <f>+E174+F174</f>
        <v>24576.57</v>
      </c>
      <c r="H174" s="513">
        <f>+C174+D174-G174</f>
        <v>-24576.57</v>
      </c>
    </row>
    <row r="175" spans="2:8" hidden="1">
      <c r="B175" s="516" t="s">
        <v>3797</v>
      </c>
      <c r="C175" s="513">
        <f t="shared" si="17"/>
        <v>0</v>
      </c>
      <c r="D175" s="513">
        <v>2103912</v>
      </c>
      <c r="E175" s="513">
        <v>7933418.1600000001</v>
      </c>
      <c r="F175" s="513">
        <f>(+C175+D175-E175)*0.25</f>
        <v>-1457376.54</v>
      </c>
      <c r="G175" s="513">
        <f>+E175+F175</f>
        <v>6476041.6200000001</v>
      </c>
      <c r="H175" s="513">
        <f>+C175+D175-G175</f>
        <v>-4372129.62</v>
      </c>
    </row>
    <row r="176" spans="2:8" hidden="1">
      <c r="B176" s="516" t="s">
        <v>2385</v>
      </c>
      <c r="C176" s="513">
        <f t="shared" si="17"/>
        <v>0</v>
      </c>
      <c r="D176" s="513">
        <v>7953783</v>
      </c>
      <c r="E176" s="513">
        <v>27327066.359999999</v>
      </c>
      <c r="F176" s="513">
        <f>(+C176+D176-E176)*0.25</f>
        <v>-4843320.84</v>
      </c>
      <c r="G176" s="513">
        <f>+E176+F176</f>
        <v>22483745.52</v>
      </c>
      <c r="H176" s="513">
        <f>+C176+D176-G176</f>
        <v>-14529962.52</v>
      </c>
    </row>
    <row r="177" spans="2:8" hidden="1">
      <c r="B177" s="516" t="s">
        <v>1415</v>
      </c>
      <c r="C177" s="513" t="e">
        <f t="shared" ref="C177:H177" si="18">SUM(C170:C176)</f>
        <v>#VALUE!</v>
      </c>
      <c r="D177" s="513">
        <f t="shared" si="18"/>
        <v>27079939.609999999</v>
      </c>
      <c r="E177" s="513">
        <f t="shared" si="18"/>
        <v>192617765.27999997</v>
      </c>
      <c r="F177" s="513" t="e">
        <f t="shared" si="18"/>
        <v>#VALUE!</v>
      </c>
      <c r="G177" s="513" t="e">
        <f t="shared" si="18"/>
        <v>#VALUE!</v>
      </c>
      <c r="H177" s="513" t="e">
        <f t="shared" si="18"/>
        <v>#VALUE!</v>
      </c>
    </row>
    <row r="178" spans="2:8" hidden="1"/>
    <row r="179" spans="2:8" hidden="1">
      <c r="D179" s="1924">
        <v>2022</v>
      </c>
      <c r="E179" s="1924"/>
      <c r="F179" s="1924" t="s">
        <v>3858</v>
      </c>
      <c r="G179" s="1924"/>
    </row>
    <row r="180" spans="2:8" hidden="1">
      <c r="B180" s="1565" t="s">
        <v>2793</v>
      </c>
      <c r="C180" s="1565">
        <v>5101990001</v>
      </c>
      <c r="D180" s="935" t="e">
        <f>SUM(E181:E188)</f>
        <v>#VALUE!</v>
      </c>
      <c r="E180" s="1566"/>
      <c r="F180" s="935" t="e">
        <f>+D180/2</f>
        <v>#VALUE!</v>
      </c>
      <c r="G180" s="935"/>
    </row>
    <row r="181" spans="2:8" hidden="1">
      <c r="B181" s="1558" t="s">
        <v>2810</v>
      </c>
      <c r="C181" s="243" t="s">
        <v>2840</v>
      </c>
      <c r="D181" s="733"/>
      <c r="E181" s="1564">
        <f>+F172</f>
        <v>-5978816.5635000002</v>
      </c>
      <c r="F181" s="733"/>
      <c r="G181" s="733">
        <f>+E181-G156</f>
        <v>-2566517.6135</v>
      </c>
    </row>
    <row r="182" spans="2:8" hidden="1">
      <c r="B182" s="1558" t="s">
        <v>2811</v>
      </c>
      <c r="C182" s="243" t="s">
        <v>2841</v>
      </c>
      <c r="D182" s="733"/>
      <c r="E182" s="1564">
        <v>875214.01750000007</v>
      </c>
      <c r="F182" s="733"/>
      <c r="G182" s="733">
        <f t="shared" ref="G182:G188" si="19">+E182-G157</f>
        <v>437607.00875000004</v>
      </c>
    </row>
    <row r="183" spans="2:8" hidden="1">
      <c r="B183" s="1558" t="s">
        <v>2812</v>
      </c>
      <c r="C183" s="243" t="s">
        <v>2842</v>
      </c>
      <c r="D183" s="733"/>
      <c r="E183" s="1564" t="e">
        <f>+F173-E184-E182</f>
        <v>#VALUE!</v>
      </c>
      <c r="F183" s="733"/>
      <c r="G183" s="733" t="e">
        <f t="shared" si="19"/>
        <v>#VALUE!</v>
      </c>
    </row>
    <row r="184" spans="2:8" hidden="1">
      <c r="B184" s="1558" t="s">
        <v>2813</v>
      </c>
      <c r="C184" s="243" t="s">
        <v>2843</v>
      </c>
      <c r="D184" s="733"/>
      <c r="E184" s="1564">
        <v>30217.797500000001</v>
      </c>
      <c r="F184" s="733"/>
      <c r="G184" s="733">
        <f t="shared" si="19"/>
        <v>15108.89875</v>
      </c>
    </row>
    <row r="185" spans="2:8" hidden="1">
      <c r="B185" s="1558" t="s">
        <v>2814</v>
      </c>
      <c r="C185" s="243" t="s">
        <v>2844</v>
      </c>
      <c r="D185" s="733"/>
      <c r="E185" s="1564">
        <f>+F174</f>
        <v>-8192.19</v>
      </c>
      <c r="F185" s="733"/>
      <c r="G185" s="733">
        <f t="shared" si="19"/>
        <v>-4096.0950000000003</v>
      </c>
    </row>
    <row r="186" spans="2:8" hidden="1">
      <c r="B186" s="1558" t="s">
        <v>2815</v>
      </c>
      <c r="C186" s="243" t="s">
        <v>2845</v>
      </c>
      <c r="D186" s="733"/>
      <c r="E186" s="1564">
        <f>+F175-E187</f>
        <v>-1945053.2675000001</v>
      </c>
      <c r="F186" s="733"/>
      <c r="G186" s="733">
        <f t="shared" si="19"/>
        <v>-709537.63375000004</v>
      </c>
    </row>
    <row r="187" spans="2:8" hidden="1">
      <c r="B187" s="1558" t="s">
        <v>2816</v>
      </c>
      <c r="C187" s="243" t="s">
        <v>2846</v>
      </c>
      <c r="D187" s="733"/>
      <c r="E187" s="1564">
        <v>487676.72749999992</v>
      </c>
      <c r="F187" s="733"/>
      <c r="G187" s="733">
        <f t="shared" si="19"/>
        <v>243838.36374999996</v>
      </c>
    </row>
    <row r="188" spans="2:8" hidden="1">
      <c r="B188" s="1558" t="s">
        <v>2817</v>
      </c>
      <c r="C188" s="243" t="s">
        <v>2847</v>
      </c>
      <c r="D188" s="733"/>
      <c r="E188" s="1564">
        <f>+F176</f>
        <v>-4843320.84</v>
      </c>
      <c r="F188" s="733"/>
      <c r="G188" s="733">
        <f t="shared" si="19"/>
        <v>-1427437.5449999999</v>
      </c>
    </row>
    <row r="189" spans="2:8" hidden="1">
      <c r="D189" s="733" t="e">
        <f>SUM(D180:D188)</f>
        <v>#VALUE!</v>
      </c>
      <c r="E189" s="733" t="e">
        <f>SUM(E180:E188)</f>
        <v>#VALUE!</v>
      </c>
      <c r="F189" s="733" t="e">
        <f>SUM(F180:F188)</f>
        <v>#VALUE!</v>
      </c>
      <c r="G189" s="733" t="e">
        <f>SUM(G180:G188)</f>
        <v>#VALUE!</v>
      </c>
    </row>
    <row r="190" spans="2:8" hidden="1"/>
    <row r="191" spans="2:8" hidden="1"/>
    <row r="192" spans="2:8" hidden="1"/>
    <row r="193" spans="2:8" hidden="1">
      <c r="B193" s="1565" t="s">
        <v>2384</v>
      </c>
      <c r="C193" s="1674" t="s">
        <v>3963</v>
      </c>
      <c r="D193" s="1674" t="str">
        <f>+B23</f>
        <v>Adiciones</v>
      </c>
      <c r="E193" s="1674" t="s">
        <v>3964</v>
      </c>
      <c r="F193" s="1676" t="str">
        <f>+B23</f>
        <v>Adiciones</v>
      </c>
      <c r="G193" s="1674" t="s">
        <v>1205</v>
      </c>
    </row>
    <row r="194" spans="2:8" hidden="1">
      <c r="B194" s="243" t="s">
        <v>3965</v>
      </c>
      <c r="C194" s="1677">
        <f>SUM(F22:H22)</f>
        <v>64792036.339999996</v>
      </c>
      <c r="D194" s="11">
        <f>SUM(F23:H23)</f>
        <v>2.8503563953563571E-9</v>
      </c>
      <c r="E194" s="1677">
        <f>SUM(F28:H28)</f>
        <v>41166374.68</v>
      </c>
      <c r="F194" s="11">
        <f>SUM(F29:H29)</f>
        <v>3.4924596548080444E-10</v>
      </c>
      <c r="G194" s="1677">
        <f>+C194+D194-E194-F194</f>
        <v>23625661.659999996</v>
      </c>
    </row>
    <row r="195" spans="2:8" hidden="1">
      <c r="B195" s="243" t="s">
        <v>3966</v>
      </c>
      <c r="C195" s="1677">
        <f>95331475.86-C202</f>
        <v>47808240.659999996</v>
      </c>
      <c r="E195" s="1677">
        <f>63218124.45-E202</f>
        <v>31965746.310000002</v>
      </c>
      <c r="G195" s="1677">
        <f>+C195+D195-E195-F195</f>
        <v>15842494.349999994</v>
      </c>
    </row>
    <row r="196" spans="2:8" hidden="1">
      <c r="B196" s="1565" t="s">
        <v>3967</v>
      </c>
      <c r="C196" s="1678">
        <f>+C194+D194-C195</f>
        <v>16983795.68</v>
      </c>
      <c r="D196" s="333"/>
      <c r="E196" s="1678">
        <f>+E194-E195</f>
        <v>9200628.3699999973</v>
      </c>
      <c r="F196" s="333"/>
      <c r="G196" s="1679">
        <f>+G194-G195</f>
        <v>7783167.3100000024</v>
      </c>
    </row>
    <row r="197" spans="2:8" hidden="1">
      <c r="B197" t="str">
        <f>+B204</f>
        <v>Ajuste pa valor en libro</v>
      </c>
      <c r="C197" s="1290">
        <f>+C196</f>
        <v>16983795.68</v>
      </c>
    </row>
    <row r="198" spans="2:8" hidden="1"/>
    <row r="199" spans="2:8" hidden="1"/>
    <row r="200" spans="2:8" hidden="1">
      <c r="B200" s="1565" t="str">
        <f>+I21</f>
        <v>Equipo Transp y otros</v>
      </c>
      <c r="C200" s="1674" t="s">
        <v>3963</v>
      </c>
      <c r="D200" s="1674" t="str">
        <f>+D193</f>
        <v>Adiciones</v>
      </c>
      <c r="E200" s="1674" t="s">
        <v>3964</v>
      </c>
      <c r="F200" s="1676" t="str">
        <f>+F193</f>
        <v>Adiciones</v>
      </c>
      <c r="G200" s="1674" t="s">
        <v>1205</v>
      </c>
    </row>
    <row r="201" spans="2:8" hidden="1">
      <c r="B201" s="243" t="s">
        <v>3965</v>
      </c>
      <c r="C201" s="1677">
        <f>+I22</f>
        <v>56523467.980000004</v>
      </c>
      <c r="D201" s="733">
        <f>+I23</f>
        <v>-2.3865140974521637E-9</v>
      </c>
      <c r="E201" s="1677">
        <f>+I28</f>
        <v>43479886.310000002</v>
      </c>
      <c r="F201" s="11">
        <f>+I29</f>
        <v>0</v>
      </c>
      <c r="G201" s="1677">
        <f>+C201+D201-E201-F201</f>
        <v>13043581.670000002</v>
      </c>
    </row>
    <row r="202" spans="2:8" hidden="1">
      <c r="B202" s="243" t="s">
        <v>3966</v>
      </c>
      <c r="C202" s="1677">
        <v>47523235.200000003</v>
      </c>
      <c r="D202" s="243"/>
      <c r="E202" s="1677">
        <v>31252378.140000001</v>
      </c>
      <c r="G202" s="1677">
        <f>+C202+D202-E202-F202</f>
        <v>16270857.060000002</v>
      </c>
    </row>
    <row r="203" spans="2:8" hidden="1">
      <c r="B203" s="1565" t="s">
        <v>3967</v>
      </c>
      <c r="C203" s="1678">
        <f>+C202-C201-D201</f>
        <v>-9000232.7799999993</v>
      </c>
      <c r="D203" s="243"/>
      <c r="E203" s="1680">
        <f>+E201-E202</f>
        <v>12227508.170000002</v>
      </c>
      <c r="G203" s="1679">
        <f>+G201-G202</f>
        <v>-3227275.3900000006</v>
      </c>
    </row>
    <row r="204" spans="2:8" hidden="1">
      <c r="B204" s="27" t="s">
        <v>3968</v>
      </c>
      <c r="C204" s="1290">
        <f>-C203</f>
        <v>9000232.7799999993</v>
      </c>
      <c r="E204" s="1290">
        <f>-E203</f>
        <v>-12227508.170000002</v>
      </c>
      <c r="F204" s="1290"/>
    </row>
    <row r="205" spans="2:8" hidden="1">
      <c r="G205" s="1681">
        <f>+G194+G201</f>
        <v>36669243.329999998</v>
      </c>
    </row>
    <row r="206" spans="2:8" hidden="1">
      <c r="B206" t="s">
        <v>3969</v>
      </c>
      <c r="C206" t="s">
        <v>3962</v>
      </c>
      <c r="G206" s="1681">
        <f>+G201+G194</f>
        <v>36669243.329999998</v>
      </c>
      <c r="H206">
        <v>95331475.859999999</v>
      </c>
    </row>
    <row r="207" spans="2:8" hidden="1">
      <c r="B207" t="s">
        <v>3970</v>
      </c>
      <c r="C207" t="s">
        <v>3971</v>
      </c>
      <c r="G207">
        <v>32109201.41</v>
      </c>
      <c r="H207">
        <v>63218124.450000003</v>
      </c>
    </row>
    <row r="208" spans="2:8" hidden="1">
      <c r="C208" s="1290">
        <f>+C202+C195</f>
        <v>95331475.859999999</v>
      </c>
      <c r="E208" s="1681">
        <f>+E195+E202</f>
        <v>63218124.450000003</v>
      </c>
      <c r="G208" s="1290">
        <f>+G206-G207</f>
        <v>4560041.9199999981</v>
      </c>
      <c r="H208">
        <f>+H206-H207</f>
        <v>32113351.409999996</v>
      </c>
    </row>
    <row r="209" spans="2:21" hidden="1">
      <c r="H209">
        <f>+H208-G207</f>
        <v>4149.9999999962747</v>
      </c>
    </row>
    <row r="210" spans="2:21" hidden="1">
      <c r="B210" s="243" t="s">
        <v>3972</v>
      </c>
      <c r="C210" s="243"/>
      <c r="D210" s="243" t="s">
        <v>3973</v>
      </c>
      <c r="E210" s="243" t="s">
        <v>3974</v>
      </c>
    </row>
    <row r="211" spans="2:21" hidden="1">
      <c r="B211" s="243" t="s">
        <v>2811</v>
      </c>
      <c r="C211" s="243" t="s">
        <v>2841</v>
      </c>
      <c r="D211" s="1682"/>
      <c r="E211" s="1682">
        <f>+G196</f>
        <v>7783167.3100000024</v>
      </c>
    </row>
    <row r="212" spans="2:21" hidden="1">
      <c r="B212" s="243" t="s">
        <v>2817</v>
      </c>
      <c r="C212" s="243" t="s">
        <v>2847</v>
      </c>
      <c r="D212" s="1682">
        <f>-G203</f>
        <v>3227275.3900000006</v>
      </c>
      <c r="E212" s="243"/>
    </row>
    <row r="213" spans="2:21" hidden="1">
      <c r="B213" s="1565" t="s">
        <v>2793</v>
      </c>
      <c r="C213" s="1565">
        <v>5101990001</v>
      </c>
      <c r="D213" s="1683">
        <f>SUM(E214:E221)</f>
        <v>95702098.859999999</v>
      </c>
      <c r="E213" s="1682">
        <f>+D212-E211</f>
        <v>-4555891.9200000018</v>
      </c>
    </row>
    <row r="214" spans="2:21" hidden="1"/>
    <row r="215" spans="2:21" hidden="1"/>
    <row r="216" spans="2:21" hidden="1"/>
    <row r="217" spans="2:21" hidden="1">
      <c r="E217" s="1718" t="s">
        <v>3999</v>
      </c>
      <c r="F217" s="1718"/>
      <c r="H217" t="s">
        <v>4007</v>
      </c>
    </row>
    <row r="218" spans="2:21" hidden="1">
      <c r="E218" s="1718"/>
      <c r="F218" s="1718"/>
    </row>
    <row r="219" spans="2:21" hidden="1">
      <c r="E219" s="1719">
        <v>95702098.859999999</v>
      </c>
      <c r="F219" s="1719">
        <v>66201106.109999999</v>
      </c>
      <c r="G219" s="1720">
        <f>+E219-F219</f>
        <v>29500992.75</v>
      </c>
      <c r="H219" s="1632">
        <v>97102928.239999995</v>
      </c>
      <c r="I219" s="1632">
        <v>66811632.539999999</v>
      </c>
      <c r="J219" s="1725"/>
      <c r="K219" s="1632">
        <f>+H219-I219</f>
        <v>30291295.699999996</v>
      </c>
    </row>
    <row r="220" spans="2:21" hidden="1">
      <c r="E220" s="1719"/>
      <c r="F220" s="1719"/>
      <c r="G220" s="740"/>
    </row>
    <row r="221" spans="2:21" hidden="1">
      <c r="E221" s="740" t="s">
        <v>4000</v>
      </c>
      <c r="F221" s="1719"/>
      <c r="G221" s="740"/>
      <c r="H221" t="s">
        <v>4008</v>
      </c>
    </row>
    <row r="222" spans="2:21" hidden="1">
      <c r="E222" s="1719">
        <v>47523235.200000003</v>
      </c>
      <c r="F222" s="1719">
        <v>32780390.100000001</v>
      </c>
      <c r="G222" s="1720">
        <f>+E222-F222</f>
        <v>14742845.100000001</v>
      </c>
      <c r="H222" s="1290">
        <f>+E222</f>
        <v>47523235.200000003</v>
      </c>
      <c r="I222">
        <v>33085992.489999998</v>
      </c>
      <c r="K222" s="1720">
        <f>+H222-I222</f>
        <v>14437242.710000005</v>
      </c>
    </row>
    <row r="223" spans="2:21" hidden="1">
      <c r="E223" s="1718"/>
      <c r="F223" s="1718"/>
      <c r="I223" s="1290">
        <f>+I222-F222</f>
        <v>305602.38999999687</v>
      </c>
      <c r="K223" s="1290">
        <f>+K222-G222</f>
        <v>-305602.38999999687</v>
      </c>
    </row>
    <row r="224" spans="2:21" hidden="1">
      <c r="B224" s="1825" t="s">
        <v>899</v>
      </c>
      <c r="C224" s="1825"/>
      <c r="D224" s="1825"/>
      <c r="E224" s="1825"/>
      <c r="F224" s="1825"/>
      <c r="G224" s="1825"/>
      <c r="H224" s="1825"/>
      <c r="O224" s="1718"/>
      <c r="P224" s="1718"/>
      <c r="Q224" s="1718"/>
      <c r="R224" s="1718"/>
      <c r="S224" s="1718"/>
      <c r="T224" s="1718"/>
      <c r="U224" s="1718"/>
    </row>
    <row r="225" spans="2:21" hidden="1">
      <c r="B225" s="1922" t="s">
        <v>4001</v>
      </c>
      <c r="C225" s="1923"/>
      <c r="D225" s="1923"/>
      <c r="E225" s="1923"/>
      <c r="F225" s="1923"/>
      <c r="G225" s="1923"/>
      <c r="H225" s="1923"/>
      <c r="K225" s="1290">
        <f>+K226-H222</f>
        <v>-377316.52000000328</v>
      </c>
      <c r="O225" s="1718"/>
      <c r="P225" s="1718"/>
      <c r="Q225" s="1718"/>
      <c r="R225" s="1718"/>
      <c r="S225" s="1718"/>
      <c r="T225" s="1718"/>
      <c r="U225" s="1718"/>
    </row>
    <row r="226" spans="2:21" hidden="1">
      <c r="B226" s="243"/>
      <c r="C226" s="1214" t="s">
        <v>893</v>
      </c>
      <c r="D226" s="1244" t="s">
        <v>4002</v>
      </c>
      <c r="E226" s="1214" t="s">
        <v>2785</v>
      </c>
      <c r="F226" s="1214" t="s">
        <v>2786</v>
      </c>
      <c r="G226" s="1214" t="s">
        <v>2788</v>
      </c>
      <c r="H226" s="1214" t="s">
        <v>2787</v>
      </c>
      <c r="K226" s="1725">
        <f>SUM(K227:K297)</f>
        <v>47145918.68</v>
      </c>
      <c r="O226" s="1718"/>
      <c r="P226" s="1718"/>
      <c r="Q226" s="1718"/>
      <c r="R226" s="1718"/>
      <c r="S226" s="1718"/>
      <c r="T226" s="1718"/>
      <c r="U226" s="1718"/>
    </row>
    <row r="227" spans="2:21" hidden="1">
      <c r="B227" s="516" t="s">
        <v>1216</v>
      </c>
      <c r="C227" s="1677">
        <f>+C22</f>
        <v>1623675</v>
      </c>
      <c r="D227" s="1677">
        <v>0</v>
      </c>
      <c r="E227" s="1677"/>
      <c r="F227" s="1677"/>
      <c r="G227" s="1677"/>
      <c r="H227" s="1677"/>
      <c r="K227" s="1725">
        <v>3100000</v>
      </c>
      <c r="O227" s="1718"/>
      <c r="P227" s="1718"/>
      <c r="Q227" s="1718"/>
      <c r="R227" s="1718"/>
      <c r="S227" s="1718"/>
      <c r="T227" s="1718"/>
      <c r="U227" s="1718"/>
    </row>
    <row r="228" spans="2:21" hidden="1">
      <c r="B228" s="516" t="s">
        <v>2382</v>
      </c>
      <c r="C228" s="1677"/>
      <c r="D228" s="1677"/>
      <c r="E228" s="1677">
        <v>0</v>
      </c>
      <c r="F228" s="1677"/>
      <c r="G228" s="1677"/>
      <c r="H228" s="1677"/>
      <c r="K228" s="1725">
        <v>92000</v>
      </c>
      <c r="O228" s="1718"/>
      <c r="P228" s="1718"/>
      <c r="Q228" s="1718"/>
      <c r="R228" s="1718"/>
      <c r="S228" s="1718"/>
      <c r="T228" s="1718"/>
      <c r="U228" s="1718"/>
    </row>
    <row r="229" spans="2:21" hidden="1">
      <c r="B229" s="516" t="s">
        <v>2383</v>
      </c>
      <c r="C229" s="1677">
        <f>+E22</f>
        <v>1049903389.53</v>
      </c>
      <c r="D229" s="1677">
        <f>+E23</f>
        <v>5541311.1799999923</v>
      </c>
      <c r="E229" s="1677">
        <f>+E28</f>
        <v>309808868.79000002</v>
      </c>
      <c r="F229" s="1677">
        <f>+E29</f>
        <v>0</v>
      </c>
      <c r="G229" s="1677">
        <f>+E229+F229</f>
        <v>309808868.79000002</v>
      </c>
      <c r="H229" s="1677">
        <f>+C229+D229-G229</f>
        <v>745635831.91999984</v>
      </c>
      <c r="K229" s="1725">
        <v>98000</v>
      </c>
      <c r="O229" s="1718"/>
      <c r="P229" s="1718"/>
      <c r="Q229" s="1718"/>
      <c r="R229" s="1718"/>
      <c r="S229" s="1718"/>
      <c r="T229" s="1718"/>
      <c r="U229" s="1718"/>
    </row>
    <row r="230" spans="2:21" hidden="1">
      <c r="B230" s="516" t="s">
        <v>2384</v>
      </c>
      <c r="C230" s="1677">
        <f>+F22</f>
        <v>45798108.269999996</v>
      </c>
      <c r="D230" s="1677">
        <f>+F23</f>
        <v>2.7939677238464355E-9</v>
      </c>
      <c r="E230" s="1677">
        <f>+F28</f>
        <v>28494114.41</v>
      </c>
      <c r="F230" s="1677">
        <f>+F29</f>
        <v>3.4924596548080444E-10</v>
      </c>
      <c r="G230" s="1677">
        <f>+E230+F230</f>
        <v>28494114.41</v>
      </c>
      <c r="H230" s="1677">
        <f>+C230+D230-G230</f>
        <v>17303993.859999996</v>
      </c>
      <c r="K230" s="1725">
        <v>910590</v>
      </c>
      <c r="O230" s="1718"/>
      <c r="P230" s="1718"/>
      <c r="Q230" s="1718"/>
      <c r="R230" s="1718"/>
      <c r="S230" s="1718"/>
      <c r="T230" s="1718"/>
      <c r="U230" s="1718"/>
    </row>
    <row r="231" spans="2:21" hidden="1">
      <c r="B231" s="516" t="s">
        <v>2391</v>
      </c>
      <c r="C231" s="1677">
        <f>+G22</f>
        <v>589443.93999999994</v>
      </c>
      <c r="D231" s="1677">
        <f>+G23</f>
        <v>5.6388671509921551E-11</v>
      </c>
      <c r="E231" s="1677">
        <f>+G28</f>
        <v>164778.88</v>
      </c>
      <c r="F231" s="1677">
        <f>+G29</f>
        <v>0</v>
      </c>
      <c r="G231" s="1677">
        <f>+E231+F231</f>
        <v>164778.88</v>
      </c>
      <c r="H231" s="1677">
        <f>+C231+D231-G231</f>
        <v>424665.05999999994</v>
      </c>
      <c r="K231" s="1725">
        <v>534982.5</v>
      </c>
      <c r="O231" s="1718"/>
      <c r="P231" s="1718"/>
      <c r="Q231" s="1718"/>
      <c r="R231" s="1718"/>
      <c r="S231" s="1718"/>
      <c r="T231" s="1718"/>
      <c r="U231" s="1718"/>
    </row>
    <row r="232" spans="2:21" hidden="1">
      <c r="B232" s="516" t="s">
        <v>3797</v>
      </c>
      <c r="C232" s="1677">
        <f>+H22</f>
        <v>18404484.130000003</v>
      </c>
      <c r="D232" s="1677">
        <f>+H23</f>
        <v>0</v>
      </c>
      <c r="E232" s="1677">
        <f>+H28</f>
        <v>12507481.389999999</v>
      </c>
      <c r="F232" s="1677">
        <f>+H29</f>
        <v>0</v>
      </c>
      <c r="G232" s="1677">
        <f>+E232+F232</f>
        <v>12507481.389999999</v>
      </c>
      <c r="H232" s="1677">
        <f>+C232+D232-G232</f>
        <v>5897002.7400000039</v>
      </c>
      <c r="K232" s="1725">
        <v>9000000</v>
      </c>
      <c r="O232" s="1718"/>
      <c r="P232" s="1718"/>
      <c r="Q232" s="1718"/>
      <c r="R232" s="1718"/>
      <c r="S232" s="1718"/>
      <c r="T232" s="1718"/>
      <c r="U232" s="1718"/>
    </row>
    <row r="233" spans="2:21" hidden="1">
      <c r="B233" s="516" t="s">
        <v>2385</v>
      </c>
      <c r="C233" s="1677">
        <f>+I22</f>
        <v>56523467.980000004</v>
      </c>
      <c r="D233" s="1677">
        <f>+I23</f>
        <v>-2.3865140974521637E-9</v>
      </c>
      <c r="E233" s="1677">
        <f>+I28</f>
        <v>43479886.310000002</v>
      </c>
      <c r="F233" s="1677">
        <f>+I29</f>
        <v>0</v>
      </c>
      <c r="G233" s="1677">
        <f>+E233+F233</f>
        <v>43479886.310000002</v>
      </c>
      <c r="H233" s="1677">
        <f>+C233+D233-G233</f>
        <v>13043581.670000002</v>
      </c>
      <c r="K233" s="1725">
        <v>1653372.7</v>
      </c>
      <c r="O233" s="1718"/>
      <c r="P233" s="1718"/>
      <c r="Q233" s="1718"/>
      <c r="R233" s="1718"/>
      <c r="S233" s="1718"/>
      <c r="T233" s="1718"/>
      <c r="U233" s="1718"/>
    </row>
    <row r="234" spans="2:21" hidden="1">
      <c r="B234" s="1721" t="s">
        <v>1415</v>
      </c>
      <c r="C234" s="1722">
        <f t="shared" ref="C234:H234" si="20">SUM(C227:C233)</f>
        <v>1172842568.8500001</v>
      </c>
      <c r="D234" s="1722">
        <f t="shared" si="20"/>
        <v>5541311.1799999923</v>
      </c>
      <c r="E234" s="1722">
        <f t="shared" si="20"/>
        <v>394455129.78000003</v>
      </c>
      <c r="F234" s="1722">
        <f t="shared" si="20"/>
        <v>3.4924596548080444E-10</v>
      </c>
      <c r="G234" s="1722">
        <f t="shared" si="20"/>
        <v>394455129.78000003</v>
      </c>
      <c r="H234" s="1722">
        <f t="shared" si="20"/>
        <v>782305075.24999976</v>
      </c>
      <c r="K234" s="1725">
        <v>13000000</v>
      </c>
      <c r="O234" s="1718"/>
      <c r="P234" s="1718"/>
      <c r="Q234" s="1718"/>
      <c r="R234" s="1718"/>
      <c r="S234" s="1718"/>
      <c r="T234" s="1718"/>
      <c r="U234" s="1718"/>
    </row>
    <row r="235" spans="2:21" hidden="1">
      <c r="K235" s="1725">
        <v>2695600</v>
      </c>
      <c r="O235" s="1718"/>
      <c r="P235" s="1718"/>
      <c r="Q235" s="1718"/>
      <c r="R235" s="1718"/>
      <c r="S235" s="1718"/>
      <c r="T235" s="1718"/>
      <c r="U235" s="1718"/>
    </row>
    <row r="236" spans="2:21" hidden="1">
      <c r="D236" s="1924">
        <v>2023</v>
      </c>
      <c r="E236" s="1924"/>
      <c r="F236" s="1924" t="s">
        <v>3858</v>
      </c>
      <c r="G236" s="1924"/>
      <c r="K236" s="1725">
        <v>3345000</v>
      </c>
      <c r="O236" s="1718"/>
      <c r="P236" s="1718"/>
      <c r="Q236" s="1718"/>
      <c r="R236" s="1718"/>
      <c r="S236" s="1718"/>
      <c r="T236" s="1718"/>
      <c r="U236" s="1718"/>
    </row>
    <row r="237" spans="2:21" hidden="1">
      <c r="B237" s="1565" t="s">
        <v>2793</v>
      </c>
      <c r="C237" s="1565">
        <v>5101990001</v>
      </c>
      <c r="D237" s="935" t="str">
        <f>+D226</f>
        <v>adq. 2023</v>
      </c>
      <c r="E237" s="935" t="str">
        <f>+E226</f>
        <v>Dep. Acum.</v>
      </c>
      <c r="F237" s="935" t="str">
        <f>+F226</f>
        <v>Dep. del Periodo</v>
      </c>
      <c r="G237" s="935"/>
      <c r="K237" s="1725">
        <v>6165100</v>
      </c>
      <c r="O237" s="1718"/>
      <c r="P237" s="1718"/>
      <c r="Q237" s="1718"/>
      <c r="R237" s="1718"/>
      <c r="S237" s="1718"/>
      <c r="T237" s="1718"/>
      <c r="U237" s="1718"/>
    </row>
    <row r="238" spans="2:21" hidden="1">
      <c r="B238" s="1558" t="s">
        <v>2810</v>
      </c>
      <c r="C238" s="243" t="s">
        <v>2840</v>
      </c>
      <c r="D238" s="733">
        <f>-'5'!H34-'5'!I34</f>
        <v>0</v>
      </c>
      <c r="E238" s="1564">
        <f>-'5'!P34</f>
        <v>309808868.79000002</v>
      </c>
      <c r="F238" s="733">
        <f>+D238</f>
        <v>0</v>
      </c>
      <c r="G238" s="733">
        <f>+E238-G213</f>
        <v>309808868.79000002</v>
      </c>
      <c r="K238" s="1725">
        <v>3009000</v>
      </c>
      <c r="O238" s="1718"/>
      <c r="P238" s="1718"/>
      <c r="Q238" s="1718"/>
      <c r="R238" s="1718"/>
      <c r="S238" s="1718"/>
      <c r="T238" s="1718"/>
      <c r="U238" s="1718"/>
    </row>
    <row r="239" spans="2:21" hidden="1">
      <c r="B239" s="1558" t="s">
        <v>2811</v>
      </c>
      <c r="C239" s="243" t="s">
        <v>2841</v>
      </c>
      <c r="D239" s="733">
        <f>-'5'!H35-'5'!I35</f>
        <v>0</v>
      </c>
      <c r="E239" s="1564">
        <f>-'5'!P35</f>
        <v>24637466.140000001</v>
      </c>
      <c r="F239" s="733">
        <f t="shared" ref="F239:F245" si="21">+D239</f>
        <v>0</v>
      </c>
      <c r="G239" s="733">
        <f t="shared" ref="G239:G245" si="22">+E239-G214</f>
        <v>24637466.140000001</v>
      </c>
      <c r="K239" s="1725">
        <v>3009000</v>
      </c>
      <c r="O239" s="1718"/>
      <c r="P239" s="1718"/>
      <c r="Q239" s="1718"/>
      <c r="R239" s="1718"/>
      <c r="S239" s="1718"/>
      <c r="T239" s="1718"/>
      <c r="U239" s="1718"/>
    </row>
    <row r="240" spans="2:21" hidden="1">
      <c r="B240" s="1558" t="s">
        <v>2812</v>
      </c>
      <c r="C240" s="243" t="s">
        <v>2842</v>
      </c>
      <c r="D240" s="733">
        <f>-'5'!H36-'5'!I36</f>
        <v>0</v>
      </c>
      <c r="E240" s="1564">
        <f>-'5'!P36</f>
        <v>3653190.9</v>
      </c>
      <c r="F240" s="733">
        <f t="shared" si="21"/>
        <v>0</v>
      </c>
      <c r="G240" s="733">
        <f t="shared" si="22"/>
        <v>3653190.9</v>
      </c>
      <c r="H240" s="1290">
        <f>+F240+G253</f>
        <v>7771608.6700000018</v>
      </c>
      <c r="K240" s="1725">
        <v>910590</v>
      </c>
      <c r="O240" s="1718"/>
      <c r="P240" s="1718"/>
      <c r="Q240" s="1718"/>
      <c r="R240" s="1718"/>
      <c r="S240" s="1718"/>
      <c r="T240" s="1718"/>
      <c r="U240" s="1718"/>
    </row>
    <row r="241" spans="2:21" hidden="1">
      <c r="B241" s="1558" t="s">
        <v>2813</v>
      </c>
      <c r="C241" s="243" t="s">
        <v>2843</v>
      </c>
      <c r="D241" s="733">
        <f>-'5'!H37-'5'!I37</f>
        <v>0</v>
      </c>
      <c r="E241" s="1564">
        <f>-'5'!P37</f>
        <v>203457.37</v>
      </c>
      <c r="F241" s="733">
        <f t="shared" si="21"/>
        <v>0</v>
      </c>
      <c r="G241" s="733">
        <f t="shared" si="22"/>
        <v>203457.37</v>
      </c>
      <c r="K241" s="1725"/>
      <c r="O241" s="1718"/>
      <c r="P241" s="1718"/>
      <c r="Q241" s="1718"/>
      <c r="R241" s="1718"/>
      <c r="S241" s="1718"/>
      <c r="T241" s="1718"/>
      <c r="U241" s="1718"/>
    </row>
    <row r="242" spans="2:21" hidden="1">
      <c r="B242" s="1558" t="s">
        <v>2814</v>
      </c>
      <c r="C242" s="243" t="s">
        <v>2844</v>
      </c>
      <c r="D242" s="733">
        <f>-'5'!H38-'5'!I38</f>
        <v>0</v>
      </c>
      <c r="E242" s="1564">
        <f>-'5'!P38</f>
        <v>164778.88</v>
      </c>
      <c r="F242" s="733">
        <f t="shared" si="21"/>
        <v>0</v>
      </c>
      <c r="G242" s="733">
        <f t="shared" si="22"/>
        <v>164778.88</v>
      </c>
      <c r="K242" s="1725"/>
      <c r="O242" s="1718"/>
      <c r="P242" s="1718"/>
      <c r="Q242" s="1718"/>
      <c r="R242" s="1718"/>
      <c r="S242" s="1718"/>
      <c r="T242" s="1718"/>
      <c r="U242" s="1718"/>
    </row>
    <row r="243" spans="2:21" hidden="1">
      <c r="B243" s="1558" t="s">
        <v>2815</v>
      </c>
      <c r="C243" s="243" t="s">
        <v>2845</v>
      </c>
      <c r="D243" s="733">
        <f>-'5'!H39-'5'!I39</f>
        <v>0</v>
      </c>
      <c r="E243" s="1564">
        <f>-'5'!P39</f>
        <v>10426457.289999999</v>
      </c>
      <c r="F243" s="733">
        <f t="shared" si="21"/>
        <v>0</v>
      </c>
      <c r="G243" s="733">
        <f t="shared" si="22"/>
        <v>10426457.289999999</v>
      </c>
      <c r="K243" s="1725"/>
      <c r="O243" s="1718"/>
      <c r="P243" s="1718"/>
      <c r="Q243" s="1718"/>
      <c r="R243" s="1718"/>
      <c r="S243" s="1718"/>
      <c r="T243" s="1718"/>
      <c r="U243" s="1718"/>
    </row>
    <row r="244" spans="2:21" hidden="1">
      <c r="B244" s="1558" t="s">
        <v>2816</v>
      </c>
      <c r="C244" s="243" t="s">
        <v>2846</v>
      </c>
      <c r="D244" s="733">
        <f>-'5'!H40-'5'!I40</f>
        <v>0</v>
      </c>
      <c r="E244" s="1564">
        <f>-'5'!P40</f>
        <v>2081024.1</v>
      </c>
      <c r="F244" s="733">
        <f t="shared" si="21"/>
        <v>0</v>
      </c>
      <c r="G244" s="733">
        <f t="shared" si="22"/>
        <v>-27419968.649999999</v>
      </c>
      <c r="K244" s="1725"/>
      <c r="O244" s="1718"/>
      <c r="P244" s="1718"/>
      <c r="Q244" s="1718"/>
      <c r="R244" s="1718"/>
      <c r="S244" s="1718"/>
      <c r="T244" s="1718"/>
      <c r="U244" s="1718"/>
    </row>
    <row r="245" spans="2:21" hidden="1">
      <c r="B245" s="1558" t="s">
        <v>2817</v>
      </c>
      <c r="C245" s="243" t="s">
        <v>2847</v>
      </c>
      <c r="D245" s="733">
        <f>-'5'!H41-'5'!I41</f>
        <v>0</v>
      </c>
      <c r="E245" s="1564">
        <f>-'5'!P41</f>
        <v>43479886.310000002</v>
      </c>
      <c r="F245" s="733">
        <f t="shared" si="21"/>
        <v>0</v>
      </c>
      <c r="G245" s="733">
        <f t="shared" si="22"/>
        <v>43479886.310000002</v>
      </c>
      <c r="H245" s="1290">
        <f>+F245+G260</f>
        <v>-1393661.0400000028</v>
      </c>
      <c r="K245" s="1725"/>
      <c r="O245" s="1718"/>
      <c r="P245" s="1718"/>
      <c r="Q245" s="1718"/>
      <c r="R245" s="1718"/>
      <c r="S245" s="1718"/>
      <c r="T245" s="1718"/>
      <c r="U245" s="1718"/>
    </row>
    <row r="246" spans="2:21" hidden="1">
      <c r="D246" s="733">
        <f>SUM(D237:D245)</f>
        <v>0</v>
      </c>
      <c r="E246" s="733">
        <f>SUM(E237:E245)</f>
        <v>394455129.78000003</v>
      </c>
      <c r="F246" s="733">
        <f>SUM(F237:F245)</f>
        <v>0</v>
      </c>
      <c r="G246" s="733">
        <f>SUM(G237:G245)</f>
        <v>364954137.03000003</v>
      </c>
      <c r="K246" s="1725"/>
      <c r="O246" s="1718"/>
      <c r="P246" s="1718"/>
      <c r="Q246" s="1718"/>
      <c r="R246" s="1718"/>
      <c r="S246" s="1718"/>
      <c r="T246" s="1718"/>
      <c r="U246" s="1718"/>
    </row>
    <row r="247" spans="2:21" hidden="1">
      <c r="K247" s="1725"/>
      <c r="O247" s="1718"/>
      <c r="P247" s="1718"/>
      <c r="Q247" s="1718"/>
      <c r="R247" s="1718"/>
      <c r="S247" s="1718"/>
      <c r="T247" s="1718"/>
      <c r="U247" s="1718"/>
    </row>
    <row r="248" spans="2:21" hidden="1">
      <c r="K248" s="1725"/>
      <c r="O248" s="1718"/>
      <c r="P248" s="1718"/>
      <c r="Q248" s="1718"/>
      <c r="R248" s="1718"/>
      <c r="S248" s="1718"/>
      <c r="T248" s="1718"/>
      <c r="U248" s="1718"/>
    </row>
    <row r="249" spans="2:21" hidden="1">
      <c r="K249" s="1725"/>
      <c r="O249" s="1718"/>
      <c r="P249" s="1718"/>
      <c r="Q249" s="1718"/>
      <c r="R249" s="1718"/>
      <c r="S249" s="1718"/>
      <c r="T249" s="1718"/>
      <c r="U249" s="1718"/>
    </row>
    <row r="250" spans="2:21" hidden="1">
      <c r="B250" s="1565" t="s">
        <v>2384</v>
      </c>
      <c r="C250" s="1717" t="s">
        <v>3963</v>
      </c>
      <c r="D250" s="1717" t="str">
        <f>+B87</f>
        <v>Depreciacion a junio 2021</v>
      </c>
      <c r="E250" s="1717" t="s">
        <v>3964</v>
      </c>
      <c r="F250" s="1676" t="str">
        <f>+B87</f>
        <v>Depreciacion a junio 2021</v>
      </c>
      <c r="G250" s="1717" t="s">
        <v>1205</v>
      </c>
      <c r="K250" s="1725"/>
      <c r="O250" s="1718"/>
      <c r="P250" s="1718"/>
      <c r="Q250" s="1718"/>
      <c r="R250" s="1718"/>
      <c r="S250" s="1718"/>
      <c r="T250" s="1718"/>
      <c r="U250" s="1718"/>
    </row>
    <row r="251" spans="2:21" hidden="1">
      <c r="B251" s="243" t="s">
        <v>3965</v>
      </c>
      <c r="C251" s="1677">
        <f>+F22+G22+H22</f>
        <v>64792036.339999996</v>
      </c>
      <c r="D251" s="11">
        <f>+F23+G23+H23</f>
        <v>2.8503563953563571E-9</v>
      </c>
      <c r="E251" s="1677">
        <f>+F28+G28+H28</f>
        <v>41166374.68</v>
      </c>
      <c r="F251" s="11">
        <f>+F29+G29+H29</f>
        <v>3.4924596548080444E-10</v>
      </c>
      <c r="G251" s="1677">
        <f>+C251+D251-E251-F251</f>
        <v>23625661.659999996</v>
      </c>
      <c r="K251" s="1725"/>
      <c r="O251" s="1718"/>
      <c r="P251" s="1718"/>
      <c r="Q251" s="1718"/>
      <c r="R251" s="1718"/>
      <c r="S251" s="1718"/>
      <c r="T251" s="1718"/>
      <c r="U251" s="1718"/>
    </row>
    <row r="252" spans="2:21" hidden="1">
      <c r="B252" s="243" t="s">
        <v>3966</v>
      </c>
      <c r="C252" s="1677">
        <f>97102928.24-C259</f>
        <v>49579693.039999992</v>
      </c>
      <c r="E252" s="1677">
        <f>66811632.54-E259</f>
        <v>33725640.049999997</v>
      </c>
      <c r="G252" s="1677">
        <f>+C252+D252-E252-F252</f>
        <v>15854052.989999995</v>
      </c>
      <c r="K252" s="1725"/>
      <c r="O252" s="1718"/>
      <c r="P252" s="1718"/>
      <c r="Q252" s="1718"/>
      <c r="R252" s="1718"/>
      <c r="S252" s="1718"/>
      <c r="T252" s="1718"/>
      <c r="U252" s="1718"/>
    </row>
    <row r="253" spans="2:21" hidden="1">
      <c r="B253" s="1565" t="s">
        <v>3967</v>
      </c>
      <c r="C253" s="1678">
        <f>+C251+D251-C252</f>
        <v>15212343.300000004</v>
      </c>
      <c r="D253" s="333"/>
      <c r="E253" s="1678">
        <f>+E251-E252</f>
        <v>7440734.6300000027</v>
      </c>
      <c r="F253" s="333"/>
      <c r="G253" s="1679">
        <f>+G251-G252</f>
        <v>7771608.6700000018</v>
      </c>
      <c r="H253" s="1290">
        <v>376880.34</v>
      </c>
      <c r="K253" s="1725"/>
      <c r="O253" s="1718"/>
      <c r="P253" s="1718"/>
      <c r="Q253" s="1718"/>
      <c r="R253" s="1718"/>
      <c r="S253" s="1718"/>
      <c r="T253" s="1718"/>
      <c r="U253" s="1718"/>
    </row>
    <row r="254" spans="2:21" hidden="1">
      <c r="B254" t="str">
        <f>+B261</f>
        <v>Ajuste pa valor en libro</v>
      </c>
      <c r="C254" s="1290">
        <f>+C251+D251-C252</f>
        <v>15212343.300000004</v>
      </c>
      <c r="K254" s="1725"/>
      <c r="O254" s="1718"/>
      <c r="P254" s="1718"/>
      <c r="Q254" s="1718"/>
      <c r="R254" s="1718"/>
      <c r="S254" s="1718"/>
      <c r="T254" s="1718"/>
      <c r="U254" s="1718"/>
    </row>
    <row r="255" spans="2:21" hidden="1">
      <c r="K255" s="1725"/>
      <c r="O255" s="1718"/>
      <c r="P255" s="1718"/>
      <c r="Q255" s="1718"/>
      <c r="R255" s="1718"/>
      <c r="S255" s="1718"/>
      <c r="T255" s="1718"/>
      <c r="U255" s="1718"/>
    </row>
    <row r="256" spans="2:21" hidden="1">
      <c r="K256" s="1725"/>
      <c r="O256" s="1718"/>
      <c r="P256" s="1718"/>
      <c r="Q256" s="1718"/>
      <c r="R256" s="1718"/>
      <c r="S256" s="1718"/>
      <c r="T256" s="1718"/>
      <c r="U256" s="1718"/>
    </row>
    <row r="257" spans="2:21" hidden="1">
      <c r="B257" s="1565" t="str">
        <f>+I6</f>
        <v>Equipo Transp y otros</v>
      </c>
      <c r="C257" s="1717" t="s">
        <v>3963</v>
      </c>
      <c r="D257" s="1717" t="str">
        <f>+D250</f>
        <v>Depreciacion a junio 2021</v>
      </c>
      <c r="E257" s="1717" t="s">
        <v>3964</v>
      </c>
      <c r="F257" s="1676" t="str">
        <f>+F250</f>
        <v>Depreciacion a junio 2021</v>
      </c>
      <c r="G257" s="1717" t="s">
        <v>1205</v>
      </c>
      <c r="K257" s="1725"/>
      <c r="O257" s="1718"/>
      <c r="P257" s="1718"/>
      <c r="Q257" s="1718"/>
      <c r="R257" s="1718"/>
      <c r="S257" s="1718"/>
      <c r="T257" s="1718"/>
      <c r="U257" s="1718"/>
    </row>
    <row r="258" spans="2:21" hidden="1">
      <c r="B258" s="243" t="s">
        <v>3965</v>
      </c>
      <c r="C258" s="1677">
        <f>+I22</f>
        <v>56523467.980000004</v>
      </c>
      <c r="D258" s="733">
        <f>+I23</f>
        <v>-2.3865140974521637E-9</v>
      </c>
      <c r="E258" s="1677">
        <f>+I28</f>
        <v>43479886.310000002</v>
      </c>
      <c r="F258" s="11">
        <f>+I29</f>
        <v>0</v>
      </c>
      <c r="G258" s="1677">
        <f>+C258+D258-E258-F258</f>
        <v>13043581.670000002</v>
      </c>
      <c r="K258" s="1725"/>
      <c r="O258" s="1718"/>
      <c r="P258" s="1718"/>
      <c r="Q258" s="1718"/>
      <c r="R258" s="1718"/>
      <c r="S258" s="1718"/>
      <c r="T258" s="1718"/>
      <c r="U258" s="1718"/>
    </row>
    <row r="259" spans="2:21" hidden="1">
      <c r="B259" s="243" t="s">
        <v>3966</v>
      </c>
      <c r="C259" s="1677">
        <f>+H222</f>
        <v>47523235.200000003</v>
      </c>
      <c r="D259" s="243"/>
      <c r="E259" s="1677">
        <f>+I222</f>
        <v>33085992.489999998</v>
      </c>
      <c r="G259" s="1677">
        <f>+C259+D259-E259-F259</f>
        <v>14437242.710000005</v>
      </c>
      <c r="K259" s="1725"/>
      <c r="O259" s="1718"/>
      <c r="P259" s="1718"/>
      <c r="Q259" s="1718"/>
      <c r="R259" s="1718"/>
      <c r="S259" s="1718"/>
      <c r="T259" s="1718"/>
      <c r="U259" s="1718"/>
    </row>
    <row r="260" spans="2:21" hidden="1">
      <c r="B260" s="1565" t="s">
        <v>3967</v>
      </c>
      <c r="C260" s="1678">
        <f>+C259-C258-D258</f>
        <v>-9000232.7799999993</v>
      </c>
      <c r="D260" s="243"/>
      <c r="E260" s="1680">
        <f>+E258-E259</f>
        <v>10393893.820000004</v>
      </c>
      <c r="G260" s="1679">
        <f>+G258-G259</f>
        <v>-1393661.0400000028</v>
      </c>
      <c r="H260" s="1290">
        <v>260877.39</v>
      </c>
      <c r="K260" s="1725"/>
      <c r="O260" s="1718"/>
      <c r="P260" s="1718"/>
      <c r="Q260" s="1718"/>
      <c r="R260" s="1718"/>
      <c r="S260" s="1718"/>
      <c r="T260" s="1718"/>
      <c r="U260" s="1718"/>
    </row>
    <row r="261" spans="2:21" hidden="1">
      <c r="B261" s="27" t="s">
        <v>3968</v>
      </c>
      <c r="C261" s="1290">
        <f>+C258+D258-C259</f>
        <v>9000232.7800000012</v>
      </c>
      <c r="E261" s="1290">
        <f>-E260</f>
        <v>-10393893.820000004</v>
      </c>
      <c r="F261" s="1290"/>
      <c r="K261" s="1725"/>
      <c r="O261" s="1718"/>
      <c r="P261" s="1718"/>
      <c r="Q261" s="1718"/>
      <c r="R261" s="1718"/>
      <c r="S261" s="1718"/>
      <c r="T261" s="1718"/>
      <c r="U261" s="1718"/>
    </row>
    <row r="262" spans="2:21" s="1684" customFormat="1" hidden="1">
      <c r="B262" s="1687"/>
      <c r="G262" s="1688">
        <f>+G253+G260</f>
        <v>6377947.629999999</v>
      </c>
      <c r="K262" s="1726"/>
      <c r="O262" s="1685"/>
      <c r="P262" s="1685"/>
      <c r="Q262" s="1685"/>
      <c r="R262" s="1685"/>
      <c r="S262" s="1685"/>
      <c r="T262" s="1685"/>
      <c r="U262" s="1685"/>
    </row>
    <row r="263" spans="2:21" s="1684" customFormat="1" hidden="1">
      <c r="C263" s="1685">
        <f>+C252+C259</f>
        <v>97102928.239999995</v>
      </c>
      <c r="K263" s="1726"/>
      <c r="O263" s="1685"/>
      <c r="P263" s="1685"/>
      <c r="Q263" s="1685"/>
      <c r="R263" s="1685"/>
      <c r="S263" s="1685"/>
      <c r="T263" s="1685"/>
      <c r="U263" s="1685"/>
    </row>
    <row r="264" spans="2:21" s="1684" customFormat="1" hidden="1">
      <c r="C264" s="1685">
        <f>+C251+C258+D251+D258</f>
        <v>121315504.31999999</v>
      </c>
      <c r="K264" s="1726"/>
      <c r="O264" s="1685"/>
      <c r="P264" s="1685"/>
      <c r="Q264" s="1685"/>
      <c r="R264" s="1685"/>
      <c r="S264" s="1685"/>
      <c r="T264" s="1685"/>
      <c r="U264" s="1685"/>
    </row>
    <row r="265" spans="2:21" s="1684" customFormat="1" hidden="1">
      <c r="C265" s="1685">
        <f>+C264-C263</f>
        <v>24212576.079999998</v>
      </c>
      <c r="K265" s="1726"/>
      <c r="O265" s="1685"/>
      <c r="P265" s="1685"/>
      <c r="Q265" s="1685"/>
      <c r="R265" s="1685"/>
      <c r="S265" s="1685"/>
      <c r="T265" s="1685"/>
      <c r="U265" s="1685"/>
    </row>
    <row r="266" spans="2:21" s="1684" customFormat="1" hidden="1">
      <c r="C266" s="1685"/>
      <c r="D266" s="1688"/>
      <c r="K266" s="1726"/>
      <c r="O266" s="1685"/>
      <c r="P266" s="1685"/>
      <c r="Q266" s="1685"/>
      <c r="R266" s="1685"/>
      <c r="S266" s="1685"/>
      <c r="T266" s="1685"/>
      <c r="U266" s="1685"/>
    </row>
    <row r="267" spans="2:21" s="1684" customFormat="1" hidden="1">
      <c r="C267" s="1685"/>
      <c r="D267" s="1688"/>
      <c r="K267" s="1726"/>
      <c r="O267" s="1685"/>
      <c r="P267" s="1685"/>
      <c r="Q267" s="1685"/>
      <c r="R267" s="1685"/>
      <c r="S267" s="1685"/>
      <c r="T267" s="1685"/>
      <c r="U267" s="1685"/>
    </row>
    <row r="268" spans="2:21" s="1684" customFormat="1" hidden="1">
      <c r="B268" s="243" t="s">
        <v>3972</v>
      </c>
      <c r="C268" s="243"/>
      <c r="D268" s="243" t="s">
        <v>3973</v>
      </c>
      <c r="E268" s="243" t="s">
        <v>3974</v>
      </c>
      <c r="K268" s="1726"/>
      <c r="O268" s="1685"/>
      <c r="P268" s="1685"/>
      <c r="Q268" s="1685"/>
      <c r="R268" s="1685"/>
      <c r="S268" s="1685"/>
      <c r="T268" s="1685"/>
      <c r="U268" s="1685"/>
    </row>
    <row r="269" spans="2:21" s="1684" customFormat="1" hidden="1">
      <c r="B269" s="906" t="s">
        <v>2793</v>
      </c>
      <c r="C269" s="906">
        <v>5101990001</v>
      </c>
      <c r="D269" s="1682"/>
      <c r="E269" s="1682">
        <f>-G262</f>
        <v>-6377947.629999999</v>
      </c>
      <c r="K269" s="1726"/>
      <c r="O269" s="1685"/>
      <c r="P269" s="1685"/>
      <c r="Q269" s="1685"/>
      <c r="R269" s="1685"/>
      <c r="S269" s="1685"/>
      <c r="T269" s="1685"/>
      <c r="U269" s="1685"/>
    </row>
    <row r="270" spans="2:21" s="1684" customFormat="1" hidden="1">
      <c r="B270" s="243" t="s">
        <v>2811</v>
      </c>
      <c r="C270" s="243" t="s">
        <v>2841</v>
      </c>
      <c r="D270" s="1682">
        <f>-G253</f>
        <v>-7771608.6700000018</v>
      </c>
      <c r="E270" s="1682"/>
      <c r="K270" s="1726"/>
      <c r="O270" s="1726"/>
      <c r="P270" s="1726"/>
      <c r="Q270" s="1726"/>
      <c r="R270" s="1726"/>
      <c r="S270" s="1726"/>
      <c r="T270" s="1726"/>
      <c r="U270" s="1726"/>
    </row>
    <row r="271" spans="2:21" s="1684" customFormat="1" hidden="1">
      <c r="B271" s="243" t="s">
        <v>2817</v>
      </c>
      <c r="C271" s="243" t="s">
        <v>2847</v>
      </c>
      <c r="D271" s="1682">
        <f>-G261</f>
        <v>0</v>
      </c>
      <c r="E271" s="1682">
        <f>+G260</f>
        <v>-1393661.0400000028</v>
      </c>
      <c r="K271" s="1726"/>
      <c r="O271" s="1685"/>
      <c r="P271" s="1685"/>
      <c r="Q271" s="1685"/>
      <c r="R271" s="1685"/>
      <c r="S271" s="1685"/>
      <c r="T271" s="1685"/>
      <c r="U271" s="1685"/>
    </row>
    <row r="272" spans="2:21" s="1684" customFormat="1" hidden="1">
      <c r="B272" s="1565" t="s">
        <v>2793</v>
      </c>
      <c r="C272" s="1565">
        <v>5101990001</v>
      </c>
      <c r="D272" s="1683">
        <f>SUM(D269:D271)</f>
        <v>-7771608.6700000018</v>
      </c>
      <c r="E272" s="1683">
        <f>SUM(E269:E271)</f>
        <v>-7771608.6700000018</v>
      </c>
      <c r="K272" s="1726"/>
      <c r="O272" s="1685"/>
      <c r="P272" s="1685"/>
      <c r="Q272" s="1685"/>
      <c r="R272" s="1685"/>
      <c r="S272" s="1685"/>
      <c r="T272" s="1685"/>
      <c r="U272" s="1685"/>
    </row>
    <row r="273" spans="2:21" s="1684" customFormat="1" hidden="1">
      <c r="C273" s="1685"/>
      <c r="K273" s="1726"/>
      <c r="O273" s="1685"/>
      <c r="P273" s="1685"/>
      <c r="Q273" s="1685"/>
      <c r="R273" s="1685"/>
      <c r="S273" s="1685"/>
      <c r="T273" s="1685"/>
      <c r="U273" s="1685"/>
    </row>
    <row r="274" spans="2:21" s="1684" customFormat="1" hidden="1">
      <c r="C274" s="1685"/>
      <c r="K274" s="1726"/>
      <c r="O274" s="1685"/>
      <c r="P274" s="1685"/>
      <c r="Q274" s="1685"/>
      <c r="R274" s="1685"/>
      <c r="S274" s="1685"/>
      <c r="T274" s="1685"/>
      <c r="U274" s="1685"/>
    </row>
    <row r="275" spans="2:21" s="1684" customFormat="1" hidden="1">
      <c r="C275" s="1686">
        <v>104603762.64</v>
      </c>
      <c r="D275" s="1686">
        <v>74301111.290000007</v>
      </c>
      <c r="E275" s="1686">
        <v>30302651.370000001</v>
      </c>
      <c r="K275" s="1726"/>
      <c r="O275" s="1685"/>
      <c r="P275" s="1685"/>
      <c r="Q275" s="1685"/>
      <c r="R275" s="1685"/>
      <c r="S275" s="1685"/>
      <c r="T275" s="1685"/>
      <c r="U275" s="1685"/>
    </row>
    <row r="276" spans="2:21" s="1684" customFormat="1" hidden="1">
      <c r="B276" s="1684" t="s">
        <v>4079</v>
      </c>
      <c r="C276" s="1726">
        <v>52343178.789999999</v>
      </c>
      <c r="D276" s="1688">
        <v>36990885.5</v>
      </c>
      <c r="E276" s="11">
        <v>15352293.24</v>
      </c>
      <c r="F276" s="1688"/>
      <c r="K276" s="1726"/>
      <c r="O276" s="1685"/>
      <c r="P276" s="1685"/>
      <c r="Q276" s="1685"/>
      <c r="R276" s="1685"/>
      <c r="S276" s="1685"/>
      <c r="T276" s="1685"/>
      <c r="U276" s="1685"/>
    </row>
    <row r="277" spans="2:21" s="1684" customFormat="1" hidden="1">
      <c r="C277" s="1688">
        <f>+C275-C276</f>
        <v>52260583.850000001</v>
      </c>
      <c r="D277" s="1688">
        <f>+D275-D276</f>
        <v>37310225.790000007</v>
      </c>
      <c r="E277" s="1688">
        <f>+E275-E276</f>
        <v>14950358.130000001</v>
      </c>
      <c r="F277" s="1686"/>
      <c r="K277" s="1726"/>
      <c r="O277" s="1685"/>
      <c r="P277" s="1685"/>
      <c r="Q277" s="1685"/>
      <c r="R277" s="1685"/>
      <c r="S277" s="1685"/>
      <c r="T277" s="1685"/>
      <c r="U277" s="1685"/>
    </row>
    <row r="278" spans="2:21" s="1684" customFormat="1" hidden="1">
      <c r="C278" s="1685"/>
      <c r="D278" s="1688"/>
      <c r="E278" s="1686"/>
      <c r="K278" s="1726"/>
      <c r="O278" s="1685"/>
      <c r="P278" s="1685"/>
      <c r="Q278" s="1685"/>
      <c r="R278" s="1685"/>
      <c r="S278" s="1685"/>
      <c r="T278" s="1685"/>
      <c r="U278" s="1685"/>
    </row>
    <row r="279" spans="2:21" s="1684" customFormat="1" hidden="1">
      <c r="B279" s="1684" t="s">
        <v>4078</v>
      </c>
      <c r="C279" s="1685"/>
      <c r="D279" s="1688"/>
      <c r="K279" s="1726"/>
      <c r="O279" s="1685"/>
      <c r="P279" s="1685"/>
      <c r="Q279" s="1685"/>
      <c r="R279" s="1685"/>
      <c r="S279" s="1685"/>
      <c r="T279" s="1685"/>
      <c r="U279" s="1685"/>
    </row>
    <row r="280" spans="2:21" hidden="1">
      <c r="B280" s="1565" t="s">
        <v>2384</v>
      </c>
      <c r="C280" s="1784" t="s">
        <v>3963</v>
      </c>
      <c r="D280" s="1784" t="s">
        <v>3964</v>
      </c>
      <c r="E280" s="1784" t="s">
        <v>4080</v>
      </c>
      <c r="F280" s="1784" t="s">
        <v>3964</v>
      </c>
      <c r="G280" s="1784" t="s">
        <v>1205</v>
      </c>
      <c r="K280" s="1743"/>
      <c r="O280" s="1743"/>
      <c r="P280" s="1743"/>
      <c r="Q280" s="1743"/>
      <c r="R280" s="1743"/>
      <c r="S280" s="1743"/>
      <c r="T280" s="1743"/>
      <c r="U280" s="1743"/>
    </row>
    <row r="281" spans="2:21" hidden="1">
      <c r="B281" s="243" t="s">
        <v>3965</v>
      </c>
      <c r="C281" s="1677">
        <f>+F27+G27+H27</f>
        <v>59500996.339999996</v>
      </c>
      <c r="D281" s="11">
        <f>+F28+G28+H28</f>
        <v>41166374.68</v>
      </c>
      <c r="E281" s="1677">
        <f>+F29+G29+H29</f>
        <v>3.4924596548080444E-10</v>
      </c>
      <c r="F281" s="11">
        <f>+D281+E281</f>
        <v>41166374.68</v>
      </c>
      <c r="G281" s="1677">
        <f>+C281-F281</f>
        <v>18334621.659999996</v>
      </c>
      <c r="K281" s="1743"/>
      <c r="O281" s="1743"/>
      <c r="P281" s="1743"/>
      <c r="Q281" s="1743"/>
      <c r="R281" s="1743"/>
      <c r="S281" s="1743"/>
      <c r="T281" s="1743"/>
      <c r="U281" s="1743"/>
    </row>
    <row r="282" spans="2:21" hidden="1">
      <c r="B282" s="243" t="s">
        <v>3966</v>
      </c>
      <c r="C282" s="1677">
        <f>+C277</f>
        <v>52260583.850000001</v>
      </c>
      <c r="E282" s="1677">
        <f>+D277</f>
        <v>37310225.790000007</v>
      </c>
      <c r="G282" s="1677">
        <f>+C282+D282-E282-F282</f>
        <v>14950358.059999995</v>
      </c>
      <c r="K282" s="1743"/>
      <c r="O282" s="1743"/>
      <c r="P282" s="1743"/>
      <c r="Q282" s="1743"/>
      <c r="R282" s="1743"/>
      <c r="S282" s="1743"/>
      <c r="T282" s="1743"/>
      <c r="U282" s="1743"/>
    </row>
    <row r="283" spans="2:21" hidden="1">
      <c r="B283" s="1565" t="s">
        <v>3967</v>
      </c>
      <c r="C283" s="1678">
        <f>+C281+D281-C282</f>
        <v>48406787.169999994</v>
      </c>
      <c r="D283" s="333"/>
      <c r="E283" s="1678">
        <f>+E281-E282</f>
        <v>-37310225.790000007</v>
      </c>
      <c r="F283" s="333"/>
      <c r="G283" s="1679">
        <f>+G281-G282</f>
        <v>3384263.6000000015</v>
      </c>
      <c r="H283" s="1290">
        <v>376880.34</v>
      </c>
      <c r="K283" s="1743"/>
      <c r="O283" s="1743"/>
      <c r="P283" s="1743"/>
      <c r="Q283" s="1743"/>
      <c r="R283" s="1743"/>
      <c r="S283" s="1743"/>
      <c r="T283" s="1743"/>
      <c r="U283" s="1743"/>
    </row>
    <row r="284" spans="2:21" hidden="1">
      <c r="B284" t="str">
        <f>+B291</f>
        <v>Ajuste para  valor en libro</v>
      </c>
      <c r="C284" s="1290">
        <f>+C281+D281-C282</f>
        <v>48406787.169999994</v>
      </c>
      <c r="K284" s="1743"/>
      <c r="O284" s="1743"/>
      <c r="P284" s="1743"/>
      <c r="Q284" s="1743"/>
      <c r="R284" s="1743"/>
      <c r="S284" s="1743"/>
      <c r="T284" s="1743"/>
      <c r="U284" s="1743"/>
    </row>
    <row r="285" spans="2:21" hidden="1">
      <c r="K285" s="1743"/>
      <c r="O285" s="1743"/>
      <c r="P285" s="1743"/>
      <c r="Q285" s="1743"/>
      <c r="R285" s="1743"/>
      <c r="S285" s="1743"/>
      <c r="T285" s="1743"/>
      <c r="U285" s="1743"/>
    </row>
    <row r="286" spans="2:21" hidden="1">
      <c r="K286" s="1743"/>
      <c r="O286" s="1743"/>
      <c r="P286" s="1743"/>
      <c r="Q286" s="1743"/>
      <c r="R286" s="1743"/>
      <c r="S286" s="1743"/>
      <c r="T286" s="1743"/>
      <c r="U286" s="1743"/>
    </row>
    <row r="287" spans="2:21" hidden="1">
      <c r="B287" s="1565" t="str">
        <f>+B257</f>
        <v>Equipo Transp y otros</v>
      </c>
      <c r="C287" s="1784" t="s">
        <v>3963</v>
      </c>
      <c r="D287" s="1784" t="s">
        <v>3964</v>
      </c>
      <c r="E287" s="1784" t="s">
        <v>4080</v>
      </c>
      <c r="F287" s="1784" t="s">
        <v>3964</v>
      </c>
      <c r="G287" s="1784" t="s">
        <v>1205</v>
      </c>
      <c r="K287" s="1743"/>
      <c r="O287" s="1743"/>
      <c r="P287" s="1743"/>
      <c r="Q287" s="1743"/>
      <c r="R287" s="1743"/>
      <c r="S287" s="1743"/>
      <c r="T287" s="1743"/>
      <c r="U287" s="1743"/>
    </row>
    <row r="288" spans="2:21" hidden="1">
      <c r="B288" s="243" t="s">
        <v>3965</v>
      </c>
      <c r="C288" s="1677">
        <f>+I27</f>
        <v>61814507.980000004</v>
      </c>
      <c r="D288" s="733">
        <f>+I28</f>
        <v>43479886.310000002</v>
      </c>
      <c r="E288" s="1677">
        <f>+I29</f>
        <v>0</v>
      </c>
      <c r="F288" s="11">
        <f>+D288+E288</f>
        <v>43479886.310000002</v>
      </c>
      <c r="G288" s="1677">
        <f>+C288-F288</f>
        <v>18334621.670000002</v>
      </c>
      <c r="K288" s="1743"/>
      <c r="O288" s="1743"/>
      <c r="P288" s="1743"/>
      <c r="Q288" s="1743"/>
      <c r="R288" s="1743"/>
      <c r="S288" s="1743"/>
      <c r="T288" s="1743"/>
      <c r="U288" s="1743"/>
    </row>
    <row r="289" spans="2:21" hidden="1">
      <c r="B289" s="243" t="s">
        <v>3966</v>
      </c>
      <c r="C289" s="1677">
        <f>+C276</f>
        <v>52343178.789999999</v>
      </c>
      <c r="D289" s="243"/>
      <c r="E289" s="1677">
        <f>+D276</f>
        <v>36990885.5</v>
      </c>
      <c r="G289" s="1677">
        <f>+C289+D289-E289-F289</f>
        <v>15352293.289999999</v>
      </c>
      <c r="K289" s="1743"/>
      <c r="O289" s="1743"/>
      <c r="P289" s="1743"/>
      <c r="Q289" s="1743"/>
      <c r="R289" s="1743"/>
      <c r="S289" s="1743"/>
      <c r="T289" s="1743"/>
      <c r="U289" s="1743"/>
    </row>
    <row r="290" spans="2:21" hidden="1">
      <c r="B290" s="1565" t="s">
        <v>3967</v>
      </c>
      <c r="C290" s="1678">
        <f>+C289-C288-D288</f>
        <v>-52951215.500000007</v>
      </c>
      <c r="D290" s="243"/>
      <c r="E290" s="1680">
        <f>+E288-E289</f>
        <v>-36990885.5</v>
      </c>
      <c r="G290" s="1679">
        <f>+G288-G289</f>
        <v>2982328.3800000027</v>
      </c>
      <c r="H290" s="1290">
        <v>260877.39</v>
      </c>
      <c r="K290" s="1743">
        <v>-377316.52000000328</v>
      </c>
      <c r="O290" s="1743"/>
      <c r="P290" s="1743"/>
      <c r="Q290" s="1743"/>
      <c r="R290" s="1743"/>
      <c r="S290" s="1743"/>
      <c r="T290" s="1743"/>
      <c r="U290" s="1743"/>
    </row>
    <row r="291" spans="2:21" hidden="1">
      <c r="B291" s="27" t="s">
        <v>4081</v>
      </c>
      <c r="C291" s="1290">
        <f>+C288+D288-C289</f>
        <v>52951215.500000007</v>
      </c>
      <c r="E291" s="1290">
        <f>-E290</f>
        <v>36990885.5</v>
      </c>
      <c r="F291" s="1290"/>
      <c r="K291" s="1743"/>
      <c r="O291" s="1743"/>
      <c r="P291" s="1743"/>
      <c r="Q291" s="1743"/>
      <c r="R291" s="1743"/>
      <c r="S291" s="1743"/>
      <c r="T291" s="1743"/>
      <c r="U291" s="1743"/>
    </row>
    <row r="292" spans="2:21" s="1684" customFormat="1" hidden="1">
      <c r="C292" s="1685"/>
      <c r="K292" s="1726"/>
      <c r="O292" s="1685"/>
      <c r="P292" s="1685"/>
      <c r="Q292" s="1685"/>
      <c r="R292" s="1685"/>
      <c r="S292" s="1685"/>
      <c r="T292" s="1685"/>
      <c r="U292" s="1685"/>
    </row>
    <row r="293" spans="2:21" s="1684" customFormat="1" hidden="1">
      <c r="C293" s="1685"/>
      <c r="D293" s="1688"/>
      <c r="K293" s="1726"/>
      <c r="O293" s="1685"/>
      <c r="P293" s="1685"/>
      <c r="Q293" s="1685"/>
      <c r="R293" s="1685"/>
      <c r="S293" s="1685"/>
      <c r="T293" s="1685"/>
      <c r="U293" s="1685"/>
    </row>
    <row r="294" spans="2:21" s="1684" customFormat="1" hidden="1">
      <c r="C294" s="1685"/>
      <c r="D294" s="1688"/>
      <c r="E294" s="1688"/>
      <c r="K294" s="1726"/>
      <c r="O294" s="1685"/>
      <c r="P294" s="1685"/>
      <c r="Q294" s="1685"/>
      <c r="R294" s="1685"/>
      <c r="S294" s="1685"/>
      <c r="T294" s="1685"/>
      <c r="U294" s="1685"/>
    </row>
    <row r="295" spans="2:21" s="1684" customFormat="1" hidden="1">
      <c r="C295" s="1686"/>
      <c r="D295" s="1689"/>
      <c r="K295" s="1726"/>
      <c r="O295" s="1685"/>
      <c r="P295" s="1685"/>
      <c r="Q295" s="1685"/>
      <c r="R295" s="1685"/>
      <c r="S295" s="1685"/>
      <c r="T295" s="1685"/>
      <c r="U295" s="1685"/>
    </row>
    <row r="296" spans="2:21" s="1684" customFormat="1" hidden="1">
      <c r="B296"/>
      <c r="C296"/>
      <c r="D296" s="1924">
        <v>2024</v>
      </c>
      <c r="E296" s="1924"/>
      <c r="F296" s="1924" t="s">
        <v>3858</v>
      </c>
      <c r="G296" s="1924"/>
      <c r="K296" s="1726"/>
      <c r="O296" s="1685"/>
      <c r="P296" s="1685"/>
      <c r="Q296" s="1685"/>
      <c r="R296" s="1685"/>
      <c r="S296" s="1685"/>
      <c r="T296" s="1685"/>
      <c r="U296" s="1685"/>
    </row>
    <row r="297" spans="2:21" s="1684" customFormat="1" hidden="1">
      <c r="B297" s="1565" t="s">
        <v>2793</v>
      </c>
      <c r="C297" s="1565">
        <v>5101990001</v>
      </c>
      <c r="D297" s="935">
        <f>+D286</f>
        <v>0</v>
      </c>
      <c r="E297" s="935">
        <f>+E286</f>
        <v>0</v>
      </c>
      <c r="F297" s="935">
        <f>+F286</f>
        <v>0</v>
      </c>
      <c r="G297" s="935"/>
      <c r="K297" s="1726"/>
      <c r="O297" s="1685"/>
      <c r="P297" s="1685"/>
      <c r="Q297" s="1685"/>
      <c r="R297" s="1685"/>
      <c r="S297" s="1685"/>
      <c r="T297" s="1685"/>
      <c r="U297" s="1685"/>
    </row>
    <row r="298" spans="2:21" hidden="1">
      <c r="B298" s="1558" t="s">
        <v>2810</v>
      </c>
      <c r="C298" s="243" t="s">
        <v>2840</v>
      </c>
      <c r="D298" s="733">
        <f>-'5'!I34</f>
        <v>0</v>
      </c>
      <c r="E298" s="1564">
        <f>-'5'!P94</f>
        <v>0</v>
      </c>
      <c r="F298" s="733">
        <v>25248051.370000001</v>
      </c>
      <c r="G298" s="733">
        <f>+D298+F298</f>
        <v>25248051.370000001</v>
      </c>
    </row>
    <row r="299" spans="2:21" hidden="1">
      <c r="B299" s="1558" t="s">
        <v>2811</v>
      </c>
      <c r="C299" s="243" t="s">
        <v>2841</v>
      </c>
      <c r="D299" s="733">
        <f>-'5'!I35</f>
        <v>0</v>
      </c>
      <c r="E299" s="1564">
        <f>-'5'!P95</f>
        <v>0</v>
      </c>
      <c r="F299" s="733" t="e">
        <f t="shared" ref="F299:F304" si="23">+$F$308*I299</f>
        <v>#DIV/0!</v>
      </c>
      <c r="G299" s="733" t="e">
        <f t="shared" ref="G299:G305" si="24">+D299+F299</f>
        <v>#DIV/0!</v>
      </c>
      <c r="H299" s="1290"/>
      <c r="I299" t="e">
        <f t="shared" ref="I299:I304" si="25">+D299/$D$308</f>
        <v>#DIV/0!</v>
      </c>
    </row>
    <row r="300" spans="2:21" hidden="1">
      <c r="B300" s="1558" t="s">
        <v>2812</v>
      </c>
      <c r="C300" s="243" t="s">
        <v>2842</v>
      </c>
      <c r="D300" s="733">
        <f>-'5'!I36</f>
        <v>0</v>
      </c>
      <c r="E300" s="1564">
        <f>-'5'!P96</f>
        <v>0</v>
      </c>
      <c r="F300" s="733" t="e">
        <f t="shared" si="23"/>
        <v>#DIV/0!</v>
      </c>
      <c r="G300" s="733" t="e">
        <f t="shared" si="24"/>
        <v>#DIV/0!</v>
      </c>
      <c r="I300" t="e">
        <f t="shared" si="25"/>
        <v>#DIV/0!</v>
      </c>
    </row>
    <row r="301" spans="2:21" hidden="1">
      <c r="B301" s="1558" t="s">
        <v>2813</v>
      </c>
      <c r="C301" s="243" t="s">
        <v>2843</v>
      </c>
      <c r="D301" s="733">
        <f>-'5'!I37</f>
        <v>0</v>
      </c>
      <c r="E301" s="1564">
        <f>-'5'!P97</f>
        <v>0</v>
      </c>
      <c r="F301" s="733" t="e">
        <f t="shared" si="23"/>
        <v>#DIV/0!</v>
      </c>
      <c r="G301" s="733" t="e">
        <f t="shared" si="24"/>
        <v>#DIV/0!</v>
      </c>
      <c r="I301" t="e">
        <f t="shared" si="25"/>
        <v>#DIV/0!</v>
      </c>
    </row>
    <row r="302" spans="2:21" hidden="1">
      <c r="B302" s="1558" t="s">
        <v>2814</v>
      </c>
      <c r="C302" s="243" t="s">
        <v>2844</v>
      </c>
      <c r="D302" s="733">
        <f>-'5'!I38</f>
        <v>0</v>
      </c>
      <c r="E302" s="1564">
        <f>-'5'!P98</f>
        <v>0</v>
      </c>
      <c r="F302" s="733" t="e">
        <f t="shared" si="23"/>
        <v>#DIV/0!</v>
      </c>
      <c r="G302" s="733" t="e">
        <f t="shared" si="24"/>
        <v>#DIV/0!</v>
      </c>
      <c r="I302" t="e">
        <f t="shared" si="25"/>
        <v>#DIV/0!</v>
      </c>
    </row>
    <row r="303" spans="2:21" hidden="1">
      <c r="B303" s="1558" t="s">
        <v>2815</v>
      </c>
      <c r="C303" s="243" t="s">
        <v>2845</v>
      </c>
      <c r="D303" s="733">
        <f>-'5'!I39</f>
        <v>0</v>
      </c>
      <c r="E303" s="1564">
        <f>-'5'!P99</f>
        <v>0</v>
      </c>
      <c r="F303" s="733" t="e">
        <f t="shared" si="23"/>
        <v>#DIV/0!</v>
      </c>
      <c r="G303" s="733" t="e">
        <f t="shared" si="24"/>
        <v>#DIV/0!</v>
      </c>
      <c r="I303" t="e">
        <f t="shared" si="25"/>
        <v>#DIV/0!</v>
      </c>
    </row>
    <row r="304" spans="2:21" hidden="1">
      <c r="B304" s="1558" t="s">
        <v>2816</v>
      </c>
      <c r="C304" s="243" t="s">
        <v>2846</v>
      </c>
      <c r="D304" s="733">
        <f>-'5'!I40</f>
        <v>0</v>
      </c>
      <c r="E304" s="1564">
        <f>-'5'!P100</f>
        <v>0</v>
      </c>
      <c r="F304" s="733" t="e">
        <f t="shared" si="23"/>
        <v>#DIV/0!</v>
      </c>
      <c r="G304" s="733" t="e">
        <f t="shared" si="24"/>
        <v>#DIV/0!</v>
      </c>
      <c r="I304" t="e">
        <f t="shared" si="25"/>
        <v>#DIV/0!</v>
      </c>
    </row>
    <row r="305" spans="2:8" hidden="1">
      <c r="B305" s="1558" t="s">
        <v>2817</v>
      </c>
      <c r="C305" s="243" t="s">
        <v>2847</v>
      </c>
      <c r="D305" s="733">
        <f>-'5'!I41</f>
        <v>0</v>
      </c>
      <c r="E305" s="1564">
        <f>-'5'!P101</f>
        <v>0</v>
      </c>
      <c r="F305" s="733">
        <f>+G290</f>
        <v>2982328.3800000027</v>
      </c>
      <c r="G305" s="733">
        <f t="shared" si="24"/>
        <v>2982328.3800000027</v>
      </c>
    </row>
    <row r="306" spans="2:8" hidden="1">
      <c r="D306" s="733">
        <f>SUM(D297:D305)</f>
        <v>0</v>
      </c>
      <c r="E306" s="733">
        <f>SUM(E297:E305)</f>
        <v>0</v>
      </c>
      <c r="F306" s="733" t="e">
        <f>SUM(F297:F305)</f>
        <v>#DIV/0!</v>
      </c>
      <c r="G306" s="733" t="e">
        <f>SUM(G297:G305)</f>
        <v>#DIV/0!</v>
      </c>
    </row>
    <row r="307" spans="2:8" hidden="1"/>
    <row r="308" spans="2:8" hidden="1">
      <c r="D308" s="11">
        <f>SUM(D299:D304)</f>
        <v>0</v>
      </c>
      <c r="F308" s="1290">
        <f>+G283</f>
        <v>3384263.6000000015</v>
      </c>
    </row>
    <row r="309" spans="2:8" hidden="1"/>
    <row r="310" spans="2:8" hidden="1">
      <c r="B310" s="1825" t="s">
        <v>899</v>
      </c>
      <c r="C310" s="1825"/>
      <c r="D310" s="1825"/>
      <c r="E310" s="1825"/>
      <c r="F310" s="1825"/>
      <c r="G310" s="1825"/>
      <c r="H310" s="1825"/>
    </row>
    <row r="311" spans="2:8" hidden="1">
      <c r="B311" s="1922" t="s">
        <v>4082</v>
      </c>
      <c r="C311" s="1923"/>
      <c r="D311" s="1923"/>
      <c r="E311" s="1923"/>
      <c r="F311" s="1923"/>
      <c r="G311" s="1923"/>
      <c r="H311" s="1923"/>
    </row>
    <row r="312" spans="2:8" hidden="1">
      <c r="B312" s="243"/>
      <c r="C312" s="1214" t="s">
        <v>893</v>
      </c>
      <c r="D312" s="1244" t="s">
        <v>4002</v>
      </c>
      <c r="E312" s="1214" t="s">
        <v>2785</v>
      </c>
      <c r="F312" s="1214" t="s">
        <v>2786</v>
      </c>
      <c r="G312" s="1214" t="s">
        <v>2788</v>
      </c>
      <c r="H312" s="1214" t="s">
        <v>2787</v>
      </c>
    </row>
    <row r="313" spans="2:8" hidden="1">
      <c r="B313" s="516" t="s">
        <v>1216</v>
      </c>
      <c r="C313" s="1677">
        <f>+C22</f>
        <v>1623675</v>
      </c>
      <c r="D313" s="1677">
        <v>0</v>
      </c>
      <c r="E313" s="1677"/>
      <c r="F313" s="1677"/>
      <c r="G313" s="1677"/>
      <c r="H313" s="1677">
        <f t="shared" ref="H313:H319" si="26">+C313+D313-G313</f>
        <v>1623675</v>
      </c>
    </row>
    <row r="314" spans="2:8" hidden="1">
      <c r="B314" s="516" t="s">
        <v>2382</v>
      </c>
      <c r="C314" s="1677"/>
      <c r="D314" s="1677"/>
      <c r="E314" s="1677"/>
      <c r="F314" s="1677"/>
      <c r="G314" s="1677"/>
      <c r="H314" s="1677">
        <f t="shared" si="26"/>
        <v>0</v>
      </c>
    </row>
    <row r="315" spans="2:8" hidden="1">
      <c r="B315" s="516" t="s">
        <v>2383</v>
      </c>
      <c r="C315" s="1677">
        <f>+E22</f>
        <v>1049903389.53</v>
      </c>
      <c r="D315" s="1677">
        <f>+E23</f>
        <v>5541311.1799999923</v>
      </c>
      <c r="E315" s="1677">
        <f>+E28</f>
        <v>309808868.79000002</v>
      </c>
      <c r="F315" s="1677">
        <f>+E29</f>
        <v>0</v>
      </c>
      <c r="G315" s="1677">
        <f>+E315+F315</f>
        <v>309808868.79000002</v>
      </c>
      <c r="H315" s="1677">
        <f t="shared" si="26"/>
        <v>745635831.91999984</v>
      </c>
    </row>
    <row r="316" spans="2:8" hidden="1">
      <c r="B316" s="516" t="s">
        <v>2384</v>
      </c>
      <c r="C316" s="1677">
        <f>+F22</f>
        <v>45798108.269999996</v>
      </c>
      <c r="D316" s="1677">
        <f>+F23</f>
        <v>2.7939677238464355E-9</v>
      </c>
      <c r="E316" s="1677">
        <f>+F28</f>
        <v>28494114.41</v>
      </c>
      <c r="F316" s="1677">
        <f>+F29</f>
        <v>3.4924596548080444E-10</v>
      </c>
      <c r="G316" s="1677">
        <f>+E316+F316</f>
        <v>28494114.41</v>
      </c>
      <c r="H316" s="1677">
        <f t="shared" si="26"/>
        <v>17303993.859999996</v>
      </c>
    </row>
    <row r="317" spans="2:8" hidden="1">
      <c r="B317" s="516" t="s">
        <v>2391</v>
      </c>
      <c r="C317" s="1677">
        <f>+G22</f>
        <v>589443.93999999994</v>
      </c>
      <c r="D317" s="1677">
        <f>+G23</f>
        <v>5.6388671509921551E-11</v>
      </c>
      <c r="E317" s="1677">
        <f>+G28</f>
        <v>164778.88</v>
      </c>
      <c r="F317" s="1677">
        <f>+G29</f>
        <v>0</v>
      </c>
      <c r="G317" s="1677">
        <f>+E317+F317</f>
        <v>164778.88</v>
      </c>
      <c r="H317" s="1677">
        <f t="shared" si="26"/>
        <v>424665.05999999994</v>
      </c>
    </row>
    <row r="318" spans="2:8" hidden="1">
      <c r="B318" s="516" t="s">
        <v>3797</v>
      </c>
      <c r="C318" s="1677">
        <f>+H22</f>
        <v>18404484.130000003</v>
      </c>
      <c r="D318" s="1677">
        <f>+H23</f>
        <v>0</v>
      </c>
      <c r="E318" s="1677">
        <f>+H28</f>
        <v>12507481.389999999</v>
      </c>
      <c r="F318" s="1677">
        <f>+H29</f>
        <v>0</v>
      </c>
      <c r="G318" s="1677">
        <f>+E318+F318</f>
        <v>12507481.389999999</v>
      </c>
      <c r="H318" s="1677">
        <f t="shared" si="26"/>
        <v>5897002.7400000039</v>
      </c>
    </row>
    <row r="319" spans="2:8" hidden="1">
      <c r="B319" s="516" t="s">
        <v>2385</v>
      </c>
      <c r="C319" s="1677">
        <f>+I22</f>
        <v>56523467.980000004</v>
      </c>
      <c r="D319" s="1677">
        <f>+I23</f>
        <v>-2.3865140974521637E-9</v>
      </c>
      <c r="E319" s="1677">
        <f>+I28</f>
        <v>43479886.310000002</v>
      </c>
      <c r="F319" s="1677">
        <f>+I29</f>
        <v>0</v>
      </c>
      <c r="G319" s="1677">
        <f>+E319+F319</f>
        <v>43479886.310000002</v>
      </c>
      <c r="H319" s="1677">
        <f t="shared" si="26"/>
        <v>13043581.670000002</v>
      </c>
    </row>
    <row r="320" spans="2:8" hidden="1">
      <c r="B320" s="1721" t="s">
        <v>1415</v>
      </c>
      <c r="C320" s="1722">
        <f t="shared" ref="C320:H320" si="27">SUM(C313:C319)</f>
        <v>1172842568.8500001</v>
      </c>
      <c r="D320" s="1722">
        <f t="shared" si="27"/>
        <v>5541311.1799999923</v>
      </c>
      <c r="E320" s="1722">
        <f t="shared" si="27"/>
        <v>394455129.78000003</v>
      </c>
      <c r="F320" s="1722">
        <f t="shared" si="27"/>
        <v>3.4924596548080444E-10</v>
      </c>
      <c r="G320" s="1722">
        <f t="shared" si="27"/>
        <v>394455129.78000003</v>
      </c>
      <c r="H320" s="1722">
        <f t="shared" si="27"/>
        <v>783928750.24999976</v>
      </c>
    </row>
    <row r="321" spans="2:11" hidden="1"/>
    <row r="322" spans="2:11" hidden="1">
      <c r="D322" s="1924">
        <v>2023</v>
      </c>
      <c r="E322" s="1924"/>
      <c r="F322" s="1924" t="s">
        <v>3858</v>
      </c>
      <c r="G322" s="1924"/>
    </row>
    <row r="323" spans="2:11" hidden="1">
      <c r="B323" s="1565" t="s">
        <v>2793</v>
      </c>
      <c r="C323" s="1565">
        <v>5101990001</v>
      </c>
      <c r="D323" s="935" t="str">
        <f>+D312</f>
        <v>adq. 2023</v>
      </c>
      <c r="E323" s="935" t="str">
        <f>+E312</f>
        <v>Dep. Acum.</v>
      </c>
      <c r="F323" s="935" t="str">
        <f>+F312</f>
        <v>Dep. del Periodo</v>
      </c>
      <c r="G323" s="935"/>
    </row>
    <row r="324" spans="2:11" hidden="1">
      <c r="B324" s="1558" t="s">
        <v>2810</v>
      </c>
      <c r="C324" s="243" t="s">
        <v>2840</v>
      </c>
      <c r="D324" s="733">
        <f>-'5'!H120-'5'!I120</f>
        <v>0</v>
      </c>
      <c r="E324" s="1564">
        <f>-'5'!P120</f>
        <v>0</v>
      </c>
      <c r="F324" s="733">
        <f>+D324</f>
        <v>0</v>
      </c>
      <c r="G324" s="733" t="e">
        <f>+E324-G299</f>
        <v>#DIV/0!</v>
      </c>
    </row>
    <row r="325" spans="2:11" hidden="1">
      <c r="B325" s="1558" t="s">
        <v>2811</v>
      </c>
      <c r="C325" s="243" t="s">
        <v>2841</v>
      </c>
      <c r="D325" s="733">
        <f>-'5'!H121-'5'!I121</f>
        <v>0</v>
      </c>
      <c r="E325" s="1564">
        <f>-'5'!P121</f>
        <v>0</v>
      </c>
      <c r="F325" s="733">
        <f t="shared" ref="F325:F331" si="28">+D325</f>
        <v>0</v>
      </c>
      <c r="G325" s="733" t="e">
        <f t="shared" ref="G325:G331" si="29">+E325-G300</f>
        <v>#DIV/0!</v>
      </c>
    </row>
    <row r="326" spans="2:11" hidden="1">
      <c r="B326" s="1558" t="s">
        <v>2812</v>
      </c>
      <c r="C326" s="243" t="s">
        <v>2842</v>
      </c>
      <c r="D326" s="733">
        <f>-'5'!H122-'5'!I122</f>
        <v>0</v>
      </c>
      <c r="E326" s="1564">
        <f>-'5'!P122</f>
        <v>0</v>
      </c>
      <c r="F326" s="733">
        <f t="shared" si="28"/>
        <v>0</v>
      </c>
      <c r="G326" s="733" t="e">
        <f t="shared" si="29"/>
        <v>#DIV/0!</v>
      </c>
      <c r="H326" s="1290">
        <f>+F326+G339</f>
        <v>16180314.840000004</v>
      </c>
    </row>
    <row r="327" spans="2:11" hidden="1">
      <c r="B327" s="1558" t="s">
        <v>2813</v>
      </c>
      <c r="C327" s="243" t="s">
        <v>2843</v>
      </c>
      <c r="D327" s="733">
        <f>-'5'!H123-'5'!I123</f>
        <v>0</v>
      </c>
      <c r="E327" s="1564">
        <f>-'5'!P123</f>
        <v>0</v>
      </c>
      <c r="F327" s="733">
        <f t="shared" si="28"/>
        <v>0</v>
      </c>
      <c r="G327" s="733" t="e">
        <f t="shared" si="29"/>
        <v>#DIV/0!</v>
      </c>
    </row>
    <row r="328" spans="2:11" hidden="1">
      <c r="B328" s="1558" t="s">
        <v>2814</v>
      </c>
      <c r="C328" s="243" t="s">
        <v>2844</v>
      </c>
      <c r="D328" s="733">
        <f>-'5'!H124-'5'!I124</f>
        <v>0</v>
      </c>
      <c r="E328" s="1564">
        <f>-'5'!P124</f>
        <v>0</v>
      </c>
      <c r="F328" s="733">
        <f t="shared" si="28"/>
        <v>0</v>
      </c>
      <c r="G328" s="733" t="e">
        <f t="shared" si="29"/>
        <v>#DIV/0!</v>
      </c>
    </row>
    <row r="329" spans="2:11" hidden="1">
      <c r="B329" s="1558" t="s">
        <v>2815</v>
      </c>
      <c r="C329" s="243" t="s">
        <v>2845</v>
      </c>
      <c r="D329" s="733">
        <f>-'5'!H125-'5'!I125</f>
        <v>0</v>
      </c>
      <c r="E329" s="1564">
        <f>-'5'!P125</f>
        <v>0</v>
      </c>
      <c r="F329" s="733">
        <f t="shared" si="28"/>
        <v>0</v>
      </c>
      <c r="G329" s="733" t="e">
        <f t="shared" si="29"/>
        <v>#DIV/0!</v>
      </c>
    </row>
    <row r="330" spans="2:11" hidden="1">
      <c r="B330" s="1558" t="s">
        <v>2816</v>
      </c>
      <c r="C330" s="243" t="s">
        <v>2846</v>
      </c>
      <c r="D330" s="733">
        <f>-'5'!H126-'5'!I126</f>
        <v>0</v>
      </c>
      <c r="E330" s="1564">
        <f>-'5'!P126</f>
        <v>0</v>
      </c>
      <c r="F330" s="733">
        <f t="shared" si="28"/>
        <v>0</v>
      </c>
      <c r="G330" s="733">
        <f t="shared" si="29"/>
        <v>-2982328.3800000027</v>
      </c>
    </row>
    <row r="331" spans="2:11" hidden="1">
      <c r="B331" s="1558" t="s">
        <v>2817</v>
      </c>
      <c r="C331" s="243" t="s">
        <v>2847</v>
      </c>
      <c r="D331" s="733">
        <f>-'5'!H127-'5'!I127</f>
        <v>0</v>
      </c>
      <c r="E331" s="1564">
        <f>-'5'!P127</f>
        <v>0</v>
      </c>
      <c r="F331" s="733">
        <f t="shared" si="28"/>
        <v>0</v>
      </c>
      <c r="G331" s="733" t="e">
        <f t="shared" si="29"/>
        <v>#DIV/0!</v>
      </c>
      <c r="H331" s="1290">
        <f>+F331+G346</f>
        <v>21234282.019999996</v>
      </c>
    </row>
    <row r="332" spans="2:11" hidden="1">
      <c r="D332" s="733">
        <f>SUM(D323:D331)</f>
        <v>0</v>
      </c>
      <c r="E332" s="733">
        <f>SUM(E323:E331)</f>
        <v>0</v>
      </c>
      <c r="F332" s="733">
        <f>SUM(F323:F331)</f>
        <v>0</v>
      </c>
      <c r="G332" s="733" t="e">
        <f>SUM(G323:G331)</f>
        <v>#DIV/0!</v>
      </c>
    </row>
    <row r="333" spans="2:11" hidden="1"/>
    <row r="334" spans="2:11" hidden="1"/>
    <row r="335" spans="2:11" hidden="1"/>
    <row r="336" spans="2:11" hidden="1">
      <c r="B336" s="1684" t="s">
        <v>4195</v>
      </c>
      <c r="C336" s="1726"/>
      <c r="D336" s="1688"/>
      <c r="E336" s="1684"/>
      <c r="F336" s="1684"/>
      <c r="G336" s="1684"/>
      <c r="H336" s="1684"/>
      <c r="I336" s="1684"/>
      <c r="J336" s="1684"/>
      <c r="K336" s="1726"/>
    </row>
    <row r="337" spans="2:11" hidden="1">
      <c r="B337" s="1565" t="s">
        <v>2384</v>
      </c>
      <c r="C337" s="1805" t="s">
        <v>3963</v>
      </c>
      <c r="D337" s="1805" t="s">
        <v>3964</v>
      </c>
      <c r="E337" s="1805" t="s">
        <v>4080</v>
      </c>
      <c r="F337" s="1805" t="s">
        <v>3964</v>
      </c>
      <c r="G337" s="1805" t="s">
        <v>1205</v>
      </c>
      <c r="I337">
        <v>61080373.480000004</v>
      </c>
      <c r="K337" s="1806"/>
    </row>
    <row r="338" spans="2:11" hidden="1">
      <c r="B338" s="243" t="s">
        <v>3965</v>
      </c>
      <c r="C338" s="1677">
        <v>61080373.480000004</v>
      </c>
      <c r="D338" s="11">
        <v>38949342.799999997</v>
      </c>
      <c r="E338" s="1677">
        <f>+F339-D338-2961280.35</f>
        <v>-2685324.159999995</v>
      </c>
      <c r="F338" s="11">
        <f>+D338+E338</f>
        <v>36264018.640000001</v>
      </c>
      <c r="G338" s="1677">
        <f>+C338-F338</f>
        <v>24816354.840000004</v>
      </c>
      <c r="I338">
        <v>38949342.799999997</v>
      </c>
      <c r="K338" s="1806"/>
    </row>
    <row r="339" spans="2:11" hidden="1">
      <c r="B339" s="243" t="s">
        <v>3966</v>
      </c>
      <c r="C339" s="1677">
        <f>+E394</f>
        <v>55405613.830000006</v>
      </c>
      <c r="D339" s="11"/>
      <c r="E339" s="1677">
        <f>+D334</f>
        <v>0</v>
      </c>
      <c r="F339" s="11">
        <f>+F394</f>
        <v>39225298.990000002</v>
      </c>
      <c r="G339" s="1677">
        <f>+C339+D339-E339-F339</f>
        <v>16180314.840000004</v>
      </c>
      <c r="K339" s="1806"/>
    </row>
    <row r="340" spans="2:11" hidden="1">
      <c r="B340" s="1565" t="s">
        <v>3967</v>
      </c>
      <c r="C340" s="1678">
        <f>+C338+D338-C339</f>
        <v>44624102.449999996</v>
      </c>
      <c r="D340" s="333"/>
      <c r="E340" s="1678">
        <f>+E338-E339</f>
        <v>-2685324.159999995</v>
      </c>
      <c r="F340" s="333"/>
      <c r="G340" s="1679">
        <f>+G338-G339</f>
        <v>8636040</v>
      </c>
      <c r="H340" s="1290">
        <v>376880.34</v>
      </c>
      <c r="K340" s="1806"/>
    </row>
    <row r="341" spans="2:11" hidden="1">
      <c r="B341" t="str">
        <f>+B348</f>
        <v>Ajuste para  valor en libro</v>
      </c>
      <c r="C341" s="1290">
        <f>+C338+D338-C339</f>
        <v>44624102.449999996</v>
      </c>
      <c r="K341" s="1806"/>
    </row>
    <row r="342" spans="2:11" hidden="1">
      <c r="K342" s="1806"/>
    </row>
    <row r="343" spans="2:11" hidden="1">
      <c r="K343" s="1806"/>
    </row>
    <row r="344" spans="2:11" hidden="1">
      <c r="B344" s="1565" t="str">
        <f>+B287</f>
        <v>Equipo Transp y otros</v>
      </c>
      <c r="C344" s="1805" t="s">
        <v>3963</v>
      </c>
      <c r="D344" s="1805" t="s">
        <v>3964</v>
      </c>
      <c r="E344" s="1805" t="s">
        <v>4080</v>
      </c>
      <c r="F344" s="1805" t="s">
        <v>3964</v>
      </c>
      <c r="G344" s="1805" t="s">
        <v>1205</v>
      </c>
      <c r="I344">
        <v>38206151.979999997</v>
      </c>
      <c r="K344" s="1806"/>
    </row>
    <row r="345" spans="2:11" hidden="1">
      <c r="B345" s="243" t="s">
        <v>3965</v>
      </c>
      <c r="C345" s="1677">
        <v>56408067.980000004</v>
      </c>
      <c r="D345" s="1807">
        <v>38206151.979999997</v>
      </c>
      <c r="E345" s="1677">
        <f>+D345-E346+2618908.01</f>
        <v>1325123.2199999932</v>
      </c>
      <c r="F345" s="1808">
        <f>+D345+E345</f>
        <v>39531275.199999988</v>
      </c>
      <c r="G345" s="1677">
        <f>+C345-F345</f>
        <v>16876792.780000016</v>
      </c>
      <c r="H345" s="1808"/>
      <c r="I345" s="1808">
        <v>56408067.980000004</v>
      </c>
      <c r="J345" s="1808"/>
      <c r="K345" s="1806"/>
    </row>
    <row r="346" spans="2:11" hidden="1">
      <c r="B346" s="243" t="s">
        <v>3966</v>
      </c>
      <c r="C346" s="1677">
        <f>+E393</f>
        <v>60734218.789999999</v>
      </c>
      <c r="D346" s="1807"/>
      <c r="E346" s="1677">
        <f>+F393</f>
        <v>39499936.770000003</v>
      </c>
      <c r="F346" s="1808"/>
      <c r="G346" s="1677">
        <f>+C346+D346-E346-F346</f>
        <v>21234282.019999996</v>
      </c>
      <c r="H346" s="1808"/>
      <c r="I346" s="1808"/>
      <c r="J346" s="1808"/>
      <c r="K346" s="1806"/>
    </row>
    <row r="347" spans="2:11" hidden="1">
      <c r="B347" s="1565" t="s">
        <v>4196</v>
      </c>
      <c r="C347" s="1722">
        <f>+C345-C346</f>
        <v>-4326150.8099999949</v>
      </c>
      <c r="D347" s="1722">
        <f>+D345-D346</f>
        <v>38206151.979999997</v>
      </c>
      <c r="E347" s="1722">
        <f>+E345-E346</f>
        <v>-38174813.550000012</v>
      </c>
      <c r="F347" s="1808"/>
      <c r="G347" s="1809">
        <f>+G345-G346</f>
        <v>-4357489.2399999797</v>
      </c>
      <c r="H347" s="1808">
        <v>260877.39</v>
      </c>
      <c r="I347" s="1808"/>
      <c r="J347" s="1808"/>
      <c r="K347" s="1806">
        <v>-377316.52000000328</v>
      </c>
    </row>
    <row r="348" spans="2:11" hidden="1">
      <c r="B348" s="27" t="s">
        <v>4081</v>
      </c>
      <c r="C348" s="1808">
        <f>+C345+D345-C346</f>
        <v>33880001.170000009</v>
      </c>
      <c r="D348" s="1808"/>
      <c r="E348" s="1808">
        <f>-E347</f>
        <v>38174813.550000012</v>
      </c>
      <c r="F348" s="1808"/>
      <c r="G348" s="1808"/>
      <c r="H348" s="1808"/>
      <c r="I348" s="1808"/>
      <c r="J348" s="1808"/>
      <c r="K348" s="1806"/>
    </row>
    <row r="349" spans="2:11" hidden="1">
      <c r="B349" s="1684"/>
      <c r="C349" s="1726"/>
      <c r="D349" s="1684"/>
      <c r="E349" s="1684"/>
      <c r="F349" s="1684"/>
      <c r="G349" s="1684"/>
      <c r="H349" s="1684"/>
      <c r="I349" s="1684"/>
      <c r="J349" s="1684"/>
      <c r="K349" s="1726"/>
    </row>
    <row r="350" spans="2:11" hidden="1"/>
    <row r="351" spans="2:11" hidden="1"/>
    <row r="352" spans="2:11" hidden="1">
      <c r="B352" s="243"/>
      <c r="C352" s="1214" t="s">
        <v>893</v>
      </c>
      <c r="D352" s="1244" t="s">
        <v>4002</v>
      </c>
      <c r="E352" s="1214" t="s">
        <v>2785</v>
      </c>
      <c r="F352" s="1214" t="s">
        <v>2786</v>
      </c>
      <c r="G352" s="1214" t="s">
        <v>2788</v>
      </c>
      <c r="H352" s="1214" t="s">
        <v>2787</v>
      </c>
    </row>
    <row r="353" spans="2:21" hidden="1">
      <c r="B353" s="516" t="s">
        <v>1216</v>
      </c>
      <c r="C353" s="1677">
        <v>1623675</v>
      </c>
      <c r="D353" s="1677">
        <v>0</v>
      </c>
      <c r="E353" s="1677"/>
      <c r="F353" s="1677"/>
      <c r="G353" s="1677"/>
      <c r="H353" s="1677">
        <f>+C353+D353-G353</f>
        <v>1623675</v>
      </c>
    </row>
    <row r="354" spans="2:21" hidden="1">
      <c r="B354" s="516" t="s">
        <v>2382</v>
      </c>
      <c r="C354" s="1677"/>
      <c r="D354" s="1677"/>
      <c r="E354" s="1677"/>
      <c r="F354" s="1677"/>
      <c r="G354" s="1677"/>
      <c r="H354" s="1677">
        <f>+C354+D354-G354</f>
        <v>0</v>
      </c>
    </row>
    <row r="355" spans="2:21" hidden="1">
      <c r="B355" s="516" t="s">
        <v>2383</v>
      </c>
      <c r="C355" s="1677">
        <v>1016680796.5599999</v>
      </c>
      <c r="D355" s="1677">
        <v>9144737.5900000036</v>
      </c>
      <c r="E355" s="1677">
        <v>-270856525.61000001</v>
      </c>
      <c r="F355" s="1677">
        <v>-37748450.427000001</v>
      </c>
      <c r="G355" s="1677">
        <f>+E355+F355</f>
        <v>-308604976.037</v>
      </c>
      <c r="H355" s="1677">
        <f>+C355+D355+G355</f>
        <v>717220558.11299992</v>
      </c>
    </row>
    <row r="356" spans="2:21" hidden="1">
      <c r="B356" s="516" t="s">
        <v>2384</v>
      </c>
      <c r="C356" s="1677">
        <v>37303885.030000001</v>
      </c>
      <c r="D356" s="1677">
        <v>6275957.6799999978</v>
      </c>
      <c r="E356" s="1677">
        <v>-26935891.920000002</v>
      </c>
      <c r="F356" s="1677">
        <v>-4160987.6974999998</v>
      </c>
      <c r="G356" s="1677">
        <f>+E356+F356</f>
        <v>-31096879.6175</v>
      </c>
      <c r="H356" s="1677">
        <f>+C356+D356+G356</f>
        <v>12482963.092500001</v>
      </c>
    </row>
    <row r="357" spans="2:21" hidden="1">
      <c r="B357" s="516" t="s">
        <v>2391</v>
      </c>
      <c r="C357" s="1677">
        <v>578847</v>
      </c>
      <c r="D357" s="1677">
        <v>10596.94</v>
      </c>
      <c r="E357" s="1677">
        <v>-156514.22</v>
      </c>
      <c r="F357" s="1677">
        <v>-108232.43</v>
      </c>
      <c r="G357" s="1677">
        <f>+E357+F357</f>
        <v>-264746.65000000002</v>
      </c>
      <c r="H357" s="1677">
        <f>+C357+D357+G357</f>
        <v>324697.28999999992</v>
      </c>
    </row>
    <row r="358" spans="2:21" hidden="1">
      <c r="B358" s="516" t="s">
        <v>3797</v>
      </c>
      <c r="C358" s="1677">
        <v>16016968.830000002</v>
      </c>
      <c r="D358" s="1677">
        <v>894117.99999999907</v>
      </c>
      <c r="E358" s="1677">
        <v>-11856936.66</v>
      </c>
      <c r="F358" s="1677">
        <v>-1263537.5425</v>
      </c>
      <c r="G358" s="1677">
        <f>+E358+F358</f>
        <v>-13120474.202500001</v>
      </c>
      <c r="H358" s="1677">
        <f>+C358+D358+G358</f>
        <v>3790612.6275000013</v>
      </c>
    </row>
    <row r="359" spans="2:21" hidden="1">
      <c r="B359" s="516" t="s">
        <v>2385</v>
      </c>
      <c r="C359" s="1677">
        <v>53558445.270000003</v>
      </c>
      <c r="D359" s="1677">
        <v>2849622.7099999986</v>
      </c>
      <c r="E359" s="1677">
        <v>-38206151.979999997</v>
      </c>
      <c r="F359" s="1677">
        <v>-4550479</v>
      </c>
      <c r="G359" s="1677">
        <f>+E359+F359</f>
        <v>-42756630.979999997</v>
      </c>
      <c r="H359" s="1677">
        <f>+C359+D359+G359</f>
        <v>13651437.000000007</v>
      </c>
    </row>
    <row r="360" spans="2:21" hidden="1">
      <c r="B360" s="1721" t="s">
        <v>1415</v>
      </c>
      <c r="C360" s="1722">
        <f t="shared" ref="C360:H360" si="30">SUM(C353:C359)</f>
        <v>1125762617.6900001</v>
      </c>
      <c r="D360" s="1722">
        <f t="shared" si="30"/>
        <v>19175032.919999998</v>
      </c>
      <c r="E360" s="1722">
        <f t="shared" si="30"/>
        <v>-348012020.3900001</v>
      </c>
      <c r="F360" s="1722">
        <f t="shared" si="30"/>
        <v>-47831687.096999995</v>
      </c>
      <c r="G360" s="1722">
        <f t="shared" si="30"/>
        <v>-395843707.48699999</v>
      </c>
      <c r="H360" s="1722">
        <f t="shared" si="30"/>
        <v>749093943.12299991</v>
      </c>
    </row>
    <row r="361" spans="2:21">
      <c r="B361" s="1810"/>
      <c r="C361" s="1811"/>
      <c r="D361" s="1811"/>
      <c r="E361" s="1811"/>
      <c r="F361" s="1811"/>
      <c r="G361" s="1811"/>
      <c r="H361" s="1811"/>
      <c r="O361" s="1808"/>
      <c r="P361" s="1808"/>
      <c r="Q361" s="1808"/>
      <c r="R361" s="1808"/>
      <c r="S361" s="1808"/>
      <c r="T361" s="1808"/>
      <c r="U361" s="1808"/>
    </row>
    <row r="362" spans="2:21">
      <c r="B362" s="1810"/>
      <c r="C362" s="1811"/>
      <c r="D362" s="1811"/>
      <c r="E362" s="1811"/>
      <c r="F362" s="1811"/>
      <c r="G362" s="1811"/>
      <c r="H362" s="1811"/>
      <c r="O362" s="1808"/>
      <c r="P362" s="1808"/>
      <c r="Q362" s="1808"/>
      <c r="R362" s="1808"/>
      <c r="S362" s="1808"/>
      <c r="T362" s="1808"/>
      <c r="U362" s="1808"/>
    </row>
    <row r="363" spans="2:21">
      <c r="B363" s="1810"/>
      <c r="C363" s="1811"/>
      <c r="D363" s="1811"/>
      <c r="E363" s="1811"/>
      <c r="F363" s="1811"/>
      <c r="G363" s="1811"/>
      <c r="H363" s="1811"/>
      <c r="O363" s="1808"/>
      <c r="P363" s="1808"/>
      <c r="Q363" s="1808"/>
      <c r="R363" s="1808"/>
      <c r="S363" s="1808"/>
      <c r="T363" s="1808"/>
      <c r="U363" s="1808"/>
    </row>
    <row r="364" spans="2:21">
      <c r="B364" s="1810"/>
      <c r="C364" s="1811"/>
      <c r="D364" s="1811"/>
      <c r="E364" s="1811"/>
      <c r="F364" s="1811"/>
      <c r="G364" s="1811"/>
      <c r="H364" s="1811"/>
      <c r="O364" s="1808"/>
      <c r="P364" s="1808"/>
      <c r="Q364" s="1808"/>
      <c r="R364" s="1808"/>
      <c r="S364" s="1808"/>
      <c r="T364" s="1808"/>
      <c r="U364" s="1808"/>
    </row>
    <row r="365" spans="2:21">
      <c r="B365" s="1810"/>
      <c r="C365" s="1811"/>
      <c r="D365" s="1811"/>
      <c r="E365" s="1811"/>
      <c r="F365" s="1811"/>
      <c r="G365" s="1811"/>
      <c r="H365" s="1811"/>
      <c r="O365" s="1808"/>
      <c r="P365" s="1808"/>
      <c r="Q365" s="1808"/>
      <c r="R365" s="1808"/>
      <c r="S365" s="1808"/>
      <c r="T365" s="1808"/>
      <c r="U365" s="1808"/>
    </row>
    <row r="366" spans="2:21" hidden="1">
      <c r="B366" s="1810"/>
      <c r="C366" s="1811"/>
      <c r="D366" s="1811"/>
      <c r="E366" s="1811"/>
      <c r="F366" s="1811"/>
      <c r="G366" s="1811"/>
      <c r="H366" s="1811"/>
      <c r="O366" s="1808"/>
      <c r="P366" s="1808"/>
      <c r="Q366" s="1808"/>
      <c r="R366" s="1808"/>
      <c r="S366" s="1808"/>
      <c r="T366" s="1808"/>
      <c r="U366" s="1808"/>
    </row>
    <row r="367" spans="2:21" hidden="1">
      <c r="B367" s="1810"/>
      <c r="C367" s="1811"/>
      <c r="D367" s="1811"/>
      <c r="E367" s="1811"/>
      <c r="F367" s="1811"/>
      <c r="G367" s="1811"/>
      <c r="H367" s="1811"/>
      <c r="O367" s="1808"/>
      <c r="P367" s="1808"/>
      <c r="Q367" s="1808"/>
      <c r="R367" s="1808"/>
      <c r="S367" s="1808"/>
      <c r="T367" s="1808"/>
      <c r="U367" s="1808"/>
    </row>
    <row r="368" spans="2:21" hidden="1"/>
    <row r="369" spans="2:14" hidden="1">
      <c r="D369" s="1924">
        <v>2025</v>
      </c>
      <c r="E369" s="1924"/>
      <c r="F369" s="1924" t="s">
        <v>3858</v>
      </c>
      <c r="G369" s="1924"/>
    </row>
    <row r="370" spans="2:14" hidden="1">
      <c r="B370" s="1565" t="s">
        <v>2793</v>
      </c>
      <c r="C370" s="1565">
        <v>5101990001</v>
      </c>
      <c r="D370" s="935" t="s">
        <v>4202</v>
      </c>
      <c r="E370" s="935" t="str">
        <f>+E352</f>
        <v>Dep. Acum.</v>
      </c>
      <c r="F370" s="935" t="str">
        <f>+F352</f>
        <v>Dep. del Periodo</v>
      </c>
      <c r="G370" s="935"/>
    </row>
    <row r="371" spans="2:14" hidden="1">
      <c r="B371" s="1558" t="s">
        <v>2810</v>
      </c>
      <c r="C371" s="243" t="s">
        <v>2840</v>
      </c>
      <c r="D371" s="1814">
        <f>+E27</f>
        <v>1055444700.7099999</v>
      </c>
      <c r="E371" s="1815">
        <v>270856525.61000001</v>
      </c>
      <c r="F371" s="909">
        <f>(+D371-E371)*0.05/2</f>
        <v>19614704.377499998</v>
      </c>
      <c r="G371" s="909">
        <f t="shared" ref="G371:G378" si="31">+E371-G339</f>
        <v>254676210.77000001</v>
      </c>
      <c r="I371" t="s">
        <v>2810</v>
      </c>
      <c r="K371">
        <v>270856525.61000001</v>
      </c>
    </row>
    <row r="372" spans="2:14" hidden="1">
      <c r="B372" s="1558" t="s">
        <v>2811</v>
      </c>
      <c r="C372" s="243" t="s">
        <v>2841</v>
      </c>
      <c r="D372" s="909">
        <f>+F27</f>
        <v>40507068.269999996</v>
      </c>
      <c r="E372" s="1812">
        <v>23279837.379999999</v>
      </c>
      <c r="F372" s="909">
        <f t="shared" ref="F372:F377" si="32">+N372</f>
        <v>1144630.1647686881</v>
      </c>
      <c r="G372" s="909">
        <f t="shared" si="31"/>
        <v>14643797.379999999</v>
      </c>
      <c r="I372" t="s">
        <v>2811</v>
      </c>
      <c r="M372" s="1813">
        <v>23279837.379999999</v>
      </c>
      <c r="N372" s="1290">
        <f t="shared" ref="N372:N377" si="33">(+M372/$M$378)*$N$378</f>
        <v>1144630.1647686881</v>
      </c>
    </row>
    <row r="373" spans="2:14" hidden="1">
      <c r="B373" s="1558" t="s">
        <v>2812</v>
      </c>
      <c r="C373" s="243" t="s">
        <v>2842</v>
      </c>
      <c r="D373" s="909">
        <f>+C383</f>
        <v>3653190.9</v>
      </c>
      <c r="E373" s="1812">
        <v>3463179.49</v>
      </c>
      <c r="F373" s="909">
        <f t="shared" si="32"/>
        <v>170278.66842694592</v>
      </c>
      <c r="G373" s="909">
        <f t="shared" si="31"/>
        <v>3463179.49</v>
      </c>
      <c r="H373" s="1290">
        <f>+F373+G386</f>
        <v>170278.66842694592</v>
      </c>
      <c r="I373" t="s">
        <v>2812</v>
      </c>
      <c r="M373" s="1813">
        <v>3463179.49</v>
      </c>
      <c r="N373" s="1290">
        <f t="shared" si="33"/>
        <v>170278.66842694592</v>
      </c>
    </row>
    <row r="374" spans="2:14" hidden="1">
      <c r="B374" s="1558" t="s">
        <v>2813</v>
      </c>
      <c r="C374" s="243" t="s">
        <v>2843</v>
      </c>
      <c r="D374" s="909">
        <f>+C384</f>
        <v>203457.37</v>
      </c>
      <c r="E374" s="1812">
        <v>192875.05</v>
      </c>
      <c r="F374" s="909">
        <f t="shared" si="32"/>
        <v>9483.3394519729645</v>
      </c>
      <c r="G374" s="909">
        <f t="shared" si="31"/>
        <v>192875.05</v>
      </c>
      <c r="I374" t="s">
        <v>2813</v>
      </c>
      <c r="M374" s="1813">
        <v>192875.05</v>
      </c>
      <c r="N374" s="1290">
        <f t="shared" si="33"/>
        <v>9483.3394519729645</v>
      </c>
    </row>
    <row r="375" spans="2:14" hidden="1">
      <c r="B375" s="1558" t="s">
        <v>2814</v>
      </c>
      <c r="C375" s="243" t="s">
        <v>2844</v>
      </c>
      <c r="D375" s="909">
        <f>-F357</f>
        <v>108232.43</v>
      </c>
      <c r="E375" s="1812">
        <v>156514.22</v>
      </c>
      <c r="F375" s="909">
        <f t="shared" si="32"/>
        <v>7695.539041056767</v>
      </c>
      <c r="G375" s="909">
        <f t="shared" si="31"/>
        <v>156514.22</v>
      </c>
      <c r="I375" t="s">
        <v>2814</v>
      </c>
      <c r="M375" s="1813">
        <v>156514.22</v>
      </c>
      <c r="N375" s="1290">
        <f t="shared" si="33"/>
        <v>7695.539041056767</v>
      </c>
    </row>
    <row r="376" spans="2:14" hidden="1">
      <c r="B376" s="1558" t="s">
        <v>2815</v>
      </c>
      <c r="C376" s="243" t="s">
        <v>2845</v>
      </c>
      <c r="D376" s="909">
        <f>+C385</f>
        <v>10426457.289999999</v>
      </c>
      <c r="E376" s="1812">
        <v>9884151.7200000007</v>
      </c>
      <c r="F376" s="909">
        <f t="shared" si="32"/>
        <v>485986.99497712357</v>
      </c>
      <c r="G376" s="909" t="e">
        <f t="shared" si="31"/>
        <v>#VALUE!</v>
      </c>
      <c r="I376" t="s">
        <v>2815</v>
      </c>
      <c r="M376" s="1813">
        <v>9884151.7200000007</v>
      </c>
      <c r="N376" s="1290">
        <f t="shared" si="33"/>
        <v>485986.99497712357</v>
      </c>
    </row>
    <row r="377" spans="2:14" hidden="1">
      <c r="B377" s="1558" t="s">
        <v>2816</v>
      </c>
      <c r="C377" s="243" t="s">
        <v>2846</v>
      </c>
      <c r="D377" s="909">
        <f>+C386</f>
        <v>2081024.1</v>
      </c>
      <c r="E377" s="1812">
        <v>1972784.94</v>
      </c>
      <c r="F377" s="909">
        <f t="shared" si="32"/>
        <v>96998.493334208441</v>
      </c>
      <c r="G377" s="909">
        <f t="shared" si="31"/>
        <v>-14904007.840000017</v>
      </c>
      <c r="I377" t="s">
        <v>2816</v>
      </c>
      <c r="M377" s="1813">
        <v>1972784.94</v>
      </c>
      <c r="N377" s="1290">
        <f t="shared" si="33"/>
        <v>96998.493334208441</v>
      </c>
    </row>
    <row r="378" spans="2:14" hidden="1">
      <c r="B378" s="1558" t="s">
        <v>2817</v>
      </c>
      <c r="C378" s="243" t="s">
        <v>2847</v>
      </c>
      <c r="D378" s="909">
        <f>+I27</f>
        <v>61814507.980000004</v>
      </c>
      <c r="E378" s="1812">
        <v>38206151.979999997</v>
      </c>
      <c r="F378" s="909">
        <f>+F403</f>
        <v>2509051.2700000033</v>
      </c>
      <c r="G378" s="909">
        <f t="shared" si="31"/>
        <v>16971869.960000001</v>
      </c>
      <c r="H378" s="1290">
        <f>+F378+G398</f>
        <v>32811702.640000004</v>
      </c>
      <c r="I378" t="s">
        <v>2817</v>
      </c>
      <c r="K378">
        <v>38206151.979999997</v>
      </c>
      <c r="M378" s="1813">
        <f>SUM(M372:M377)</f>
        <v>38949342.799999997</v>
      </c>
      <c r="N378" s="1290">
        <f>+F404</f>
        <v>1915073.1999999955</v>
      </c>
    </row>
    <row r="379" spans="2:14" hidden="1">
      <c r="D379" s="733">
        <f>SUM(D370:D378)</f>
        <v>1174238639.05</v>
      </c>
      <c r="E379" s="733">
        <f>SUM(E370:E378)</f>
        <v>348012020.3900001</v>
      </c>
      <c r="F379" s="733">
        <f>SUM(F370:F378)</f>
        <v>24038828.847499996</v>
      </c>
      <c r="G379" s="733" t="e">
        <f>SUM(G370:G378)</f>
        <v>#VALUE!</v>
      </c>
    </row>
    <row r="380" spans="2:14" hidden="1"/>
    <row r="381" spans="2:14" hidden="1"/>
    <row r="382" spans="2:14" hidden="1">
      <c r="B382" s="965" t="str">
        <f>+B372</f>
        <v>DEP. ACUM.  MAQ. Y EQUIPOS DE CONSTRUCCION</v>
      </c>
      <c r="C382" s="11">
        <f>+'BALANZA G'!C82</f>
        <v>24637466.140000001</v>
      </c>
      <c r="D382">
        <f>+C382/$C$387</f>
        <v>0.60089042046504926</v>
      </c>
      <c r="E382" s="1808">
        <f>+$D$387*D382</f>
        <v>23735133.614068162</v>
      </c>
    </row>
    <row r="383" spans="2:14" hidden="1">
      <c r="B383" s="965" t="str">
        <f>+B373</f>
        <v>DEP. ACUM. EQUIPO GENERACION ELECTRICA, Y AFINES</v>
      </c>
      <c r="C383" s="11">
        <f>+'BALANZA G'!C83</f>
        <v>3653190.9</v>
      </c>
      <c r="D383">
        <f>+C383/$C$387</f>
        <v>8.9098749176001565E-2</v>
      </c>
      <c r="E383" s="1808">
        <f>+$D$387*D383</f>
        <v>3519394.9587381519</v>
      </c>
    </row>
    <row r="384" spans="2:14" hidden="1">
      <c r="B384" s="965" t="str">
        <f>+B374</f>
        <v>DEP. ACUM. EQUIPOS MEDICOS</v>
      </c>
      <c r="C384" s="11">
        <f>+'BALANZA G'!C84</f>
        <v>203457.37</v>
      </c>
      <c r="D384">
        <f>+C384/$C$387</f>
        <v>4.962181740253143E-3</v>
      </c>
      <c r="E384" s="1808">
        <f>+$D$387*D384</f>
        <v>196005.86498124772</v>
      </c>
    </row>
    <row r="385" spans="2:14" hidden="1">
      <c r="B385" s="965" t="str">
        <f>+B376</f>
        <v>DEP. ACUM. MUEBLES DE OFICINA Y ESTANTERIAS</v>
      </c>
      <c r="C385" s="11">
        <f>+'BALANZA G'!C86</f>
        <v>10426457.289999999</v>
      </c>
      <c r="D385">
        <f>+C385/$C$387</f>
        <v>0.25429393872518491</v>
      </c>
      <c r="E385" s="1808">
        <f>+$D$387*D385</f>
        <v>10044594.500639059</v>
      </c>
    </row>
    <row r="386" spans="2:14" hidden="1">
      <c r="B386" s="965" t="str">
        <f>+B377</f>
        <v>DEP. ACUM. EQUIPOS DE COMPUTO</v>
      </c>
      <c r="C386" s="11">
        <f>+'BALANZA G'!C87</f>
        <v>2081024.1</v>
      </c>
      <c r="D386">
        <f>+C386/$C$387</f>
        <v>5.0754709893511017E-2</v>
      </c>
      <c r="E386" s="1808">
        <f>+$D$387*D386</f>
        <v>2004807.8315733788</v>
      </c>
    </row>
    <row r="387" spans="2:14" hidden="1">
      <c r="C387" s="11">
        <f>SUM(C382:C386)</f>
        <v>41001595.800000004</v>
      </c>
      <c r="D387" s="1290">
        <f>+E346</f>
        <v>39499936.770000003</v>
      </c>
      <c r="E387" s="1290">
        <f>SUM(E382:E386)</f>
        <v>39499936.770000003</v>
      </c>
    </row>
    <row r="388" spans="2:14" hidden="1">
      <c r="C388" s="11"/>
    </row>
    <row r="389" spans="2:14" hidden="1">
      <c r="C389" s="11"/>
    </row>
    <row r="390" spans="2:14" hidden="1">
      <c r="C390" s="11"/>
      <c r="D390" s="11"/>
      <c r="E390" s="11"/>
      <c r="F390" s="11"/>
      <c r="G390" s="11"/>
      <c r="H390" s="11"/>
      <c r="I390" s="11"/>
      <c r="J390" s="11"/>
      <c r="K390" s="11"/>
      <c r="L390" s="11"/>
      <c r="N390" s="740"/>
    </row>
    <row r="391" spans="2:14" hidden="1">
      <c r="C391" s="11"/>
      <c r="D391" t="s">
        <v>4203</v>
      </c>
      <c r="E391" s="11" t="s">
        <v>4197</v>
      </c>
      <c r="F391" s="11"/>
      <c r="G391" s="11"/>
      <c r="H391" s="11" t="s">
        <v>4204</v>
      </c>
      <c r="I391" s="11"/>
      <c r="J391" s="11"/>
      <c r="K391" s="11"/>
      <c r="L391" s="11"/>
      <c r="N391" s="740"/>
    </row>
    <row r="392" spans="2:14" hidden="1">
      <c r="C392" s="11"/>
      <c r="D392" s="11" t="s">
        <v>4198</v>
      </c>
      <c r="E392" s="11">
        <v>116139832.62</v>
      </c>
      <c r="F392" s="11">
        <v>78725235.760000005</v>
      </c>
      <c r="G392" s="11">
        <v>37410446.859999999</v>
      </c>
      <c r="H392" s="11"/>
      <c r="I392" s="11"/>
      <c r="J392" s="11"/>
      <c r="K392" s="11"/>
      <c r="L392" s="11"/>
      <c r="N392" s="740"/>
    </row>
    <row r="393" spans="2:14" hidden="1">
      <c r="C393" s="11"/>
      <c r="D393" s="607" t="s">
        <v>4199</v>
      </c>
      <c r="E393" s="11">
        <v>60734218.789999999</v>
      </c>
      <c r="F393" s="11">
        <v>39499936.770000003</v>
      </c>
      <c r="G393" s="11">
        <v>21234282.02</v>
      </c>
      <c r="H393" s="11">
        <f>+E393-F393</f>
        <v>21234282.019999996</v>
      </c>
      <c r="I393" s="11"/>
      <c r="J393" s="11"/>
      <c r="K393" s="11"/>
      <c r="L393" s="11"/>
      <c r="N393" s="740"/>
    </row>
    <row r="394" spans="2:14" hidden="1">
      <c r="C394" s="11"/>
      <c r="D394" s="11"/>
      <c r="E394" s="11">
        <f>+E392-E393</f>
        <v>55405613.830000006</v>
      </c>
      <c r="F394" s="11">
        <f>+F392-F393</f>
        <v>39225298.990000002</v>
      </c>
      <c r="G394" s="11">
        <f>+G392-G393</f>
        <v>16176164.84</v>
      </c>
      <c r="H394" s="11">
        <f>+E394-F394</f>
        <v>16180314.840000004</v>
      </c>
      <c r="I394" s="11"/>
      <c r="J394" s="11"/>
      <c r="K394" s="11"/>
      <c r="L394" s="11"/>
      <c r="N394" s="740"/>
    </row>
    <row r="395" spans="2:14" hidden="1"/>
    <row r="396" spans="2:14" hidden="1"/>
    <row r="397" spans="2:14" hidden="1"/>
    <row r="398" spans="2:14" hidden="1">
      <c r="D398">
        <v>2024</v>
      </c>
      <c r="E398" s="1686">
        <v>104603762.64</v>
      </c>
      <c r="F398" s="1686">
        <v>74301111.290000007</v>
      </c>
      <c r="G398" s="1686">
        <v>30302651.370000001</v>
      </c>
    </row>
    <row r="399" spans="2:14" hidden="1">
      <c r="E399" s="1726">
        <f>52343178.79</f>
        <v>52343178.789999999</v>
      </c>
      <c r="F399" s="1688">
        <f>36990885.5</f>
        <v>36990885.5</v>
      </c>
      <c r="G399" s="11">
        <f>15352293.24</f>
        <v>15352293.24</v>
      </c>
    </row>
    <row r="400" spans="2:14" hidden="1">
      <c r="E400" s="1688">
        <f>+E398-E399</f>
        <v>52260583.850000001</v>
      </c>
      <c r="F400" s="1688">
        <f>+F398-F399</f>
        <v>37310225.790000007</v>
      </c>
      <c r="G400" s="1688">
        <f>+G398-G399</f>
        <v>14950358.130000001</v>
      </c>
    </row>
    <row r="401" spans="4:21" hidden="1">
      <c r="E401" s="1688"/>
      <c r="F401" s="1688"/>
      <c r="G401" s="1688"/>
      <c r="O401" s="1808"/>
      <c r="P401" s="1808"/>
      <c r="Q401" s="1808"/>
      <c r="R401" s="1808"/>
      <c r="S401" s="1808"/>
      <c r="T401" s="1808"/>
      <c r="U401" s="1808"/>
    </row>
    <row r="402" spans="4:21" hidden="1">
      <c r="E402" s="1290">
        <f t="shared" ref="E402:G404" si="34">+E392-E398</f>
        <v>11536069.980000004</v>
      </c>
      <c r="F402" s="1290">
        <f t="shared" si="34"/>
        <v>4424124.4699999988</v>
      </c>
      <c r="G402" s="1290">
        <f t="shared" si="34"/>
        <v>7107795.4899999984</v>
      </c>
    </row>
    <row r="403" spans="4:21" hidden="1">
      <c r="E403" s="1290">
        <f t="shared" si="34"/>
        <v>8391040</v>
      </c>
      <c r="F403" s="1290">
        <f t="shared" si="34"/>
        <v>2509051.2700000033</v>
      </c>
      <c r="G403" s="1290">
        <f t="shared" si="34"/>
        <v>5881988.7799999993</v>
      </c>
    </row>
    <row r="404" spans="4:21" hidden="1">
      <c r="E404" s="1290">
        <f t="shared" si="34"/>
        <v>3145029.9800000042</v>
      </c>
      <c r="F404" s="1290">
        <f t="shared" si="34"/>
        <v>1915073.1999999955</v>
      </c>
      <c r="G404" s="1290">
        <f t="shared" si="34"/>
        <v>1225806.709999999</v>
      </c>
    </row>
    <row r="405" spans="4:21" hidden="1"/>
    <row r="406" spans="4:21" hidden="1">
      <c r="D406" t="s">
        <v>4201</v>
      </c>
    </row>
    <row r="407" spans="4:21" hidden="1"/>
    <row r="408" spans="4:21" hidden="1">
      <c r="E408" t="s">
        <v>4200</v>
      </c>
    </row>
  </sheetData>
  <mergeCells count="24">
    <mergeCell ref="D369:E369"/>
    <mergeCell ref="F369:G369"/>
    <mergeCell ref="D296:E296"/>
    <mergeCell ref="F296:G296"/>
    <mergeCell ref="B310:H310"/>
    <mergeCell ref="B311:H311"/>
    <mergeCell ref="D322:E322"/>
    <mergeCell ref="F322:G322"/>
    <mergeCell ref="B224:H224"/>
    <mergeCell ref="B225:H225"/>
    <mergeCell ref="D236:E236"/>
    <mergeCell ref="F236:G236"/>
    <mergeCell ref="B83:G83"/>
    <mergeCell ref="B84:G84"/>
    <mergeCell ref="B87:J87"/>
    <mergeCell ref="B114:G114"/>
    <mergeCell ref="F154:G154"/>
    <mergeCell ref="D154:E154"/>
    <mergeCell ref="B143:H143"/>
    <mergeCell ref="B142:H142"/>
    <mergeCell ref="B167:H167"/>
    <mergeCell ref="B168:H168"/>
    <mergeCell ref="D179:E179"/>
    <mergeCell ref="F179:G179"/>
  </mergeCells>
  <conditionalFormatting sqref="H47:H55 J86:J94">
    <cfRule type="containsText" dxfId="28" priority="3" operator="containsText" text="LISTO">
      <formula>NOT(ISERROR(SEARCH("LISTO",H47)))</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4:O83"/>
  <sheetViews>
    <sheetView zoomScale="120" zoomScaleNormal="120" workbookViewId="0">
      <selection activeCell="A77" sqref="A77:C77"/>
    </sheetView>
  </sheetViews>
  <sheetFormatPr baseColWidth="10" defaultColWidth="9.140625" defaultRowHeight="15"/>
  <cols>
    <col min="1" max="1" width="48.28515625" customWidth="1"/>
    <col min="2" max="2" width="16.28515625" customWidth="1"/>
    <col min="3" max="3" width="14.5703125" customWidth="1"/>
    <col min="4" max="4" width="9.5703125" hidden="1" customWidth="1"/>
    <col min="5" max="5" width="15.7109375" hidden="1" customWidth="1"/>
    <col min="6" max="6" width="15.28515625" hidden="1" customWidth="1"/>
    <col min="7" max="7" width="11.7109375" hidden="1" customWidth="1"/>
    <col min="8" max="8" width="0" hidden="1" customWidth="1"/>
    <col min="9" max="9" width="15.28515625" style="1247" hidden="1" customWidth="1"/>
    <col min="10" max="10" width="13.140625" style="740" hidden="1" customWidth="1"/>
    <col min="11" max="11" width="0" hidden="1" customWidth="1"/>
    <col min="12" max="12" width="13.5703125" hidden="1" customWidth="1"/>
    <col min="14" max="14" width="12.140625" style="134" customWidth="1"/>
    <col min="15" max="15" width="13.28515625" customWidth="1"/>
  </cols>
  <sheetData>
    <row r="4" spans="1:15">
      <c r="A4" s="1928" t="str">
        <f>+BALANZA!B1</f>
        <v>CORPORACION DEL ACUEDUCTO Y ALCANTARILLADO DE MOCA</v>
      </c>
      <c r="B4" s="1928"/>
      <c r="C4" s="1928"/>
    </row>
    <row r="5" spans="1:15">
      <c r="A5" s="1928" t="s">
        <v>2026</v>
      </c>
      <c r="B5" s="1928"/>
      <c r="C5" s="1928"/>
    </row>
    <row r="6" spans="1:15">
      <c r="A6" s="1928" t="str">
        <f>+BALANZA!B2</f>
        <v>Del Ejercicio terminado el  31 de marzo de 2026  y  2025</v>
      </c>
      <c r="B6" s="1928"/>
      <c r="C6" s="1928"/>
    </row>
    <row r="7" spans="1:15">
      <c r="A7" s="1928" t="s">
        <v>2027</v>
      </c>
      <c r="B7" s="1928"/>
      <c r="C7" s="1928"/>
    </row>
    <row r="8" spans="1:15" ht="18.75">
      <c r="A8" s="836"/>
      <c r="B8" s="837">
        <f>+BALANZA!B4</f>
        <v>2026</v>
      </c>
      <c r="C8" s="837">
        <f>+BALANZA!C4</f>
        <v>2025</v>
      </c>
      <c r="I8" s="1248"/>
    </row>
    <row r="9" spans="1:15">
      <c r="A9" s="838" t="s">
        <v>2028</v>
      </c>
      <c r="B9" s="951"/>
      <c r="C9" s="839"/>
      <c r="I9" s="1248"/>
    </row>
    <row r="10" spans="1:15" ht="15.75">
      <c r="A10" s="838" t="s">
        <v>2029</v>
      </c>
      <c r="B10" s="950"/>
      <c r="C10" s="840"/>
      <c r="I10" s="1248"/>
    </row>
    <row r="11" spans="1:15">
      <c r="A11" s="841" t="s">
        <v>2030</v>
      </c>
      <c r="B11" s="842">
        <f>+'Notas NF'!C127</f>
        <v>422177643.19</v>
      </c>
      <c r="C11" s="842">
        <f>+'Notas NF'!D127</f>
        <v>422773433.54999995</v>
      </c>
      <c r="E11" s="11"/>
      <c r="F11" s="11"/>
      <c r="I11" s="1248">
        <f t="shared" ref="I11:I17" si="0">+C11-B11</f>
        <v>595790.3599999547</v>
      </c>
      <c r="O11" s="110"/>
    </row>
    <row r="12" spans="1:15">
      <c r="A12" s="841" t="s">
        <v>2031</v>
      </c>
      <c r="B12" s="842">
        <f>+'Notas NF'!C144</f>
        <v>0</v>
      </c>
      <c r="C12" s="842">
        <f>+'Notas NF'!D144</f>
        <v>0</v>
      </c>
      <c r="E12" s="11">
        <f t="shared" ref="E12:E30" si="1">+B12-C12</f>
        <v>0</v>
      </c>
      <c r="F12" s="11"/>
      <c r="I12" s="1248">
        <f t="shared" si="0"/>
        <v>0</v>
      </c>
      <c r="O12" s="110"/>
    </row>
    <row r="13" spans="1:15" hidden="1">
      <c r="A13" s="841" t="s">
        <v>2032</v>
      </c>
      <c r="B13" s="842">
        <v>0</v>
      </c>
      <c r="C13" s="842">
        <v>0</v>
      </c>
      <c r="E13" s="11">
        <f t="shared" si="1"/>
        <v>0</v>
      </c>
      <c r="F13" s="11"/>
      <c r="I13" s="1248">
        <f t="shared" si="0"/>
        <v>0</v>
      </c>
      <c r="O13" s="110"/>
    </row>
    <row r="14" spans="1:15" ht="15" customHeight="1">
      <c r="A14" s="841" t="s">
        <v>2936</v>
      </c>
      <c r="B14" s="842">
        <f>+'Notas NF'!C154</f>
        <v>0</v>
      </c>
      <c r="C14" s="842">
        <f>+'Notas NF'!D154</f>
        <v>0</v>
      </c>
      <c r="E14" s="11">
        <f t="shared" si="1"/>
        <v>0</v>
      </c>
      <c r="F14" s="11"/>
      <c r="I14" s="1248">
        <f t="shared" si="0"/>
        <v>0</v>
      </c>
      <c r="O14" s="110"/>
    </row>
    <row r="15" spans="1:15">
      <c r="A15" s="841" t="s">
        <v>2937</v>
      </c>
      <c r="B15" s="842">
        <f>+'Notas NF'!C169</f>
        <v>14233314.59</v>
      </c>
      <c r="C15" s="842">
        <f>+'Notas NF'!D169</f>
        <v>15776376.33</v>
      </c>
      <c r="E15" s="11">
        <f t="shared" si="1"/>
        <v>-1543061.7400000002</v>
      </c>
      <c r="F15" s="11">
        <f>+E15</f>
        <v>-1543061.7400000002</v>
      </c>
      <c r="I15" s="1248">
        <f t="shared" si="0"/>
        <v>1543061.7400000002</v>
      </c>
      <c r="J15" s="19">
        <f>+B15-C15</f>
        <v>-1543061.7400000002</v>
      </c>
      <c r="N15" s="110"/>
      <c r="O15" s="110"/>
    </row>
    <row r="16" spans="1:15">
      <c r="A16" s="841" t="s">
        <v>2938</v>
      </c>
      <c r="B16" s="842">
        <f>+'Notas NF'!C201</f>
        <v>325699.31</v>
      </c>
      <c r="C16" s="842">
        <f>+'Notas NF'!D201</f>
        <v>488548.94</v>
      </c>
      <c r="E16" s="11">
        <f t="shared" si="1"/>
        <v>-162849.63</v>
      </c>
      <c r="F16" s="11">
        <f>-E16+1800</f>
        <v>164649.63</v>
      </c>
      <c r="G16" s="11">
        <f>+F16/5</f>
        <v>32929.925999999999</v>
      </c>
      <c r="I16" s="1248">
        <f t="shared" si="0"/>
        <v>162849.63</v>
      </c>
      <c r="J16" s="19">
        <f>+B16-C16</f>
        <v>-162849.63</v>
      </c>
      <c r="N16" s="110"/>
      <c r="O16" s="110"/>
    </row>
    <row r="17" spans="1:15">
      <c r="A17" s="841" t="s">
        <v>2939</v>
      </c>
      <c r="B17" s="843">
        <f>+'Notas NF'!C227</f>
        <v>0</v>
      </c>
      <c r="C17" s="843">
        <f>+'Notas NF'!D227</f>
        <v>0</v>
      </c>
      <c r="E17" s="11">
        <f t="shared" si="1"/>
        <v>0</v>
      </c>
      <c r="F17" s="11">
        <f>SUM(F15:F16)</f>
        <v>-1378412.1100000003</v>
      </c>
      <c r="G17" s="11">
        <f>+F17+'Pres A'!O310</f>
        <v>-1378412.1100000003</v>
      </c>
      <c r="I17" s="1248">
        <f t="shared" si="0"/>
        <v>0</v>
      </c>
      <c r="J17" s="19"/>
      <c r="N17" s="110"/>
      <c r="O17" s="110"/>
    </row>
    <row r="18" spans="1:15">
      <c r="A18" s="838" t="s">
        <v>2033</v>
      </c>
      <c r="B18" s="844">
        <f>SUM(B11:B17)</f>
        <v>436736657.08999997</v>
      </c>
      <c r="C18" s="844">
        <f>SUM(C11:C17)</f>
        <v>439038358.81999993</v>
      </c>
      <c r="E18" s="11">
        <f>SUM(E15:E17)</f>
        <v>-1705911.37</v>
      </c>
      <c r="F18" s="11"/>
      <c r="I18" s="1248">
        <f>SUM(I11:I17)</f>
        <v>2301701.7299999548</v>
      </c>
      <c r="J18" s="816">
        <f>SUM(I14:I17)</f>
        <v>1705911.37</v>
      </c>
      <c r="N18" s="110"/>
      <c r="O18" s="110"/>
    </row>
    <row r="19" spans="1:15">
      <c r="A19" s="838"/>
      <c r="B19" s="845"/>
      <c r="C19" s="845"/>
      <c r="E19" s="11">
        <f t="shared" si="1"/>
        <v>0</v>
      </c>
      <c r="F19" s="11"/>
      <c r="I19" s="1248"/>
      <c r="J19" s="1462">
        <f>+nota12!K23</f>
        <v>5541311.1799999923</v>
      </c>
      <c r="O19" s="110"/>
    </row>
    <row r="20" spans="1:15">
      <c r="A20" s="838" t="s">
        <v>2034</v>
      </c>
      <c r="B20" s="845"/>
      <c r="C20" s="845"/>
      <c r="E20" s="11">
        <f t="shared" si="1"/>
        <v>0</v>
      </c>
      <c r="F20" s="11"/>
      <c r="I20" s="1248"/>
      <c r="J20" s="1462">
        <f>J18-J19</f>
        <v>-3835399.8099999921</v>
      </c>
      <c r="O20" s="110"/>
    </row>
    <row r="21" spans="1:15" hidden="1">
      <c r="A21" s="841" t="s">
        <v>2035</v>
      </c>
      <c r="B21" s="842">
        <v>0</v>
      </c>
      <c r="C21" s="842">
        <v>0</v>
      </c>
      <c r="E21" s="11">
        <f t="shared" si="1"/>
        <v>0</v>
      </c>
      <c r="F21" s="11"/>
      <c r="I21" s="1248"/>
      <c r="J21" s="1462">
        <f t="shared" ref="J21:J30" si="2">J19-J20</f>
        <v>9376710.9899999835</v>
      </c>
      <c r="O21" s="110"/>
    </row>
    <row r="22" spans="1:15" hidden="1">
      <c r="A22" s="841" t="s">
        <v>2036</v>
      </c>
      <c r="B22" s="842">
        <v>0</v>
      </c>
      <c r="C22" s="842">
        <v>0</v>
      </c>
      <c r="E22" s="11">
        <f t="shared" si="1"/>
        <v>0</v>
      </c>
      <c r="F22" s="11"/>
      <c r="I22" s="1248"/>
      <c r="J22" s="1462">
        <f t="shared" si="2"/>
        <v>-13212110.799999975</v>
      </c>
      <c r="O22" s="110"/>
    </row>
    <row r="23" spans="1:15" hidden="1">
      <c r="A23" s="841" t="s">
        <v>2037</v>
      </c>
      <c r="B23" s="842">
        <v>0</v>
      </c>
      <c r="C23" s="842">
        <v>0</v>
      </c>
      <c r="E23" s="11">
        <f t="shared" si="1"/>
        <v>0</v>
      </c>
      <c r="F23" s="11"/>
      <c r="I23" s="1248"/>
      <c r="J23" s="1462">
        <f t="shared" si="2"/>
        <v>22588821.789999958</v>
      </c>
      <c r="O23" s="110"/>
    </row>
    <row r="24" spans="1:15" hidden="1">
      <c r="A24" s="841" t="s">
        <v>2038</v>
      </c>
      <c r="B24" s="842">
        <v>0</v>
      </c>
      <c r="C24" s="842">
        <v>0</v>
      </c>
      <c r="E24" s="11">
        <f t="shared" si="1"/>
        <v>0</v>
      </c>
      <c r="F24" s="11"/>
      <c r="I24" s="1248"/>
      <c r="J24" s="1462">
        <f t="shared" si="2"/>
        <v>-35800932.589999929</v>
      </c>
      <c r="O24" s="110"/>
    </row>
    <row r="25" spans="1:15">
      <c r="A25" s="841" t="s">
        <v>2940</v>
      </c>
      <c r="B25" s="842">
        <f>+nota12!K32</f>
        <v>783928750.25000024</v>
      </c>
      <c r="C25" s="842">
        <f>+nota12!K17</f>
        <v>778387439.07000005</v>
      </c>
      <c r="E25" s="11">
        <f t="shared" si="1"/>
        <v>5541311.180000186</v>
      </c>
      <c r="F25" s="11"/>
      <c r="I25" s="1248">
        <f t="shared" ref="I25:I30" si="3">+C25-B25</f>
        <v>-5541311.180000186</v>
      </c>
      <c r="J25" s="1462">
        <f>+B25-C25</f>
        <v>5541311.180000186</v>
      </c>
      <c r="N25" s="110"/>
      <c r="O25" s="110"/>
    </row>
    <row r="26" spans="1:15" hidden="1">
      <c r="A26" s="841" t="s">
        <v>2039</v>
      </c>
      <c r="B26" s="842">
        <v>0</v>
      </c>
      <c r="C26" s="842">
        <v>0</v>
      </c>
      <c r="E26" s="11">
        <f t="shared" si="1"/>
        <v>0</v>
      </c>
      <c r="F26" s="11"/>
      <c r="I26" s="1248">
        <f t="shared" si="3"/>
        <v>0</v>
      </c>
      <c r="J26" s="1462">
        <f>+B26-C26</f>
        <v>0</v>
      </c>
      <c r="O26" s="110"/>
    </row>
    <row r="27" spans="1:15" hidden="1">
      <c r="A27" s="841" t="s">
        <v>2040</v>
      </c>
      <c r="B27" s="842">
        <v>0</v>
      </c>
      <c r="C27" s="842">
        <v>0</v>
      </c>
      <c r="E27" s="11">
        <f t="shared" si="1"/>
        <v>0</v>
      </c>
      <c r="F27" s="11"/>
      <c r="I27" s="1248">
        <f t="shared" si="3"/>
        <v>0</v>
      </c>
      <c r="J27" s="1462">
        <f>+B27-C27</f>
        <v>0</v>
      </c>
      <c r="O27" s="110"/>
    </row>
    <row r="28" spans="1:15">
      <c r="A28" s="838" t="s">
        <v>2041</v>
      </c>
      <c r="B28" s="844">
        <f>SUM(B21:B27)</f>
        <v>783928750.25000024</v>
      </c>
      <c r="C28" s="844">
        <f>SUM(C21:C27)</f>
        <v>778387439.07000005</v>
      </c>
      <c r="E28" s="11">
        <f>SUM(E12:E27)</f>
        <v>2129488.4400001857</v>
      </c>
      <c r="F28" s="11">
        <f>+E28+E16+E15</f>
        <v>423577.07000018563</v>
      </c>
      <c r="I28" s="1248">
        <f t="shared" si="3"/>
        <v>-5541311.180000186</v>
      </c>
      <c r="J28" s="1462">
        <f>+B28-C28</f>
        <v>5541311.180000186</v>
      </c>
      <c r="O28" s="110"/>
    </row>
    <row r="29" spans="1:15">
      <c r="A29" s="838"/>
      <c r="B29" s="845"/>
      <c r="C29" s="845"/>
      <c r="E29" s="11">
        <f t="shared" si="1"/>
        <v>0</v>
      </c>
      <c r="F29" s="11"/>
      <c r="I29" s="1248">
        <f t="shared" si="3"/>
        <v>0</v>
      </c>
      <c r="J29" s="1462">
        <f t="shared" si="2"/>
        <v>-5541311.180000186</v>
      </c>
      <c r="O29" s="110"/>
    </row>
    <row r="30" spans="1:15" ht="15.75" thickBot="1">
      <c r="A30" s="838" t="s">
        <v>2042</v>
      </c>
      <c r="B30" s="846">
        <f>+B28+B18</f>
        <v>1220665407.3400002</v>
      </c>
      <c r="C30" s="846">
        <f>+C28+C18</f>
        <v>1217425797.8899999</v>
      </c>
      <c r="E30" s="11">
        <f t="shared" si="1"/>
        <v>3239609.4500002861</v>
      </c>
      <c r="F30" s="11"/>
      <c r="G30" s="11">
        <f>+BALANZA!C12:C32</f>
        <v>510150</v>
      </c>
      <c r="I30" s="1248">
        <f t="shared" si="3"/>
        <v>-3239609.4500002861</v>
      </c>
      <c r="J30" s="1462">
        <f t="shared" si="2"/>
        <v>11082622.360000372</v>
      </c>
      <c r="O30" s="110"/>
    </row>
    <row r="31" spans="1:15" ht="19.5" thickTop="1">
      <c r="A31" s="838" t="s">
        <v>2206</v>
      </c>
      <c r="B31" s="847"/>
      <c r="C31" s="847"/>
      <c r="F31" s="11"/>
      <c r="O31" s="110"/>
    </row>
    <row r="32" spans="1:15">
      <c r="A32" s="838" t="s">
        <v>2205</v>
      </c>
      <c r="B32" s="842"/>
      <c r="C32" s="842"/>
      <c r="F32" s="11"/>
      <c r="O32" s="110"/>
    </row>
    <row r="33" spans="1:15" ht="15" customHeight="1">
      <c r="A33" s="841" t="s">
        <v>2043</v>
      </c>
      <c r="B33" s="842">
        <f>-'Notas NF'!C375</f>
        <v>-69520</v>
      </c>
      <c r="C33" s="842">
        <f>-'Notas NF'!D375</f>
        <v>-121660</v>
      </c>
      <c r="F33" s="11">
        <f>+C33-B33</f>
        <v>-52140</v>
      </c>
      <c r="O33" s="110"/>
    </row>
    <row r="34" spans="1:15">
      <c r="A34" s="841" t="s">
        <v>2941</v>
      </c>
      <c r="B34" s="842">
        <f>+'Notas NF'!C395</f>
        <v>11936643.77</v>
      </c>
      <c r="C34" s="842">
        <f>+'Notas NF'!D395</f>
        <v>8951565.0899999999</v>
      </c>
      <c r="F34" s="11">
        <f>+C34-B34</f>
        <v>-2985078.6799999997</v>
      </c>
      <c r="O34" s="110"/>
    </row>
    <row r="35" spans="1:15" hidden="1">
      <c r="A35" s="841" t="s">
        <v>2044</v>
      </c>
      <c r="B35" s="842">
        <f>+'Notas NF'!C406</f>
        <v>0</v>
      </c>
      <c r="C35" s="842">
        <f>+'Notas NF'!D406</f>
        <v>0</v>
      </c>
      <c r="F35" s="11"/>
      <c r="O35" s="110"/>
    </row>
    <row r="36" spans="1:15" hidden="1">
      <c r="A36" s="841" t="s">
        <v>2045</v>
      </c>
      <c r="B36" s="842">
        <v>0</v>
      </c>
      <c r="C36" s="842">
        <v>0</v>
      </c>
      <c r="F36" s="11"/>
      <c r="O36" s="110"/>
    </row>
    <row r="37" spans="1:15">
      <c r="A37" s="841" t="s">
        <v>2942</v>
      </c>
      <c r="B37" s="842">
        <f>+'Notas NF'!C430</f>
        <v>0</v>
      </c>
      <c r="C37" s="842">
        <f>+'Notas NF'!D430</f>
        <v>0</v>
      </c>
      <c r="E37" s="11"/>
      <c r="F37" s="11">
        <f>+C37-B37</f>
        <v>0</v>
      </c>
      <c r="O37" s="110"/>
    </row>
    <row r="38" spans="1:15" hidden="1">
      <c r="A38" s="841" t="s">
        <v>2869</v>
      </c>
      <c r="B38" s="842">
        <v>0</v>
      </c>
      <c r="C38" s="842">
        <v>0</v>
      </c>
      <c r="F38" s="11"/>
      <c r="O38" s="110"/>
    </row>
    <row r="39" spans="1:15" hidden="1">
      <c r="A39" s="841" t="s">
        <v>2869</v>
      </c>
      <c r="B39" s="842">
        <v>0</v>
      </c>
      <c r="C39" s="842">
        <v>0</v>
      </c>
      <c r="F39" s="11"/>
      <c r="O39" s="110"/>
    </row>
    <row r="40" spans="1:15" ht="17.25" customHeight="1">
      <c r="A40" s="841" t="s">
        <v>2943</v>
      </c>
      <c r="B40" s="842">
        <f>+'Notas NF'!C447</f>
        <v>139610.85</v>
      </c>
      <c r="C40" s="842">
        <f>+'Notas NF'!D447</f>
        <v>139610.85100000002</v>
      </c>
      <c r="F40" s="11"/>
      <c r="O40" s="110"/>
    </row>
    <row r="41" spans="1:15" ht="15.75" hidden="1" customHeight="1">
      <c r="A41" s="841" t="s">
        <v>2046</v>
      </c>
      <c r="B41" s="843">
        <v>0</v>
      </c>
      <c r="C41" s="843">
        <v>0</v>
      </c>
      <c r="F41" s="11"/>
      <c r="O41" s="110"/>
    </row>
    <row r="42" spans="1:15">
      <c r="A42" s="838" t="s">
        <v>2047</v>
      </c>
      <c r="B42" s="870">
        <f>SUM(B33:B41)</f>
        <v>12006734.619999999</v>
      </c>
      <c r="C42" s="870">
        <f>SUM(C33:C41)</f>
        <v>8969515.9409999996</v>
      </c>
      <c r="F42" s="11">
        <f>SUM(F33:F41)</f>
        <v>-3037218.6799999997</v>
      </c>
      <c r="I42" s="1248"/>
      <c r="O42" s="110"/>
    </row>
    <row r="43" spans="1:15">
      <c r="A43" s="838"/>
      <c r="B43" s="845"/>
      <c r="C43" s="845"/>
      <c r="F43" s="11">
        <f>+ERF!B19+ERF!B22+ERF!B23+'EFE2'!B27</f>
        <v>23822693.029999997</v>
      </c>
      <c r="O43" s="110"/>
    </row>
    <row r="44" spans="1:15" ht="18.75" hidden="1">
      <c r="A44" s="838" t="s">
        <v>2048</v>
      </c>
      <c r="B44" s="847"/>
      <c r="C44" s="847"/>
      <c r="O44" s="110"/>
    </row>
    <row r="45" spans="1:15" hidden="1">
      <c r="A45" s="841" t="s">
        <v>2049</v>
      </c>
      <c r="B45" s="842">
        <v>0</v>
      </c>
      <c r="C45" s="842">
        <v>0</v>
      </c>
      <c r="O45" s="110"/>
    </row>
    <row r="46" spans="1:15" hidden="1">
      <c r="A46" s="841" t="s">
        <v>2050</v>
      </c>
      <c r="B46" s="842">
        <v>0</v>
      </c>
      <c r="C46" s="842">
        <v>0</v>
      </c>
      <c r="O46" s="110"/>
    </row>
    <row r="47" spans="1:15" hidden="1">
      <c r="A47" s="841" t="s">
        <v>2051</v>
      </c>
      <c r="B47" s="842">
        <v>0</v>
      </c>
      <c r="C47" s="842">
        <v>0</v>
      </c>
      <c r="O47" s="110"/>
    </row>
    <row r="48" spans="1:15" hidden="1">
      <c r="A48" s="841" t="s">
        <v>2052</v>
      </c>
      <c r="B48" s="842">
        <v>0</v>
      </c>
      <c r="C48" s="842">
        <v>0</v>
      </c>
      <c r="O48" s="110"/>
    </row>
    <row r="49" spans="1:15" hidden="1">
      <c r="A49" s="841" t="s">
        <v>2053</v>
      </c>
      <c r="B49" s="842">
        <v>0</v>
      </c>
      <c r="C49" s="842">
        <v>0</v>
      </c>
      <c r="O49" s="110"/>
    </row>
    <row r="50" spans="1:15" hidden="1">
      <c r="A50" s="841" t="s">
        <v>2054</v>
      </c>
      <c r="B50" s="843">
        <v>0</v>
      </c>
      <c r="C50" s="843">
        <v>0</v>
      </c>
      <c r="O50" s="110"/>
    </row>
    <row r="51" spans="1:15" hidden="1">
      <c r="A51" s="838" t="s">
        <v>2055</v>
      </c>
      <c r="B51" s="870">
        <f>SUM(B45:B50)</f>
        <v>0</v>
      </c>
      <c r="C51" s="870">
        <f>SUM(C45:C50)</f>
        <v>0</v>
      </c>
      <c r="O51" s="110"/>
    </row>
    <row r="52" spans="1:15" ht="0.75" customHeight="1">
      <c r="A52" s="838"/>
      <c r="B52" s="845"/>
      <c r="C52" s="845"/>
      <c r="O52" s="110"/>
    </row>
    <row r="53" spans="1:15">
      <c r="A53" s="838" t="s">
        <v>2056</v>
      </c>
      <c r="B53" s="870">
        <f>+B51+B42</f>
        <v>12006734.619999999</v>
      </c>
      <c r="C53" s="870">
        <f>+C51+C42</f>
        <v>8969515.9409999996</v>
      </c>
      <c r="O53" s="110"/>
    </row>
    <row r="54" spans="1:15" ht="18.75">
      <c r="A54" s="838" t="s">
        <v>2944</v>
      </c>
      <c r="B54" s="847"/>
      <c r="C54" s="847"/>
      <c r="O54" s="110"/>
    </row>
    <row r="55" spans="1:15">
      <c r="A55" s="841" t="s">
        <v>2057</v>
      </c>
      <c r="B55" s="842">
        <f>+'BALANZA G'!C128</f>
        <v>808793054.60000002</v>
      </c>
      <c r="C55" s="842">
        <f>+'BALANZA G'!D128</f>
        <v>808793054.60000002</v>
      </c>
      <c r="N55" s="110">
        <f>+BALANZA!C61</f>
        <v>11979501</v>
      </c>
      <c r="O55" s="110">
        <f>+C55-N55</f>
        <v>796813553.60000002</v>
      </c>
    </row>
    <row r="56" spans="1:15" hidden="1">
      <c r="A56" s="841" t="s">
        <v>2058</v>
      </c>
      <c r="B56" s="842">
        <v>0</v>
      </c>
      <c r="C56" s="842">
        <v>0</v>
      </c>
      <c r="F56" s="11"/>
      <c r="N56" s="110">
        <f>+BALANZA!C62</f>
        <v>13885956</v>
      </c>
      <c r="O56" s="110">
        <f>+C56-N56</f>
        <v>-13885956</v>
      </c>
    </row>
    <row r="57" spans="1:15">
      <c r="A57" s="841" t="s">
        <v>2783</v>
      </c>
      <c r="B57" s="842">
        <f>+ERF!B33</f>
        <v>202390.76999999583</v>
      </c>
      <c r="C57" s="842">
        <f>+ERF!C33</f>
        <v>120373832.36989999</v>
      </c>
      <c r="F57" s="11"/>
      <c r="L57">
        <v>-92287742.719999999</v>
      </c>
      <c r="N57" s="110">
        <f>+BALANZA!C63</f>
        <v>37213166.670000002</v>
      </c>
      <c r="O57" s="110">
        <f>+C57-N57</f>
        <v>83160665.699899986</v>
      </c>
    </row>
    <row r="58" spans="1:15">
      <c r="A58" s="841" t="s">
        <v>2782</v>
      </c>
      <c r="B58" s="842">
        <f>SUM('Notas NF'!C460:C462)-B57</f>
        <v>399663227.34979999</v>
      </c>
      <c r="C58" s="842">
        <f>SUM('Notas NF'!D460:D462)-C57</f>
        <v>279289394.97989994</v>
      </c>
      <c r="D58" s="19"/>
      <c r="F58" s="11"/>
      <c r="L58">
        <v>285779911.76999998</v>
      </c>
      <c r="N58" s="110">
        <f>+BALANZA!C62</f>
        <v>13885956</v>
      </c>
      <c r="O58" s="110">
        <f>+C58-N58</f>
        <v>265403438.97989994</v>
      </c>
    </row>
    <row r="59" spans="1:15" hidden="1">
      <c r="A59" s="841" t="s">
        <v>2059</v>
      </c>
      <c r="B59" s="843">
        <v>0</v>
      </c>
      <c r="C59" s="843">
        <v>0</v>
      </c>
      <c r="F59" s="11"/>
      <c r="O59" s="110"/>
    </row>
    <row r="60" spans="1:15">
      <c r="A60" s="838" t="s">
        <v>2060</v>
      </c>
      <c r="B60" s="870">
        <f>SUM(B55:B59)</f>
        <v>1208658672.7198</v>
      </c>
      <c r="C60" s="870">
        <f>SUM(C55:C59)</f>
        <v>1208456281.9498</v>
      </c>
      <c r="F60" s="11"/>
      <c r="I60" s="1248"/>
      <c r="L60">
        <f>SUM(L57:L59)</f>
        <v>193492169.04999998</v>
      </c>
      <c r="O60" s="110"/>
    </row>
    <row r="61" spans="1:15">
      <c r="B61" s="11"/>
      <c r="C61" s="11"/>
      <c r="I61" s="1248"/>
      <c r="O61" s="110"/>
    </row>
    <row r="62" spans="1:15" ht="15.75" thickBot="1">
      <c r="A62" s="838" t="s">
        <v>2882</v>
      </c>
      <c r="B62" s="846">
        <f>+B60+B53</f>
        <v>1220665407.3397999</v>
      </c>
      <c r="C62" s="846">
        <f>+C60+C53</f>
        <v>1217425797.8908</v>
      </c>
      <c r="I62" s="1248"/>
      <c r="O62" s="110"/>
    </row>
    <row r="63" spans="1:15" ht="15.75" hidden="1" thickTop="1">
      <c r="B63" s="1234">
        <f>+B30-B53-B60</f>
        <v>2.002716064453125E-4</v>
      </c>
      <c r="C63" s="1234">
        <f>+C30-C53-C60</f>
        <v>-8.0013275146484375E-4</v>
      </c>
      <c r="O63" s="110">
        <f>+C63-N63</f>
        <v>-8.0013275146484375E-4</v>
      </c>
    </row>
    <row r="64" spans="1:15" ht="15.75" thickTop="1">
      <c r="C64" s="11"/>
    </row>
    <row r="65" spans="1:3">
      <c r="B65" s="1541">
        <f>+B30-B62</f>
        <v>2.002716064453125E-4</v>
      </c>
      <c r="C65" s="1541">
        <f>+C30-C62</f>
        <v>-8.0013275146484375E-4</v>
      </c>
    </row>
    <row r="66" spans="1:3">
      <c r="C66" s="11"/>
    </row>
    <row r="67" spans="1:3">
      <c r="C67" s="11"/>
    </row>
    <row r="68" spans="1:3">
      <c r="C68" s="11"/>
    </row>
    <row r="69" spans="1:3">
      <c r="C69" s="11"/>
    </row>
    <row r="70" spans="1:3">
      <c r="C70" s="11"/>
    </row>
    <row r="71" spans="1:3">
      <c r="C71" s="11"/>
    </row>
    <row r="72" spans="1:3">
      <c r="C72" s="11"/>
    </row>
    <row r="73" spans="1:3">
      <c r="C73" s="11"/>
    </row>
    <row r="74" spans="1:3">
      <c r="A74" s="1539" t="s">
        <v>3781</v>
      </c>
      <c r="B74" s="1926" t="s">
        <v>3780</v>
      </c>
      <c r="C74" s="1926"/>
    </row>
    <row r="75" spans="1:3">
      <c r="A75" s="1540" t="s">
        <v>1023</v>
      </c>
      <c r="B75" s="1927" t="s">
        <v>3782</v>
      </c>
      <c r="C75" s="1927"/>
    </row>
    <row r="76" spans="1:3">
      <c r="A76" s="669"/>
      <c r="B76" s="669"/>
      <c r="C76" s="669"/>
    </row>
    <row r="77" spans="1:3">
      <c r="A77" s="1926"/>
      <c r="B77" s="1926"/>
      <c r="C77" s="1926"/>
    </row>
    <row r="78" spans="1:3">
      <c r="A78" s="1927"/>
      <c r="B78" s="1927"/>
      <c r="C78" s="1927"/>
    </row>
    <row r="79" spans="1:3">
      <c r="A79" s="669"/>
      <c r="B79" s="669"/>
      <c r="C79" s="669"/>
    </row>
    <row r="80" spans="1:3">
      <c r="A80" s="1926" t="s">
        <v>2956</v>
      </c>
      <c r="B80" s="1926"/>
      <c r="C80" s="1926"/>
    </row>
    <row r="81" spans="1:3">
      <c r="A81" s="1927" t="s">
        <v>2207</v>
      </c>
      <c r="B81" s="1927"/>
      <c r="C81" s="1927"/>
    </row>
    <row r="82" spans="1:3">
      <c r="A82" s="334"/>
      <c r="B82" s="334"/>
      <c r="C82" s="334"/>
    </row>
    <row r="83" spans="1:3">
      <c r="A83" s="334"/>
      <c r="B83" s="334"/>
      <c r="C83" s="334"/>
    </row>
  </sheetData>
  <mergeCells count="10">
    <mergeCell ref="A77:C77"/>
    <mergeCell ref="A78:C78"/>
    <mergeCell ref="A80:C80"/>
    <mergeCell ref="A81:C81"/>
    <mergeCell ref="A4:C4"/>
    <mergeCell ref="A5:C5"/>
    <mergeCell ref="A6:C6"/>
    <mergeCell ref="A7:C7"/>
    <mergeCell ref="B74:C74"/>
    <mergeCell ref="B75:C75"/>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4:R71"/>
  <sheetViews>
    <sheetView zoomScaleNormal="100" workbookViewId="0">
      <selection activeCell="O54" sqref="O54"/>
    </sheetView>
  </sheetViews>
  <sheetFormatPr baseColWidth="10" defaultColWidth="9.140625" defaultRowHeight="15"/>
  <cols>
    <col min="1" max="1" width="48.28515625" customWidth="1"/>
    <col min="2" max="2" width="16.28515625" customWidth="1"/>
    <col min="3" max="3" width="16.42578125" customWidth="1"/>
    <col min="4" max="4" width="9.5703125" hidden="1" customWidth="1"/>
    <col min="5" max="5" width="15.7109375" hidden="1" customWidth="1"/>
    <col min="6" max="6" width="15.28515625" hidden="1" customWidth="1"/>
    <col min="7" max="7" width="11.7109375" hidden="1" customWidth="1"/>
    <col min="8" max="8" width="0" hidden="1" customWidth="1"/>
    <col min="9" max="9" width="15.28515625" style="1247" hidden="1" customWidth="1"/>
    <col min="10" max="10" width="13.140625" style="740" hidden="1" customWidth="1"/>
    <col min="11" max="11" width="0" hidden="1" customWidth="1"/>
    <col min="12" max="12" width="13.5703125" hidden="1" customWidth="1"/>
    <col min="13" max="13" width="8.5703125" customWidth="1"/>
    <col min="14" max="14" width="11.28515625" style="11" hidden="1" customWidth="1"/>
    <col min="15" max="15" width="39" customWidth="1"/>
    <col min="16" max="16" width="16.28515625" hidden="1" customWidth="1"/>
    <col min="17" max="17" width="15.140625" hidden="1" customWidth="1"/>
    <col min="18" max="18" width="9.140625" hidden="1" customWidth="1"/>
  </cols>
  <sheetData>
    <row r="4" spans="1:18">
      <c r="A4" s="1928" t="str">
        <f>+BALANZA!B1</f>
        <v>CORPORACION DEL ACUEDUCTO Y ALCANTARILLADO DE MOCA</v>
      </c>
      <c r="B4" s="1928"/>
      <c r="C4" s="1928"/>
    </row>
    <row r="5" spans="1:18">
      <c r="A5" s="1928" t="s">
        <v>2026</v>
      </c>
      <c r="B5" s="1928"/>
      <c r="C5" s="1928"/>
    </row>
    <row r="6" spans="1:18">
      <c r="A6" s="1928" t="str">
        <f>CONCATENATE("Al ",BALANZA!B3, " Y ",BALANZA!C4)</f>
        <v>Al 31 de marzo del 2026 Y 2025</v>
      </c>
      <c r="B6" s="1928"/>
      <c r="C6" s="1928"/>
    </row>
    <row r="7" spans="1:18">
      <c r="A7" s="1928" t="s">
        <v>2027</v>
      </c>
      <c r="B7" s="1928"/>
      <c r="C7" s="1928"/>
    </row>
    <row r="8" spans="1:18" ht="18.75">
      <c r="A8" s="836"/>
      <c r="B8" s="837">
        <f>+BALANZA!B4</f>
        <v>2026</v>
      </c>
      <c r="C8" s="837">
        <f>+BALANZA!C4</f>
        <v>2025</v>
      </c>
      <c r="I8" s="1248"/>
      <c r="Q8">
        <v>2025</v>
      </c>
      <c r="R8">
        <v>2024</v>
      </c>
    </row>
    <row r="9" spans="1:18">
      <c r="A9" s="838" t="s">
        <v>2028</v>
      </c>
      <c r="B9" s="951"/>
      <c r="C9" s="839"/>
      <c r="I9" s="1248"/>
    </row>
    <row r="10" spans="1:18" ht="15.75">
      <c r="A10" s="838" t="s">
        <v>2029</v>
      </c>
      <c r="B10" s="950"/>
      <c r="C10" s="840"/>
      <c r="I10" s="1248"/>
    </row>
    <row r="11" spans="1:18">
      <c r="A11" s="841" t="s">
        <v>2030</v>
      </c>
      <c r="B11" s="842">
        <f>+'Notas NF'!C127</f>
        <v>422177643.19</v>
      </c>
      <c r="C11" s="842">
        <f>+'Notas NF'!D127</f>
        <v>422773433.54999995</v>
      </c>
      <c r="E11" s="11"/>
      <c r="F11" s="11"/>
      <c r="I11" s="1248">
        <f t="shared" ref="I11:I17" si="0">+C11-B11</f>
        <v>595790.3599999547</v>
      </c>
      <c r="N11" s="19"/>
      <c r="O11" s="110"/>
      <c r="P11" s="11"/>
      <c r="Q11" s="11">
        <v>422773433.54999995</v>
      </c>
      <c r="R11">
        <v>305489331.63000005</v>
      </c>
    </row>
    <row r="12" spans="1:18" hidden="1">
      <c r="A12" s="841" t="s">
        <v>2031</v>
      </c>
      <c r="B12" s="842">
        <f>+'Notas NF'!C144</f>
        <v>0</v>
      </c>
      <c r="C12" s="842">
        <f>+'Notas NF'!D144</f>
        <v>0</v>
      </c>
      <c r="E12" s="11">
        <f t="shared" ref="E12:E29" si="1">+B12-C12</f>
        <v>0</v>
      </c>
      <c r="F12" s="11"/>
      <c r="I12" s="1248">
        <f t="shared" si="0"/>
        <v>0</v>
      </c>
      <c r="N12" s="19"/>
      <c r="O12" s="110"/>
      <c r="P12" s="11"/>
      <c r="Q12" s="11">
        <v>0</v>
      </c>
      <c r="R12">
        <v>0</v>
      </c>
    </row>
    <row r="13" spans="1:18" hidden="1">
      <c r="A13" s="841" t="s">
        <v>2032</v>
      </c>
      <c r="B13" s="842">
        <v>0</v>
      </c>
      <c r="C13" s="842">
        <v>0</v>
      </c>
      <c r="E13" s="11">
        <f t="shared" si="1"/>
        <v>0</v>
      </c>
      <c r="F13" s="11"/>
      <c r="I13" s="1248">
        <f t="shared" si="0"/>
        <v>0</v>
      </c>
      <c r="N13" s="19"/>
      <c r="O13" s="110"/>
      <c r="P13" s="11"/>
      <c r="Q13" s="11">
        <v>0</v>
      </c>
      <c r="R13">
        <v>0</v>
      </c>
    </row>
    <row r="14" spans="1:18">
      <c r="A14" s="841" t="s">
        <v>4214</v>
      </c>
      <c r="B14" s="842">
        <f>+'Notas NF'!C155</f>
        <v>0</v>
      </c>
      <c r="C14" s="842">
        <f>+'Notas NF'!D155</f>
        <v>0</v>
      </c>
      <c r="E14" s="11">
        <f t="shared" si="1"/>
        <v>0</v>
      </c>
      <c r="F14" s="11"/>
      <c r="I14" s="1248">
        <f t="shared" si="0"/>
        <v>0</v>
      </c>
      <c r="N14" s="19"/>
      <c r="O14" s="110"/>
      <c r="P14" s="11"/>
      <c r="Q14" s="11">
        <v>0</v>
      </c>
      <c r="R14">
        <v>1350.12</v>
      </c>
    </row>
    <row r="15" spans="1:18">
      <c r="A15" s="841" t="s">
        <v>4215</v>
      </c>
      <c r="B15" s="842">
        <f>+'Notas NF'!C169</f>
        <v>14233314.59</v>
      </c>
      <c r="C15" s="842">
        <f>+'Notas NF'!D169</f>
        <v>15776376.33</v>
      </c>
      <c r="E15" s="11">
        <f t="shared" si="1"/>
        <v>-1543061.7400000002</v>
      </c>
      <c r="F15" s="11">
        <f>+E15</f>
        <v>-1543061.7400000002</v>
      </c>
      <c r="I15" s="1248">
        <f t="shared" si="0"/>
        <v>1543061.7400000002</v>
      </c>
      <c r="J15" s="19">
        <f>+B15-C15</f>
        <v>-1543061.7400000002</v>
      </c>
      <c r="N15" s="1554">
        <f>+B15-C15</f>
        <v>-1543061.7400000002</v>
      </c>
      <c r="O15" s="110"/>
      <c r="P15" s="11"/>
      <c r="Q15" s="11">
        <v>15776376.33</v>
      </c>
      <c r="R15">
        <v>18382280.280000001</v>
      </c>
    </row>
    <row r="16" spans="1:18">
      <c r="A16" s="841" t="s">
        <v>4216</v>
      </c>
      <c r="B16" s="842">
        <f>+'Notas NF'!C201</f>
        <v>325699.31</v>
      </c>
      <c r="C16" s="842">
        <f>+'Notas NF'!D201</f>
        <v>488548.94</v>
      </c>
      <c r="E16" s="11">
        <f t="shared" si="1"/>
        <v>-162849.63</v>
      </c>
      <c r="F16" s="11">
        <f>-E16+1800</f>
        <v>164649.63</v>
      </c>
      <c r="G16" s="11">
        <f>+F16/5</f>
        <v>32929.925999999999</v>
      </c>
      <c r="I16" s="1248">
        <f t="shared" si="0"/>
        <v>162849.63</v>
      </c>
      <c r="J16" s="19">
        <f>+B16-C16</f>
        <v>-162849.63</v>
      </c>
      <c r="N16" s="1554">
        <f>+B16-C16</f>
        <v>-162849.63</v>
      </c>
      <c r="O16" s="110"/>
      <c r="P16" s="11"/>
      <c r="Q16" s="11">
        <v>488548.94</v>
      </c>
      <c r="R16">
        <v>422306.74</v>
      </c>
    </row>
    <row r="17" spans="1:18">
      <c r="A17" s="841" t="s">
        <v>4217</v>
      </c>
      <c r="B17" s="843">
        <f>+'Notas NF'!C227</f>
        <v>0</v>
      </c>
      <c r="C17" s="843">
        <f>+'Notas NF'!D227</f>
        <v>0</v>
      </c>
      <c r="E17" s="11">
        <f t="shared" si="1"/>
        <v>0</v>
      </c>
      <c r="F17" s="11">
        <f>SUM(F15:F16)</f>
        <v>-1378412.1100000003</v>
      </c>
      <c r="G17" s="11">
        <f>+F17+'Pres A'!O310</f>
        <v>-1378412.1100000003</v>
      </c>
      <c r="I17" s="1248">
        <f t="shared" si="0"/>
        <v>0</v>
      </c>
      <c r="J17" s="19"/>
      <c r="N17" s="1554"/>
      <c r="O17" s="110"/>
      <c r="P17" s="11"/>
      <c r="Q17" s="11">
        <v>0</v>
      </c>
      <c r="R17">
        <v>193172</v>
      </c>
    </row>
    <row r="18" spans="1:18">
      <c r="A18" s="838" t="s">
        <v>2033</v>
      </c>
      <c r="B18" s="844">
        <f>SUM(B11:B17)</f>
        <v>436736657.08999997</v>
      </c>
      <c r="C18" s="844">
        <f>SUM(C11:C17)</f>
        <v>439038358.81999993</v>
      </c>
      <c r="E18" s="11">
        <f>SUM(E15:E17)</f>
        <v>-1705911.37</v>
      </c>
      <c r="F18" s="11"/>
      <c r="I18" s="1248">
        <f>SUM(I11:I17)</f>
        <v>2301701.7299999548</v>
      </c>
      <c r="J18" s="816">
        <f>SUM(I14:I17)</f>
        <v>1705911.37</v>
      </c>
      <c r="N18" s="1554">
        <f>SUM(N15:N17)</f>
        <v>-1705911.37</v>
      </c>
      <c r="O18" s="110"/>
      <c r="P18" s="11"/>
      <c r="Q18" s="11">
        <v>439038358.81999993</v>
      </c>
      <c r="R18">
        <v>324488440.7700001</v>
      </c>
    </row>
    <row r="19" spans="1:18">
      <c r="A19" s="838" t="s">
        <v>2034</v>
      </c>
      <c r="B19" s="845"/>
      <c r="C19" s="845"/>
      <c r="E19" s="11">
        <f t="shared" si="1"/>
        <v>0</v>
      </c>
      <c r="F19" s="11"/>
      <c r="I19" s="1248"/>
      <c r="J19" s="1462" t="e">
        <f>J18-#REF!</f>
        <v>#REF!</v>
      </c>
      <c r="N19" s="19"/>
      <c r="O19" s="110"/>
      <c r="P19" s="11"/>
      <c r="Q19" s="11"/>
    </row>
    <row r="20" spans="1:18" hidden="1">
      <c r="A20" s="841" t="s">
        <v>2035</v>
      </c>
      <c r="B20" s="842">
        <v>0</v>
      </c>
      <c r="C20" s="842">
        <v>0</v>
      </c>
      <c r="E20" s="11">
        <f t="shared" si="1"/>
        <v>0</v>
      </c>
      <c r="F20" s="11"/>
      <c r="I20" s="1248"/>
      <c r="J20" s="1462" t="e">
        <f>#REF!-J19</f>
        <v>#REF!</v>
      </c>
      <c r="N20" s="19"/>
      <c r="O20" s="110"/>
      <c r="P20" s="11"/>
      <c r="Q20" s="11">
        <v>0</v>
      </c>
      <c r="R20">
        <v>0</v>
      </c>
    </row>
    <row r="21" spans="1:18" hidden="1">
      <c r="A21" s="841" t="s">
        <v>2036</v>
      </c>
      <c r="B21" s="842">
        <v>0</v>
      </c>
      <c r="C21" s="842">
        <v>0</v>
      </c>
      <c r="E21" s="11">
        <f t="shared" si="1"/>
        <v>0</v>
      </c>
      <c r="F21" s="11"/>
      <c r="I21" s="1248"/>
      <c r="J21" s="1462" t="e">
        <f t="shared" ref="J21:J29" si="2">J19-J20</f>
        <v>#REF!</v>
      </c>
      <c r="N21" s="19"/>
      <c r="O21" s="110"/>
      <c r="P21" s="11"/>
      <c r="Q21" s="11">
        <v>0</v>
      </c>
      <c r="R21">
        <v>0</v>
      </c>
    </row>
    <row r="22" spans="1:18" hidden="1">
      <c r="A22" s="841" t="s">
        <v>2037</v>
      </c>
      <c r="B22" s="842">
        <v>0</v>
      </c>
      <c r="C22" s="842">
        <v>0</v>
      </c>
      <c r="E22" s="11">
        <f t="shared" si="1"/>
        <v>0</v>
      </c>
      <c r="F22" s="11"/>
      <c r="I22" s="1248"/>
      <c r="J22" s="1462" t="e">
        <f t="shared" si="2"/>
        <v>#REF!</v>
      </c>
      <c r="N22" s="19"/>
      <c r="O22" s="110"/>
      <c r="P22" s="11"/>
      <c r="Q22" s="11">
        <v>0</v>
      </c>
      <c r="R22">
        <v>0</v>
      </c>
    </row>
    <row r="23" spans="1:18" hidden="1">
      <c r="A23" s="841" t="s">
        <v>2038</v>
      </c>
      <c r="B23" s="842">
        <v>0</v>
      </c>
      <c r="C23" s="842">
        <v>0</v>
      </c>
      <c r="E23" s="11">
        <f t="shared" si="1"/>
        <v>0</v>
      </c>
      <c r="F23" s="11"/>
      <c r="I23" s="1248"/>
      <c r="J23" s="1462" t="e">
        <f t="shared" si="2"/>
        <v>#REF!</v>
      </c>
      <c r="N23" s="19"/>
      <c r="O23" s="110"/>
      <c r="P23" s="11"/>
      <c r="Q23" s="11">
        <v>0</v>
      </c>
      <c r="R23">
        <v>0</v>
      </c>
    </row>
    <row r="24" spans="1:18">
      <c r="A24" s="841" t="s">
        <v>4218</v>
      </c>
      <c r="B24" s="842">
        <f>+nota12!K32</f>
        <v>783928750.25000024</v>
      </c>
      <c r="C24" s="842">
        <f>+nota12!K17</f>
        <v>778387439.07000005</v>
      </c>
      <c r="E24" s="11">
        <f t="shared" si="1"/>
        <v>5541311.180000186</v>
      </c>
      <c r="F24" s="11"/>
      <c r="I24" s="1248">
        <f t="shared" ref="I24:I29" si="3">+C24-B24</f>
        <v>-5541311.180000186</v>
      </c>
      <c r="J24" s="1462">
        <f>+B24-C24</f>
        <v>5541311.180000186</v>
      </c>
      <c r="N24" s="19"/>
      <c r="O24" s="110"/>
      <c r="P24" s="11"/>
      <c r="Q24" s="11">
        <v>778387439.07000005</v>
      </c>
      <c r="R24">
        <v>777750597.29999995</v>
      </c>
    </row>
    <row r="25" spans="1:18">
      <c r="A25" s="841" t="s">
        <v>4219</v>
      </c>
      <c r="B25" s="842">
        <f>+'Notas NF'!C375</f>
        <v>69520</v>
      </c>
      <c r="C25" s="842">
        <f>+'Notas NF'!D375</f>
        <v>121660</v>
      </c>
      <c r="E25" s="11">
        <f t="shared" si="1"/>
        <v>-52140</v>
      </c>
      <c r="F25" s="11"/>
      <c r="I25" s="1248">
        <f t="shared" si="3"/>
        <v>52140</v>
      </c>
      <c r="J25" s="1462">
        <f>+B25-C25</f>
        <v>-52140</v>
      </c>
      <c r="N25" s="19"/>
      <c r="O25" s="110"/>
      <c r="P25" s="11"/>
      <c r="Q25" s="11">
        <v>121660</v>
      </c>
      <c r="R25">
        <v>0</v>
      </c>
    </row>
    <row r="26" spans="1:18" hidden="1">
      <c r="A26" s="841" t="s">
        <v>2040</v>
      </c>
      <c r="B26" s="842">
        <v>0</v>
      </c>
      <c r="C26" s="842">
        <v>0</v>
      </c>
      <c r="E26" s="11">
        <f t="shared" si="1"/>
        <v>0</v>
      </c>
      <c r="F26" s="11"/>
      <c r="I26" s="1248">
        <f t="shared" si="3"/>
        <v>0</v>
      </c>
      <c r="J26" s="1462">
        <f>+B26-C26</f>
        <v>0</v>
      </c>
      <c r="N26" s="19"/>
      <c r="O26" s="110"/>
      <c r="P26" s="11"/>
      <c r="Q26" s="11">
        <v>0</v>
      </c>
      <c r="R26">
        <v>0</v>
      </c>
    </row>
    <row r="27" spans="1:18">
      <c r="A27" s="838" t="s">
        <v>2041</v>
      </c>
      <c r="B27" s="844">
        <f>SUM(B20:B26)</f>
        <v>783998270.25000024</v>
      </c>
      <c r="C27" s="844">
        <f>SUM(C20:C26)</f>
        <v>778509099.07000005</v>
      </c>
      <c r="E27" s="11">
        <f>SUM(E12:E26)</f>
        <v>2077348.4400001857</v>
      </c>
      <c r="F27" s="11">
        <f>+E27+E16+E15</f>
        <v>371437.07000018563</v>
      </c>
      <c r="I27" s="1248">
        <f t="shared" si="3"/>
        <v>-5489171.180000186</v>
      </c>
      <c r="J27" s="1462">
        <f>+B27-C27</f>
        <v>5489171.180000186</v>
      </c>
      <c r="N27" s="19"/>
      <c r="O27" s="110"/>
      <c r="P27" s="11"/>
      <c r="Q27" s="11">
        <v>778509099.07000005</v>
      </c>
      <c r="R27">
        <v>777750597.29999995</v>
      </c>
    </row>
    <row r="28" spans="1:18">
      <c r="A28" s="838"/>
      <c r="B28" s="845"/>
      <c r="C28" s="845"/>
      <c r="E28" s="11">
        <f t="shared" si="1"/>
        <v>0</v>
      </c>
      <c r="F28" s="11"/>
      <c r="I28" s="1248">
        <f t="shared" si="3"/>
        <v>0</v>
      </c>
      <c r="J28" s="1462">
        <f t="shared" si="2"/>
        <v>-5489171.180000186</v>
      </c>
      <c r="N28" s="19"/>
      <c r="O28" s="110"/>
      <c r="P28" s="11"/>
      <c r="Q28" s="11"/>
    </row>
    <row r="29" spans="1:18" ht="15.75" thickBot="1">
      <c r="A29" s="838" t="s">
        <v>2042</v>
      </c>
      <c r="B29" s="846">
        <f>+B27+B18</f>
        <v>1220734927.3400002</v>
      </c>
      <c r="C29" s="846">
        <f>+C27+C18</f>
        <v>1217547457.8899999</v>
      </c>
      <c r="E29" s="11">
        <f t="shared" si="1"/>
        <v>3187469.4500002861</v>
      </c>
      <c r="F29" s="11"/>
      <c r="G29" s="11">
        <f>+BALANZA!C12:C32</f>
        <v>99000</v>
      </c>
      <c r="I29" s="1248">
        <f t="shared" si="3"/>
        <v>-3187469.4500002861</v>
      </c>
      <c r="J29" s="1462">
        <f t="shared" si="2"/>
        <v>10978342.360000372</v>
      </c>
      <c r="N29" s="19"/>
      <c r="O29" s="110"/>
      <c r="P29" s="11"/>
      <c r="Q29" s="11">
        <v>1217547457.8899999</v>
      </c>
      <c r="R29">
        <v>1102239038.0700002</v>
      </c>
    </row>
    <row r="30" spans="1:18" ht="19.5" thickTop="1">
      <c r="A30" s="838" t="s">
        <v>2206</v>
      </c>
      <c r="B30" s="847"/>
      <c r="C30" s="847"/>
      <c r="F30" s="11"/>
      <c r="N30" s="19"/>
      <c r="O30" s="110"/>
      <c r="P30" s="11"/>
      <c r="Q30" s="11"/>
    </row>
    <row r="31" spans="1:18">
      <c r="A31" s="838" t="s">
        <v>2205</v>
      </c>
      <c r="B31" s="842"/>
      <c r="C31" s="842"/>
      <c r="F31" s="11"/>
      <c r="N31" s="19"/>
      <c r="O31" s="110"/>
      <c r="P31" s="11"/>
      <c r="Q31" s="11"/>
    </row>
    <row r="32" spans="1:18" hidden="1">
      <c r="A32" s="841" t="s">
        <v>3977</v>
      </c>
      <c r="B32" s="842">
        <v>0</v>
      </c>
      <c r="C32" s="842">
        <v>0</v>
      </c>
      <c r="F32" s="11">
        <f>+C32-B32</f>
        <v>0</v>
      </c>
      <c r="N32" s="19"/>
      <c r="O32" s="110"/>
      <c r="P32" s="11"/>
      <c r="Q32" s="11">
        <v>0</v>
      </c>
      <c r="R32">
        <v>0</v>
      </c>
    </row>
    <row r="33" spans="1:18">
      <c r="A33" s="841" t="s">
        <v>2941</v>
      </c>
      <c r="B33" s="842">
        <f>+'Notas NF'!C395</f>
        <v>11936643.77</v>
      </c>
      <c r="C33" s="842">
        <f>+'Notas NF'!D395</f>
        <v>8951565.0899999999</v>
      </c>
      <c r="F33" s="11">
        <f>+C33-B33</f>
        <v>-2985078.6799999997</v>
      </c>
      <c r="N33" s="19"/>
      <c r="O33" s="110"/>
      <c r="P33" s="11"/>
      <c r="Q33" s="11">
        <v>8951565.0899999999</v>
      </c>
      <c r="R33">
        <v>15390184.529999999</v>
      </c>
    </row>
    <row r="34" spans="1:18" hidden="1">
      <c r="A34" s="841" t="s">
        <v>2044</v>
      </c>
      <c r="B34" s="842">
        <f>+'Notas NF'!C406</f>
        <v>0</v>
      </c>
      <c r="C34" s="842">
        <f>+'Notas NF'!D406</f>
        <v>0</v>
      </c>
      <c r="F34" s="11"/>
      <c r="N34" s="19"/>
      <c r="O34" s="110"/>
      <c r="P34" s="11"/>
      <c r="Q34" s="11">
        <v>0</v>
      </c>
      <c r="R34">
        <v>0</v>
      </c>
    </row>
    <row r="35" spans="1:18" hidden="1">
      <c r="A35" s="841" t="s">
        <v>2045</v>
      </c>
      <c r="B35" s="842">
        <v>0</v>
      </c>
      <c r="C35" s="842">
        <v>0</v>
      </c>
      <c r="F35" s="11"/>
      <c r="N35" s="19"/>
      <c r="O35" s="110"/>
      <c r="P35" s="11"/>
      <c r="Q35" s="11">
        <v>0</v>
      </c>
      <c r="R35">
        <v>0</v>
      </c>
    </row>
    <row r="36" spans="1:18">
      <c r="A36" s="841" t="s">
        <v>4220</v>
      </c>
      <c r="B36" s="842">
        <f>+'Notas NF'!C430+'Notas NF'!C447</f>
        <v>139610.85</v>
      </c>
      <c r="C36" s="842">
        <f>+'Notas NF'!D430+'Notas NF'!D447</f>
        <v>139610.85100000002</v>
      </c>
      <c r="E36" s="11"/>
      <c r="F36" s="11">
        <f>+C36-B36</f>
        <v>1.0000000183936208E-3</v>
      </c>
      <c r="N36" s="19"/>
      <c r="O36" s="110"/>
      <c r="P36" s="11"/>
      <c r="Q36" s="11">
        <v>139610.85</v>
      </c>
      <c r="R36">
        <v>252299.30099999998</v>
      </c>
    </row>
    <row r="37" spans="1:18" hidden="1">
      <c r="A37" s="841" t="s">
        <v>2869</v>
      </c>
      <c r="B37" s="842">
        <v>0</v>
      </c>
      <c r="C37" s="842">
        <v>0</v>
      </c>
      <c r="F37" s="11"/>
      <c r="N37" s="19"/>
      <c r="O37" s="110"/>
      <c r="P37" s="11"/>
      <c r="Q37" s="11">
        <v>0</v>
      </c>
      <c r="R37">
        <v>0</v>
      </c>
    </row>
    <row r="38" spans="1:18" hidden="1">
      <c r="A38" s="841" t="s">
        <v>2869</v>
      </c>
      <c r="B38" s="842">
        <v>0</v>
      </c>
      <c r="C38" s="842">
        <v>0</v>
      </c>
      <c r="F38" s="11"/>
      <c r="N38" s="19"/>
      <c r="O38" s="110"/>
      <c r="P38" s="11"/>
      <c r="Q38" s="11">
        <v>0</v>
      </c>
      <c r="R38">
        <v>0</v>
      </c>
    </row>
    <row r="39" spans="1:18" hidden="1">
      <c r="A39" s="841" t="s">
        <v>3908</v>
      </c>
      <c r="B39" s="842"/>
      <c r="C39" s="842"/>
      <c r="F39" s="11"/>
      <c r="N39" s="19"/>
      <c r="O39" s="110"/>
      <c r="P39" s="11"/>
      <c r="Q39" s="11"/>
    </row>
    <row r="40" spans="1:18" hidden="1">
      <c r="A40" s="841" t="s">
        <v>2046</v>
      </c>
      <c r="B40" s="843">
        <v>0</v>
      </c>
      <c r="C40" s="843">
        <v>0</v>
      </c>
      <c r="F40" s="11"/>
      <c r="N40" s="19"/>
      <c r="O40" s="110"/>
      <c r="P40" s="11"/>
      <c r="Q40" s="11">
        <v>0</v>
      </c>
      <c r="R40">
        <v>0</v>
      </c>
    </row>
    <row r="41" spans="1:18">
      <c r="A41" s="838" t="s">
        <v>2047</v>
      </c>
      <c r="B41" s="870">
        <f>SUM(B32:B40)</f>
        <v>12076254.619999999</v>
      </c>
      <c r="C41" s="870">
        <f>SUM(C32:C40)</f>
        <v>9091175.9409999996</v>
      </c>
      <c r="F41" s="11">
        <f>SUM(F32:F40)</f>
        <v>-2985078.6789999995</v>
      </c>
      <c r="I41" s="1248"/>
      <c r="N41" s="19"/>
      <c r="O41" s="110"/>
      <c r="P41" s="11"/>
      <c r="Q41" s="11">
        <v>9091175.9399999995</v>
      </c>
      <c r="R41">
        <v>15642483.831</v>
      </c>
    </row>
    <row r="42" spans="1:18">
      <c r="A42" s="838"/>
      <c r="B42" s="845"/>
      <c r="C42" s="845"/>
      <c r="F42" s="11">
        <f>+ERF!B19+ERF!B22+ERF!B23+'EFE2'!B27</f>
        <v>23822693.029999997</v>
      </c>
      <c r="N42" s="19"/>
      <c r="O42" s="110"/>
      <c r="P42" s="11"/>
      <c r="Q42" s="11"/>
    </row>
    <row r="43" spans="1:18" ht="18.75" hidden="1">
      <c r="A43" s="838" t="s">
        <v>2048</v>
      </c>
      <c r="B43" s="847"/>
      <c r="C43" s="847"/>
      <c r="N43" s="19"/>
      <c r="O43" s="110"/>
      <c r="P43" s="11"/>
      <c r="Q43" s="11"/>
    </row>
    <row r="44" spans="1:18" hidden="1">
      <c r="A44" s="841" t="s">
        <v>2049</v>
      </c>
      <c r="B44" s="842">
        <v>0</v>
      </c>
      <c r="C44" s="842">
        <v>0</v>
      </c>
      <c r="N44" s="19"/>
      <c r="O44" s="110"/>
      <c r="P44" s="11"/>
      <c r="Q44" s="11">
        <v>0</v>
      </c>
      <c r="R44">
        <v>0</v>
      </c>
    </row>
    <row r="45" spans="1:18" hidden="1">
      <c r="A45" s="841" t="s">
        <v>2050</v>
      </c>
      <c r="B45" s="842">
        <v>0</v>
      </c>
      <c r="C45" s="842">
        <v>0</v>
      </c>
      <c r="N45" s="19"/>
      <c r="O45" s="110"/>
      <c r="P45" s="11"/>
      <c r="Q45" s="11">
        <v>0</v>
      </c>
      <c r="R45">
        <v>0</v>
      </c>
    </row>
    <row r="46" spans="1:18" hidden="1">
      <c r="A46" s="841" t="s">
        <v>2051</v>
      </c>
      <c r="B46" s="842">
        <v>0</v>
      </c>
      <c r="C46" s="842">
        <v>0</v>
      </c>
      <c r="N46" s="19"/>
      <c r="O46" s="110"/>
      <c r="P46" s="11"/>
      <c r="Q46" s="11">
        <v>0</v>
      </c>
      <c r="R46">
        <v>0</v>
      </c>
    </row>
    <row r="47" spans="1:18" hidden="1">
      <c r="A47" s="841" t="s">
        <v>2052</v>
      </c>
      <c r="B47" s="842">
        <v>0</v>
      </c>
      <c r="C47" s="842">
        <v>0</v>
      </c>
      <c r="N47" s="19"/>
      <c r="O47" s="110"/>
      <c r="P47" s="11"/>
      <c r="Q47" s="11">
        <v>0</v>
      </c>
      <c r="R47">
        <v>0</v>
      </c>
    </row>
    <row r="48" spans="1:18" hidden="1">
      <c r="A48" s="841" t="s">
        <v>2053</v>
      </c>
      <c r="B48" s="842">
        <v>0</v>
      </c>
      <c r="C48" s="842">
        <v>0</v>
      </c>
      <c r="N48" s="19"/>
      <c r="O48" s="110"/>
      <c r="P48" s="11"/>
      <c r="Q48" s="11">
        <v>0</v>
      </c>
      <c r="R48">
        <v>0</v>
      </c>
    </row>
    <row r="49" spans="1:18" hidden="1">
      <c r="A49" s="841" t="s">
        <v>2054</v>
      </c>
      <c r="B49" s="843">
        <v>0</v>
      </c>
      <c r="C49" s="843">
        <v>0</v>
      </c>
      <c r="N49" s="19"/>
      <c r="O49" s="110"/>
      <c r="P49" s="11"/>
      <c r="Q49" s="11">
        <v>0</v>
      </c>
      <c r="R49">
        <v>0</v>
      </c>
    </row>
    <row r="50" spans="1:18" hidden="1">
      <c r="A50" s="838" t="s">
        <v>2055</v>
      </c>
      <c r="B50" s="870">
        <f>SUM(B44:B49)</f>
        <v>0</v>
      </c>
      <c r="C50" s="870">
        <f>SUM(C44:C49)</f>
        <v>0</v>
      </c>
      <c r="N50" s="19"/>
      <c r="O50" s="110"/>
      <c r="P50" s="11"/>
      <c r="Q50" s="11">
        <v>0</v>
      </c>
      <c r="R50">
        <v>0</v>
      </c>
    </row>
    <row r="51" spans="1:18">
      <c r="A51" s="838"/>
      <c r="B51" s="845"/>
      <c r="C51" s="845"/>
      <c r="N51" s="19"/>
      <c r="O51" s="110"/>
      <c r="P51" s="11"/>
      <c r="Q51" s="11"/>
    </row>
    <row r="52" spans="1:18">
      <c r="A52" s="838" t="s">
        <v>2056</v>
      </c>
      <c r="B52" s="870">
        <f>+B50+B41</f>
        <v>12076254.619999999</v>
      </c>
      <c r="C52" s="870">
        <f>+C50+C41</f>
        <v>9091175.9409999996</v>
      </c>
      <c r="N52" s="19"/>
      <c r="O52" s="110"/>
      <c r="P52" s="11"/>
      <c r="Q52" s="11">
        <v>9091175.9399999995</v>
      </c>
      <c r="R52">
        <v>15642483.831</v>
      </c>
    </row>
    <row r="53" spans="1:18">
      <c r="A53" s="838"/>
      <c r="B53" s="1817"/>
      <c r="C53" s="1817"/>
      <c r="N53" s="19"/>
      <c r="O53" s="110"/>
      <c r="P53" s="11"/>
      <c r="Q53" s="11"/>
    </row>
    <row r="54" spans="1:18" ht="18.75">
      <c r="A54" s="838" t="s">
        <v>4221</v>
      </c>
      <c r="B54" s="847"/>
      <c r="C54" s="847"/>
      <c r="N54" s="19"/>
      <c r="O54" s="110"/>
      <c r="P54" s="11"/>
      <c r="Q54" s="11"/>
    </row>
    <row r="55" spans="1:18">
      <c r="A55" s="841" t="s">
        <v>2057</v>
      </c>
      <c r="B55" s="842">
        <f>+'BALANZA G'!C128</f>
        <v>808793054.60000002</v>
      </c>
      <c r="C55" s="842">
        <f>+'BALANZA G'!D128</f>
        <v>808793054.60000002</v>
      </c>
      <c r="N55" s="19"/>
      <c r="O55" s="110"/>
      <c r="P55" s="11"/>
      <c r="Q55" s="11">
        <v>808793054.60000002</v>
      </c>
      <c r="R55">
        <v>808793054.60000002</v>
      </c>
    </row>
    <row r="56" spans="1:18" hidden="1">
      <c r="A56" s="841" t="s">
        <v>2058</v>
      </c>
      <c r="B56" s="842">
        <v>0</v>
      </c>
      <c r="C56" s="842">
        <v>0</v>
      </c>
      <c r="F56" s="11"/>
      <c r="N56" s="19"/>
      <c r="O56" s="110"/>
      <c r="P56" s="11"/>
      <c r="Q56" s="11">
        <v>0</v>
      </c>
      <c r="R56">
        <v>0</v>
      </c>
    </row>
    <row r="57" spans="1:18">
      <c r="A57" s="841" t="s">
        <v>2783</v>
      </c>
      <c r="B57" s="842">
        <f>+ERF!B33</f>
        <v>202390.76999999583</v>
      </c>
      <c r="C57" s="842">
        <f>+ERF!C33</f>
        <v>120373832.36989999</v>
      </c>
      <c r="F57" s="11"/>
      <c r="L57">
        <v>-92287742.719999999</v>
      </c>
      <c r="N57" s="19"/>
      <c r="O57" s="110"/>
      <c r="P57" s="11"/>
      <c r="Q57" s="11">
        <v>120373832.37</v>
      </c>
      <c r="R57">
        <v>41656479.65989995</v>
      </c>
    </row>
    <row r="58" spans="1:18">
      <c r="A58" s="841" t="s">
        <v>2782</v>
      </c>
      <c r="B58" s="842">
        <f>SUM('Notas NF'!C460:C462)-B57</f>
        <v>399663227.34979999</v>
      </c>
      <c r="C58" s="842">
        <f>SUM('Notas NF'!D460:D462)-C57</f>
        <v>279289394.97989994</v>
      </c>
      <c r="D58" s="19"/>
      <c r="F58" s="11"/>
      <c r="L58">
        <v>285779911.76999998</v>
      </c>
      <c r="N58" s="19"/>
      <c r="O58" s="110">
        <f>C58-Q58</f>
        <v>0</v>
      </c>
      <c r="P58" s="11"/>
      <c r="Q58" s="11">
        <v>279289394.97989994</v>
      </c>
      <c r="R58">
        <v>236147019.98000002</v>
      </c>
    </row>
    <row r="59" spans="1:18" hidden="1">
      <c r="A59" s="841" t="s">
        <v>2059</v>
      </c>
      <c r="B59" s="843">
        <v>0</v>
      </c>
      <c r="C59" s="843">
        <v>0</v>
      </c>
      <c r="F59" s="11"/>
      <c r="N59" s="19"/>
      <c r="O59" s="110"/>
      <c r="P59" s="11"/>
      <c r="Q59" s="11">
        <v>0</v>
      </c>
      <c r="R59">
        <v>0</v>
      </c>
    </row>
    <row r="60" spans="1:18">
      <c r="A60" s="838" t="s">
        <v>1038</v>
      </c>
      <c r="B60" s="870">
        <f>SUM(B55:B59)</f>
        <v>1208658672.7198</v>
      </c>
      <c r="C60" s="870">
        <f>SUM(C55:C59)</f>
        <v>1208456281.9498</v>
      </c>
      <c r="F60" s="11"/>
      <c r="I60" s="1248"/>
      <c r="L60">
        <f>SUM(L57:L59)</f>
        <v>193492169.04999998</v>
      </c>
      <c r="N60" s="19"/>
      <c r="O60" s="110"/>
      <c r="P60" s="11"/>
      <c r="Q60" s="11">
        <v>1208456281.9498999</v>
      </c>
      <c r="R60">
        <v>1086596554.2399001</v>
      </c>
    </row>
    <row r="61" spans="1:18">
      <c r="B61" s="11"/>
      <c r="C61" s="11"/>
      <c r="I61" s="1248"/>
      <c r="N61" s="19"/>
      <c r="O61" s="110"/>
      <c r="P61" s="11"/>
      <c r="Q61" s="11"/>
    </row>
    <row r="62" spans="1:18" ht="15.75" thickBot="1">
      <c r="A62" s="838" t="s">
        <v>2882</v>
      </c>
      <c r="B62" s="846">
        <f>+B60+B52</f>
        <v>1220734927.3397999</v>
      </c>
      <c r="C62" s="846">
        <f>+C60+C52</f>
        <v>1217547457.8908</v>
      </c>
      <c r="I62" s="1248"/>
      <c r="N62" s="19"/>
      <c r="O62" s="110"/>
      <c r="P62" s="11"/>
      <c r="Q62" s="11">
        <v>1217547457.8899</v>
      </c>
      <c r="R62">
        <v>1102239038.0709002</v>
      </c>
    </row>
    <row r="63" spans="1:18" ht="15.75" thickTop="1">
      <c r="B63" s="1669">
        <f>+B29-B52-B60</f>
        <v>2.002716064453125E-4</v>
      </c>
      <c r="C63" s="1669">
        <f>+C29-C52-C60</f>
        <v>-8.0013275146484375E-4</v>
      </c>
      <c r="O63" s="11"/>
      <c r="P63" s="11"/>
      <c r="Q63">
        <v>9.9897384643554688E-5</v>
      </c>
      <c r="R63">
        <v>-9.0003013610839844E-4</v>
      </c>
    </row>
    <row r="64" spans="1:18">
      <c r="C64" s="11"/>
      <c r="O64" s="11"/>
    </row>
    <row r="65" spans="1:16">
      <c r="A65" s="1586" t="s">
        <v>3912</v>
      </c>
      <c r="B65" s="1586" t="s">
        <v>3772</v>
      </c>
      <c r="C65" s="1586"/>
    </row>
    <row r="66" spans="1:16">
      <c r="A66" s="1585" t="s">
        <v>2207</v>
      </c>
      <c r="B66" s="1927" t="s">
        <v>3844</v>
      </c>
      <c r="C66" s="1927"/>
      <c r="P66" s="11"/>
    </row>
    <row r="67" spans="1:16">
      <c r="A67" s="669"/>
      <c r="B67" s="669"/>
      <c r="C67" s="669"/>
    </row>
    <row r="68" spans="1:16">
      <c r="A68" s="672" t="s">
        <v>3913</v>
      </c>
      <c r="B68" s="1621"/>
      <c r="C68" s="1621"/>
    </row>
    <row r="69" spans="1:16">
      <c r="A69" s="1927" t="s">
        <v>4038</v>
      </c>
      <c r="B69" s="1927"/>
      <c r="C69" s="1927"/>
    </row>
    <row r="70" spans="1:16">
      <c r="A70" s="334"/>
      <c r="B70" s="334"/>
      <c r="C70" s="334"/>
    </row>
    <row r="71" spans="1:16">
      <c r="A71" s="334"/>
      <c r="B71" s="334"/>
      <c r="C71" s="334"/>
    </row>
  </sheetData>
  <mergeCells count="6">
    <mergeCell ref="A69:C69"/>
    <mergeCell ref="A4:C4"/>
    <mergeCell ref="A5:C5"/>
    <mergeCell ref="A6:C6"/>
    <mergeCell ref="A7:C7"/>
    <mergeCell ref="B66:C6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4:N52"/>
  <sheetViews>
    <sheetView workbookViewId="0">
      <selection activeCell="V9" sqref="V9"/>
    </sheetView>
  </sheetViews>
  <sheetFormatPr baseColWidth="10" defaultColWidth="9.140625" defaultRowHeight="15"/>
  <cols>
    <col min="1" max="1" width="44.7109375" customWidth="1"/>
    <col min="2" max="3" width="18" customWidth="1"/>
    <col min="4" max="4" width="11.42578125" hidden="1" customWidth="1"/>
    <col min="5" max="5" width="11.7109375" hidden="1" customWidth="1"/>
    <col min="6" max="6" width="13.7109375" style="11" hidden="1" customWidth="1"/>
    <col min="7" max="7" width="11.42578125" hidden="1" customWidth="1"/>
    <col min="8" max="8" width="0" hidden="1" customWidth="1"/>
    <col min="9" max="9" width="3.5703125" hidden="1" customWidth="1"/>
    <col min="10" max="10" width="12.7109375" hidden="1" customWidth="1"/>
    <col min="11" max="11" width="0.140625" customWidth="1"/>
    <col min="12" max="12" width="15.140625" style="1628" hidden="1" customWidth="1"/>
    <col min="13" max="13" width="14.85546875" style="1628" hidden="1" customWidth="1"/>
    <col min="14" max="14" width="15.5703125" hidden="1" customWidth="1"/>
  </cols>
  <sheetData>
    <row r="4" spans="1:14">
      <c r="A4" s="1928" t="str">
        <f>+BALANZA!B1</f>
        <v>CORPORACION DEL ACUEDUCTO Y ALCANTARILLADO DE MOCA</v>
      </c>
      <c r="B4" s="1928"/>
      <c r="C4" s="1928"/>
    </row>
    <row r="5" spans="1:14">
      <c r="A5" s="1928" t="s">
        <v>2061</v>
      </c>
      <c r="B5" s="1928"/>
      <c r="C5" s="1928"/>
    </row>
    <row r="6" spans="1:14">
      <c r="A6" s="1928" t="str">
        <f>+BALANZA!B2</f>
        <v>Del Ejercicio terminado el  31 de marzo de 2026  y  2025</v>
      </c>
      <c r="B6" s="1928"/>
      <c r="C6" s="1928"/>
    </row>
    <row r="7" spans="1:14">
      <c r="A7" s="1928" t="s">
        <v>2062</v>
      </c>
      <c r="B7" s="1928"/>
      <c r="C7" s="1928"/>
    </row>
    <row r="8" spans="1:14">
      <c r="A8" s="333"/>
      <c r="B8" s="1464">
        <f>+BALANZA!B4</f>
        <v>2026</v>
      </c>
      <c r="C8" s="1464">
        <f>+BALANZA!C4</f>
        <v>2025</v>
      </c>
      <c r="M8" s="1628">
        <v>2025</v>
      </c>
      <c r="N8">
        <v>2024</v>
      </c>
    </row>
    <row r="9" spans="1:14">
      <c r="A9" s="1465" t="s">
        <v>4222</v>
      </c>
      <c r="B9" s="333"/>
      <c r="C9" s="333"/>
    </row>
    <row r="10" spans="1:14" hidden="1">
      <c r="A10" s="1466" t="s">
        <v>2064</v>
      </c>
      <c r="B10" s="1467">
        <v>0</v>
      </c>
      <c r="C10" s="1467">
        <v>0</v>
      </c>
      <c r="M10" s="1628">
        <v>0</v>
      </c>
      <c r="N10">
        <v>0</v>
      </c>
    </row>
    <row r="11" spans="1:14" ht="18" customHeight="1">
      <c r="A11" s="1466" t="s">
        <v>2065</v>
      </c>
      <c r="B11" s="1467">
        <f>+'Notas NF'!C481</f>
        <v>45032091.25</v>
      </c>
      <c r="C11" s="1467">
        <f>+'Notas NF'!D481</f>
        <v>186534488.11000001</v>
      </c>
      <c r="F11" s="11">
        <v>174411030.84999999</v>
      </c>
      <c r="G11" s="11">
        <f>+C11-F11</f>
        <v>12123457.26000002</v>
      </c>
      <c r="M11" s="1628">
        <v>186534488.11000001</v>
      </c>
      <c r="N11" s="11">
        <v>180976832.23999998</v>
      </c>
    </row>
    <row r="12" spans="1:14">
      <c r="A12" s="1466" t="s">
        <v>2066</v>
      </c>
      <c r="B12" s="1467">
        <f>+'Notas NF'!C498</f>
        <v>25865457</v>
      </c>
      <c r="C12" s="1467">
        <f>+'Notas NF'!D498</f>
        <v>307209103</v>
      </c>
      <c r="F12" s="11">
        <v>104423221</v>
      </c>
      <c r="G12" s="11">
        <f t="shared" ref="G12:G35" si="0">+C12-F12</f>
        <v>202785882</v>
      </c>
      <c r="L12" s="1735"/>
      <c r="M12" s="1795">
        <v>307209103</v>
      </c>
      <c r="N12" s="11">
        <v>229174633.03999999</v>
      </c>
    </row>
    <row r="13" spans="1:14" hidden="1">
      <c r="A13" s="1466" t="s">
        <v>2067</v>
      </c>
      <c r="B13" s="1468">
        <v>0</v>
      </c>
      <c r="C13" s="1468">
        <v>0</v>
      </c>
      <c r="F13" s="11">
        <v>0</v>
      </c>
      <c r="G13" s="11">
        <f t="shared" si="0"/>
        <v>0</v>
      </c>
      <c r="L13" s="1735"/>
      <c r="M13" s="1795">
        <v>0</v>
      </c>
      <c r="N13" s="11">
        <v>0</v>
      </c>
    </row>
    <row r="14" spans="1:14">
      <c r="A14" s="1465" t="s">
        <v>1654</v>
      </c>
      <c r="B14" s="1469">
        <f>SUM(B10:B13)</f>
        <v>70897548.25</v>
      </c>
      <c r="C14" s="1469">
        <f>SUM(C10:C13)</f>
        <v>493743591.11000001</v>
      </c>
      <c r="F14" s="11">
        <v>278834251.85000002</v>
      </c>
      <c r="G14" s="11">
        <f t="shared" si="0"/>
        <v>214909339.25999999</v>
      </c>
      <c r="L14" s="1735"/>
      <c r="M14" s="1795">
        <v>493743591.11000001</v>
      </c>
      <c r="N14" s="11">
        <v>410151465.27999997</v>
      </c>
    </row>
    <row r="15" spans="1:14">
      <c r="A15" s="849"/>
      <c r="B15" s="1470"/>
      <c r="C15" s="1470"/>
      <c r="G15" s="11">
        <f t="shared" si="0"/>
        <v>0</v>
      </c>
      <c r="L15" s="1735"/>
      <c r="M15" s="1795"/>
      <c r="N15" s="11"/>
    </row>
    <row r="16" spans="1:14">
      <c r="A16" s="1464" t="s">
        <v>4223</v>
      </c>
      <c r="B16" s="1471"/>
      <c r="C16" s="1471"/>
      <c r="G16" s="11">
        <f t="shared" si="0"/>
        <v>0</v>
      </c>
      <c r="L16" s="1735"/>
      <c r="M16" s="1795"/>
      <c r="N16" s="11"/>
    </row>
    <row r="17" spans="1:14">
      <c r="A17" s="1466" t="s">
        <v>2068</v>
      </c>
      <c r="B17" s="1467">
        <f>+'Notas NF'!C546</f>
        <v>46820324.450000003</v>
      </c>
      <c r="C17" s="1467">
        <f>+'Notas NF'!D546</f>
        <v>202342741.25000003</v>
      </c>
      <c r="F17" s="11">
        <v>151685872.24000001</v>
      </c>
      <c r="G17" s="11">
        <f t="shared" si="0"/>
        <v>50656869.01000002</v>
      </c>
      <c r="I17" s="11">
        <f>+C17-193594772.55</f>
        <v>8747968.7000000179</v>
      </c>
      <c r="K17" s="11">
        <f>+L17-B17</f>
        <v>-437355</v>
      </c>
      <c r="L17" s="1735">
        <f>SUM(BALANZA!C63:C73)</f>
        <v>46382969.450000003</v>
      </c>
      <c r="M17" s="1795">
        <v>202342741.25000003</v>
      </c>
      <c r="N17" s="11">
        <v>194460954.92999998</v>
      </c>
    </row>
    <row r="18" spans="1:14">
      <c r="A18" s="1466" t="s">
        <v>2069</v>
      </c>
      <c r="B18" s="1467">
        <f>+'Notas NF'!C561</f>
        <v>0</v>
      </c>
      <c r="C18" s="1467">
        <f>+'Notas NF'!D561</f>
        <v>30000.000100000001</v>
      </c>
      <c r="F18" s="11">
        <v>12931665.890000001</v>
      </c>
      <c r="G18" s="11">
        <f t="shared" si="0"/>
        <v>-12901665.889900001</v>
      </c>
      <c r="I18" s="11"/>
      <c r="L18" s="1813"/>
      <c r="M18" s="1795">
        <v>30000</v>
      </c>
      <c r="N18" s="11">
        <v>1E-4</v>
      </c>
    </row>
    <row r="19" spans="1:14">
      <c r="A19" s="1466" t="s">
        <v>2070</v>
      </c>
      <c r="B19" s="1467">
        <f>+'Notas NF'!C578</f>
        <v>4593784.7300000004</v>
      </c>
      <c r="C19" s="1467">
        <f>+'Notas NF'!D578</f>
        <v>27553148.020000003</v>
      </c>
      <c r="F19" s="11">
        <v>28488363.559999999</v>
      </c>
      <c r="G19" s="11">
        <f t="shared" si="0"/>
        <v>-935215.53999999538</v>
      </c>
      <c r="I19" s="11"/>
      <c r="J19" s="11"/>
      <c r="K19" s="11"/>
      <c r="L19" s="1813"/>
      <c r="M19" s="1795">
        <v>27553148.020000003</v>
      </c>
      <c r="N19" s="11">
        <v>26153747.859999999</v>
      </c>
    </row>
    <row r="20" spans="1:14">
      <c r="A20" s="1466" t="s">
        <v>2071</v>
      </c>
      <c r="B20" s="1467">
        <f>'Notas NF'!C591</f>
        <v>52140.000000000349</v>
      </c>
      <c r="C20" s="1467">
        <f>+nota12!K14-'Notas NF'!D374</f>
        <v>46530009.390000008</v>
      </c>
      <c r="F20" s="11">
        <v>0</v>
      </c>
      <c r="G20" s="11">
        <f t="shared" si="0"/>
        <v>46530009.390000008</v>
      </c>
      <c r="I20" s="11"/>
      <c r="L20" s="1813"/>
      <c r="M20" s="1795">
        <v>46530009.390000008</v>
      </c>
      <c r="N20" s="11">
        <v>57303976.350000009</v>
      </c>
    </row>
    <row r="21" spans="1:14" hidden="1">
      <c r="A21" s="1466" t="s">
        <v>2072</v>
      </c>
      <c r="B21" s="1467">
        <v>0</v>
      </c>
      <c r="C21" s="1467">
        <v>0</v>
      </c>
      <c r="F21" s="11">
        <v>0</v>
      </c>
      <c r="G21" s="11">
        <f t="shared" si="0"/>
        <v>0</v>
      </c>
      <c r="I21" s="11"/>
      <c r="L21" s="1813"/>
      <c r="M21" s="1795">
        <v>0</v>
      </c>
      <c r="N21" s="11">
        <v>0</v>
      </c>
    </row>
    <row r="22" spans="1:14">
      <c r="A22" s="1466" t="s">
        <v>2073</v>
      </c>
      <c r="B22" s="1467">
        <f>'Notas NF'!C613</f>
        <v>19050920.319999997</v>
      </c>
      <c r="C22" s="1467">
        <f>+'Notas NF'!D613</f>
        <v>96220962.140000001</v>
      </c>
      <c r="F22" s="11">
        <v>56717745.43</v>
      </c>
      <c r="G22" s="11">
        <f t="shared" si="0"/>
        <v>39503216.710000001</v>
      </c>
      <c r="I22" s="11"/>
      <c r="L22" s="1813"/>
      <c r="M22" s="1795">
        <v>96220962.140000001</v>
      </c>
      <c r="N22" s="11">
        <v>89820611.929999992</v>
      </c>
    </row>
    <row r="23" spans="1:14">
      <c r="A23" s="1466" t="s">
        <v>2074</v>
      </c>
      <c r="B23" s="1468">
        <f>+'Notas NF'!C626</f>
        <v>177987.98</v>
      </c>
      <c r="C23" s="1468">
        <f>+'Notas NF'!D626</f>
        <v>692897.94</v>
      </c>
      <c r="E23" s="11">
        <f>+B24</f>
        <v>70695157.480000004</v>
      </c>
      <c r="F23" s="11">
        <v>3322836.74</v>
      </c>
      <c r="G23" s="11">
        <f t="shared" si="0"/>
        <v>-2629938.8000000003</v>
      </c>
      <c r="I23" s="11"/>
      <c r="K23" s="11"/>
      <c r="L23" s="1813"/>
      <c r="M23" s="1795">
        <v>692897.94</v>
      </c>
      <c r="N23" s="11">
        <v>755694.55</v>
      </c>
    </row>
    <row r="24" spans="1:14">
      <c r="A24" s="1465" t="s">
        <v>2075</v>
      </c>
      <c r="B24" s="1472">
        <f>SUM(B17:B23)</f>
        <v>70695157.480000004</v>
      </c>
      <c r="C24" s="1472">
        <f>SUM(C17:C23)</f>
        <v>373369758.74010003</v>
      </c>
      <c r="E24" s="11">
        <f>SUM(BALANZA!C48:C84)</f>
        <v>1412630486.6299999</v>
      </c>
      <c r="F24" s="11">
        <v>253146483.86000001</v>
      </c>
      <c r="G24" s="11">
        <f t="shared" si="0"/>
        <v>120223274.88010001</v>
      </c>
      <c r="I24" s="11">
        <f>+B24-C24</f>
        <v>-302674601.26010001</v>
      </c>
      <c r="L24" s="1813"/>
      <c r="M24" s="1795">
        <v>373369758.74000001</v>
      </c>
      <c r="N24" s="11">
        <v>368494985.62010002</v>
      </c>
    </row>
    <row r="25" spans="1:14">
      <c r="A25" s="849"/>
      <c r="B25" s="1470"/>
      <c r="C25" s="1470"/>
      <c r="E25" s="11">
        <f>+E23-E24</f>
        <v>-1341935329.1499999</v>
      </c>
      <c r="G25" s="11">
        <f t="shared" si="0"/>
        <v>0</v>
      </c>
      <c r="L25" s="1813"/>
      <c r="M25" s="1795"/>
      <c r="N25" s="11"/>
    </row>
    <row r="26" spans="1:14" hidden="1">
      <c r="A26" s="1466" t="s">
        <v>2076</v>
      </c>
      <c r="B26" s="1467">
        <v>0</v>
      </c>
      <c r="C26" s="1467">
        <v>0</v>
      </c>
      <c r="F26" s="11">
        <v>0</v>
      </c>
      <c r="G26" s="11">
        <f t="shared" si="0"/>
        <v>0</v>
      </c>
      <c r="L26" s="1813"/>
      <c r="M26" s="1795">
        <v>0</v>
      </c>
      <c r="N26" s="11">
        <v>0</v>
      </c>
    </row>
    <row r="27" spans="1:14" hidden="1">
      <c r="A27" s="849"/>
      <c r="B27" s="1471"/>
      <c r="C27" s="1471"/>
      <c r="G27" s="11">
        <f t="shared" si="0"/>
        <v>0</v>
      </c>
      <c r="L27" s="1813"/>
      <c r="M27" s="1795"/>
      <c r="N27" s="11"/>
    </row>
    <row r="28" spans="1:14" hidden="1">
      <c r="A28" s="1466" t="s">
        <v>2077</v>
      </c>
      <c r="B28" s="1468">
        <v>0</v>
      </c>
      <c r="C28" s="1468">
        <v>0</v>
      </c>
      <c r="F28" s="11">
        <v>0</v>
      </c>
      <c r="G28" s="11">
        <f t="shared" si="0"/>
        <v>0</v>
      </c>
      <c r="L28" s="1813"/>
      <c r="M28" s="1795">
        <v>0</v>
      </c>
      <c r="N28" s="11">
        <v>0</v>
      </c>
    </row>
    <row r="29" spans="1:14">
      <c r="A29" s="849"/>
      <c r="B29" s="1471"/>
      <c r="C29" s="1471"/>
      <c r="G29" s="11">
        <f t="shared" si="0"/>
        <v>0</v>
      </c>
      <c r="L29" s="1813"/>
      <c r="M29" s="1795"/>
      <c r="N29" s="11"/>
    </row>
    <row r="30" spans="1:14" ht="15.75" thickBot="1">
      <c r="A30" s="1465" t="s">
        <v>2078</v>
      </c>
      <c r="B30" s="1473">
        <f>+B14-B24</f>
        <v>202390.76999999583</v>
      </c>
      <c r="C30" s="1473">
        <f>+C14-C24</f>
        <v>120373832.36989999</v>
      </c>
      <c r="F30" s="11">
        <v>25687767.99000001</v>
      </c>
      <c r="G30" s="11">
        <f t="shared" si="0"/>
        <v>94686064.379899979</v>
      </c>
      <c r="L30" s="1813"/>
      <c r="M30" s="1795">
        <v>120373832.37</v>
      </c>
      <c r="N30" s="11">
        <v>41656479.65989995</v>
      </c>
    </row>
    <row r="31" spans="1:14" ht="15.75" thickTop="1">
      <c r="A31" s="849"/>
      <c r="B31" s="1470"/>
      <c r="C31" s="1470"/>
      <c r="G31" s="11">
        <f t="shared" si="0"/>
        <v>0</v>
      </c>
    </row>
    <row r="32" spans="1:14" hidden="1">
      <c r="A32" s="1474" t="s">
        <v>2079</v>
      </c>
      <c r="B32" s="1471"/>
      <c r="C32" s="1471"/>
      <c r="G32" s="11">
        <f t="shared" si="0"/>
        <v>0</v>
      </c>
    </row>
    <row r="33" spans="1:10" hidden="1">
      <c r="A33" s="1466" t="s">
        <v>2080</v>
      </c>
      <c r="B33" s="1467">
        <f>+B30</f>
        <v>202390.76999999583</v>
      </c>
      <c r="C33" s="1467">
        <f>+C30</f>
        <v>120373832.36989999</v>
      </c>
      <c r="F33" s="11">
        <v>25687767.99000001</v>
      </c>
      <c r="G33" s="11">
        <f t="shared" si="0"/>
        <v>94686064.379899979</v>
      </c>
    </row>
    <row r="34" spans="1:10" ht="15.75" hidden="1" customHeight="1">
      <c r="A34" s="1466" t="s">
        <v>2059</v>
      </c>
      <c r="B34" s="1468">
        <v>0</v>
      </c>
      <c r="C34" s="1468">
        <v>0</v>
      </c>
      <c r="F34" s="11">
        <v>0</v>
      </c>
      <c r="G34" s="11">
        <f t="shared" si="0"/>
        <v>0</v>
      </c>
    </row>
    <row r="35" spans="1:10" ht="15.75" hidden="1" thickBot="1">
      <c r="A35" s="1475"/>
      <c r="B35" s="1473">
        <f>+B33</f>
        <v>202390.76999999583</v>
      </c>
      <c r="C35" s="1473">
        <f>+C33</f>
        <v>120373832.36989999</v>
      </c>
      <c r="F35" s="11">
        <v>25687767.99000001</v>
      </c>
      <c r="G35" s="11">
        <f t="shared" si="0"/>
        <v>94686064.379899979</v>
      </c>
    </row>
    <row r="36" spans="1:10" ht="15.75" hidden="1" thickTop="1">
      <c r="A36" s="849"/>
      <c r="B36" s="1476"/>
      <c r="C36" s="1476"/>
    </row>
    <row r="37" spans="1:10">
      <c r="A37" s="1477" t="s">
        <v>2081</v>
      </c>
      <c r="B37" s="333"/>
      <c r="C37" s="333"/>
    </row>
    <row r="38" spans="1:10">
      <c r="A38" s="850"/>
    </row>
    <row r="39" spans="1:10">
      <c r="A39" s="850"/>
    </row>
    <row r="41" spans="1:10">
      <c r="A41" s="1586" t="str">
        <f>+'ES F '!A65</f>
        <v>Licda. Paula Maileny Morillo</v>
      </c>
      <c r="B41" s="1865" t="str">
        <f>+'ES F '!B65</f>
        <v>Licda. María Patricia Almonte</v>
      </c>
      <c r="C41" s="1865"/>
    </row>
    <row r="42" spans="1:10">
      <c r="A42" s="339" t="s">
        <v>2207</v>
      </c>
      <c r="B42" s="1863" t="str">
        <f>+'ES F '!B66</f>
        <v>Directora Administrativa-Financiera</v>
      </c>
      <c r="C42" s="1863"/>
    </row>
    <row r="43" spans="1:10">
      <c r="A43" s="334"/>
      <c r="B43" s="334"/>
      <c r="C43" s="334"/>
    </row>
    <row r="44" spans="1:10">
      <c r="A44" s="334"/>
      <c r="B44" s="334"/>
      <c r="C44" s="334"/>
    </row>
    <row r="45" spans="1:10">
      <c r="A45" s="1865"/>
      <c r="B45" s="1865"/>
      <c r="C45" s="1865"/>
      <c r="J45" s="334"/>
    </row>
    <row r="46" spans="1:10">
      <c r="A46" s="1863"/>
      <c r="B46" s="1863"/>
      <c r="C46" s="1863"/>
    </row>
    <row r="47" spans="1:10">
      <c r="A47" s="334"/>
      <c r="B47" s="334"/>
      <c r="C47" s="334"/>
    </row>
    <row r="48" spans="1:10">
      <c r="A48" s="334"/>
      <c r="B48" s="334"/>
      <c r="C48" s="334"/>
    </row>
    <row r="49" spans="1:3">
      <c r="A49" s="1865" t="s">
        <v>3914</v>
      </c>
      <c r="B49" s="1865"/>
      <c r="C49" s="1865"/>
    </row>
    <row r="50" spans="1:3">
      <c r="A50" s="1863" t="s">
        <v>1023</v>
      </c>
      <c r="B50" s="1863"/>
      <c r="C50" s="1863"/>
    </row>
    <row r="51" spans="1:3">
      <c r="A51" s="1463"/>
      <c r="B51" s="1463"/>
      <c r="C51" s="1463"/>
    </row>
    <row r="52" spans="1:3">
      <c r="A52" s="1463"/>
      <c r="B52" s="1463"/>
      <c r="C52" s="1463"/>
    </row>
  </sheetData>
  <mergeCells count="10">
    <mergeCell ref="A45:C45"/>
    <mergeCell ref="A46:C46"/>
    <mergeCell ref="A49:C49"/>
    <mergeCell ref="A50:C50"/>
    <mergeCell ref="A4:C4"/>
    <mergeCell ref="A5:C5"/>
    <mergeCell ref="A6:C6"/>
    <mergeCell ref="A7:C7"/>
    <mergeCell ref="B41:C41"/>
    <mergeCell ref="B42:C42"/>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4:G423"/>
  <sheetViews>
    <sheetView workbookViewId="0">
      <selection activeCell="I60" sqref="I59:I60"/>
    </sheetView>
  </sheetViews>
  <sheetFormatPr baseColWidth="10" defaultColWidth="9.140625" defaultRowHeight="15"/>
  <cols>
    <col min="1" max="1" width="52.5703125" customWidth="1"/>
    <col min="2" max="3" width="17.42578125" style="11" customWidth="1"/>
    <col min="4" max="4" width="14.42578125" customWidth="1"/>
    <col min="5" max="5" width="18.28515625" style="11" customWidth="1"/>
    <col min="6" max="6" width="15.28515625" hidden="1" customWidth="1"/>
    <col min="7" max="7" width="13.42578125" hidden="1" customWidth="1"/>
  </cols>
  <sheetData>
    <row r="4" spans="1:7">
      <c r="A4" s="1928" t="str">
        <f>+BALANZA!B1</f>
        <v>CORPORACION DEL ACUEDUCTO Y ALCANTARILLADO DE MOCA</v>
      </c>
      <c r="B4" s="1928"/>
      <c r="C4" s="1928"/>
    </row>
    <row r="5" spans="1:7">
      <c r="A5" s="1929" t="s">
        <v>2082</v>
      </c>
      <c r="B5" s="1929"/>
      <c r="C5" s="1929"/>
    </row>
    <row r="6" spans="1:7">
      <c r="A6" s="1929" t="str">
        <f>+BALANZA!B2</f>
        <v>Del Ejercicio terminado el  31 de marzo de 2026  y  2025</v>
      </c>
      <c r="B6" s="1929"/>
      <c r="C6" s="1929"/>
    </row>
    <row r="7" spans="1:7">
      <c r="A7" s="1929" t="s">
        <v>2062</v>
      </c>
      <c r="B7" s="1929"/>
      <c r="C7" s="1929"/>
    </row>
    <row r="8" spans="1:7">
      <c r="A8" s="851"/>
    </row>
    <row r="9" spans="1:7">
      <c r="A9" s="852" t="s">
        <v>2083</v>
      </c>
    </row>
    <row r="10" spans="1:7">
      <c r="A10" s="848"/>
    </row>
    <row r="11" spans="1:7">
      <c r="B11" s="891">
        <f>+BALANZA!B4</f>
        <v>2026</v>
      </c>
      <c r="C11" s="891">
        <f>+BALANZA!C4</f>
        <v>2025</v>
      </c>
      <c r="F11">
        <v>2025</v>
      </c>
      <c r="G11">
        <v>2024</v>
      </c>
    </row>
    <row r="12" spans="1:7">
      <c r="B12" s="871"/>
      <c r="C12" s="871"/>
    </row>
    <row r="13" spans="1:7" hidden="1">
      <c r="A13" s="853" t="s">
        <v>2084</v>
      </c>
      <c r="B13" s="1738">
        <v>0</v>
      </c>
      <c r="C13" s="1738">
        <v>0</v>
      </c>
      <c r="D13" s="11"/>
      <c r="F13">
        <v>0</v>
      </c>
      <c r="G13">
        <v>0</v>
      </c>
    </row>
    <row r="14" spans="1:7" hidden="1">
      <c r="A14" s="853" t="s">
        <v>2085</v>
      </c>
      <c r="B14" s="1738">
        <v>0</v>
      </c>
      <c r="C14" s="1738">
        <v>0</v>
      </c>
      <c r="D14" s="11"/>
      <c r="F14">
        <v>0</v>
      </c>
      <c r="G14">
        <v>0</v>
      </c>
    </row>
    <row r="15" spans="1:7">
      <c r="A15" s="853" t="s">
        <v>2086</v>
      </c>
      <c r="B15" s="1738">
        <f>+ERF!B11</f>
        <v>45032091.25</v>
      </c>
      <c r="C15" s="1738">
        <v>186534488.11000001</v>
      </c>
      <c r="D15" s="11"/>
      <c r="F15" s="11">
        <v>186534488.11000001</v>
      </c>
      <c r="G15">
        <v>180976832.23999998</v>
      </c>
    </row>
    <row r="16" spans="1:7">
      <c r="A16" s="853" t="s">
        <v>2192</v>
      </c>
      <c r="B16" s="1738">
        <f>+ERF!B12</f>
        <v>25865457</v>
      </c>
      <c r="C16" s="1738">
        <v>307209103</v>
      </c>
      <c r="D16" s="11"/>
      <c r="F16" s="11">
        <v>307209103</v>
      </c>
      <c r="G16">
        <v>229174633.03999999</v>
      </c>
    </row>
    <row r="17" spans="1:7" hidden="1">
      <c r="A17" s="853" t="s">
        <v>2087</v>
      </c>
      <c r="B17" s="1738">
        <v>0</v>
      </c>
      <c r="C17" s="1738">
        <v>0</v>
      </c>
      <c r="D17" s="11"/>
      <c r="F17" s="11">
        <v>0</v>
      </c>
      <c r="G17">
        <v>0</v>
      </c>
    </row>
    <row r="18" spans="1:7" hidden="1">
      <c r="A18" s="853" t="s">
        <v>2088</v>
      </c>
      <c r="B18" s="1738">
        <v>0</v>
      </c>
      <c r="C18" s="1738">
        <v>0</v>
      </c>
      <c r="D18" s="11"/>
      <c r="F18" s="11">
        <v>0</v>
      </c>
      <c r="G18">
        <v>0</v>
      </c>
    </row>
    <row r="19" spans="1:7" hidden="1">
      <c r="A19" s="853" t="s">
        <v>2194</v>
      </c>
      <c r="B19" s="1738">
        <v>0</v>
      </c>
      <c r="C19" s="1738">
        <v>0</v>
      </c>
      <c r="D19" s="11"/>
      <c r="F19" s="11">
        <v>0</v>
      </c>
      <c r="G19">
        <v>0</v>
      </c>
    </row>
    <row r="20" spans="1:7">
      <c r="A20" s="853" t="s">
        <v>3843</v>
      </c>
      <c r="B20" s="1738">
        <f>+A!H11+A!H14</f>
        <v>0</v>
      </c>
      <c r="C20" s="1738">
        <v>194522.12</v>
      </c>
      <c r="D20" s="11"/>
      <c r="F20" s="11">
        <v>194522.12</v>
      </c>
      <c r="G20">
        <v>13208228.880000001</v>
      </c>
    </row>
    <row r="21" spans="1:7" hidden="1">
      <c r="A21" s="853" t="s">
        <v>2090</v>
      </c>
      <c r="B21" s="1739"/>
      <c r="C21" s="1738"/>
      <c r="D21" s="11"/>
      <c r="F21" s="11"/>
    </row>
    <row r="22" spans="1:7">
      <c r="A22" s="853" t="s">
        <v>2091</v>
      </c>
      <c r="B22" s="1738">
        <f>A!H78-'EFE2'!B23</f>
        <v>-46382969.450000003</v>
      </c>
      <c r="C22" s="1738">
        <v>-200614061.48000002</v>
      </c>
      <c r="D22" s="11"/>
      <c r="F22" s="11">
        <v>-200614061.48000002</v>
      </c>
      <c r="G22">
        <v>-191329180.39999998</v>
      </c>
    </row>
    <row r="23" spans="1:7">
      <c r="A23" s="853" t="s">
        <v>2092</v>
      </c>
      <c r="B23" s="1738">
        <f>-'Notas NF'!C545</f>
        <v>-437355</v>
      </c>
      <c r="C23" s="1738">
        <v>-1728679.77</v>
      </c>
      <c r="D23" s="11"/>
      <c r="F23" s="11">
        <v>-1728679.77</v>
      </c>
      <c r="G23" s="11">
        <v>-3131774.53</v>
      </c>
    </row>
    <row r="24" spans="1:7" hidden="1">
      <c r="A24" s="853" t="s">
        <v>2093</v>
      </c>
      <c r="B24" s="1738"/>
      <c r="C24" s="1738"/>
      <c r="D24" s="11"/>
      <c r="F24" s="11"/>
    </row>
    <row r="25" spans="1:7">
      <c r="A25" s="853" t="s">
        <v>2094</v>
      </c>
      <c r="B25" s="1738">
        <f>+A!H12+A!H13+A!H24+A!H33+A!H34+A!H37+A!H40+A!H80+A!H81+A!H83+A!H84+A!H23</f>
        <v>-19131702.980999999</v>
      </c>
      <c r="C25" s="1738">
        <v>-128687214.24100003</v>
      </c>
      <c r="D25" s="11"/>
      <c r="F25" s="11">
        <v>-128687214.24100003</v>
      </c>
      <c r="G25">
        <v>-106749797.55999999</v>
      </c>
    </row>
    <row r="26" spans="1:7" hidden="1">
      <c r="A26" s="853"/>
      <c r="B26" s="1738"/>
      <c r="C26" s="1738"/>
      <c r="D26" s="11"/>
      <c r="F26" s="11"/>
    </row>
    <row r="27" spans="1:7" hidden="1">
      <c r="A27" s="853" t="s">
        <v>2193</v>
      </c>
      <c r="B27" s="1738">
        <f>A!J84</f>
        <v>0</v>
      </c>
      <c r="C27" s="1738">
        <v>0</v>
      </c>
      <c r="D27" s="11"/>
      <c r="F27" s="11">
        <v>0</v>
      </c>
      <c r="G27">
        <v>0</v>
      </c>
    </row>
    <row r="28" spans="1:7">
      <c r="A28" s="853" t="s">
        <v>2095</v>
      </c>
      <c r="B28" s="1740">
        <f>A!H79+A!J25</f>
        <v>0</v>
      </c>
      <c r="C28" s="1740">
        <v>-30000</v>
      </c>
      <c r="D28" s="11"/>
      <c r="F28" s="11">
        <v>-30000</v>
      </c>
      <c r="G28">
        <v>0</v>
      </c>
    </row>
    <row r="29" spans="1:7">
      <c r="A29" s="838" t="s">
        <v>2096</v>
      </c>
      <c r="B29" s="1741">
        <f>SUM(B13:B28)</f>
        <v>4945520.8189999983</v>
      </c>
      <c r="C29" s="1741">
        <f>SUM(C13:C28)</f>
        <v>162878157.73899999</v>
      </c>
      <c r="D29" s="11"/>
      <c r="E29" s="1806"/>
      <c r="F29" s="11">
        <v>162878157.73899999</v>
      </c>
      <c r="G29" s="11">
        <v>122148941.67</v>
      </c>
    </row>
    <row r="30" spans="1:7" ht="15.75">
      <c r="A30" s="854"/>
      <c r="B30" s="1742"/>
      <c r="C30" s="1742"/>
      <c r="D30" s="11"/>
      <c r="F30" s="11"/>
    </row>
    <row r="31" spans="1:7">
      <c r="A31" s="855" t="s">
        <v>2097</v>
      </c>
      <c r="B31" s="1738"/>
      <c r="C31" s="1738"/>
      <c r="D31" s="11"/>
      <c r="F31" s="11"/>
    </row>
    <row r="32" spans="1:7" hidden="1">
      <c r="A32" s="856" t="s">
        <v>2098</v>
      </c>
      <c r="B32" s="1738">
        <v>0</v>
      </c>
      <c r="C32" s="1738">
        <v>0</v>
      </c>
      <c r="D32" s="11"/>
      <c r="F32" s="11">
        <v>0</v>
      </c>
      <c r="G32">
        <v>0</v>
      </c>
    </row>
    <row r="33" spans="1:7" hidden="1">
      <c r="A33" s="853" t="s">
        <v>2099</v>
      </c>
      <c r="B33" s="1738">
        <v>0</v>
      </c>
      <c r="C33" s="1738">
        <v>0</v>
      </c>
      <c r="D33" s="11"/>
      <c r="F33" s="11">
        <v>0</v>
      </c>
      <c r="G33">
        <v>0</v>
      </c>
    </row>
    <row r="34" spans="1:7" ht="24" hidden="1">
      <c r="A34" s="853" t="s">
        <v>2100</v>
      </c>
      <c r="B34" s="1738">
        <v>0</v>
      </c>
      <c r="C34" s="1738">
        <v>0</v>
      </c>
      <c r="D34" s="11"/>
      <c r="F34" s="11">
        <v>0</v>
      </c>
      <c r="G34">
        <v>0</v>
      </c>
    </row>
    <row r="35" spans="1:7" hidden="1">
      <c r="A35" s="853" t="s">
        <v>2101</v>
      </c>
      <c r="B35" s="1738">
        <v>0</v>
      </c>
      <c r="C35" s="1738">
        <v>0</v>
      </c>
      <c r="D35" s="11"/>
      <c r="F35" s="11">
        <v>0</v>
      </c>
      <c r="G35">
        <v>0</v>
      </c>
    </row>
    <row r="36" spans="1:7" hidden="1">
      <c r="A36" s="853" t="s">
        <v>2102</v>
      </c>
      <c r="B36" s="1738">
        <v>0</v>
      </c>
      <c r="C36" s="1738">
        <v>0</v>
      </c>
      <c r="D36" s="11"/>
      <c r="F36" s="11">
        <v>0</v>
      </c>
      <c r="G36">
        <v>0</v>
      </c>
    </row>
    <row r="37" spans="1:7" hidden="1">
      <c r="A37" s="853" t="s">
        <v>2089</v>
      </c>
      <c r="B37" s="1738">
        <f>+A!J9</f>
        <v>0</v>
      </c>
      <c r="C37" s="1738">
        <v>0</v>
      </c>
      <c r="D37" s="11"/>
      <c r="F37" s="11">
        <v>0</v>
      </c>
      <c r="G37">
        <v>453000</v>
      </c>
    </row>
    <row r="38" spans="1:7">
      <c r="A38" s="853" t="s">
        <v>2103</v>
      </c>
      <c r="B38" s="1738">
        <f>-nota12!K23</f>
        <v>-5541311.1799999923</v>
      </c>
      <c r="C38" s="1738">
        <v>-47079951.159999989</v>
      </c>
      <c r="D38" s="11"/>
      <c r="F38" s="11">
        <v>-47079951.159999989</v>
      </c>
      <c r="G38">
        <v>-15862563.610000018</v>
      </c>
    </row>
    <row r="39" spans="1:7" hidden="1">
      <c r="A39" s="853" t="s">
        <v>2104</v>
      </c>
      <c r="B39" s="1738">
        <v>0</v>
      </c>
      <c r="C39" s="1738">
        <v>0</v>
      </c>
      <c r="D39" s="11"/>
      <c r="F39" s="11">
        <v>0</v>
      </c>
      <c r="G39">
        <v>0</v>
      </c>
    </row>
    <row r="40" spans="1:7" ht="24" hidden="1">
      <c r="A40" s="853" t="s">
        <v>2105</v>
      </c>
      <c r="B40" s="1738">
        <v>0</v>
      </c>
      <c r="C40" s="1738">
        <v>0</v>
      </c>
      <c r="D40" s="11"/>
      <c r="F40" s="11">
        <v>0</v>
      </c>
      <c r="G40">
        <v>0</v>
      </c>
    </row>
    <row r="41" spans="1:7" hidden="1">
      <c r="A41" s="853" t="s">
        <v>2106</v>
      </c>
      <c r="B41" s="1738">
        <v>0</v>
      </c>
      <c r="C41" s="1738">
        <v>0</v>
      </c>
      <c r="D41" s="11"/>
      <c r="F41" s="11">
        <v>0</v>
      </c>
      <c r="G41">
        <v>0</v>
      </c>
    </row>
    <row r="42" spans="1:7" hidden="1">
      <c r="A42" s="853" t="s">
        <v>2107</v>
      </c>
      <c r="B42" s="1738">
        <v>0</v>
      </c>
      <c r="C42" s="1738">
        <v>0</v>
      </c>
      <c r="D42" s="11"/>
      <c r="F42" s="11">
        <v>0</v>
      </c>
      <c r="G42">
        <v>0</v>
      </c>
    </row>
    <row r="43" spans="1:7" hidden="1">
      <c r="A43" s="853" t="s">
        <v>2108</v>
      </c>
      <c r="B43" s="1738">
        <v>0</v>
      </c>
      <c r="C43" s="1738">
        <v>0</v>
      </c>
      <c r="D43" s="11"/>
      <c r="F43" s="11">
        <v>0</v>
      </c>
      <c r="G43">
        <v>0</v>
      </c>
    </row>
    <row r="44" spans="1:7" hidden="1">
      <c r="A44" s="853" t="s">
        <v>2095</v>
      </c>
      <c r="B44" s="1740">
        <v>0</v>
      </c>
      <c r="C44" s="1740">
        <v>0</v>
      </c>
      <c r="D44" s="11"/>
      <c r="F44" s="11">
        <v>0</v>
      </c>
      <c r="G44">
        <v>0</v>
      </c>
    </row>
    <row r="45" spans="1:7">
      <c r="A45" s="855" t="s">
        <v>2109</v>
      </c>
      <c r="B45" s="1741">
        <f>SUM(B32:B44)</f>
        <v>-5541311.1799999923</v>
      </c>
      <c r="C45" s="1741">
        <f>SUM(C32:C44)</f>
        <v>-47079951.159999989</v>
      </c>
      <c r="D45" s="11"/>
      <c r="F45" s="11">
        <v>-47079951.159999989</v>
      </c>
      <c r="G45">
        <v>-15409563.610000018</v>
      </c>
    </row>
    <row r="46" spans="1:7" ht="15.75">
      <c r="A46" s="854"/>
      <c r="B46" s="1742"/>
      <c r="C46" s="1742"/>
      <c r="D46" s="11"/>
      <c r="F46" s="11"/>
    </row>
    <row r="47" spans="1:7">
      <c r="A47" s="855" t="s">
        <v>2110</v>
      </c>
      <c r="B47" s="1738"/>
      <c r="C47" s="1738"/>
      <c r="D47" s="11"/>
      <c r="F47" s="11"/>
    </row>
    <row r="48" spans="1:7" hidden="1">
      <c r="A48" s="853" t="s">
        <v>2111</v>
      </c>
      <c r="B48" s="1738">
        <v>0</v>
      </c>
      <c r="C48" s="1738">
        <v>0</v>
      </c>
      <c r="D48" s="11"/>
      <c r="F48" s="11">
        <v>0</v>
      </c>
      <c r="G48">
        <v>0</v>
      </c>
    </row>
    <row r="49" spans="1:7" hidden="1">
      <c r="A49" s="853" t="s">
        <v>2112</v>
      </c>
      <c r="B49" s="1738">
        <f>A!L51</f>
        <v>0</v>
      </c>
      <c r="C49" s="1738">
        <v>0</v>
      </c>
      <c r="D49" s="11"/>
      <c r="F49" s="11">
        <v>0</v>
      </c>
      <c r="G49">
        <v>0</v>
      </c>
    </row>
    <row r="50" spans="1:7" hidden="1">
      <c r="A50" s="853" t="s">
        <v>2113</v>
      </c>
      <c r="B50" s="1738">
        <v>0</v>
      </c>
      <c r="C50" s="1738">
        <v>0</v>
      </c>
      <c r="D50" s="11"/>
      <c r="F50" s="11">
        <v>0</v>
      </c>
      <c r="G50">
        <v>0</v>
      </c>
    </row>
    <row r="51" spans="1:7" hidden="1">
      <c r="A51" s="853" t="s">
        <v>2114</v>
      </c>
      <c r="B51" s="1738">
        <v>0</v>
      </c>
      <c r="C51" s="1738">
        <v>0</v>
      </c>
      <c r="D51" s="11"/>
      <c r="F51" s="11">
        <v>0</v>
      </c>
      <c r="G51">
        <v>0</v>
      </c>
    </row>
    <row r="52" spans="1:7">
      <c r="A52" s="853" t="s">
        <v>2089</v>
      </c>
      <c r="B52" s="1738">
        <f>+'EP2'!E29</f>
        <v>0</v>
      </c>
      <c r="C52" s="1738">
        <v>1485895.3399999999</v>
      </c>
      <c r="D52" s="11"/>
      <c r="F52" s="11">
        <v>1485895.3399999999</v>
      </c>
      <c r="G52">
        <v>0</v>
      </c>
    </row>
    <row r="53" spans="1:7" ht="24" hidden="1">
      <c r="A53" s="853" t="s">
        <v>2115</v>
      </c>
      <c r="B53" s="1738">
        <v>0</v>
      </c>
      <c r="C53" s="1738">
        <v>0</v>
      </c>
      <c r="D53" s="11"/>
      <c r="F53" s="11">
        <v>0</v>
      </c>
      <c r="G53">
        <v>0</v>
      </c>
    </row>
    <row r="54" spans="1:7" ht="24" hidden="1">
      <c r="A54" s="853" t="s">
        <v>2116</v>
      </c>
      <c r="B54" s="1738">
        <f>A!L35</f>
        <v>0</v>
      </c>
      <c r="C54" s="1738">
        <v>0</v>
      </c>
      <c r="D54" s="11"/>
      <c r="F54" s="11">
        <v>0</v>
      </c>
      <c r="G54">
        <v>0</v>
      </c>
    </row>
    <row r="55" spans="1:7" hidden="1">
      <c r="A55" s="853" t="s">
        <v>2117</v>
      </c>
      <c r="B55" s="1738">
        <v>0</v>
      </c>
      <c r="C55" s="1738">
        <v>0</v>
      </c>
      <c r="D55" s="11"/>
      <c r="F55" s="11">
        <v>0</v>
      </c>
      <c r="G55">
        <v>0</v>
      </c>
    </row>
    <row r="56" spans="1:7" hidden="1">
      <c r="A56" s="853" t="s">
        <v>2118</v>
      </c>
      <c r="B56" s="1738">
        <v>0</v>
      </c>
      <c r="C56" s="1738">
        <v>0</v>
      </c>
      <c r="D56" s="11"/>
      <c r="F56" s="11">
        <v>0</v>
      </c>
      <c r="G56">
        <v>0</v>
      </c>
    </row>
    <row r="57" spans="1:7" hidden="1">
      <c r="A57" s="853" t="s">
        <v>2119</v>
      </c>
      <c r="B57" s="1738">
        <v>0</v>
      </c>
      <c r="C57" s="1738">
        <v>0</v>
      </c>
      <c r="D57" s="11"/>
      <c r="F57" s="11">
        <v>0</v>
      </c>
      <c r="G57">
        <v>0</v>
      </c>
    </row>
    <row r="58" spans="1:7" hidden="1">
      <c r="A58" s="853" t="s">
        <v>2120</v>
      </c>
      <c r="B58" s="1740">
        <v>0</v>
      </c>
      <c r="C58" s="1740">
        <v>0</v>
      </c>
      <c r="D58" s="11"/>
      <c r="F58" s="11">
        <v>0</v>
      </c>
      <c r="G58">
        <v>0</v>
      </c>
    </row>
    <row r="59" spans="1:7">
      <c r="A59" s="855" t="s">
        <v>2121</v>
      </c>
      <c r="B59" s="1741">
        <f>SUM(B48:B58)</f>
        <v>0</v>
      </c>
      <c r="C59" s="1741">
        <f>SUM(C48:C58)</f>
        <v>1485895.3399999999</v>
      </c>
      <c r="D59" s="11"/>
      <c r="F59" s="11">
        <v>1485895.3399999999</v>
      </c>
      <c r="G59">
        <v>0</v>
      </c>
    </row>
    <row r="60" spans="1:7">
      <c r="A60" s="980"/>
      <c r="B60" s="1743"/>
      <c r="C60" s="1739"/>
      <c r="D60" s="11"/>
      <c r="F60" s="11"/>
    </row>
    <row r="61" spans="1:7">
      <c r="A61" s="853" t="s">
        <v>2122</v>
      </c>
      <c r="B61" s="1738">
        <f>+B59+B45+B29</f>
        <v>-595790.36099999398</v>
      </c>
      <c r="C61" s="1738">
        <f>+C59+C45+C29</f>
        <v>117284101.919</v>
      </c>
      <c r="D61" s="11"/>
      <c r="F61" s="11">
        <v>117284101.919</v>
      </c>
      <c r="G61">
        <v>106739378.05999999</v>
      </c>
    </row>
    <row r="62" spans="1:7">
      <c r="A62" s="853" t="s">
        <v>2123</v>
      </c>
      <c r="B62" s="1740">
        <f>A!C8</f>
        <v>422773433.54999995</v>
      </c>
      <c r="C62" s="1740">
        <v>305489331.63000005</v>
      </c>
      <c r="D62" s="11"/>
      <c r="F62" s="11">
        <v>305489331.63000005</v>
      </c>
      <c r="G62">
        <v>198749953.56999999</v>
      </c>
    </row>
    <row r="63" spans="1:7" ht="15.75" thickBot="1">
      <c r="A63" s="838" t="s">
        <v>2124</v>
      </c>
      <c r="B63" s="1744">
        <f>A!B8</f>
        <v>422177643.19</v>
      </c>
      <c r="C63" s="1744">
        <f>+C61+C62</f>
        <v>422773433.54900002</v>
      </c>
      <c r="D63" s="11"/>
      <c r="F63" s="11">
        <v>422773433.54999995</v>
      </c>
      <c r="G63">
        <v>305489331.63</v>
      </c>
    </row>
    <row r="64" spans="1:7" ht="15.75" thickTop="1">
      <c r="B64" s="1739"/>
      <c r="C64" s="1739"/>
    </row>
    <row r="65" spans="1:7">
      <c r="A65" s="11"/>
      <c r="B65" s="1670">
        <f>+B29+B45+B59+B62-B63</f>
        <v>-1.0000467300415039E-3</v>
      </c>
      <c r="C65" s="1670">
        <f>+C29+C45+C59+C62-C63</f>
        <v>0</v>
      </c>
      <c r="F65">
        <v>-9.9992752075195313E-4</v>
      </c>
      <c r="G65">
        <v>0</v>
      </c>
    </row>
    <row r="66" spans="1:7">
      <c r="B66" s="884"/>
      <c r="C66" s="884"/>
    </row>
    <row r="67" spans="1:7">
      <c r="B67" s="884"/>
      <c r="C67" s="884"/>
    </row>
    <row r="68" spans="1:7" s="21" customFormat="1">
      <c r="A68" s="1575" t="str">
        <f>+'ES F '!A65</f>
        <v>Licda. Paula Maileny Morillo</v>
      </c>
      <c r="B68" s="1865" t="str">
        <f>+ERF!B41</f>
        <v>Licda. María Patricia Almonte</v>
      </c>
      <c r="C68" s="1865"/>
      <c r="E68" s="22"/>
    </row>
    <row r="69" spans="1:7" s="21" customFormat="1">
      <c r="A69" s="1574" t="s">
        <v>2207</v>
      </c>
      <c r="B69" s="1863" t="str">
        <f>+ERF!B42</f>
        <v>Directora Administrativa-Financiera</v>
      </c>
      <c r="C69" s="1863"/>
      <c r="E69" s="22"/>
    </row>
    <row r="70" spans="1:7" s="21" customFormat="1">
      <c r="A70" s="334"/>
      <c r="B70" s="1478"/>
      <c r="C70" s="1478"/>
      <c r="E70" s="22"/>
    </row>
    <row r="71" spans="1:7" s="21" customFormat="1">
      <c r="A71" s="1865"/>
      <c r="B71" s="1865"/>
      <c r="C71" s="1865"/>
      <c r="E71" s="22"/>
    </row>
    <row r="72" spans="1:7" s="21" customFormat="1">
      <c r="A72" s="1863"/>
      <c r="B72" s="1863"/>
      <c r="C72" s="1863"/>
      <c r="E72" s="22"/>
    </row>
    <row r="73" spans="1:7" s="21" customFormat="1">
      <c r="A73" s="334"/>
      <c r="B73" s="334"/>
      <c r="C73" s="334"/>
      <c r="E73" s="22"/>
    </row>
    <row r="74" spans="1:7" s="21" customFormat="1">
      <c r="A74" s="334"/>
      <c r="B74" s="334"/>
      <c r="C74" s="334"/>
      <c r="E74" s="22"/>
    </row>
    <row r="75" spans="1:7" s="21" customFormat="1">
      <c r="A75" s="1865" t="str">
        <f>+ERF!A49</f>
        <v xml:space="preserve">Licdo. Reynaldo C. Méndez Sánchez </v>
      </c>
      <c r="B75" s="1865"/>
      <c r="C75" s="1865"/>
      <c r="E75" s="22"/>
    </row>
    <row r="76" spans="1:7" s="21" customFormat="1">
      <c r="A76" s="1863" t="s">
        <v>1023</v>
      </c>
      <c r="B76" s="1863"/>
      <c r="C76" s="1863"/>
      <c r="E76" s="22"/>
    </row>
    <row r="77" spans="1:7" s="21" customFormat="1">
      <c r="A77" s="334"/>
      <c r="B77" s="1478"/>
      <c r="C77" s="1478"/>
      <c r="E77" s="22"/>
    </row>
    <row r="78" spans="1:7" s="21" customFormat="1">
      <c r="B78" s="886"/>
      <c r="C78" s="886"/>
      <c r="E78" s="22"/>
    </row>
    <row r="79" spans="1:7" s="21" customFormat="1">
      <c r="B79" s="886"/>
      <c r="C79" s="886"/>
      <c r="E79" s="22"/>
    </row>
    <row r="80" spans="1:7" s="21" customFormat="1">
      <c r="B80" s="886"/>
      <c r="C80" s="886"/>
      <c r="E80" s="22"/>
    </row>
    <row r="81" spans="2:5" s="21" customFormat="1">
      <c r="B81" s="886"/>
      <c r="C81" s="886"/>
      <c r="E81" s="22"/>
    </row>
    <row r="82" spans="2:5" s="21" customFormat="1">
      <c r="B82" s="886"/>
      <c r="C82" s="886"/>
      <c r="E82" s="22"/>
    </row>
    <row r="83" spans="2:5" s="21" customFormat="1">
      <c r="B83" s="886"/>
      <c r="C83" s="886"/>
      <c r="E83" s="22"/>
    </row>
    <row r="84" spans="2:5" s="21" customFormat="1">
      <c r="B84" s="886"/>
      <c r="C84" s="886"/>
      <c r="E84" s="22"/>
    </row>
    <row r="85" spans="2:5" s="21" customFormat="1">
      <c r="B85" s="886"/>
      <c r="C85" s="886"/>
      <c r="E85" s="22"/>
    </row>
    <row r="86" spans="2:5" s="21" customFormat="1">
      <c r="B86" s="886"/>
      <c r="C86" s="886"/>
      <c r="E86" s="22"/>
    </row>
    <row r="87" spans="2:5" s="21" customFormat="1">
      <c r="B87" s="886"/>
      <c r="C87" s="886"/>
      <c r="E87" s="22"/>
    </row>
    <row r="88" spans="2:5" s="21" customFormat="1">
      <c r="B88" s="886"/>
      <c r="C88" s="886"/>
      <c r="E88" s="22"/>
    </row>
    <row r="89" spans="2:5" s="21" customFormat="1">
      <c r="B89" s="886"/>
      <c r="C89" s="886"/>
      <c r="E89" s="22"/>
    </row>
    <row r="90" spans="2:5" s="21" customFormat="1">
      <c r="B90" s="886"/>
      <c r="C90" s="886"/>
      <c r="E90" s="22"/>
    </row>
    <row r="91" spans="2:5" s="21" customFormat="1">
      <c r="B91" s="886"/>
      <c r="C91" s="886"/>
      <c r="E91" s="22"/>
    </row>
    <row r="92" spans="2:5" s="21" customFormat="1">
      <c r="B92" s="886"/>
      <c r="C92" s="886"/>
      <c r="E92" s="22"/>
    </row>
    <row r="93" spans="2:5" s="21" customFormat="1">
      <c r="B93" s="886"/>
      <c r="C93" s="886"/>
      <c r="E93" s="22"/>
    </row>
    <row r="94" spans="2:5" s="21" customFormat="1">
      <c r="B94" s="886"/>
      <c r="C94" s="886"/>
      <c r="E94" s="22"/>
    </row>
    <row r="95" spans="2:5" s="21" customFormat="1">
      <c r="B95" s="886"/>
      <c r="C95" s="886"/>
      <c r="E95" s="22"/>
    </row>
    <row r="96" spans="2:5" s="21" customFormat="1">
      <c r="B96" s="886"/>
      <c r="C96" s="886"/>
      <c r="E96" s="22"/>
    </row>
    <row r="97" spans="2:5" s="21" customFormat="1">
      <c r="B97" s="886"/>
      <c r="C97" s="886"/>
      <c r="E97" s="22"/>
    </row>
    <row r="98" spans="2:5" s="21" customFormat="1">
      <c r="B98" s="886"/>
      <c r="C98" s="886"/>
      <c r="E98" s="22"/>
    </row>
    <row r="99" spans="2:5" s="21" customFormat="1">
      <c r="B99" s="886"/>
      <c r="C99" s="886"/>
      <c r="E99" s="22"/>
    </row>
    <row r="100" spans="2:5" s="21" customFormat="1">
      <c r="B100" s="886"/>
      <c r="C100" s="886"/>
      <c r="E100" s="22"/>
    </row>
    <row r="101" spans="2:5" s="21" customFormat="1">
      <c r="B101" s="886"/>
      <c r="C101" s="886"/>
      <c r="E101" s="22"/>
    </row>
    <row r="102" spans="2:5" s="21" customFormat="1">
      <c r="B102" s="886"/>
      <c r="C102" s="886"/>
      <c r="E102" s="22"/>
    </row>
    <row r="103" spans="2:5" s="21" customFormat="1">
      <c r="B103" s="886"/>
      <c r="C103" s="886"/>
      <c r="E103" s="22"/>
    </row>
    <row r="104" spans="2:5" s="21" customFormat="1">
      <c r="B104" s="886"/>
      <c r="C104" s="886"/>
      <c r="E104" s="22"/>
    </row>
    <row r="105" spans="2:5" s="21" customFormat="1">
      <c r="B105" s="886"/>
      <c r="C105" s="886"/>
      <c r="E105" s="22"/>
    </row>
    <row r="106" spans="2:5" s="21" customFormat="1">
      <c r="B106" s="886"/>
      <c r="C106" s="886"/>
      <c r="E106" s="22"/>
    </row>
    <row r="107" spans="2:5" s="21" customFormat="1">
      <c r="B107" s="886"/>
      <c r="C107" s="886"/>
      <c r="E107" s="22"/>
    </row>
    <row r="108" spans="2:5" s="21" customFormat="1">
      <c r="B108" s="886"/>
      <c r="C108" s="886"/>
      <c r="E108" s="22"/>
    </row>
    <row r="109" spans="2:5" s="21" customFormat="1">
      <c r="B109" s="886"/>
      <c r="C109" s="886"/>
      <c r="E109" s="22"/>
    </row>
    <row r="110" spans="2:5" s="21" customFormat="1">
      <c r="B110" s="886"/>
      <c r="C110" s="886"/>
      <c r="E110" s="22"/>
    </row>
    <row r="111" spans="2:5" s="21" customFormat="1">
      <c r="B111" s="886"/>
      <c r="C111" s="886"/>
      <c r="E111" s="22"/>
    </row>
    <row r="112" spans="2:5" s="21" customFormat="1">
      <c r="B112" s="886"/>
      <c r="C112" s="886"/>
      <c r="E112" s="22"/>
    </row>
    <row r="113" spans="2:5" s="21" customFormat="1">
      <c r="B113" s="886"/>
      <c r="C113" s="886"/>
      <c r="E113" s="22"/>
    </row>
    <row r="114" spans="2:5" s="21" customFormat="1">
      <c r="B114" s="886"/>
      <c r="C114" s="886"/>
      <c r="E114" s="22"/>
    </row>
    <row r="115" spans="2:5" s="21" customFormat="1">
      <c r="B115" s="886"/>
      <c r="C115" s="886"/>
      <c r="E115" s="22"/>
    </row>
    <row r="116" spans="2:5" s="21" customFormat="1">
      <c r="B116" s="886"/>
      <c r="C116" s="886"/>
      <c r="E116" s="22"/>
    </row>
    <row r="117" spans="2:5" s="21" customFormat="1">
      <c r="B117" s="886"/>
      <c r="C117" s="886"/>
      <c r="E117" s="22"/>
    </row>
    <row r="118" spans="2:5" s="21" customFormat="1">
      <c r="B118" s="886"/>
      <c r="C118" s="886"/>
      <c r="E118" s="22"/>
    </row>
    <row r="119" spans="2:5" s="21" customFormat="1">
      <c r="B119" s="886"/>
      <c r="C119" s="886"/>
      <c r="E119" s="22"/>
    </row>
    <row r="120" spans="2:5" s="21" customFormat="1">
      <c r="B120" s="886"/>
      <c r="C120" s="886"/>
      <c r="E120" s="22"/>
    </row>
    <row r="121" spans="2:5" s="21" customFormat="1">
      <c r="B121" s="886"/>
      <c r="C121" s="886"/>
      <c r="E121" s="22"/>
    </row>
    <row r="122" spans="2:5" s="21" customFormat="1">
      <c r="B122" s="886"/>
      <c r="C122" s="886"/>
      <c r="E122" s="22"/>
    </row>
    <row r="123" spans="2:5" s="21" customFormat="1">
      <c r="B123" s="886"/>
      <c r="C123" s="886"/>
      <c r="E123" s="22"/>
    </row>
    <row r="124" spans="2:5" s="21" customFormat="1">
      <c r="B124" s="886"/>
      <c r="C124" s="886"/>
      <c r="E124" s="22"/>
    </row>
    <row r="125" spans="2:5" s="21" customFormat="1">
      <c r="B125" s="886"/>
      <c r="C125" s="886"/>
      <c r="E125" s="22"/>
    </row>
    <row r="126" spans="2:5" s="21" customFormat="1">
      <c r="B126" s="886"/>
      <c r="C126" s="886"/>
      <c r="E126" s="22"/>
    </row>
    <row r="127" spans="2:5" s="21" customFormat="1">
      <c r="B127" s="886"/>
      <c r="C127" s="886"/>
      <c r="E127" s="22"/>
    </row>
    <row r="128" spans="2:5" s="21" customFormat="1">
      <c r="B128" s="886"/>
      <c r="C128" s="886"/>
      <c r="E128" s="22"/>
    </row>
    <row r="129" spans="2:5" s="21" customFormat="1">
      <c r="B129" s="886"/>
      <c r="C129" s="886"/>
      <c r="E129" s="22"/>
    </row>
    <row r="130" spans="2:5" s="21" customFormat="1">
      <c r="B130" s="886"/>
      <c r="C130" s="886"/>
      <c r="E130" s="22"/>
    </row>
    <row r="131" spans="2:5" s="21" customFormat="1">
      <c r="B131" s="886"/>
      <c r="C131" s="886"/>
      <c r="E131" s="22"/>
    </row>
    <row r="132" spans="2:5" s="21" customFormat="1">
      <c r="B132" s="886"/>
      <c r="C132" s="886"/>
      <c r="E132" s="22"/>
    </row>
    <row r="133" spans="2:5" s="21" customFormat="1">
      <c r="B133" s="886"/>
      <c r="C133" s="886"/>
      <c r="E133" s="22"/>
    </row>
    <row r="134" spans="2:5" s="21" customFormat="1">
      <c r="B134" s="886"/>
      <c r="C134" s="886"/>
      <c r="E134" s="22"/>
    </row>
    <row r="135" spans="2:5" s="21" customFormat="1">
      <c r="B135" s="886"/>
      <c r="C135" s="886"/>
      <c r="E135" s="22"/>
    </row>
    <row r="136" spans="2:5" s="21" customFormat="1">
      <c r="B136" s="886"/>
      <c r="C136" s="886"/>
      <c r="E136" s="22"/>
    </row>
    <row r="137" spans="2:5" s="21" customFormat="1">
      <c r="B137" s="886"/>
      <c r="C137" s="886"/>
      <c r="E137" s="22"/>
    </row>
    <row r="138" spans="2:5" s="21" customFormat="1">
      <c r="B138" s="886"/>
      <c r="C138" s="886"/>
      <c r="E138" s="22"/>
    </row>
    <row r="139" spans="2:5" s="21" customFormat="1">
      <c r="B139" s="886"/>
      <c r="C139" s="886"/>
      <c r="E139" s="22"/>
    </row>
    <row r="140" spans="2:5" s="21" customFormat="1">
      <c r="B140" s="886"/>
      <c r="C140" s="886"/>
      <c r="E140" s="22"/>
    </row>
    <row r="141" spans="2:5" s="21" customFormat="1">
      <c r="B141" s="886"/>
      <c r="C141" s="886"/>
      <c r="E141" s="22"/>
    </row>
    <row r="142" spans="2:5" s="21" customFormat="1">
      <c r="B142" s="886"/>
      <c r="C142" s="886"/>
      <c r="E142" s="22"/>
    </row>
    <row r="143" spans="2:5" s="21" customFormat="1">
      <c r="B143" s="886"/>
      <c r="C143" s="886"/>
      <c r="E143" s="22"/>
    </row>
    <row r="144" spans="2:5" s="21" customFormat="1">
      <c r="B144" s="886"/>
      <c r="C144" s="886"/>
      <c r="E144" s="22"/>
    </row>
    <row r="145" spans="1:5" s="21" customFormat="1">
      <c r="B145" s="22"/>
      <c r="C145" s="22"/>
      <c r="E145" s="22"/>
    </row>
    <row r="146" spans="1:5" s="21" customFormat="1">
      <c r="B146" s="22"/>
      <c r="C146" s="22"/>
      <c r="E146" s="22"/>
    </row>
    <row r="147" spans="1:5" s="21" customFormat="1">
      <c r="A147" s="740"/>
      <c r="B147" s="19"/>
      <c r="C147" s="19"/>
      <c r="E147" s="22"/>
    </row>
    <row r="148" spans="1:5" s="21" customFormat="1">
      <c r="A148" s="872"/>
      <c r="B148" s="873"/>
      <c r="C148" s="874"/>
      <c r="E148" s="22"/>
    </row>
    <row r="149" spans="1:5" s="21" customFormat="1">
      <c r="A149" s="872"/>
      <c r="B149" s="873"/>
      <c r="C149" s="874"/>
      <c r="E149" s="22"/>
    </row>
    <row r="150" spans="1:5" s="21" customFormat="1">
      <c r="A150" s="881"/>
      <c r="B150" s="882"/>
      <c r="C150" s="883"/>
      <c r="E150" s="22"/>
    </row>
    <row r="151" spans="1:5" s="21" customFormat="1">
      <c r="A151" s="740"/>
      <c r="B151" s="20"/>
      <c r="C151" s="19"/>
      <c r="E151" s="22"/>
    </row>
    <row r="152" spans="1:5" s="21" customFormat="1">
      <c r="A152" s="740"/>
      <c r="B152" s="20"/>
      <c r="C152" s="19"/>
      <c r="E152" s="22"/>
    </row>
    <row r="153" spans="1:5" s="21" customFormat="1">
      <c r="A153" s="740"/>
      <c r="B153" s="20"/>
      <c r="C153" s="19"/>
      <c r="E153" s="22"/>
    </row>
    <row r="154" spans="1:5" s="21" customFormat="1">
      <c r="A154" s="740"/>
      <c r="B154" s="20"/>
      <c r="C154" s="19"/>
      <c r="E154" s="22"/>
    </row>
    <row r="155" spans="1:5" s="21" customFormat="1">
      <c r="A155" s="872"/>
      <c r="B155" s="873"/>
      <c r="C155" s="874"/>
      <c r="E155" s="22"/>
    </row>
    <row r="156" spans="1:5" s="21" customFormat="1">
      <c r="A156" s="875"/>
      <c r="B156" s="876"/>
      <c r="C156" s="877"/>
      <c r="E156" s="22"/>
    </row>
    <row r="157" spans="1:5" s="21" customFormat="1">
      <c r="A157" s="878"/>
      <c r="B157" s="879"/>
      <c r="C157" s="880"/>
      <c r="E157" s="22"/>
    </row>
    <row r="158" spans="1:5" s="21" customFormat="1">
      <c r="A158" s="740"/>
      <c r="B158" s="19"/>
      <c r="C158" s="19"/>
      <c r="E158" s="22"/>
    </row>
    <row r="159" spans="1:5" s="21" customFormat="1">
      <c r="A159" s="917"/>
      <c r="B159" s="19"/>
      <c r="C159" s="19"/>
      <c r="E159" s="22"/>
    </row>
    <row r="160" spans="1:5" s="21" customFormat="1">
      <c r="A160" s="740"/>
      <c r="B160" s="19"/>
      <c r="C160" s="19"/>
      <c r="E160" s="22"/>
    </row>
    <row r="161" spans="1:5" s="21" customFormat="1">
      <c r="A161" s="740"/>
      <c r="B161" s="19"/>
      <c r="C161" s="19"/>
      <c r="E161" s="22"/>
    </row>
    <row r="162" spans="1:5" s="21" customFormat="1">
      <c r="A162" s="740"/>
      <c r="B162" s="19"/>
      <c r="C162" s="19"/>
      <c r="E162" s="22"/>
    </row>
    <row r="163" spans="1:5" s="21" customFormat="1">
      <c r="A163" s="740"/>
      <c r="B163" s="19"/>
      <c r="C163" s="19"/>
      <c r="E163" s="22"/>
    </row>
    <row r="164" spans="1:5" s="21" customFormat="1">
      <c r="A164" s="740"/>
      <c r="B164" s="19"/>
      <c r="C164" s="19"/>
      <c r="E164" s="22"/>
    </row>
    <row r="165" spans="1:5" s="21" customFormat="1">
      <c r="A165" s="740"/>
      <c r="B165" s="19"/>
      <c r="C165" s="19"/>
      <c r="E165" s="22"/>
    </row>
    <row r="166" spans="1:5" s="21" customFormat="1">
      <c r="A166" s="740"/>
      <c r="B166" s="19"/>
      <c r="C166" s="19"/>
      <c r="E166" s="22"/>
    </row>
    <row r="167" spans="1:5" s="21" customFormat="1">
      <c r="A167" s="740"/>
      <c r="B167" s="20"/>
      <c r="C167" s="19"/>
      <c r="D167" s="22"/>
      <c r="E167" s="22"/>
    </row>
    <row r="168" spans="1:5" s="21" customFormat="1">
      <c r="A168" s="740"/>
      <c r="B168" s="19"/>
      <c r="C168" s="19"/>
      <c r="D168" s="22"/>
      <c r="E168" s="22"/>
    </row>
    <row r="169" spans="1:5" s="21" customFormat="1">
      <c r="A169" s="740"/>
      <c r="B169" s="19"/>
      <c r="C169" s="19"/>
      <c r="E169" s="22"/>
    </row>
    <row r="170" spans="1:5" s="21" customFormat="1">
      <c r="A170" s="872"/>
      <c r="B170" s="873"/>
      <c r="C170" s="874"/>
      <c r="E170" s="22"/>
    </row>
    <row r="171" spans="1:5" s="21" customFormat="1">
      <c r="A171" s="875"/>
      <c r="B171" s="876"/>
      <c r="C171" s="877"/>
      <c r="D171" s="22"/>
      <c r="E171" s="22"/>
    </row>
    <row r="172" spans="1:5" s="21" customFormat="1">
      <c r="A172" s="875"/>
      <c r="B172" s="876"/>
      <c r="C172" s="877"/>
      <c r="D172" s="22"/>
      <c r="E172" s="22"/>
    </row>
    <row r="173" spans="1:5" s="21" customFormat="1">
      <c r="A173" s="875"/>
      <c r="B173" s="876"/>
      <c r="C173" s="877"/>
      <c r="E173" s="22"/>
    </row>
    <row r="174" spans="1:5" s="21" customFormat="1">
      <c r="A174" s="875"/>
      <c r="B174" s="876"/>
      <c r="C174" s="877"/>
      <c r="E174" s="22"/>
    </row>
    <row r="175" spans="1:5" s="21" customFormat="1">
      <c r="A175" s="875"/>
      <c r="B175" s="876"/>
      <c r="C175" s="877"/>
      <c r="E175" s="22"/>
    </row>
    <row r="176" spans="1:5" s="21" customFormat="1">
      <c r="A176" s="875"/>
      <c r="B176" s="876"/>
      <c r="C176" s="877"/>
      <c r="E176" s="22"/>
    </row>
    <row r="177" spans="1:5" s="21" customFormat="1">
      <c r="A177" s="875"/>
      <c r="B177" s="876"/>
      <c r="C177" s="877"/>
      <c r="E177" s="22"/>
    </row>
    <row r="178" spans="1:5" s="21" customFormat="1">
      <c r="A178" s="875"/>
      <c r="B178" s="876"/>
      <c r="C178" s="877"/>
      <c r="D178" s="22"/>
      <c r="E178" s="22"/>
    </row>
    <row r="179" spans="1:5" s="21" customFormat="1">
      <c r="A179" s="878"/>
      <c r="B179" s="879"/>
      <c r="C179" s="879"/>
      <c r="D179" s="22"/>
      <c r="E179" s="22"/>
    </row>
    <row r="180" spans="1:5" s="21" customFormat="1">
      <c r="A180" s="740"/>
      <c r="B180" s="19"/>
      <c r="C180" s="19"/>
      <c r="D180" s="22"/>
      <c r="E180" s="22"/>
    </row>
    <row r="181" spans="1:5" s="21" customFormat="1">
      <c r="A181" s="881"/>
      <c r="B181" s="882"/>
      <c r="C181" s="883"/>
      <c r="E181" s="22"/>
    </row>
    <row r="182" spans="1:5" s="21" customFormat="1">
      <c r="A182" s="740"/>
      <c r="B182" s="19"/>
      <c r="C182" s="19"/>
      <c r="E182" s="22"/>
    </row>
    <row r="183" spans="1:5" s="21" customFormat="1">
      <c r="A183" s="881"/>
      <c r="B183" s="882"/>
      <c r="C183" s="883"/>
      <c r="E183" s="22"/>
    </row>
    <row r="184" spans="1:5" s="21" customFormat="1">
      <c r="A184" s="740"/>
      <c r="B184" s="19"/>
      <c r="C184" s="19"/>
      <c r="E184" s="22"/>
    </row>
    <row r="185" spans="1:5" s="21" customFormat="1">
      <c r="A185" s="881"/>
      <c r="B185" s="882"/>
      <c r="C185" s="883"/>
      <c r="E185" s="22"/>
    </row>
    <row r="186" spans="1:5" s="21" customFormat="1">
      <c r="A186" s="740"/>
      <c r="B186" s="19"/>
      <c r="C186" s="19"/>
      <c r="E186" s="22"/>
    </row>
    <row r="187" spans="1:5" s="21" customFormat="1">
      <c r="A187" s="881"/>
      <c r="B187" s="882"/>
      <c r="C187" s="883"/>
      <c r="E187" s="22"/>
    </row>
    <row r="188" spans="1:5" s="21" customFormat="1">
      <c r="A188" s="740"/>
      <c r="B188" s="19"/>
      <c r="C188" s="19"/>
      <c r="E188" s="22"/>
    </row>
    <row r="189" spans="1:5" s="21" customFormat="1">
      <c r="A189" s="881"/>
      <c r="B189" s="882"/>
      <c r="C189" s="883"/>
      <c r="E189" s="22"/>
    </row>
    <row r="190" spans="1:5" s="21" customFormat="1">
      <c r="A190" s="916"/>
      <c r="B190" s="876"/>
      <c r="C190" s="876"/>
      <c r="E190" s="22"/>
    </row>
    <row r="191" spans="1:5" s="21" customFormat="1">
      <c r="A191" s="881"/>
      <c r="B191" s="882"/>
      <c r="C191" s="883"/>
      <c r="E191" s="22"/>
    </row>
    <row r="192" spans="1:5" s="21" customFormat="1">
      <c r="A192" s="881"/>
      <c r="B192" s="882"/>
      <c r="C192" s="883"/>
      <c r="E192" s="22"/>
    </row>
    <row r="193" spans="1:5" s="21" customFormat="1">
      <c r="A193" s="740"/>
      <c r="B193" s="19"/>
      <c r="C193" s="19"/>
      <c r="E193" s="22"/>
    </row>
    <row r="194" spans="1:5" s="21" customFormat="1">
      <c r="A194" s="881"/>
      <c r="B194" s="882"/>
      <c r="C194" s="883"/>
      <c r="E194" s="22"/>
    </row>
    <row r="195" spans="1:5" s="21" customFormat="1">
      <c r="A195" s="740"/>
      <c r="B195" s="19"/>
      <c r="C195" s="19"/>
      <c r="E195" s="22"/>
    </row>
    <row r="196" spans="1:5" s="21" customFormat="1">
      <c r="B196" s="22"/>
      <c r="C196" s="19"/>
      <c r="E196" s="22"/>
    </row>
    <row r="197" spans="1:5" s="21" customFormat="1">
      <c r="A197" s="881"/>
      <c r="B197" s="882"/>
      <c r="C197" s="882"/>
      <c r="E197" s="22"/>
    </row>
    <row r="198" spans="1:5" s="21" customFormat="1">
      <c r="A198" s="740"/>
      <c r="B198" s="19"/>
      <c r="C198" s="19"/>
      <c r="E198" s="22"/>
    </row>
    <row r="199" spans="1:5" s="21" customFormat="1">
      <c r="A199" s="882"/>
      <c r="B199" s="882"/>
      <c r="C199" s="883"/>
      <c r="E199" s="22"/>
    </row>
    <row r="200" spans="1:5" s="21" customFormat="1">
      <c r="A200" s="740"/>
      <c r="B200" s="19"/>
      <c r="C200" s="19"/>
      <c r="E200" s="22"/>
    </row>
    <row r="201" spans="1:5" s="21" customFormat="1">
      <c r="A201" s="740"/>
      <c r="B201" s="19"/>
      <c r="C201" s="19"/>
      <c r="E201" s="22"/>
    </row>
    <row r="202" spans="1:5" s="21" customFormat="1">
      <c r="A202" s="740"/>
      <c r="B202" s="19"/>
      <c r="C202" s="19"/>
      <c r="E202" s="22"/>
    </row>
    <row r="203" spans="1:5" s="21" customFormat="1">
      <c r="A203" s="740"/>
      <c r="B203" s="19"/>
      <c r="C203" s="19"/>
      <c r="E203" s="22"/>
    </row>
    <row r="204" spans="1:5" s="21" customFormat="1">
      <c r="A204" s="740"/>
      <c r="B204" s="19"/>
      <c r="C204" s="19"/>
      <c r="E204" s="22"/>
    </row>
    <row r="205" spans="1:5" s="21" customFormat="1">
      <c r="A205" s="740"/>
      <c r="B205" s="19"/>
      <c r="C205" s="19"/>
      <c r="E205" s="22"/>
    </row>
    <row r="206" spans="1:5" s="21" customFormat="1">
      <c r="A206" s="740"/>
      <c r="B206" s="19"/>
      <c r="C206" s="19"/>
      <c r="E206" s="22"/>
    </row>
    <row r="207" spans="1:5" s="21" customFormat="1">
      <c r="A207" s="740"/>
      <c r="B207" s="19"/>
      <c r="C207" s="19"/>
      <c r="E207" s="22"/>
    </row>
    <row r="208" spans="1:5" s="21" customFormat="1">
      <c r="A208" s="740"/>
      <c r="B208" s="19"/>
      <c r="C208" s="19"/>
      <c r="E208" s="22"/>
    </row>
    <row r="209" spans="1:5" s="21" customFormat="1">
      <c r="A209" s="740"/>
      <c r="B209" s="19"/>
      <c r="C209" s="19"/>
      <c r="E209" s="22"/>
    </row>
    <row r="210" spans="1:5" s="21" customFormat="1">
      <c r="A210" s="740"/>
      <c r="B210" s="19"/>
      <c r="C210" s="19"/>
      <c r="E210" s="22"/>
    </row>
    <row r="211" spans="1:5" s="21" customFormat="1">
      <c r="A211" s="740"/>
      <c r="B211" s="19"/>
      <c r="C211" s="19"/>
      <c r="E211" s="22"/>
    </row>
    <row r="212" spans="1:5" s="21" customFormat="1">
      <c r="A212" s="740"/>
      <c r="B212" s="19"/>
      <c r="C212" s="19"/>
      <c r="E212" s="22"/>
    </row>
    <row r="213" spans="1:5" s="21" customFormat="1">
      <c r="A213" s="740"/>
      <c r="B213" s="19"/>
      <c r="C213" s="19"/>
      <c r="E213" s="22"/>
    </row>
    <row r="214" spans="1:5" s="21" customFormat="1">
      <c r="A214" s="740"/>
      <c r="B214" s="19"/>
      <c r="C214" s="19"/>
      <c r="E214" s="22"/>
    </row>
    <row r="215" spans="1:5" s="21" customFormat="1">
      <c r="A215" s="740"/>
      <c r="B215" s="19"/>
      <c r="C215" s="19"/>
      <c r="E215" s="22"/>
    </row>
    <row r="216" spans="1:5" s="21" customFormat="1">
      <c r="A216" s="740"/>
      <c r="B216" s="19"/>
      <c r="C216" s="19"/>
      <c r="E216" s="22"/>
    </row>
    <row r="217" spans="1:5" s="21" customFormat="1">
      <c r="A217" s="740"/>
      <c r="B217" s="19"/>
      <c r="C217" s="19"/>
      <c r="E217" s="22"/>
    </row>
    <row r="218" spans="1:5" s="21" customFormat="1">
      <c r="A218" s="740"/>
      <c r="B218" s="19"/>
      <c r="C218" s="19"/>
      <c r="E218" s="22"/>
    </row>
    <row r="219" spans="1:5" s="21" customFormat="1">
      <c r="A219" s="740"/>
      <c r="B219" s="19"/>
      <c r="C219" s="19"/>
      <c r="E219" s="22"/>
    </row>
    <row r="220" spans="1:5" s="21" customFormat="1">
      <c r="A220" s="740"/>
      <c r="B220" s="19"/>
      <c r="C220" s="19"/>
      <c r="E220" s="22"/>
    </row>
    <row r="221" spans="1:5" s="21" customFormat="1">
      <c r="A221" s="740"/>
      <c r="B221" s="19"/>
      <c r="C221" s="19"/>
      <c r="E221" s="22"/>
    </row>
    <row r="222" spans="1:5" s="21" customFormat="1">
      <c r="A222" s="740"/>
      <c r="B222" s="19"/>
      <c r="C222" s="19"/>
      <c r="E222" s="22"/>
    </row>
    <row r="223" spans="1:5" s="21" customFormat="1">
      <c r="A223" s="740"/>
      <c r="B223" s="19"/>
      <c r="C223" s="19"/>
      <c r="E223" s="22"/>
    </row>
    <row r="224" spans="1:5" s="21" customFormat="1">
      <c r="A224" s="740"/>
      <c r="B224" s="19"/>
      <c r="C224" s="19"/>
      <c r="E224" s="22"/>
    </row>
    <row r="225" spans="1:5" s="21" customFormat="1">
      <c r="A225" s="740"/>
      <c r="B225" s="19"/>
      <c r="C225" s="19"/>
      <c r="E225" s="22"/>
    </row>
    <row r="226" spans="1:5" s="21" customFormat="1">
      <c r="A226" s="740"/>
      <c r="B226" s="19"/>
      <c r="C226" s="19"/>
      <c r="E226" s="22"/>
    </row>
    <row r="227" spans="1:5" s="21" customFormat="1">
      <c r="A227" s="740"/>
      <c r="B227" s="19"/>
      <c r="C227" s="19"/>
      <c r="E227" s="22"/>
    </row>
    <row r="228" spans="1:5" s="21" customFormat="1">
      <c r="A228" s="740"/>
      <c r="B228" s="19"/>
      <c r="C228" s="19"/>
      <c r="E228" s="22"/>
    </row>
    <row r="229" spans="1:5" s="21" customFormat="1">
      <c r="A229" s="740"/>
      <c r="B229" s="19"/>
      <c r="C229" s="19"/>
      <c r="E229" s="22"/>
    </row>
    <row r="230" spans="1:5" s="21" customFormat="1">
      <c r="A230" s="740"/>
      <c r="B230" s="19"/>
      <c r="C230" s="19"/>
      <c r="E230" s="22"/>
    </row>
    <row r="231" spans="1:5" s="21" customFormat="1">
      <c r="A231" s="740"/>
      <c r="B231" s="19"/>
      <c r="C231" s="19"/>
      <c r="E231" s="22"/>
    </row>
    <row r="232" spans="1:5" s="21" customFormat="1">
      <c r="A232" s="740"/>
      <c r="B232" s="19"/>
      <c r="C232" s="19"/>
      <c r="E232" s="22"/>
    </row>
    <row r="233" spans="1:5" s="21" customFormat="1">
      <c r="A233" s="740"/>
      <c r="B233" s="19"/>
      <c r="C233" s="19"/>
      <c r="E233" s="22"/>
    </row>
    <row r="234" spans="1:5" s="21" customFormat="1">
      <c r="A234" s="740"/>
      <c r="B234" s="19"/>
      <c r="C234" s="19"/>
      <c r="E234" s="22"/>
    </row>
    <row r="235" spans="1:5" s="21" customFormat="1">
      <c r="A235" s="740"/>
      <c r="B235" s="19"/>
      <c r="C235" s="19"/>
      <c r="E235" s="22"/>
    </row>
    <row r="236" spans="1:5" s="21" customFormat="1">
      <c r="A236" s="740"/>
      <c r="B236" s="19"/>
      <c r="C236" s="19"/>
      <c r="E236" s="22"/>
    </row>
    <row r="237" spans="1:5" s="21" customFormat="1">
      <c r="A237" s="740"/>
      <c r="B237" s="19"/>
      <c r="C237" s="19"/>
      <c r="E237" s="22"/>
    </row>
    <row r="238" spans="1:5" s="21" customFormat="1">
      <c r="A238" s="740"/>
      <c r="B238" s="19"/>
      <c r="C238" s="19"/>
      <c r="E238" s="22"/>
    </row>
    <row r="239" spans="1:5" s="21" customFormat="1">
      <c r="A239" s="740"/>
      <c r="B239" s="19"/>
      <c r="C239" s="19"/>
      <c r="E239" s="22"/>
    </row>
    <row r="240" spans="1:5" s="21" customFormat="1">
      <c r="A240" s="740"/>
      <c r="B240" s="19"/>
      <c r="C240" s="19"/>
      <c r="E240" s="22"/>
    </row>
    <row r="241" spans="1:5" s="21" customFormat="1">
      <c r="A241" s="740"/>
      <c r="B241" s="19"/>
      <c r="C241" s="19"/>
      <c r="E241" s="22"/>
    </row>
    <row r="242" spans="1:5" s="21" customFormat="1">
      <c r="A242" s="740"/>
      <c r="B242" s="19"/>
      <c r="C242" s="19"/>
      <c r="E242" s="22"/>
    </row>
    <row r="243" spans="1:5" s="21" customFormat="1">
      <c r="A243" s="740"/>
      <c r="B243" s="19"/>
      <c r="C243" s="19"/>
      <c r="E243" s="22"/>
    </row>
    <row r="244" spans="1:5" s="21" customFormat="1">
      <c r="A244" s="740"/>
      <c r="B244" s="19"/>
      <c r="C244" s="19"/>
      <c r="E244" s="22"/>
    </row>
    <row r="245" spans="1:5" s="21" customFormat="1">
      <c r="A245" s="740"/>
      <c r="B245" s="19"/>
      <c r="C245" s="19"/>
      <c r="E245" s="22"/>
    </row>
    <row r="246" spans="1:5" s="21" customFormat="1">
      <c r="A246" s="740"/>
      <c r="B246" s="19"/>
      <c r="C246" s="19"/>
      <c r="E246" s="22"/>
    </row>
    <row r="247" spans="1:5" s="21" customFormat="1">
      <c r="A247" s="740"/>
      <c r="B247" s="19"/>
      <c r="C247" s="19"/>
      <c r="E247" s="22"/>
    </row>
    <row r="248" spans="1:5" s="21" customFormat="1">
      <c r="A248" s="740"/>
      <c r="B248" s="19"/>
      <c r="C248" s="19"/>
      <c r="E248" s="22"/>
    </row>
    <row r="249" spans="1:5" s="21" customFormat="1">
      <c r="A249" s="740"/>
      <c r="B249" s="19"/>
      <c r="C249" s="19"/>
      <c r="E249" s="22"/>
    </row>
    <row r="250" spans="1:5" s="21" customFormat="1">
      <c r="A250" s="740"/>
      <c r="B250" s="19"/>
      <c r="C250" s="19"/>
      <c r="E250" s="22"/>
    </row>
    <row r="251" spans="1:5" s="21" customFormat="1">
      <c r="A251" s="740"/>
      <c r="B251" s="19"/>
      <c r="C251" s="19"/>
      <c r="E251" s="22"/>
    </row>
    <row r="252" spans="1:5" s="21" customFormat="1">
      <c r="A252" s="740"/>
      <c r="B252" s="19"/>
      <c r="C252" s="19"/>
      <c r="E252" s="22"/>
    </row>
    <row r="253" spans="1:5" s="21" customFormat="1">
      <c r="A253" s="740"/>
      <c r="B253" s="19"/>
      <c r="C253" s="19"/>
      <c r="E253" s="22"/>
    </row>
    <row r="254" spans="1:5" s="21" customFormat="1">
      <c r="A254" s="740"/>
      <c r="B254" s="19"/>
      <c r="C254" s="19"/>
      <c r="E254" s="22"/>
    </row>
    <row r="255" spans="1:5" s="21" customFormat="1">
      <c r="A255" s="740"/>
      <c r="B255" s="19"/>
      <c r="C255" s="19"/>
      <c r="E255" s="22"/>
    </row>
    <row r="256" spans="1:5" s="21" customFormat="1">
      <c r="A256" s="740"/>
      <c r="B256" s="19"/>
      <c r="C256" s="19"/>
      <c r="E256" s="22"/>
    </row>
    <row r="257" spans="1:5" s="21" customFormat="1">
      <c r="A257" s="740"/>
      <c r="B257" s="19"/>
      <c r="C257" s="19"/>
      <c r="E257" s="22"/>
    </row>
    <row r="258" spans="1:5" s="21" customFormat="1">
      <c r="A258" s="740"/>
      <c r="B258" s="19"/>
      <c r="C258" s="19"/>
      <c r="E258" s="22"/>
    </row>
    <row r="259" spans="1:5" s="21" customFormat="1">
      <c r="A259" s="740"/>
      <c r="B259" s="19"/>
      <c r="C259" s="19"/>
      <c r="E259" s="22"/>
    </row>
    <row r="260" spans="1:5" s="21" customFormat="1">
      <c r="A260" s="740"/>
      <c r="B260" s="19"/>
      <c r="C260" s="19"/>
      <c r="E260" s="22"/>
    </row>
    <row r="261" spans="1:5" s="21" customFormat="1">
      <c r="A261" s="740"/>
      <c r="B261" s="19"/>
      <c r="C261" s="19"/>
      <c r="E261" s="22"/>
    </row>
    <row r="262" spans="1:5" s="21" customFormat="1">
      <c r="A262" s="740"/>
      <c r="B262" s="19"/>
      <c r="C262" s="19"/>
      <c r="E262" s="22"/>
    </row>
    <row r="263" spans="1:5" s="21" customFormat="1">
      <c r="A263" s="740"/>
      <c r="B263" s="19"/>
      <c r="C263" s="19"/>
      <c r="E263" s="22"/>
    </row>
    <row r="264" spans="1:5" s="21" customFormat="1">
      <c r="A264" s="740"/>
      <c r="B264" s="19"/>
      <c r="C264" s="19"/>
      <c r="E264" s="22"/>
    </row>
    <row r="265" spans="1:5" s="21" customFormat="1">
      <c r="A265" s="740"/>
      <c r="B265" s="19"/>
      <c r="C265" s="19"/>
      <c r="E265" s="22"/>
    </row>
    <row r="266" spans="1:5" s="21" customFormat="1">
      <c r="A266" s="740"/>
      <c r="B266" s="19"/>
      <c r="C266" s="19"/>
      <c r="E266" s="22"/>
    </row>
    <row r="267" spans="1:5" s="21" customFormat="1">
      <c r="A267" s="740"/>
      <c r="B267" s="19"/>
      <c r="C267" s="19"/>
      <c r="E267" s="22"/>
    </row>
    <row r="268" spans="1:5" s="21" customFormat="1">
      <c r="A268" s="740"/>
      <c r="B268" s="19"/>
      <c r="C268" s="19"/>
      <c r="E268" s="22"/>
    </row>
    <row r="269" spans="1:5" s="21" customFormat="1">
      <c r="A269" s="740"/>
      <c r="B269" s="19"/>
      <c r="C269" s="19"/>
      <c r="E269" s="22"/>
    </row>
    <row r="270" spans="1:5" s="21" customFormat="1">
      <c r="A270" s="740"/>
      <c r="B270" s="19"/>
      <c r="C270" s="19"/>
      <c r="E270" s="22"/>
    </row>
    <row r="271" spans="1:5" s="21" customFormat="1">
      <c r="A271" s="740"/>
      <c r="B271" s="19"/>
      <c r="C271" s="19"/>
      <c r="E271" s="22"/>
    </row>
    <row r="272" spans="1:5" s="21" customFormat="1">
      <c r="A272" s="740"/>
      <c r="B272" s="19"/>
      <c r="C272" s="19"/>
      <c r="E272" s="22"/>
    </row>
    <row r="273" spans="1:5" s="21" customFormat="1">
      <c r="A273" s="740"/>
      <c r="B273" s="19"/>
      <c r="C273" s="19"/>
      <c r="E273" s="22"/>
    </row>
    <row r="274" spans="1:5" s="21" customFormat="1">
      <c r="A274" s="740"/>
      <c r="B274" s="19"/>
      <c r="C274" s="19"/>
      <c r="E274" s="22"/>
    </row>
    <row r="275" spans="1:5" s="21" customFormat="1">
      <c r="A275" s="740"/>
      <c r="B275" s="19"/>
      <c r="C275" s="19"/>
      <c r="E275" s="22"/>
    </row>
    <row r="276" spans="1:5" s="21" customFormat="1">
      <c r="A276" s="740"/>
      <c r="B276" s="19"/>
      <c r="C276" s="19"/>
      <c r="E276" s="22"/>
    </row>
    <row r="277" spans="1:5" s="21" customFormat="1">
      <c r="A277" s="740"/>
      <c r="B277" s="19"/>
      <c r="C277" s="19"/>
      <c r="E277" s="22"/>
    </row>
    <row r="278" spans="1:5" s="21" customFormat="1">
      <c r="A278" s="740"/>
      <c r="B278" s="19"/>
      <c r="C278" s="19"/>
      <c r="E278" s="22"/>
    </row>
    <row r="279" spans="1:5" s="21" customFormat="1">
      <c r="A279" s="740"/>
      <c r="B279" s="19"/>
      <c r="C279" s="19"/>
      <c r="E279" s="22"/>
    </row>
    <row r="280" spans="1:5" s="21" customFormat="1">
      <c r="A280" s="740"/>
      <c r="B280" s="19"/>
      <c r="C280" s="19"/>
      <c r="E280" s="22"/>
    </row>
    <row r="281" spans="1:5" s="21" customFormat="1">
      <c r="A281" s="740"/>
      <c r="B281" s="19"/>
      <c r="C281" s="19"/>
      <c r="E281" s="22"/>
    </row>
    <row r="282" spans="1:5" s="21" customFormat="1">
      <c r="A282" s="740"/>
      <c r="B282" s="19"/>
      <c r="C282" s="19"/>
      <c r="E282" s="22"/>
    </row>
    <row r="283" spans="1:5" s="21" customFormat="1">
      <c r="A283" s="740"/>
      <c r="B283" s="19"/>
      <c r="C283" s="19"/>
      <c r="E283" s="22"/>
    </row>
    <row r="284" spans="1:5" s="21" customFormat="1">
      <c r="A284" s="740"/>
      <c r="B284" s="19"/>
      <c r="C284" s="19"/>
      <c r="E284" s="22"/>
    </row>
    <row r="285" spans="1:5" s="21" customFormat="1">
      <c r="A285" s="740"/>
      <c r="B285" s="19"/>
      <c r="C285" s="19"/>
      <c r="E285" s="22"/>
    </row>
    <row r="286" spans="1:5" s="21" customFormat="1">
      <c r="A286" s="740"/>
      <c r="B286" s="19"/>
      <c r="C286" s="19"/>
      <c r="E286" s="22"/>
    </row>
    <row r="287" spans="1:5" s="21" customFormat="1">
      <c r="A287" s="740"/>
      <c r="B287" s="19"/>
      <c r="C287" s="19"/>
      <c r="E287" s="22"/>
    </row>
    <row r="288" spans="1:5" s="21" customFormat="1">
      <c r="A288" s="740"/>
      <c r="B288" s="19"/>
      <c r="C288" s="19"/>
      <c r="E288" s="22"/>
    </row>
    <row r="289" spans="1:5" s="21" customFormat="1">
      <c r="A289" s="740"/>
      <c r="B289" s="19"/>
      <c r="C289" s="19"/>
      <c r="E289" s="22"/>
    </row>
    <row r="290" spans="1:5" s="21" customFormat="1">
      <c r="A290" s="740"/>
      <c r="B290" s="19"/>
      <c r="C290" s="19"/>
      <c r="E290" s="22"/>
    </row>
    <row r="291" spans="1:5" s="21" customFormat="1">
      <c r="A291" s="740"/>
      <c r="B291" s="19"/>
      <c r="C291" s="19"/>
      <c r="E291" s="22"/>
    </row>
    <row r="292" spans="1:5" s="21" customFormat="1">
      <c r="A292" s="740"/>
      <c r="B292" s="19"/>
      <c r="C292" s="19"/>
      <c r="E292" s="22"/>
    </row>
    <row r="293" spans="1:5" s="21" customFormat="1">
      <c r="A293" s="740"/>
      <c r="B293" s="19"/>
      <c r="C293" s="19"/>
      <c r="E293" s="22"/>
    </row>
    <row r="294" spans="1:5" s="21" customFormat="1">
      <c r="A294" s="740"/>
      <c r="B294" s="19"/>
      <c r="C294" s="19"/>
      <c r="E294" s="22"/>
    </row>
    <row r="295" spans="1:5" s="21" customFormat="1">
      <c r="A295" s="740"/>
      <c r="B295" s="19"/>
      <c r="C295" s="19"/>
      <c r="E295" s="22"/>
    </row>
    <row r="296" spans="1:5" s="21" customFormat="1">
      <c r="A296" s="740"/>
      <c r="B296" s="19"/>
      <c r="C296" s="19"/>
      <c r="E296" s="22"/>
    </row>
    <row r="297" spans="1:5" s="21" customFormat="1">
      <c r="A297" s="740"/>
      <c r="B297" s="19"/>
      <c r="C297" s="19"/>
      <c r="E297" s="22"/>
    </row>
    <row r="298" spans="1:5" s="21" customFormat="1">
      <c r="A298" s="740"/>
      <c r="B298" s="19"/>
      <c r="C298" s="19"/>
      <c r="E298" s="22"/>
    </row>
    <row r="299" spans="1:5" s="21" customFormat="1">
      <c r="A299" s="740"/>
      <c r="B299" s="19"/>
      <c r="C299" s="19"/>
      <c r="E299" s="22"/>
    </row>
    <row r="300" spans="1:5" s="21" customFormat="1">
      <c r="A300" s="740"/>
      <c r="B300" s="19"/>
      <c r="C300" s="19"/>
      <c r="E300" s="22"/>
    </row>
    <row r="301" spans="1:5" s="21" customFormat="1">
      <c r="A301" s="740"/>
      <c r="B301" s="19"/>
      <c r="C301" s="19"/>
      <c r="E301" s="22"/>
    </row>
    <row r="302" spans="1:5" s="21" customFormat="1">
      <c r="A302" s="740"/>
      <c r="B302" s="19"/>
      <c r="C302" s="19"/>
      <c r="E302" s="22"/>
    </row>
    <row r="303" spans="1:5" s="21" customFormat="1">
      <c r="A303" s="740"/>
      <c r="B303" s="19"/>
      <c r="C303" s="19"/>
      <c r="E303" s="22"/>
    </row>
    <row r="304" spans="1:5" s="21" customFormat="1">
      <c r="A304" s="740"/>
      <c r="B304" s="19"/>
      <c r="C304" s="19"/>
      <c r="E304" s="22"/>
    </row>
    <row r="305" spans="1:5" s="21" customFormat="1">
      <c r="A305" s="740"/>
      <c r="B305" s="19"/>
      <c r="C305" s="19"/>
      <c r="E305" s="22"/>
    </row>
    <row r="306" spans="1:5" s="21" customFormat="1">
      <c r="A306" s="740"/>
      <c r="B306" s="19"/>
      <c r="C306" s="19"/>
      <c r="E306" s="22"/>
    </row>
    <row r="307" spans="1:5" s="21" customFormat="1">
      <c r="A307" s="740"/>
      <c r="B307" s="19"/>
      <c r="C307" s="19"/>
      <c r="E307" s="22"/>
    </row>
    <row r="308" spans="1:5" s="21" customFormat="1">
      <c r="A308" s="740"/>
      <c r="B308" s="19"/>
      <c r="C308" s="19"/>
      <c r="E308" s="22"/>
    </row>
    <row r="309" spans="1:5" s="21" customFormat="1">
      <c r="A309" s="740"/>
      <c r="B309" s="19"/>
      <c r="C309" s="19"/>
      <c r="E309" s="22"/>
    </row>
    <row r="310" spans="1:5" s="21" customFormat="1">
      <c r="A310" s="740"/>
      <c r="B310" s="19"/>
      <c r="C310" s="19"/>
      <c r="E310" s="22"/>
    </row>
    <row r="311" spans="1:5" s="21" customFormat="1">
      <c r="A311" s="740"/>
      <c r="B311" s="19"/>
      <c r="C311" s="19"/>
      <c r="E311" s="22"/>
    </row>
    <row r="312" spans="1:5" s="21" customFormat="1">
      <c r="A312" s="740"/>
      <c r="B312" s="19"/>
      <c r="C312" s="19"/>
      <c r="E312" s="22"/>
    </row>
    <row r="313" spans="1:5" s="21" customFormat="1">
      <c r="A313" s="740"/>
      <c r="B313" s="19"/>
      <c r="C313" s="19"/>
      <c r="E313" s="22"/>
    </row>
    <row r="314" spans="1:5" s="21" customFormat="1">
      <c r="A314" s="740"/>
      <c r="B314" s="19"/>
      <c r="C314" s="19"/>
      <c r="E314" s="22"/>
    </row>
    <row r="315" spans="1:5" s="21" customFormat="1">
      <c r="A315" s="740"/>
      <c r="B315" s="19"/>
      <c r="C315" s="19"/>
      <c r="E315" s="22"/>
    </row>
    <row r="316" spans="1:5" s="21" customFormat="1">
      <c r="A316" s="740"/>
      <c r="B316" s="19"/>
      <c r="C316" s="19"/>
      <c r="E316" s="22"/>
    </row>
    <row r="317" spans="1:5" s="21" customFormat="1">
      <c r="A317" s="740"/>
      <c r="B317" s="19"/>
      <c r="C317" s="19"/>
      <c r="E317" s="22"/>
    </row>
    <row r="318" spans="1:5" s="21" customFormat="1">
      <c r="A318" s="740"/>
      <c r="B318" s="19"/>
      <c r="C318" s="19"/>
      <c r="E318" s="22"/>
    </row>
    <row r="319" spans="1:5" s="21" customFormat="1">
      <c r="A319" s="740"/>
      <c r="B319" s="19"/>
      <c r="C319" s="19"/>
      <c r="E319" s="22"/>
    </row>
    <row r="320" spans="1:5" s="21" customFormat="1">
      <c r="A320" s="740"/>
      <c r="B320" s="19"/>
      <c r="C320" s="19"/>
      <c r="E320" s="22"/>
    </row>
    <row r="321" spans="1:5" s="21" customFormat="1">
      <c r="A321" s="740"/>
      <c r="B321" s="19"/>
      <c r="C321" s="19"/>
      <c r="E321" s="22"/>
    </row>
    <row r="322" spans="1:5" s="21" customFormat="1">
      <c r="A322" s="740"/>
      <c r="B322" s="19"/>
      <c r="C322" s="19"/>
      <c r="E322" s="22"/>
    </row>
    <row r="323" spans="1:5" s="21" customFormat="1">
      <c r="A323" s="740"/>
      <c r="B323" s="19"/>
      <c r="C323" s="19"/>
      <c r="E323" s="22"/>
    </row>
    <row r="324" spans="1:5" s="21" customFormat="1">
      <c r="A324" s="740"/>
      <c r="B324" s="19"/>
      <c r="C324" s="19"/>
      <c r="E324" s="22"/>
    </row>
    <row r="325" spans="1:5" s="21" customFormat="1">
      <c r="A325" s="740"/>
      <c r="B325" s="19"/>
      <c r="C325" s="19"/>
      <c r="E325" s="22"/>
    </row>
    <row r="326" spans="1:5" s="21" customFormat="1">
      <c r="A326" s="740"/>
      <c r="B326" s="19"/>
      <c r="C326" s="19"/>
      <c r="E326" s="22"/>
    </row>
    <row r="327" spans="1:5" s="21" customFormat="1">
      <c r="A327" s="740"/>
      <c r="B327" s="19"/>
      <c r="C327" s="19"/>
      <c r="E327" s="22"/>
    </row>
    <row r="328" spans="1:5" s="21" customFormat="1">
      <c r="A328" s="740"/>
      <c r="B328" s="19"/>
      <c r="C328" s="19"/>
      <c r="E328" s="22"/>
    </row>
    <row r="329" spans="1:5" s="21" customFormat="1">
      <c r="A329" s="740"/>
      <c r="B329" s="19"/>
      <c r="C329" s="19"/>
      <c r="E329" s="22"/>
    </row>
    <row r="330" spans="1:5" s="21" customFormat="1">
      <c r="A330" s="740"/>
      <c r="B330" s="19"/>
      <c r="C330" s="19"/>
      <c r="E330" s="22"/>
    </row>
    <row r="331" spans="1:5" s="21" customFormat="1">
      <c r="A331" s="740"/>
      <c r="B331" s="19"/>
      <c r="C331" s="19"/>
      <c r="E331" s="22"/>
    </row>
    <row r="332" spans="1:5" s="21" customFormat="1">
      <c r="A332" s="740"/>
      <c r="B332" s="19"/>
      <c r="C332" s="19"/>
      <c r="E332" s="22"/>
    </row>
    <row r="333" spans="1:5" s="21" customFormat="1">
      <c r="A333" s="740"/>
      <c r="B333" s="19"/>
      <c r="C333" s="19"/>
      <c r="E333" s="22"/>
    </row>
    <row r="334" spans="1:5" s="21" customFormat="1">
      <c r="A334" s="740"/>
      <c r="B334" s="19"/>
      <c r="C334" s="19"/>
      <c r="E334" s="22"/>
    </row>
    <row r="335" spans="1:5" s="21" customFormat="1">
      <c r="A335" s="740"/>
      <c r="B335" s="19"/>
      <c r="C335" s="19"/>
      <c r="E335" s="22"/>
    </row>
    <row r="336" spans="1:5" s="21" customFormat="1">
      <c r="A336" s="740"/>
      <c r="B336" s="19"/>
      <c r="C336" s="19"/>
      <c r="E336" s="22"/>
    </row>
    <row r="337" spans="1:5" s="21" customFormat="1">
      <c r="A337" s="740"/>
      <c r="B337" s="19"/>
      <c r="C337" s="19"/>
      <c r="E337" s="22"/>
    </row>
    <row r="338" spans="1:5" s="21" customFormat="1">
      <c r="A338" s="740"/>
      <c r="B338" s="19"/>
      <c r="C338" s="19"/>
      <c r="E338" s="22"/>
    </row>
    <row r="339" spans="1:5" s="21" customFormat="1">
      <c r="A339" s="740"/>
      <c r="B339" s="19"/>
      <c r="C339" s="19"/>
      <c r="E339" s="22"/>
    </row>
    <row r="340" spans="1:5" s="21" customFormat="1">
      <c r="A340" s="740"/>
      <c r="B340" s="19"/>
      <c r="C340" s="19"/>
      <c r="E340" s="22"/>
    </row>
    <row r="341" spans="1:5" s="21" customFormat="1">
      <c r="A341" s="740"/>
      <c r="B341" s="19"/>
      <c r="C341" s="19"/>
      <c r="E341" s="22"/>
    </row>
    <row r="342" spans="1:5" s="21" customFormat="1">
      <c r="A342" s="740"/>
      <c r="B342" s="19"/>
      <c r="C342" s="19"/>
      <c r="E342" s="22"/>
    </row>
    <row r="343" spans="1:5" s="21" customFormat="1">
      <c r="A343" s="740"/>
      <c r="B343" s="19"/>
      <c r="C343" s="19"/>
      <c r="E343" s="22"/>
    </row>
    <row r="344" spans="1:5" s="21" customFormat="1">
      <c r="A344" s="740"/>
      <c r="B344" s="19"/>
      <c r="C344" s="19"/>
      <c r="E344" s="22"/>
    </row>
    <row r="345" spans="1:5" s="21" customFormat="1">
      <c r="A345" s="740"/>
      <c r="B345" s="19"/>
      <c r="C345" s="19"/>
      <c r="E345" s="22"/>
    </row>
    <row r="346" spans="1:5" s="21" customFormat="1">
      <c r="A346" s="740"/>
      <c r="B346" s="19"/>
      <c r="C346" s="19"/>
      <c r="E346" s="22"/>
    </row>
    <row r="347" spans="1:5" s="21" customFormat="1">
      <c r="A347" s="740"/>
      <c r="B347" s="19"/>
      <c r="C347" s="19"/>
      <c r="E347" s="22"/>
    </row>
    <row r="348" spans="1:5" s="21" customFormat="1">
      <c r="A348" s="740"/>
      <c r="B348" s="19"/>
      <c r="C348" s="19"/>
      <c r="E348" s="22"/>
    </row>
    <row r="349" spans="1:5" s="21" customFormat="1">
      <c r="A349" s="740"/>
      <c r="B349" s="19"/>
      <c r="C349" s="19"/>
      <c r="E349" s="22"/>
    </row>
    <row r="350" spans="1:5" s="21" customFormat="1">
      <c r="A350" s="740"/>
      <c r="B350" s="19"/>
      <c r="C350" s="19"/>
      <c r="E350" s="22"/>
    </row>
    <row r="351" spans="1:5" s="21" customFormat="1">
      <c r="A351" s="740"/>
      <c r="B351" s="19"/>
      <c r="C351" s="19"/>
      <c r="E351" s="22"/>
    </row>
    <row r="352" spans="1:5" s="21" customFormat="1">
      <c r="A352" s="740"/>
      <c r="B352" s="19"/>
      <c r="C352" s="19"/>
      <c r="E352" s="22"/>
    </row>
    <row r="353" spans="1:5" s="21" customFormat="1">
      <c r="A353" s="740"/>
      <c r="B353" s="19"/>
      <c r="C353" s="19"/>
      <c r="E353" s="22"/>
    </row>
    <row r="354" spans="1:5" s="21" customFormat="1">
      <c r="A354" s="740"/>
      <c r="B354" s="19"/>
      <c r="C354" s="19"/>
      <c r="E354" s="22"/>
    </row>
    <row r="355" spans="1:5" s="21" customFormat="1">
      <c r="A355" s="740"/>
      <c r="B355" s="19"/>
      <c r="C355" s="19"/>
      <c r="E355" s="22"/>
    </row>
    <row r="356" spans="1:5" s="21" customFormat="1">
      <c r="A356" s="740"/>
      <c r="B356" s="19"/>
      <c r="C356" s="19"/>
      <c r="E356" s="22"/>
    </row>
    <row r="357" spans="1:5" s="21" customFormat="1">
      <c r="A357" s="740"/>
      <c r="B357" s="19"/>
      <c r="C357" s="19"/>
      <c r="E357" s="22"/>
    </row>
    <row r="358" spans="1:5" s="21" customFormat="1">
      <c r="A358" s="740"/>
      <c r="B358" s="19"/>
      <c r="C358" s="19"/>
      <c r="E358" s="22"/>
    </row>
    <row r="359" spans="1:5" s="21" customFormat="1">
      <c r="A359" s="740"/>
      <c r="B359" s="19"/>
      <c r="C359" s="19"/>
      <c r="E359" s="22"/>
    </row>
    <row r="360" spans="1:5" s="21" customFormat="1">
      <c r="A360" s="740"/>
      <c r="B360" s="19"/>
      <c r="C360" s="19"/>
      <c r="E360" s="22"/>
    </row>
    <row r="361" spans="1:5" s="21" customFormat="1">
      <c r="A361" s="740"/>
      <c r="B361" s="19"/>
      <c r="C361" s="19"/>
      <c r="E361" s="22"/>
    </row>
    <row r="362" spans="1:5" s="21" customFormat="1">
      <c r="A362" s="740"/>
      <c r="B362" s="19"/>
      <c r="C362" s="19"/>
      <c r="E362" s="22"/>
    </row>
    <row r="363" spans="1:5" s="21" customFormat="1">
      <c r="A363" s="740"/>
      <c r="B363" s="19"/>
      <c r="C363" s="19"/>
      <c r="E363" s="22"/>
    </row>
    <row r="364" spans="1:5" s="21" customFormat="1">
      <c r="A364" s="740"/>
      <c r="B364" s="19"/>
      <c r="C364" s="19"/>
      <c r="E364" s="22"/>
    </row>
    <row r="365" spans="1:5" s="21" customFormat="1">
      <c r="A365" s="740"/>
      <c r="B365" s="19"/>
      <c r="C365" s="19"/>
      <c r="E365" s="22"/>
    </row>
    <row r="366" spans="1:5" s="21" customFormat="1">
      <c r="A366" s="740"/>
      <c r="B366" s="19"/>
      <c r="C366" s="19"/>
      <c r="E366" s="22"/>
    </row>
    <row r="367" spans="1:5" s="21" customFormat="1">
      <c r="A367" s="740"/>
      <c r="B367" s="19"/>
      <c r="C367" s="19"/>
      <c r="E367" s="22"/>
    </row>
    <row r="368" spans="1:5" s="21" customFormat="1">
      <c r="A368" s="740"/>
      <c r="B368" s="19"/>
      <c r="C368" s="19"/>
      <c r="E368" s="22"/>
    </row>
    <row r="369" spans="1:5" s="21" customFormat="1">
      <c r="A369" s="740"/>
      <c r="B369" s="19"/>
      <c r="C369" s="19"/>
      <c r="E369" s="22"/>
    </row>
    <row r="370" spans="1:5" s="21" customFormat="1">
      <c r="A370" s="740"/>
      <c r="B370" s="19"/>
      <c r="C370" s="19"/>
      <c r="E370" s="22"/>
    </row>
    <row r="371" spans="1:5" s="21" customFormat="1">
      <c r="A371" s="740"/>
      <c r="B371" s="19"/>
      <c r="C371" s="19"/>
      <c r="E371" s="22"/>
    </row>
    <row r="372" spans="1:5" s="21" customFormat="1">
      <c r="A372" s="740"/>
      <c r="B372" s="19"/>
      <c r="C372" s="19"/>
      <c r="E372" s="22"/>
    </row>
    <row r="373" spans="1:5" s="21" customFormat="1">
      <c r="A373" s="740"/>
      <c r="B373" s="19"/>
      <c r="C373" s="19"/>
      <c r="E373" s="22"/>
    </row>
    <row r="374" spans="1:5" s="21" customFormat="1">
      <c r="A374" s="740"/>
      <c r="B374" s="19"/>
      <c r="C374" s="19"/>
      <c r="E374" s="22"/>
    </row>
    <row r="375" spans="1:5" s="21" customFormat="1">
      <c r="A375" s="740"/>
      <c r="B375" s="19"/>
      <c r="C375" s="19"/>
      <c r="E375" s="22"/>
    </row>
    <row r="376" spans="1:5" s="21" customFormat="1">
      <c r="A376" s="740"/>
      <c r="B376" s="19"/>
      <c r="C376" s="19"/>
      <c r="E376" s="22"/>
    </row>
    <row r="377" spans="1:5" s="21" customFormat="1">
      <c r="A377" s="740"/>
      <c r="B377" s="19"/>
      <c r="C377" s="19"/>
      <c r="E377" s="22"/>
    </row>
    <row r="378" spans="1:5" s="21" customFormat="1">
      <c r="A378" s="740"/>
      <c r="B378" s="19"/>
      <c r="C378" s="19"/>
      <c r="E378" s="22"/>
    </row>
    <row r="379" spans="1:5" s="21" customFormat="1">
      <c r="A379" s="740"/>
      <c r="B379" s="19"/>
      <c r="C379" s="19"/>
      <c r="E379" s="22"/>
    </row>
    <row r="380" spans="1:5" s="21" customFormat="1">
      <c r="A380" s="740"/>
      <c r="B380" s="19"/>
      <c r="C380" s="19"/>
      <c r="E380" s="22"/>
    </row>
    <row r="381" spans="1:5" s="21" customFormat="1">
      <c r="A381" s="740"/>
      <c r="B381" s="19"/>
      <c r="C381" s="19"/>
      <c r="E381" s="22"/>
    </row>
    <row r="382" spans="1:5" s="21" customFormat="1">
      <c r="A382" s="740"/>
      <c r="B382" s="19"/>
      <c r="C382" s="19"/>
      <c r="E382" s="22"/>
    </row>
    <row r="383" spans="1:5" s="21" customFormat="1">
      <c r="A383" s="740"/>
      <c r="B383" s="19"/>
      <c r="C383" s="19"/>
      <c r="E383" s="22"/>
    </row>
    <row r="384" spans="1:5" s="21" customFormat="1">
      <c r="A384" s="740"/>
      <c r="B384" s="19"/>
      <c r="C384" s="19"/>
      <c r="E384" s="22"/>
    </row>
    <row r="385" spans="1:5" s="21" customFormat="1">
      <c r="A385" s="740"/>
      <c r="B385" s="19"/>
      <c r="C385" s="19"/>
      <c r="E385" s="22"/>
    </row>
    <row r="386" spans="1:5" s="21" customFormat="1">
      <c r="A386" s="740"/>
      <c r="B386" s="19"/>
      <c r="C386" s="19"/>
      <c r="E386" s="22"/>
    </row>
    <row r="387" spans="1:5" s="21" customFormat="1">
      <c r="A387" s="740"/>
      <c r="B387" s="19"/>
      <c r="C387" s="19"/>
      <c r="E387" s="22"/>
    </row>
    <row r="388" spans="1:5" s="21" customFormat="1">
      <c r="A388" s="740"/>
      <c r="B388" s="19"/>
      <c r="C388" s="19"/>
      <c r="E388" s="22"/>
    </row>
    <row r="389" spans="1:5" s="21" customFormat="1">
      <c r="A389" s="740"/>
      <c r="B389" s="19"/>
      <c r="C389" s="19"/>
      <c r="E389" s="22"/>
    </row>
    <row r="390" spans="1:5" s="21" customFormat="1">
      <c r="A390" s="740"/>
      <c r="B390" s="19"/>
      <c r="C390" s="19"/>
      <c r="E390" s="22"/>
    </row>
    <row r="391" spans="1:5" s="21" customFormat="1">
      <c r="A391" s="740"/>
      <c r="B391" s="19"/>
      <c r="C391" s="19"/>
      <c r="E391" s="22"/>
    </row>
    <row r="392" spans="1:5" s="21" customFormat="1">
      <c r="A392" s="740"/>
      <c r="B392" s="19"/>
      <c r="C392" s="19"/>
      <c r="E392" s="22"/>
    </row>
    <row r="393" spans="1:5" s="21" customFormat="1">
      <c r="A393" s="740"/>
      <c r="B393" s="19"/>
      <c r="C393" s="19"/>
      <c r="E393" s="22"/>
    </row>
    <row r="394" spans="1:5" s="21" customFormat="1">
      <c r="A394" s="740"/>
      <c r="B394" s="19"/>
      <c r="C394" s="19"/>
      <c r="E394" s="22"/>
    </row>
    <row r="395" spans="1:5" s="21" customFormat="1">
      <c r="A395" s="740"/>
      <c r="B395" s="19"/>
      <c r="C395" s="19"/>
      <c r="E395" s="22"/>
    </row>
    <row r="396" spans="1:5" s="21" customFormat="1">
      <c r="A396" s="740"/>
      <c r="B396" s="19"/>
      <c r="C396" s="19"/>
      <c r="E396" s="22"/>
    </row>
    <row r="397" spans="1:5" s="21" customFormat="1">
      <c r="A397" s="740"/>
      <c r="B397" s="19"/>
      <c r="C397" s="19"/>
      <c r="E397" s="22"/>
    </row>
    <row r="398" spans="1:5" s="21" customFormat="1">
      <c r="A398" s="740"/>
      <c r="B398" s="19"/>
      <c r="C398" s="19"/>
      <c r="E398" s="22"/>
    </row>
    <row r="399" spans="1:5" s="21" customFormat="1">
      <c r="A399" s="740"/>
      <c r="B399" s="19"/>
      <c r="C399" s="19"/>
      <c r="E399" s="22"/>
    </row>
    <row r="400" spans="1:5" s="21" customFormat="1">
      <c r="A400" s="740"/>
      <c r="B400" s="19"/>
      <c r="C400" s="19"/>
      <c r="E400" s="22"/>
    </row>
    <row r="401" spans="1:5" s="21" customFormat="1">
      <c r="A401" s="740"/>
      <c r="B401" s="19"/>
      <c r="C401" s="19"/>
      <c r="E401" s="22"/>
    </row>
    <row r="402" spans="1:5" s="21" customFormat="1">
      <c r="A402" s="740"/>
      <c r="B402" s="19"/>
      <c r="C402" s="19"/>
      <c r="E402" s="22"/>
    </row>
    <row r="403" spans="1:5" s="21" customFormat="1">
      <c r="A403" s="740"/>
      <c r="B403" s="19"/>
      <c r="C403" s="19"/>
      <c r="E403" s="22"/>
    </row>
    <row r="404" spans="1:5" s="21" customFormat="1">
      <c r="A404" s="740"/>
      <c r="B404" s="19"/>
      <c r="C404" s="19"/>
      <c r="E404" s="22"/>
    </row>
    <row r="405" spans="1:5" s="21" customFormat="1">
      <c r="A405" s="740"/>
      <c r="B405" s="19"/>
      <c r="C405" s="19"/>
      <c r="E405" s="22"/>
    </row>
    <row r="406" spans="1:5" s="21" customFormat="1">
      <c r="A406" s="740"/>
      <c r="B406" s="19"/>
      <c r="C406" s="19"/>
      <c r="E406" s="22"/>
    </row>
    <row r="407" spans="1:5" s="21" customFormat="1">
      <c r="A407" s="740"/>
      <c r="B407" s="19"/>
      <c r="C407" s="19"/>
      <c r="E407" s="22"/>
    </row>
    <row r="408" spans="1:5" s="21" customFormat="1">
      <c r="A408" s="740"/>
      <c r="B408" s="19"/>
      <c r="C408" s="19"/>
      <c r="E408" s="22"/>
    </row>
    <row r="409" spans="1:5" s="21" customFormat="1">
      <c r="A409" s="740"/>
      <c r="B409" s="19"/>
      <c r="C409" s="19"/>
      <c r="E409" s="22"/>
    </row>
    <row r="410" spans="1:5" s="21" customFormat="1">
      <c r="A410" s="740"/>
      <c r="B410" s="19"/>
      <c r="C410" s="19"/>
      <c r="E410" s="22"/>
    </row>
    <row r="411" spans="1:5" s="21" customFormat="1">
      <c r="A411" s="740"/>
      <c r="B411" s="19"/>
      <c r="C411" s="19"/>
      <c r="E411" s="22"/>
    </row>
    <row r="412" spans="1:5" s="21" customFormat="1">
      <c r="A412" s="740"/>
      <c r="B412" s="19"/>
      <c r="C412" s="19"/>
      <c r="E412" s="22"/>
    </row>
    <row r="413" spans="1:5" s="21" customFormat="1">
      <c r="A413" s="740"/>
      <c r="B413" s="19"/>
      <c r="C413" s="19"/>
      <c r="E413" s="22"/>
    </row>
    <row r="414" spans="1:5" s="21" customFormat="1">
      <c r="A414" s="740"/>
      <c r="B414" s="19"/>
      <c r="C414" s="19"/>
      <c r="E414" s="22"/>
    </row>
    <row r="415" spans="1:5" s="21" customFormat="1">
      <c r="A415" s="740"/>
      <c r="B415" s="19"/>
      <c r="C415" s="19"/>
      <c r="E415" s="22"/>
    </row>
    <row r="416" spans="1:5" s="21" customFormat="1">
      <c r="A416" s="740"/>
      <c r="B416" s="19"/>
      <c r="C416" s="19"/>
      <c r="E416" s="22"/>
    </row>
    <row r="417" spans="1:5" s="21" customFormat="1">
      <c r="A417" s="740"/>
      <c r="B417" s="19"/>
      <c r="C417" s="19"/>
      <c r="E417" s="22"/>
    </row>
    <row r="418" spans="1:5" s="21" customFormat="1">
      <c r="A418" s="740"/>
      <c r="B418" s="19"/>
      <c r="C418" s="19"/>
      <c r="E418" s="22"/>
    </row>
    <row r="419" spans="1:5" s="21" customFormat="1">
      <c r="A419" s="740"/>
      <c r="B419" s="19"/>
      <c r="C419" s="19"/>
      <c r="E419" s="22"/>
    </row>
    <row r="420" spans="1:5">
      <c r="A420" s="740"/>
      <c r="B420" s="19"/>
      <c r="C420" s="19"/>
    </row>
    <row r="421" spans="1:5">
      <c r="A421" s="740"/>
      <c r="B421" s="19"/>
      <c r="C421" s="19"/>
    </row>
    <row r="422" spans="1:5">
      <c r="A422" s="740"/>
      <c r="B422" s="19"/>
      <c r="C422" s="19"/>
    </row>
    <row r="423" spans="1:5">
      <c r="A423" s="740"/>
      <c r="B423" s="19"/>
      <c r="C423" s="19"/>
    </row>
  </sheetData>
  <mergeCells count="10">
    <mergeCell ref="A71:C71"/>
    <mergeCell ref="A72:C72"/>
    <mergeCell ref="A75:C75"/>
    <mergeCell ref="A76:C76"/>
    <mergeCell ref="A4:C4"/>
    <mergeCell ref="A5:C5"/>
    <mergeCell ref="A6:C6"/>
    <mergeCell ref="A7:C7"/>
    <mergeCell ref="B68:C68"/>
    <mergeCell ref="B69:C69"/>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M45"/>
  <sheetViews>
    <sheetView topLeftCell="A8" zoomScaleNormal="100" zoomScaleSheetLayoutView="96" workbookViewId="0">
      <selection activeCell="F40" sqref="F40"/>
    </sheetView>
  </sheetViews>
  <sheetFormatPr baseColWidth="10" defaultColWidth="9.140625" defaultRowHeight="15"/>
  <cols>
    <col min="1" max="1" width="36.42578125" customWidth="1"/>
    <col min="2" max="2" width="25.7109375" customWidth="1"/>
    <col min="3" max="3" width="13.85546875" hidden="1" customWidth="1"/>
    <col min="4" max="4" width="14" hidden="1" customWidth="1"/>
    <col min="5" max="5" width="23.28515625" customWidth="1"/>
    <col min="6" max="6" width="24.28515625" customWidth="1"/>
    <col min="7" max="7" width="58.5703125" customWidth="1"/>
    <col min="8" max="8" width="0.42578125" hidden="1" customWidth="1"/>
    <col min="9" max="9" width="12" hidden="1" customWidth="1"/>
    <col min="10" max="11" width="2.5703125" hidden="1" customWidth="1"/>
    <col min="12" max="13" width="12" hidden="1" customWidth="1"/>
  </cols>
  <sheetData>
    <row r="6" spans="1:13">
      <c r="A6" s="851"/>
    </row>
    <row r="7" spans="1:13">
      <c r="A7" s="1928" t="str">
        <f>+BALANZA!B1</f>
        <v>CORPORACION DEL ACUEDUCTO Y ALCANTARILLADO DE MOCA</v>
      </c>
      <c r="B7" s="1928"/>
      <c r="C7" s="1928"/>
      <c r="D7" s="1928"/>
      <c r="E7" s="1928"/>
      <c r="F7" s="1928"/>
    </row>
    <row r="8" spans="1:13">
      <c r="A8" s="1929" t="s">
        <v>2125</v>
      </c>
      <c r="B8" s="1929"/>
      <c r="C8" s="1929"/>
      <c r="D8" s="1929"/>
      <c r="E8" s="1929"/>
      <c r="F8" s="1929"/>
    </row>
    <row r="9" spans="1:13">
      <c r="A9" s="1929" t="str">
        <f>+BALANZA!B2</f>
        <v>Del Ejercicio terminado el  31 de marzo de 2026  y  2025</v>
      </c>
      <c r="B9" s="1929"/>
      <c r="C9" s="1929"/>
      <c r="D9" s="1929"/>
      <c r="E9" s="1929"/>
      <c r="F9" s="1929"/>
    </row>
    <row r="10" spans="1:13">
      <c r="A10" s="1929" t="s">
        <v>2062</v>
      </c>
      <c r="B10" s="1929"/>
      <c r="C10" s="1929"/>
      <c r="D10" s="1929"/>
      <c r="E10" s="1929"/>
      <c r="F10" s="1929"/>
    </row>
    <row r="11" spans="1:13" ht="15.75">
      <c r="A11" s="857"/>
      <c r="B11" s="857"/>
      <c r="C11" s="858"/>
      <c r="D11" s="839"/>
      <c r="E11" s="857"/>
    </row>
    <row r="12" spans="1:13" ht="15.75">
      <c r="A12" s="857"/>
      <c r="B12" s="839"/>
      <c r="C12" s="858"/>
      <c r="D12" s="839"/>
      <c r="E12" s="839"/>
      <c r="F12" s="859"/>
    </row>
    <row r="13" spans="1:13" ht="47.25">
      <c r="A13" s="857"/>
      <c r="B13" s="858" t="s">
        <v>2126</v>
      </c>
      <c r="C13" s="858" t="s">
        <v>2127</v>
      </c>
      <c r="D13" s="858" t="s">
        <v>2128</v>
      </c>
      <c r="E13" s="858" t="s">
        <v>2129</v>
      </c>
      <c r="F13" s="858" t="s">
        <v>2130</v>
      </c>
    </row>
    <row r="14" spans="1:13" ht="15.75">
      <c r="A14" s="857"/>
      <c r="B14" s="854"/>
      <c r="C14" s="858"/>
      <c r="E14" s="854"/>
      <c r="F14" s="854"/>
    </row>
    <row r="15" spans="1:13">
      <c r="A15" s="860"/>
      <c r="B15" s="860"/>
      <c r="C15" s="860"/>
      <c r="D15" s="860"/>
      <c r="E15" s="860"/>
      <c r="F15" s="860"/>
    </row>
    <row r="16" spans="1:13" ht="15.75">
      <c r="A16" s="1550" t="s">
        <v>4094</v>
      </c>
      <c r="B16" s="1489">
        <f>+'ES F '!C55</f>
        <v>808793054.60000002</v>
      </c>
      <c r="C16" s="1489">
        <v>0</v>
      </c>
      <c r="D16" s="1489">
        <v>0</v>
      </c>
      <c r="E16" s="1489">
        <f>+'Notas NF'!D460</f>
        <v>277803499.63989997</v>
      </c>
      <c r="F16" s="1489">
        <f>SUM(B16:E16)</f>
        <v>1086596554.2399001</v>
      </c>
      <c r="G16" s="11"/>
      <c r="H16" s="1290">
        <v>1133188732.25</v>
      </c>
      <c r="I16">
        <v>808793054.60000002</v>
      </c>
      <c r="J16">
        <v>0</v>
      </c>
      <c r="K16">
        <v>0</v>
      </c>
      <c r="L16">
        <v>236147019.97999999</v>
      </c>
      <c r="M16">
        <v>1044940074.58</v>
      </c>
    </row>
    <row r="17" spans="1:13" ht="15.75" hidden="1">
      <c r="A17" s="1490" t="s">
        <v>2131</v>
      </c>
      <c r="B17" s="1491"/>
      <c r="C17" s="1489">
        <v>0</v>
      </c>
      <c r="D17" s="1492"/>
      <c r="E17" s="1493"/>
      <c r="F17" s="1489">
        <f>SUM(B17:E17)</f>
        <v>0</v>
      </c>
      <c r="H17">
        <v>0</v>
      </c>
      <c r="J17">
        <v>0</v>
      </c>
      <c r="M17">
        <v>0</v>
      </c>
    </row>
    <row r="18" spans="1:13" ht="31.5" hidden="1">
      <c r="A18" s="1490" t="s">
        <v>2132</v>
      </c>
      <c r="B18" s="1491"/>
      <c r="C18" s="1491"/>
      <c r="D18" s="1492"/>
      <c r="E18" s="1489"/>
      <c r="F18" s="1489">
        <f>SUM(B18:E18)</f>
        <v>0</v>
      </c>
      <c r="H18">
        <v>0</v>
      </c>
      <c r="M18">
        <v>0</v>
      </c>
    </row>
    <row r="19" spans="1:13" ht="15.75" customHeight="1">
      <c r="A19" s="1488" t="s">
        <v>2133</v>
      </c>
      <c r="B19" s="1491"/>
      <c r="C19" s="1491"/>
      <c r="D19" s="1493"/>
      <c r="E19" s="1489">
        <f>+'Notas NF'!D461</f>
        <v>1485895.3399999999</v>
      </c>
      <c r="F19" s="1489">
        <f>SUM(B19:E19)</f>
        <v>1485895.3399999999</v>
      </c>
      <c r="H19">
        <v>0</v>
      </c>
      <c r="L19">
        <v>0</v>
      </c>
      <c r="M19">
        <v>0</v>
      </c>
    </row>
    <row r="20" spans="1:13" ht="15.75">
      <c r="A20" s="1488" t="s">
        <v>2134</v>
      </c>
      <c r="B20" s="1489" t="s">
        <v>2135</v>
      </c>
      <c r="C20" s="1489" t="s">
        <v>2135</v>
      </c>
      <c r="D20" s="1489" t="s">
        <v>2135</v>
      </c>
      <c r="E20" s="1489">
        <f>+'Notas NF'!D462</f>
        <v>120373832.36989999</v>
      </c>
      <c r="F20" s="1489">
        <f>SUM(B20:E20)</f>
        <v>120373832.36989999</v>
      </c>
      <c r="G20" s="11"/>
      <c r="H20" s="11">
        <v>149428.04999999999</v>
      </c>
      <c r="I20" t="s">
        <v>2135</v>
      </c>
      <c r="J20" t="s">
        <v>2135</v>
      </c>
      <c r="K20" t="s">
        <v>2135</v>
      </c>
      <c r="L20">
        <v>41656479.65989995</v>
      </c>
      <c r="M20">
        <v>41656479.65989995</v>
      </c>
    </row>
    <row r="21" spans="1:13" ht="15.75">
      <c r="A21" s="1551" t="s">
        <v>4213</v>
      </c>
      <c r="B21" s="1495">
        <f>SUM(B16:B20)</f>
        <v>808793054.60000002</v>
      </c>
      <c r="C21" s="1495">
        <f>SUM(C16:C20)</f>
        <v>0</v>
      </c>
      <c r="D21" s="1495">
        <f>SUM(D16:D20)</f>
        <v>0</v>
      </c>
      <c r="E21" s="1495">
        <f>SUM(E16:E20)</f>
        <v>399663227.34979993</v>
      </c>
      <c r="F21" s="1495">
        <f>SUM(F16:F20)</f>
        <v>1208456281.9498</v>
      </c>
      <c r="G21" s="11"/>
      <c r="H21" s="11">
        <v>-88398085.719999969</v>
      </c>
      <c r="I21">
        <v>808793054.60000002</v>
      </c>
      <c r="J21">
        <v>0</v>
      </c>
      <c r="K21">
        <v>0</v>
      </c>
      <c r="L21">
        <v>277803499.63989997</v>
      </c>
      <c r="M21">
        <v>1086596554.2399001</v>
      </c>
    </row>
    <row r="22" spans="1:13" ht="15.75">
      <c r="A22" s="1494"/>
      <c r="B22" s="1495"/>
      <c r="C22" s="1495"/>
      <c r="D22" s="1495"/>
      <c r="E22" s="1495"/>
      <c r="F22" s="1495"/>
      <c r="G22" s="11"/>
      <c r="H22" s="11">
        <v>1044940074.5799999</v>
      </c>
    </row>
    <row r="23" spans="1:13" ht="15.75">
      <c r="A23" s="1494"/>
      <c r="B23" s="1495"/>
      <c r="C23" s="1495"/>
      <c r="D23" s="1495"/>
      <c r="E23" s="1495"/>
      <c r="F23" s="1495"/>
      <c r="H23" s="11"/>
    </row>
    <row r="24" spans="1:13" ht="15.75">
      <c r="A24" s="1496"/>
      <c r="B24" s="1495"/>
      <c r="C24" s="1495"/>
      <c r="D24" s="1495"/>
      <c r="E24" s="1495"/>
      <c r="F24" s="1495"/>
      <c r="H24" s="11"/>
    </row>
    <row r="25" spans="1:13" ht="15.75">
      <c r="A25" s="1552" t="s">
        <v>4213</v>
      </c>
      <c r="B25" s="1553">
        <f>+B21</f>
        <v>808793054.60000002</v>
      </c>
      <c r="C25" s="1553"/>
      <c r="D25" s="1553"/>
      <c r="E25" s="1553">
        <f>+E21</f>
        <v>399663227.34979993</v>
      </c>
      <c r="F25" s="1495">
        <f t="shared" ref="F25:F30" si="0">SUM(B25:E25)</f>
        <v>1208456281.9498</v>
      </c>
      <c r="G25" s="11"/>
      <c r="H25" s="11"/>
      <c r="I25">
        <v>808793054.60000002</v>
      </c>
      <c r="L25">
        <v>277803499.63989997</v>
      </c>
      <c r="M25">
        <v>1086596554.2399001</v>
      </c>
    </row>
    <row r="26" spans="1:13" ht="16.5" hidden="1" customHeight="1">
      <c r="A26" s="1488" t="s">
        <v>2131</v>
      </c>
      <c r="B26" s="1489"/>
      <c r="C26" s="1489">
        <v>0</v>
      </c>
      <c r="D26" s="1489"/>
      <c r="E26" s="1489"/>
      <c r="F26" s="1489">
        <f t="shared" si="0"/>
        <v>0</v>
      </c>
      <c r="J26">
        <v>0</v>
      </c>
      <c r="M26">
        <v>0</v>
      </c>
    </row>
    <row r="27" spans="1:13" ht="16.5" hidden="1" customHeight="1">
      <c r="A27" s="1488" t="s">
        <v>2132</v>
      </c>
      <c r="B27" s="1489"/>
      <c r="C27" s="1489"/>
      <c r="D27" s="1489">
        <v>0</v>
      </c>
      <c r="E27" s="1489"/>
      <c r="F27" s="1489">
        <f t="shared" si="0"/>
        <v>0</v>
      </c>
      <c r="K27">
        <v>0</v>
      </c>
      <c r="M27">
        <v>0</v>
      </c>
    </row>
    <row r="28" spans="1:13" ht="17.25" hidden="1" customHeight="1">
      <c r="A28" s="1488" t="s">
        <v>2136</v>
      </c>
      <c r="B28" s="1489"/>
      <c r="C28" s="1489"/>
      <c r="D28" s="1489">
        <v>0</v>
      </c>
      <c r="E28" s="1489">
        <v>0</v>
      </c>
      <c r="F28" s="1489">
        <f t="shared" si="0"/>
        <v>0</v>
      </c>
      <c r="K28">
        <v>0</v>
      </c>
      <c r="L28">
        <v>0</v>
      </c>
      <c r="M28">
        <v>0</v>
      </c>
    </row>
    <row r="29" spans="1:13" ht="15.75">
      <c r="A29" s="1488" t="s">
        <v>2133</v>
      </c>
      <c r="B29" s="1489"/>
      <c r="C29" s="1489"/>
      <c r="D29" s="1489"/>
      <c r="E29" s="1489">
        <f>+'Notas NF'!C461</f>
        <v>0</v>
      </c>
      <c r="F29" s="1489">
        <f t="shared" si="0"/>
        <v>0</v>
      </c>
      <c r="L29">
        <v>1485895.3399999999</v>
      </c>
      <c r="M29">
        <v>1485895.3399999999</v>
      </c>
    </row>
    <row r="30" spans="1:13" ht="15.75">
      <c r="A30" s="1488" t="s">
        <v>2134</v>
      </c>
      <c r="B30" s="1489" t="s">
        <v>2135</v>
      </c>
      <c r="C30" s="1489" t="s">
        <v>2135</v>
      </c>
      <c r="D30" s="1489" t="s">
        <v>2135</v>
      </c>
      <c r="E30" s="1489">
        <f>+'Notas NF'!C462</f>
        <v>202390.76999999583</v>
      </c>
      <c r="F30" s="1489">
        <f t="shared" si="0"/>
        <v>202390.76999999583</v>
      </c>
      <c r="I30" t="s">
        <v>2135</v>
      </c>
      <c r="J30" t="s">
        <v>2135</v>
      </c>
      <c r="K30" t="s">
        <v>2135</v>
      </c>
      <c r="L30">
        <v>120373832.37</v>
      </c>
      <c r="M30">
        <v>120373832.37</v>
      </c>
    </row>
    <row r="31" spans="1:13" ht="15.75">
      <c r="A31" s="1496" t="s">
        <v>4242</v>
      </c>
      <c r="B31" s="1495">
        <f>SUM(B25:B30)</f>
        <v>808793054.60000002</v>
      </c>
      <c r="C31" s="1495">
        <f>SUM(C25:C30)</f>
        <v>0</v>
      </c>
      <c r="D31" s="1495">
        <f>SUM(D25:D30)</f>
        <v>0</v>
      </c>
      <c r="E31" s="1495">
        <f>SUM(E25:E30)</f>
        <v>399865618.11979991</v>
      </c>
      <c r="F31" s="1495">
        <f>SUM(F25:F30)</f>
        <v>1208658672.7198</v>
      </c>
      <c r="G31" s="11"/>
      <c r="I31">
        <v>808793054.60000002</v>
      </c>
      <c r="J31">
        <v>0</v>
      </c>
      <c r="K31">
        <v>0</v>
      </c>
      <c r="L31">
        <v>399663227.34989995</v>
      </c>
      <c r="M31">
        <v>1208456281.9499002</v>
      </c>
    </row>
    <row r="32" spans="1:13">
      <c r="A32" s="861"/>
      <c r="B32" s="865"/>
      <c r="C32" s="865"/>
      <c r="D32" s="865"/>
      <c r="E32" s="865"/>
      <c r="F32" s="865"/>
    </row>
    <row r="33" spans="1:6" hidden="1">
      <c r="A33" s="862" t="s">
        <v>2081</v>
      </c>
      <c r="F33" s="11">
        <f>+F31-'ES F '!B60</f>
        <v>0</v>
      </c>
    </row>
    <row r="34" spans="1:6" ht="16.5" customHeight="1">
      <c r="A34" t="s">
        <v>2081</v>
      </c>
      <c r="F34" s="1675">
        <f>+F31-'ESF  (2)'!B60</f>
        <v>0</v>
      </c>
    </row>
    <row r="35" spans="1:6">
      <c r="A35" t="s">
        <v>3976</v>
      </c>
      <c r="F35" s="815"/>
    </row>
    <row r="36" spans="1:6">
      <c r="F36" s="815"/>
    </row>
    <row r="38" spans="1:6">
      <c r="A38" s="1586" t="s">
        <v>3912</v>
      </c>
      <c r="B38" s="1587"/>
      <c r="C38" s="1587"/>
      <c r="D38" s="1587"/>
      <c r="E38" s="1586" t="str">
        <f>+'EFE2'!B68</f>
        <v>Licda. María Patricia Almonte</v>
      </c>
      <c r="F38" s="1587"/>
    </row>
    <row r="39" spans="1:6">
      <c r="A39" s="339" t="s">
        <v>2207</v>
      </c>
      <c r="B39" s="341"/>
      <c r="C39" s="341"/>
      <c r="D39" s="341"/>
      <c r="E39" s="339" t="str">
        <f>+'EFE2'!B69</f>
        <v>Directora Administrativa-Financiera</v>
      </c>
      <c r="F39" s="341"/>
    </row>
    <row r="42" spans="1:6">
      <c r="A42" s="1825"/>
      <c r="B42" s="1825"/>
      <c r="C42" s="1825"/>
      <c r="D42" s="1825"/>
      <c r="E42" s="1825"/>
      <c r="F42" s="1825"/>
    </row>
    <row r="44" spans="1:6">
      <c r="A44" s="1865" t="s">
        <v>3845</v>
      </c>
      <c r="B44" s="1865"/>
      <c r="C44" s="1865"/>
      <c r="D44" s="1865"/>
      <c r="E44" s="1865"/>
      <c r="F44" s="1865"/>
    </row>
    <row r="45" spans="1:6">
      <c r="A45" s="1863" t="s">
        <v>1023</v>
      </c>
      <c r="B45" s="1863"/>
      <c r="C45" s="1863"/>
      <c r="D45" s="1863"/>
      <c r="E45" s="1863"/>
      <c r="F45" s="1863"/>
    </row>
  </sheetData>
  <mergeCells count="7">
    <mergeCell ref="A42:F42"/>
    <mergeCell ref="A44:F44"/>
    <mergeCell ref="A45:F45"/>
    <mergeCell ref="A7:F7"/>
    <mergeCell ref="A8:F8"/>
    <mergeCell ref="A9:F9"/>
    <mergeCell ref="A10:F10"/>
  </mergeCells>
  <printOptions horizontalCentered="1"/>
  <pageMargins left="1.2736614173228347" right="0.70866141732283472" top="0.74803149606299213" bottom="0.74803149606299213" header="0.31496062992125984" footer="0.31496062992125984"/>
  <pageSetup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O15"/>
  <sheetViews>
    <sheetView workbookViewId="0">
      <selection activeCell="I25" sqref="I25"/>
    </sheetView>
  </sheetViews>
  <sheetFormatPr baseColWidth="10" defaultRowHeight="15"/>
  <cols>
    <col min="1" max="1" width="3.42578125" customWidth="1"/>
    <col min="2" max="2" width="61.42578125" customWidth="1"/>
    <col min="3" max="7" width="16.85546875" hidden="1" customWidth="1"/>
    <col min="8" max="11" width="16.85546875" customWidth="1"/>
    <col min="12" max="13" width="13.5703125" bestFit="1" customWidth="1"/>
    <col min="15" max="15" width="17.28515625" customWidth="1"/>
  </cols>
  <sheetData>
    <row r="1" spans="2:15">
      <c r="B1" s="1823"/>
      <c r="C1" s="1823"/>
      <c r="D1" s="1823"/>
      <c r="E1" s="1823"/>
      <c r="F1" s="1823"/>
      <c r="G1" s="1823"/>
      <c r="H1" s="1823"/>
      <c r="I1" s="1823"/>
      <c r="J1" s="1823"/>
      <c r="K1" s="1823"/>
    </row>
    <row r="2" spans="2:15">
      <c r="B2" s="1823"/>
      <c r="C2" s="1823"/>
      <c r="D2" s="1823"/>
      <c r="E2" s="1823"/>
      <c r="F2" s="1823"/>
      <c r="G2" s="1823"/>
      <c r="H2" s="1823"/>
      <c r="I2" s="1823"/>
      <c r="J2" s="1823"/>
      <c r="K2" s="1823"/>
    </row>
    <row r="4" spans="2:15">
      <c r="B4" s="1704"/>
      <c r="C4" s="1244">
        <v>2022</v>
      </c>
      <c r="D4" s="1705" t="s">
        <v>1418</v>
      </c>
      <c r="E4" s="1705" t="s">
        <v>1434</v>
      </c>
      <c r="F4" s="1705" t="s">
        <v>1435</v>
      </c>
      <c r="G4" s="1705" t="s">
        <v>1436</v>
      </c>
      <c r="H4" s="1705" t="s">
        <v>1437</v>
      </c>
      <c r="I4" s="1705" t="s">
        <v>1438</v>
      </c>
      <c r="J4" s="1705" t="s">
        <v>1439</v>
      </c>
      <c r="K4" s="1705" t="s">
        <v>1440</v>
      </c>
      <c r="L4" s="1705" t="s">
        <v>1441</v>
      </c>
      <c r="M4" s="1705" t="s">
        <v>1410</v>
      </c>
      <c r="N4" s="1705" t="s">
        <v>1411</v>
      </c>
      <c r="O4" s="1712" t="s">
        <v>3994</v>
      </c>
    </row>
    <row r="5" spans="2:15">
      <c r="B5" s="1704" t="s">
        <v>1392</v>
      </c>
      <c r="C5" s="1704"/>
      <c r="D5" s="1704"/>
      <c r="E5" s="1704"/>
      <c r="F5" s="1704"/>
      <c r="G5" s="1704"/>
      <c r="H5" s="1704"/>
      <c r="I5" s="1704"/>
      <c r="J5" s="1704"/>
      <c r="K5" s="1704"/>
      <c r="L5" s="243"/>
      <c r="M5" s="243"/>
      <c r="N5" s="243"/>
      <c r="O5" s="243"/>
    </row>
    <row r="6" spans="2:15" ht="17.25">
      <c r="B6" s="1706" t="s">
        <v>3983</v>
      </c>
      <c r="C6" s="1707">
        <v>179181043.14000002</v>
      </c>
      <c r="D6" s="1707">
        <f>+'19'!D28</f>
        <v>14809357.609999999</v>
      </c>
      <c r="E6" s="1707">
        <f>+'19'!E28</f>
        <v>11120286.07</v>
      </c>
      <c r="F6" s="1707">
        <f>+'19'!F28</f>
        <v>19102447.57</v>
      </c>
      <c r="G6" s="1707">
        <f>+'19'!G28</f>
        <v>0</v>
      </c>
      <c r="H6" s="1707">
        <f>+'19'!H28</f>
        <v>0</v>
      </c>
      <c r="I6" s="1707">
        <f>+'19'!I28</f>
        <v>0</v>
      </c>
      <c r="J6" s="1707">
        <f>+'19'!J28</f>
        <v>0</v>
      </c>
      <c r="K6" s="1707">
        <f>+'19'!K28</f>
        <v>0</v>
      </c>
      <c r="L6" s="1707">
        <f>+'19'!L28</f>
        <v>0</v>
      </c>
      <c r="M6" s="1707">
        <f>+'19'!M28</f>
        <v>0</v>
      </c>
      <c r="N6" s="1707">
        <f>+'19'!N28</f>
        <v>0</v>
      </c>
      <c r="O6" s="1682">
        <f>SUM(D6:N6)</f>
        <v>45032091.25</v>
      </c>
    </row>
    <row r="7" spans="2:15">
      <c r="B7" s="1706" t="s">
        <v>3984</v>
      </c>
      <c r="C7" s="1707">
        <v>47161752.5</v>
      </c>
      <c r="D7" s="1707">
        <f>+'19'!D27</f>
        <v>4628652</v>
      </c>
      <c r="E7" s="1707">
        <f>+'19'!E27</f>
        <v>4628652</v>
      </c>
      <c r="F7" s="1707">
        <f>+'19'!F27</f>
        <v>4628652</v>
      </c>
      <c r="G7" s="1707">
        <f>+'19'!G27</f>
        <v>0</v>
      </c>
      <c r="H7" s="1707">
        <f>+'19'!H27</f>
        <v>0</v>
      </c>
      <c r="I7" s="1707">
        <f>+'19'!I27</f>
        <v>0</v>
      </c>
      <c r="J7" s="1707">
        <f>+'19'!J27</f>
        <v>0</v>
      </c>
      <c r="K7" s="1707">
        <f>+'19'!K27</f>
        <v>0</v>
      </c>
      <c r="L7" s="1707">
        <f>+'19'!L27</f>
        <v>0</v>
      </c>
      <c r="M7" s="1707">
        <f>+'19'!M27</f>
        <v>0</v>
      </c>
      <c r="N7" s="1707">
        <f>+'19'!N27</f>
        <v>0</v>
      </c>
      <c r="O7" s="1682">
        <f>SUM(D7:N7)</f>
        <v>13885956</v>
      </c>
    </row>
    <row r="8" spans="2:15">
      <c r="B8" s="1706" t="s">
        <v>3985</v>
      </c>
      <c r="C8" s="1707">
        <v>105296634.69999999</v>
      </c>
      <c r="D8" s="1707">
        <f>+'19'!D25</f>
        <v>3993167</v>
      </c>
      <c r="E8" s="1707">
        <f>+'19'!E25</f>
        <v>3993167</v>
      </c>
      <c r="F8" s="1707">
        <f>+'19'!F25</f>
        <v>3993167</v>
      </c>
      <c r="G8" s="1707">
        <f>+'19'!G25</f>
        <v>0</v>
      </c>
      <c r="H8" s="1707">
        <f>+'19'!H25</f>
        <v>0</v>
      </c>
      <c r="I8" s="1707">
        <f>+'19'!I25</f>
        <v>0</v>
      </c>
      <c r="J8" s="1707">
        <f>+'19'!J25</f>
        <v>0</v>
      </c>
      <c r="K8" s="1707">
        <f>+'19'!K25</f>
        <v>0</v>
      </c>
      <c r="L8" s="1707">
        <f>+'19'!L25</f>
        <v>0</v>
      </c>
      <c r="M8" s="1707">
        <f>+'19'!M25</f>
        <v>0</v>
      </c>
      <c r="N8" s="1707">
        <f>+'19'!N25</f>
        <v>0</v>
      </c>
      <c r="O8" s="1682">
        <f>SUM(D8:N8)</f>
        <v>11979501</v>
      </c>
    </row>
    <row r="9" spans="2:15">
      <c r="B9" s="1708" t="s">
        <v>3986</v>
      </c>
      <c r="C9" s="1709">
        <f t="shared" ref="C9:O9" si="0">C7+C8</f>
        <v>152458387.19999999</v>
      </c>
      <c r="D9" s="1709">
        <f t="shared" si="0"/>
        <v>8621819</v>
      </c>
      <c r="E9" s="1709">
        <f t="shared" si="0"/>
        <v>8621819</v>
      </c>
      <c r="F9" s="1709">
        <f t="shared" si="0"/>
        <v>8621819</v>
      </c>
      <c r="G9" s="1709">
        <f t="shared" si="0"/>
        <v>0</v>
      </c>
      <c r="H9" s="1709">
        <f t="shared" si="0"/>
        <v>0</v>
      </c>
      <c r="I9" s="1709">
        <f t="shared" si="0"/>
        <v>0</v>
      </c>
      <c r="J9" s="1709">
        <f t="shared" si="0"/>
        <v>0</v>
      </c>
      <c r="K9" s="1709">
        <f t="shared" si="0"/>
        <v>0</v>
      </c>
      <c r="L9" s="1709">
        <f t="shared" si="0"/>
        <v>0</v>
      </c>
      <c r="M9" s="1709">
        <f t="shared" si="0"/>
        <v>0</v>
      </c>
      <c r="N9" s="1709">
        <f t="shared" si="0"/>
        <v>0</v>
      </c>
      <c r="O9" s="1709">
        <f t="shared" si="0"/>
        <v>25865457</v>
      </c>
    </row>
    <row r="10" spans="2:15" ht="30">
      <c r="B10" s="1708" t="s">
        <v>3987</v>
      </c>
      <c r="C10" s="1709">
        <f t="shared" ref="C10:O10" si="1">C6+C9</f>
        <v>331639430.34000003</v>
      </c>
      <c r="D10" s="1709">
        <f t="shared" si="1"/>
        <v>23431176.609999999</v>
      </c>
      <c r="E10" s="1709">
        <f t="shared" si="1"/>
        <v>19742105.07</v>
      </c>
      <c r="F10" s="1709">
        <f t="shared" si="1"/>
        <v>27724266.57</v>
      </c>
      <c r="G10" s="1709">
        <f t="shared" si="1"/>
        <v>0</v>
      </c>
      <c r="H10" s="1709">
        <f t="shared" si="1"/>
        <v>0</v>
      </c>
      <c r="I10" s="1709">
        <f t="shared" si="1"/>
        <v>0</v>
      </c>
      <c r="J10" s="1709">
        <f t="shared" si="1"/>
        <v>0</v>
      </c>
      <c r="K10" s="1709">
        <f t="shared" si="1"/>
        <v>0</v>
      </c>
      <c r="L10" s="1709">
        <f t="shared" si="1"/>
        <v>0</v>
      </c>
      <c r="M10" s="1709">
        <f t="shared" si="1"/>
        <v>0</v>
      </c>
      <c r="N10" s="1709">
        <f t="shared" si="1"/>
        <v>0</v>
      </c>
      <c r="O10" s="1709">
        <f t="shared" si="1"/>
        <v>70897548.25</v>
      </c>
    </row>
    <row r="11" spans="2:15">
      <c r="B11" s="1704"/>
      <c r="C11" s="1707"/>
      <c r="D11" s="1707"/>
      <c r="E11" s="1707"/>
      <c r="F11" s="1707"/>
      <c r="G11" s="1707"/>
      <c r="H11" s="1707"/>
      <c r="I11" s="1707"/>
      <c r="J11" s="1707"/>
      <c r="K11" s="1707"/>
      <c r="L11" s="243"/>
      <c r="M11" s="243"/>
      <c r="N11" s="243"/>
      <c r="O11" s="1682">
        <f>SUM(D11:N11)</f>
        <v>0</v>
      </c>
    </row>
    <row r="12" spans="2:15">
      <c r="B12" s="1706" t="s">
        <v>3988</v>
      </c>
      <c r="C12" s="1707">
        <v>346807206.20000005</v>
      </c>
      <c r="D12" s="1707">
        <f>+'20'!D38+'21'!D35+'22'!D35+'23'!D21+'24'!D26</f>
        <v>459971.99999999994</v>
      </c>
      <c r="E12" s="1707">
        <f>+'20'!E38+'21'!E35+'22'!E35+'23'!E21+'24'!E26</f>
        <v>29058520.680000003</v>
      </c>
      <c r="F12" s="1707">
        <f>+'20'!F38+'21'!F35+'22'!F35+'23'!F21+'24'!F26</f>
        <v>26243952.75</v>
      </c>
      <c r="G12" s="1707">
        <f>+'20'!G38+'21'!G35+'22'!G35+'23'!G21+'24'!G26</f>
        <v>0</v>
      </c>
      <c r="H12" s="1707">
        <f>+'20'!H38+'21'!H35+'22'!H35+'23'!H21+'24'!H26</f>
        <v>0</v>
      </c>
      <c r="I12" s="1707">
        <f>+'20'!I38+'21'!I35+'22'!I35+'23'!I21+'24'!I26</f>
        <v>0</v>
      </c>
      <c r="J12" s="1707">
        <f>+'20'!J38+'21'!J35+'22'!J35+'23'!J21+'24'!J26</f>
        <v>0</v>
      </c>
      <c r="K12" s="1707">
        <f>+'20'!K38+'21'!K35+'22'!K35+'23'!K21+'24'!K26</f>
        <v>0</v>
      </c>
      <c r="L12" s="1707">
        <f>+'20'!L38+'21'!L35+'22'!L35+'23'!L21+'24'!L26</f>
        <v>0</v>
      </c>
      <c r="M12" s="1707">
        <f>+'20'!M38+'21'!M35+'22'!M35+'23'!M21+'24'!M26</f>
        <v>0</v>
      </c>
      <c r="N12" s="1707">
        <f>+'20'!N38+'21'!N35+'22'!N35+'23'!N21+'24'!N26</f>
        <v>0</v>
      </c>
      <c r="O12" s="1682">
        <f>SUM(D12:N12)</f>
        <v>55762445.430000007</v>
      </c>
    </row>
    <row r="13" spans="2:15">
      <c r="B13" s="1704"/>
      <c r="C13" s="1704"/>
      <c r="D13" s="1704"/>
      <c r="E13" s="1704"/>
      <c r="F13" s="1704"/>
      <c r="G13" s="1704"/>
      <c r="H13" s="1704"/>
      <c r="I13" s="1704"/>
      <c r="J13" s="1704"/>
      <c r="K13" s="1704"/>
      <c r="L13" s="243"/>
      <c r="M13" s="243"/>
      <c r="N13" s="243"/>
      <c r="O13" s="1682">
        <f>SUM(D13:N13)</f>
        <v>0</v>
      </c>
    </row>
    <row r="14" spans="2:15">
      <c r="B14" s="1710" t="s">
        <v>3989</v>
      </c>
      <c r="C14" s="1711">
        <f t="shared" ref="C14:O14" si="2">C10/C12</f>
        <v>0.95626453087236918</v>
      </c>
      <c r="D14" s="1711">
        <f t="shared" si="2"/>
        <v>50.940441179028291</v>
      </c>
      <c r="E14" s="1711">
        <f t="shared" si="2"/>
        <v>0.67939126314808662</v>
      </c>
      <c r="F14" s="1711">
        <f t="shared" si="2"/>
        <v>1.0564059017367344</v>
      </c>
      <c r="G14" s="1711" t="e">
        <f t="shared" si="2"/>
        <v>#DIV/0!</v>
      </c>
      <c r="H14" s="1711" t="e">
        <f t="shared" si="2"/>
        <v>#DIV/0!</v>
      </c>
      <c r="I14" s="1711" t="e">
        <f t="shared" si="2"/>
        <v>#DIV/0!</v>
      </c>
      <c r="J14" s="1711" t="e">
        <f t="shared" si="2"/>
        <v>#DIV/0!</v>
      </c>
      <c r="K14" s="1711" t="e">
        <f t="shared" si="2"/>
        <v>#DIV/0!</v>
      </c>
      <c r="L14" s="1711" t="e">
        <f t="shared" si="2"/>
        <v>#DIV/0!</v>
      </c>
      <c r="M14" s="1711" t="e">
        <f t="shared" si="2"/>
        <v>#DIV/0!</v>
      </c>
      <c r="N14" s="1711" t="e">
        <f t="shared" si="2"/>
        <v>#DIV/0!</v>
      </c>
      <c r="O14" s="1711">
        <f t="shared" si="2"/>
        <v>1.2714210738659133</v>
      </c>
    </row>
    <row r="15" spans="2:15">
      <c r="B15" s="1710" t="s">
        <v>3990</v>
      </c>
      <c r="C15" s="1711">
        <f t="shared" ref="C15:O15" si="3">C6/C12</f>
        <v>0.51665893884762071</v>
      </c>
      <c r="D15" s="1711">
        <f t="shared" si="3"/>
        <v>32.196215443548738</v>
      </c>
      <c r="E15" s="1711">
        <f t="shared" si="3"/>
        <v>0.38268589762223226</v>
      </c>
      <c r="F15" s="1711">
        <f t="shared" si="3"/>
        <v>0.72787997112973013</v>
      </c>
      <c r="G15" s="1711" t="e">
        <f t="shared" si="3"/>
        <v>#DIV/0!</v>
      </c>
      <c r="H15" s="1711" t="e">
        <f t="shared" si="3"/>
        <v>#DIV/0!</v>
      </c>
      <c r="I15" s="1711" t="e">
        <f t="shared" si="3"/>
        <v>#DIV/0!</v>
      </c>
      <c r="J15" s="1711" t="e">
        <f t="shared" si="3"/>
        <v>#DIV/0!</v>
      </c>
      <c r="K15" s="1711" t="e">
        <f t="shared" si="3"/>
        <v>#DIV/0!</v>
      </c>
      <c r="L15" s="1711" t="e">
        <f t="shared" si="3"/>
        <v>#DIV/0!</v>
      </c>
      <c r="M15" s="1711" t="e">
        <f t="shared" si="3"/>
        <v>#DIV/0!</v>
      </c>
      <c r="N15" s="1711" t="e">
        <f t="shared" si="3"/>
        <v>#DIV/0!</v>
      </c>
      <c r="O15" s="1711">
        <f t="shared" si="3"/>
        <v>0.80757023661255878</v>
      </c>
    </row>
  </sheetData>
  <mergeCells count="2">
    <mergeCell ref="B1:K1"/>
    <mergeCell ref="B2:K2"/>
  </mergeCells>
  <pageMargins left="0.70866141732283472" right="0.70866141732283472" top="0.74803149606299213" bottom="0.74803149606299213" header="0.31496062992125984" footer="0.31496062992125984"/>
  <pageSetup paperSize="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M49"/>
  <sheetViews>
    <sheetView tabSelected="1" topLeftCell="A2" workbookViewId="0">
      <selection activeCell="L25" sqref="L25"/>
    </sheetView>
  </sheetViews>
  <sheetFormatPr baseColWidth="10" defaultColWidth="9.140625" defaultRowHeight="15"/>
  <cols>
    <col min="1" max="1" width="3.5703125" bestFit="1" customWidth="1"/>
    <col min="2" max="2" width="38.5703125" customWidth="1"/>
    <col min="3" max="4" width="16.140625" bestFit="1" customWidth="1"/>
    <col min="5" max="5" width="16.42578125" customWidth="1"/>
    <col min="6" max="6" width="16.140625" bestFit="1" customWidth="1"/>
    <col min="7" max="8" width="11.42578125" hidden="1" customWidth="1"/>
    <col min="9" max="9" width="14.42578125" style="1280" hidden="1" customWidth="1"/>
    <col min="10" max="10" width="17" hidden="1" customWidth="1"/>
    <col min="13" max="13" width="10.140625" bestFit="1" customWidth="1"/>
  </cols>
  <sheetData>
    <row r="6" spans="1:13">
      <c r="B6" s="1825" t="str">
        <f>+BALANZA!B1</f>
        <v>CORPORACION DEL ACUEDUCTO Y ALCANTARILLADO DE MOCA</v>
      </c>
      <c r="C6" s="1825"/>
      <c r="D6" s="1825"/>
      <c r="E6" s="1825"/>
      <c r="F6" s="1825"/>
    </row>
    <row r="7" spans="1:13">
      <c r="A7" s="1932" t="s">
        <v>2137</v>
      </c>
      <c r="B7" s="1932"/>
      <c r="C7" s="1932"/>
      <c r="D7" s="1932"/>
      <c r="E7" s="1932"/>
      <c r="F7" s="1932"/>
      <c r="G7" s="863"/>
      <c r="H7" s="863"/>
    </row>
    <row r="8" spans="1:13">
      <c r="A8" s="1932" t="str">
        <f>("Durante el Periodo Terminado el "&amp;BALANZA!B3&amp;"")</f>
        <v>Durante el Periodo Terminado el 31 de marzo del 2026</v>
      </c>
      <c r="B8" s="1932"/>
      <c r="C8" s="1932"/>
      <c r="D8" s="1932"/>
      <c r="E8" s="1932"/>
      <c r="F8" s="1932"/>
      <c r="G8" s="863"/>
      <c r="H8" s="863"/>
    </row>
    <row r="9" spans="1:13">
      <c r="A9" s="1932" t="s">
        <v>2138</v>
      </c>
      <c r="B9" s="1932"/>
      <c r="C9" s="1932"/>
      <c r="D9" s="1932"/>
      <c r="E9" s="1932"/>
      <c r="F9" s="1932"/>
      <c r="G9" s="863"/>
      <c r="H9" s="863"/>
    </row>
    <row r="10" spans="1:13">
      <c r="A10" s="1933" t="s">
        <v>2139</v>
      </c>
      <c r="B10" s="1933"/>
      <c r="C10" s="1933"/>
      <c r="D10" s="1933"/>
      <c r="E10" s="1933"/>
      <c r="F10" s="1933"/>
      <c r="G10" s="864"/>
      <c r="H10" s="864"/>
    </row>
    <row r="11" spans="1:13">
      <c r="A11" s="1934"/>
      <c r="B11" s="1934"/>
      <c r="C11" s="1934"/>
      <c r="D11" s="1934"/>
      <c r="E11" s="1934"/>
      <c r="F11" s="1934"/>
      <c r="G11" s="1934"/>
      <c r="H11" s="1934"/>
    </row>
    <row r="12" spans="1:13" ht="42.75">
      <c r="A12" s="1931" t="s">
        <v>2140</v>
      </c>
      <c r="B12" s="1931"/>
      <c r="C12" s="1293" t="s">
        <v>2141</v>
      </c>
      <c r="D12" s="1293" t="s">
        <v>2142</v>
      </c>
      <c r="E12" s="1293" t="s">
        <v>2143</v>
      </c>
      <c r="F12" s="1293" t="s">
        <v>2144</v>
      </c>
    </row>
    <row r="13" spans="1:13">
      <c r="A13" s="1294">
        <v>1</v>
      </c>
      <c r="B13" s="1295" t="s">
        <v>2145</v>
      </c>
      <c r="C13" s="1296">
        <f>SUM(C14:C22)</f>
        <v>447204117</v>
      </c>
      <c r="D13" s="1296">
        <f>SUM(D14:D22)</f>
        <v>70897548.25</v>
      </c>
      <c r="E13" s="1297">
        <f>+D13/C13</f>
        <v>0.1585350974083273</v>
      </c>
      <c r="F13" s="1296">
        <f>SUM(F14:F22)</f>
        <v>376306568.75</v>
      </c>
      <c r="I13" s="1275">
        <f>+D13-ERF!B14</f>
        <v>0</v>
      </c>
      <c r="M13" s="11"/>
    </row>
    <row r="14" spans="1:13" hidden="1">
      <c r="A14" s="1298">
        <v>1.1000000000000001</v>
      </c>
      <c r="B14" s="1299" t="s">
        <v>2146</v>
      </c>
      <c r="C14" s="1300">
        <v>0</v>
      </c>
      <c r="D14" s="1300">
        <v>0</v>
      </c>
      <c r="E14" s="1301">
        <f t="shared" ref="E14:E21" si="0">IFERROR(+D14/C14,0)</f>
        <v>0</v>
      </c>
      <c r="F14" s="1300">
        <f>+C14-D14</f>
        <v>0</v>
      </c>
    </row>
    <row r="15" spans="1:13" hidden="1">
      <c r="A15" s="1298">
        <v>1.2</v>
      </c>
      <c r="B15" s="1299" t="s">
        <v>2147</v>
      </c>
      <c r="C15" s="1300">
        <v>0</v>
      </c>
      <c r="D15" s="1300">
        <v>0</v>
      </c>
      <c r="E15" s="1301">
        <f t="shared" si="0"/>
        <v>0</v>
      </c>
      <c r="F15" s="1300">
        <f t="shared" ref="F15:F21" si="1">+C15-D15</f>
        <v>0</v>
      </c>
    </row>
    <row r="16" spans="1:13" hidden="1">
      <c r="A16" s="1298">
        <v>1.3</v>
      </c>
      <c r="B16" s="1299" t="s">
        <v>2148</v>
      </c>
      <c r="C16" s="1300">
        <v>0</v>
      </c>
      <c r="D16" s="1300">
        <v>0</v>
      </c>
      <c r="E16" s="1301">
        <f t="shared" si="0"/>
        <v>0</v>
      </c>
      <c r="F16" s="1300">
        <f t="shared" si="1"/>
        <v>0</v>
      </c>
    </row>
    <row r="17" spans="1:10">
      <c r="A17" s="1298">
        <v>1.4</v>
      </c>
      <c r="B17" s="1299" t="s">
        <v>2149</v>
      </c>
      <c r="C17" s="1300">
        <f>+'Pres A'!E292</f>
        <v>207209117</v>
      </c>
      <c r="D17" s="1300">
        <f>+'Pres A'!G292-D22</f>
        <v>25865457</v>
      </c>
      <c r="E17" s="1301">
        <f t="shared" si="0"/>
        <v>0.12482779413610454</v>
      </c>
      <c r="F17" s="1300">
        <f t="shared" si="1"/>
        <v>181343660</v>
      </c>
    </row>
    <row r="18" spans="1:10" ht="19.5" hidden="1" customHeight="1">
      <c r="A18" s="1298">
        <v>1.6</v>
      </c>
      <c r="B18" s="1299" t="s">
        <v>2150</v>
      </c>
      <c r="C18" s="1300"/>
      <c r="D18" s="1300">
        <v>0</v>
      </c>
      <c r="E18" s="1301">
        <f t="shared" si="0"/>
        <v>0</v>
      </c>
      <c r="F18" s="1300">
        <f t="shared" si="1"/>
        <v>0</v>
      </c>
    </row>
    <row r="19" spans="1:10" ht="19.5" hidden="1" customHeight="1">
      <c r="A19" s="1298">
        <v>1.7</v>
      </c>
      <c r="B19" s="1299" t="s">
        <v>2151</v>
      </c>
      <c r="C19" s="1300">
        <v>0</v>
      </c>
      <c r="D19" s="1300">
        <v>0</v>
      </c>
      <c r="E19" s="1301">
        <f t="shared" si="0"/>
        <v>0</v>
      </c>
      <c r="F19" s="1300">
        <f t="shared" si="1"/>
        <v>0</v>
      </c>
    </row>
    <row r="20" spans="1:10" ht="19.5" hidden="1" customHeight="1">
      <c r="A20" s="1298">
        <v>1.8</v>
      </c>
      <c r="B20" s="1299" t="s">
        <v>2152</v>
      </c>
      <c r="C20" s="1300">
        <f>+'Pres A'!E293</f>
        <v>0</v>
      </c>
      <c r="D20" s="1300">
        <v>0</v>
      </c>
      <c r="E20" s="1301">
        <f t="shared" si="0"/>
        <v>0</v>
      </c>
      <c r="F20" s="1300">
        <f t="shared" si="1"/>
        <v>0</v>
      </c>
    </row>
    <row r="21" spans="1:10" ht="19.5" customHeight="1">
      <c r="A21" s="1298">
        <v>1.5</v>
      </c>
      <c r="B21" s="1299" t="s">
        <v>4212</v>
      </c>
      <c r="C21" s="1300">
        <f>+'Pres A'!E295</f>
        <v>239995000</v>
      </c>
      <c r="D21" s="1300">
        <f>+'Pres A'!G295</f>
        <v>45032091.25</v>
      </c>
      <c r="E21" s="1301">
        <f t="shared" si="0"/>
        <v>0.1876376226588054</v>
      </c>
      <c r="F21" s="1300">
        <f t="shared" si="1"/>
        <v>194962908.75</v>
      </c>
    </row>
    <row r="22" spans="1:10" ht="19.5" customHeight="1">
      <c r="A22" s="1298">
        <v>3.1</v>
      </c>
      <c r="B22" s="1299" t="s">
        <v>4229</v>
      </c>
      <c r="C22" s="1300">
        <f>+'Pres A'!E294</f>
        <v>0</v>
      </c>
      <c r="D22" s="1300">
        <f>+'Notas NF'!D524</f>
        <v>0</v>
      </c>
      <c r="E22" s="1301">
        <f>IFERROR(+D22/C22,0)</f>
        <v>0</v>
      </c>
      <c r="F22" s="1300">
        <f>+C22-D22</f>
        <v>0</v>
      </c>
    </row>
    <row r="23" spans="1:10">
      <c r="A23" s="1294">
        <v>2</v>
      </c>
      <c r="B23" s="1295" t="s">
        <v>2153</v>
      </c>
      <c r="C23" s="1296">
        <f>SUM(C24:C29)</f>
        <v>447204117.0005542</v>
      </c>
      <c r="D23" s="1296">
        <f ca="1">SUM(D24:D29)</f>
        <v>74426277.289999992</v>
      </c>
      <c r="E23" s="1297">
        <v>0</v>
      </c>
      <c r="F23" s="1296">
        <f ca="1">SUM(F24:F29)</f>
        <v>372777839.71055418</v>
      </c>
    </row>
    <row r="24" spans="1:10" ht="14.25" customHeight="1">
      <c r="A24" s="1298">
        <v>2.1</v>
      </c>
      <c r="B24" s="1299" t="s">
        <v>2154</v>
      </c>
      <c r="C24" s="1300">
        <f>+'Pres A'!E309</f>
        <v>204549270.67055419</v>
      </c>
      <c r="D24" s="1300">
        <f ca="1">+'Pres A'!G309</f>
        <v>46820324.450000003</v>
      </c>
      <c r="E24" s="1301">
        <f t="shared" ref="E24:E29" ca="1" si="2">IFERROR(+D24/C24,0)</f>
        <v>0.22889509357092028</v>
      </c>
      <c r="F24" s="1300">
        <f t="shared" ref="F24:F29" ca="1" si="3">+C24-D24</f>
        <v>157728946.22055417</v>
      </c>
      <c r="H24" s="1276">
        <f>+C24/$C$23</f>
        <v>0.45739576827353023</v>
      </c>
      <c r="I24" s="1277">
        <f ca="1">+D24/$D$23</f>
        <v>0.62908325063157289</v>
      </c>
    </row>
    <row r="25" spans="1:10">
      <c r="A25" s="1298">
        <v>2.2000000000000002</v>
      </c>
      <c r="B25" s="1299" t="s">
        <v>2155</v>
      </c>
      <c r="C25" s="1300">
        <f>+'Pres A'!E310</f>
        <v>90366752.590000004</v>
      </c>
      <c r="D25" s="1300">
        <f ca="1">+'Pres A'!G310</f>
        <v>19066058.669999998</v>
      </c>
      <c r="E25" s="1301">
        <f t="shared" ca="1" si="2"/>
        <v>0.21098532506201678</v>
      </c>
      <c r="F25" s="1300">
        <f t="shared" ca="1" si="3"/>
        <v>71300693.920000002</v>
      </c>
      <c r="H25" s="1276">
        <f>+C25/$C$23</f>
        <v>0.20207048449396994</v>
      </c>
      <c r="I25" s="1277">
        <f ca="1">+D25/$D$23</f>
        <v>0.25617375158654804</v>
      </c>
    </row>
    <row r="26" spans="1:10">
      <c r="A26" s="1298">
        <v>2.2999999999999998</v>
      </c>
      <c r="B26" s="1299" t="s">
        <v>2156</v>
      </c>
      <c r="C26" s="1300">
        <f>+'Pres A'!E311</f>
        <v>50343875</v>
      </c>
      <c r="D26" s="1300">
        <f ca="1">+'Pres A'!G311</f>
        <v>3050722.9899999993</v>
      </c>
      <c r="E26" s="1301">
        <f t="shared" ca="1" si="2"/>
        <v>6.0597699124272798E-2</v>
      </c>
      <c r="F26" s="1300">
        <f t="shared" ca="1" si="3"/>
        <v>47293152.009999998</v>
      </c>
      <c r="H26" s="1276">
        <f>+C26/$C$23</f>
        <v>0.11257471272326773</v>
      </c>
      <c r="I26" s="1277">
        <f ca="1">+D26/$D$23</f>
        <v>4.0989864078690097E-2</v>
      </c>
    </row>
    <row r="27" spans="1:10">
      <c r="A27" s="1298">
        <v>2.4</v>
      </c>
      <c r="B27" s="1299" t="s">
        <v>1659</v>
      </c>
      <c r="C27" s="1300">
        <f>+'Pres A'!E312</f>
        <v>0</v>
      </c>
      <c r="D27" s="1300">
        <f ca="1">+'Pres A'!G312</f>
        <v>0</v>
      </c>
      <c r="E27" s="1301">
        <f t="shared" ca="1" si="2"/>
        <v>0</v>
      </c>
      <c r="F27" s="1300">
        <f t="shared" ca="1" si="3"/>
        <v>0</v>
      </c>
      <c r="H27" s="1276"/>
      <c r="I27" s="1277"/>
    </row>
    <row r="28" spans="1:10">
      <c r="A28" s="1298">
        <v>2.6</v>
      </c>
      <c r="B28" s="1299" t="s">
        <v>2157</v>
      </c>
      <c r="C28" s="1300">
        <f>+'Pres A'!E313</f>
        <v>1474218.74</v>
      </c>
      <c r="D28" s="1300">
        <f ca="1">+'Pres A'!G313</f>
        <v>-52140</v>
      </c>
      <c r="E28" s="1301">
        <f t="shared" ca="1" si="2"/>
        <v>-3.5367885772500759E-2</v>
      </c>
      <c r="F28" s="1300">
        <f t="shared" ca="1" si="3"/>
        <v>1526358.74</v>
      </c>
      <c r="H28" s="1276">
        <f>+C28/$C$23</f>
        <v>3.2965231847321588E-3</v>
      </c>
      <c r="I28" s="1277">
        <f ca="1">+D28/$D$23</f>
        <v>-7.0055902160520386E-4</v>
      </c>
    </row>
    <row r="29" spans="1:10">
      <c r="A29" s="1298">
        <v>2.7</v>
      </c>
      <c r="B29" s="1299" t="s">
        <v>2158</v>
      </c>
      <c r="C29" s="1300">
        <f>+'Pres A'!E314</f>
        <v>100470000</v>
      </c>
      <c r="D29" s="1300">
        <f ca="1">+'Pres A'!G314</f>
        <v>5541311.1799999997</v>
      </c>
      <c r="E29" s="1301">
        <f t="shared" ca="1" si="2"/>
        <v>5.5153888523937489E-2</v>
      </c>
      <c r="F29" s="1300">
        <f t="shared" ca="1" si="3"/>
        <v>94928688.819999993</v>
      </c>
      <c r="H29" s="1278"/>
      <c r="I29" s="1279"/>
    </row>
    <row r="30" spans="1:10" ht="15.75">
      <c r="A30" s="1302"/>
      <c r="B30" s="1303" t="s">
        <v>2159</v>
      </c>
      <c r="C30" s="1304">
        <f>+C13-C23</f>
        <v>-5.5420398712158203E-4</v>
      </c>
      <c r="D30" s="1304">
        <f ca="1">+D13-D23</f>
        <v>-3528729.0399999917</v>
      </c>
      <c r="E30" s="1305">
        <v>0</v>
      </c>
      <c r="F30" s="1304">
        <f ca="1">+F13-F23</f>
        <v>3528729.0394458175</v>
      </c>
      <c r="I30" s="1275">
        <v>13052</v>
      </c>
      <c r="J30" s="11">
        <f>+I30</f>
        <v>13052</v>
      </c>
    </row>
    <row r="31" spans="1:10" ht="1.5" customHeight="1">
      <c r="D31" s="815">
        <f ca="1">+ERF!B33-'Pres A'!G314-'EEP2'!D30</f>
        <v>-1810191.3700000122</v>
      </c>
      <c r="J31">
        <v>21686</v>
      </c>
    </row>
    <row r="32" spans="1:10">
      <c r="B32" s="1795"/>
      <c r="I32" s="1275">
        <f ca="1">+D28</f>
        <v>-52140</v>
      </c>
      <c r="J32">
        <v>2414</v>
      </c>
    </row>
    <row r="33" spans="1:10" ht="30.75" customHeight="1">
      <c r="B33" s="1930" t="s">
        <v>4097</v>
      </c>
      <c r="C33" s="1930"/>
      <c r="D33" s="1930"/>
      <c r="E33" s="1930"/>
      <c r="F33" s="1930"/>
      <c r="I33" s="1275"/>
    </row>
    <row r="34" spans="1:10" ht="18.75" customHeight="1">
      <c r="B34" t="s">
        <v>4224</v>
      </c>
      <c r="I34" s="1275"/>
    </row>
    <row r="35" spans="1:10">
      <c r="I35" s="1275"/>
    </row>
    <row r="36" spans="1:10">
      <c r="I36" s="1275"/>
    </row>
    <row r="37" spans="1:10">
      <c r="I37" s="1275"/>
    </row>
    <row r="38" spans="1:10">
      <c r="I38" s="1275"/>
    </row>
    <row r="39" spans="1:10">
      <c r="I39" s="1275">
        <f ca="1">+I30-I32</f>
        <v>65192</v>
      </c>
      <c r="J39">
        <v>9128</v>
      </c>
    </row>
    <row r="40" spans="1:10">
      <c r="A40" s="334"/>
      <c r="B40" s="1619" t="s">
        <v>3912</v>
      </c>
      <c r="C40" s="1586"/>
      <c r="D40" s="1586"/>
      <c r="E40" s="1865" t="str">
        <f>+'EFE2'!B68</f>
        <v>Licda. María Patricia Almonte</v>
      </c>
      <c r="F40" s="1865"/>
      <c r="G40" s="334"/>
      <c r="I40" s="1275"/>
    </row>
    <row r="41" spans="1:10">
      <c r="A41" s="334"/>
      <c r="B41" s="1618" t="s">
        <v>3915</v>
      </c>
      <c r="C41" s="339"/>
      <c r="D41" s="339"/>
      <c r="E41" s="1863" t="str">
        <f>+'EFE2'!B69</f>
        <v>Directora Administrativa-Financiera</v>
      </c>
      <c r="F41" s="1863"/>
      <c r="G41" s="334"/>
      <c r="I41" s="1275"/>
    </row>
    <row r="42" spans="1:10">
      <c r="A42" s="334"/>
      <c r="B42" s="334"/>
      <c r="C42" s="334"/>
      <c r="D42" s="334"/>
      <c r="E42" s="334"/>
      <c r="F42" s="334"/>
      <c r="G42" s="334"/>
    </row>
    <row r="43" spans="1:10">
      <c r="A43" s="334"/>
      <c r="B43" s="334"/>
      <c r="C43" s="334"/>
      <c r="D43" s="334"/>
      <c r="E43" s="334"/>
      <c r="F43" s="334"/>
      <c r="G43" s="334"/>
    </row>
    <row r="44" spans="1:10">
      <c r="A44" s="334"/>
      <c r="B44" s="1865"/>
      <c r="C44" s="1865"/>
      <c r="D44" s="1865"/>
      <c r="E44" s="1865"/>
      <c r="F44" s="1865"/>
      <c r="G44" s="334"/>
    </row>
    <row r="45" spans="1:10">
      <c r="A45" s="334"/>
      <c r="B45" s="1863"/>
      <c r="C45" s="1863"/>
      <c r="D45" s="1863"/>
      <c r="E45" s="1863"/>
      <c r="F45" s="1863"/>
      <c r="G45" s="334"/>
    </row>
    <row r="46" spans="1:10">
      <c r="A46" s="334"/>
      <c r="B46" s="334"/>
      <c r="C46" s="334"/>
      <c r="D46" s="334"/>
      <c r="E46" s="334"/>
      <c r="F46" s="334"/>
      <c r="G46" s="334"/>
    </row>
    <row r="47" spans="1:10">
      <c r="A47" s="334"/>
      <c r="B47" s="334"/>
      <c r="C47" s="334"/>
      <c r="D47" s="334"/>
      <c r="E47" s="334"/>
      <c r="F47" s="334"/>
      <c r="G47" s="334"/>
    </row>
    <row r="48" spans="1:10">
      <c r="A48" s="334"/>
      <c r="B48" s="1865" t="s">
        <v>3914</v>
      </c>
      <c r="C48" s="1865"/>
      <c r="D48" s="1865"/>
      <c r="E48" s="1865"/>
      <c r="F48" s="1865"/>
      <c r="G48" s="1865"/>
    </row>
    <row r="49" spans="1:7">
      <c r="A49" s="334"/>
      <c r="B49" s="1863" t="s">
        <v>1023</v>
      </c>
      <c r="C49" s="1863"/>
      <c r="D49" s="1863"/>
      <c r="E49" s="1863"/>
      <c r="F49" s="1863"/>
      <c r="G49" s="1863"/>
    </row>
  </sheetData>
  <mergeCells count="14">
    <mergeCell ref="B33:F33"/>
    <mergeCell ref="A12:B12"/>
    <mergeCell ref="B6:F6"/>
    <mergeCell ref="A7:F7"/>
    <mergeCell ref="A8:F8"/>
    <mergeCell ref="A9:F9"/>
    <mergeCell ref="A10:F10"/>
    <mergeCell ref="A11:H11"/>
    <mergeCell ref="B44:F44"/>
    <mergeCell ref="B45:F45"/>
    <mergeCell ref="E40:F40"/>
    <mergeCell ref="E41:F41"/>
    <mergeCell ref="B48:G48"/>
    <mergeCell ref="B49:G49"/>
  </mergeCells>
  <pageMargins left="0.70866141732283472" right="0.70866141732283472" top="0.74803149606299213" bottom="0.74803149606299213" header="0.31496062992125984" footer="0.31496062992125984"/>
  <pageSetup scale="8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M104"/>
  <sheetViews>
    <sheetView topLeftCell="A8" workbookViewId="0">
      <selection activeCell="H24" sqref="H24"/>
    </sheetView>
  </sheetViews>
  <sheetFormatPr baseColWidth="10" defaultColWidth="9.140625" defaultRowHeight="14.25"/>
  <cols>
    <col min="1" max="1" width="45" style="962" customWidth="1"/>
    <col min="2" max="2" width="16.5703125" style="962" bestFit="1" customWidth="1"/>
    <col min="3" max="3" width="16.85546875" style="962" bestFit="1" customWidth="1"/>
    <col min="4" max="4" width="15.7109375" style="962" customWidth="1"/>
    <col min="5" max="7" width="11.42578125" style="962" customWidth="1"/>
    <col min="8" max="8" width="15.5703125" style="962" bestFit="1" customWidth="1"/>
    <col min="9" max="9" width="2" style="962" customWidth="1"/>
    <col min="10" max="10" width="14.42578125" style="962" bestFit="1" customWidth="1"/>
    <col min="11" max="11" width="2.28515625" style="962" customWidth="1"/>
    <col min="12" max="12" width="13.28515625" style="962" bestFit="1" customWidth="1"/>
    <col min="13" max="16384" width="9.140625" style="962"/>
  </cols>
  <sheetData>
    <row r="1" spans="1:13">
      <c r="A1" s="962" t="s">
        <v>916</v>
      </c>
    </row>
    <row r="2" spans="1:13">
      <c r="A2" s="962" t="s">
        <v>2365</v>
      </c>
    </row>
    <row r="3" spans="1:13">
      <c r="A3" s="962" t="str">
        <f>+BALANZA!B2</f>
        <v>Del Ejercicio terminado el  31 de marzo de 2026  y  2025</v>
      </c>
    </row>
    <row r="4" spans="1:13" ht="15" thickBot="1">
      <c r="A4" s="962" t="s">
        <v>2027</v>
      </c>
      <c r="H4" s="963">
        <f>SUM(H9:H42)</f>
        <v>4690990.0489999996</v>
      </c>
    </row>
    <row r="5" spans="1:13" ht="15" thickBot="1">
      <c r="B5" s="967">
        <f>+BALANZA!B4</f>
        <v>2026</v>
      </c>
      <c r="C5" s="967">
        <f>+BALANZA!C4</f>
        <v>2025</v>
      </c>
      <c r="D5" s="1162" t="s">
        <v>2354</v>
      </c>
      <c r="E5" s="964" t="s">
        <v>2355</v>
      </c>
      <c r="F5" s="964"/>
      <c r="G5" s="1163" t="s">
        <v>2356</v>
      </c>
      <c r="H5" s="1164" t="s">
        <v>2357</v>
      </c>
      <c r="I5" s="964"/>
      <c r="J5" s="1165" t="s">
        <v>2357</v>
      </c>
      <c r="K5" s="964"/>
      <c r="L5" s="1166" t="s">
        <v>2357</v>
      </c>
      <c r="M5" s="965"/>
    </row>
    <row r="6" spans="1:13" ht="15" thickBot="1">
      <c r="A6" s="966" t="s">
        <v>2028</v>
      </c>
      <c r="D6" s="1167" t="s">
        <v>2358</v>
      </c>
      <c r="E6" s="1162" t="s">
        <v>2359</v>
      </c>
      <c r="F6" s="1162" t="s">
        <v>2360</v>
      </c>
      <c r="G6" s="1163" t="s">
        <v>2361</v>
      </c>
      <c r="H6" s="1164" t="s">
        <v>2362</v>
      </c>
      <c r="I6" s="964"/>
      <c r="J6" s="1165" t="s">
        <v>2363</v>
      </c>
      <c r="K6" s="964"/>
      <c r="L6" s="1166" t="s">
        <v>2364</v>
      </c>
      <c r="M6" s="965"/>
    </row>
    <row r="7" spans="1:13">
      <c r="A7" s="966" t="s">
        <v>2029</v>
      </c>
      <c r="H7" s="970"/>
      <c r="J7" s="974"/>
      <c r="L7" s="977"/>
    </row>
    <row r="8" spans="1:13">
      <c r="A8" s="968" t="str">
        <f>+'ES F '!A11</f>
        <v xml:space="preserve">Efectivo y equivalente de efectivo (Notas 7) </v>
      </c>
      <c r="B8" s="968">
        <f>+'ES F '!B11</f>
        <v>422177643.19</v>
      </c>
      <c r="C8" s="968">
        <f>+'ES F '!C11</f>
        <v>422773433.54999995</v>
      </c>
      <c r="D8" s="968">
        <f>+B8-C8</f>
        <v>-595790.3599999547</v>
      </c>
      <c r="E8" s="969"/>
      <c r="F8" s="969"/>
      <c r="G8" s="969"/>
      <c r="H8" s="971"/>
      <c r="I8" s="969"/>
      <c r="J8" s="975"/>
      <c r="K8" s="969"/>
      <c r="L8" s="978"/>
    </row>
    <row r="9" spans="1:13">
      <c r="A9" s="968" t="str">
        <f>+'ES F '!A12</f>
        <v>Inversiones a corto plazo (Nota 8)</v>
      </c>
      <c r="B9" s="968">
        <f>+'ES F '!B12</f>
        <v>0</v>
      </c>
      <c r="C9" s="968">
        <f>+'ES F '!C12</f>
        <v>0</v>
      </c>
      <c r="D9" s="968">
        <f>+C9-B9</f>
        <v>0</v>
      </c>
      <c r="E9" s="969"/>
      <c r="F9" s="969"/>
      <c r="G9" s="969"/>
      <c r="H9" s="972">
        <v>0</v>
      </c>
      <c r="I9" s="969"/>
      <c r="J9" s="976">
        <f>+D9</f>
        <v>0</v>
      </c>
      <c r="K9" s="969"/>
      <c r="L9" s="978"/>
    </row>
    <row r="10" spans="1:13">
      <c r="A10" s="968" t="str">
        <f>+'ES F '!A13</f>
        <v>Porción corriente de documentos por cobrar (Nota 9)</v>
      </c>
      <c r="B10" s="968">
        <f>+'ES F '!B13</f>
        <v>0</v>
      </c>
      <c r="C10" s="968">
        <f>+'ES F '!C13</f>
        <v>0</v>
      </c>
      <c r="D10" s="968">
        <f t="shared" ref="D10:D27" si="0">+C10-B10</f>
        <v>0</v>
      </c>
      <c r="E10" s="969"/>
      <c r="F10" s="969"/>
      <c r="G10" s="969"/>
      <c r="H10" s="972">
        <f>+D10</f>
        <v>0</v>
      </c>
      <c r="I10" s="969"/>
      <c r="J10" s="975"/>
      <c r="K10" s="969"/>
      <c r="L10" s="978"/>
    </row>
    <row r="11" spans="1:13">
      <c r="A11" s="968" t="str">
        <f>+'ES F '!A14</f>
        <v>Cuenta por cobrar a corto plazo (Notas 8)</v>
      </c>
      <c r="B11" s="968">
        <f>+'ES F '!B14</f>
        <v>0</v>
      </c>
      <c r="C11" s="968">
        <f>+'ES F '!C14</f>
        <v>0</v>
      </c>
      <c r="D11" s="968">
        <f t="shared" si="0"/>
        <v>0</v>
      </c>
      <c r="E11" s="969"/>
      <c r="F11" s="969"/>
      <c r="G11" s="969"/>
      <c r="H11" s="972">
        <f>+D11</f>
        <v>0</v>
      </c>
      <c r="I11" s="969"/>
      <c r="J11" s="975"/>
      <c r="K11" s="969"/>
      <c r="L11" s="978"/>
    </row>
    <row r="12" spans="1:13">
      <c r="A12" s="968" t="str">
        <f>+'ES F '!A15</f>
        <v xml:space="preserve"> Inventarios (Nota 9)</v>
      </c>
      <c r="B12" s="968">
        <f>+'ES F '!B15</f>
        <v>14233314.59</v>
      </c>
      <c r="C12" s="968">
        <f>+'ES F '!C15</f>
        <v>15776376.33</v>
      </c>
      <c r="D12" s="968">
        <f t="shared" si="0"/>
        <v>1543061.7400000002</v>
      </c>
      <c r="E12" s="969"/>
      <c r="F12" s="969"/>
      <c r="G12" s="969"/>
      <c r="H12" s="972">
        <f>+D12</f>
        <v>1543061.7400000002</v>
      </c>
      <c r="I12" s="969"/>
      <c r="J12" s="975"/>
      <c r="K12" s="969"/>
      <c r="L12" s="978"/>
    </row>
    <row r="13" spans="1:13">
      <c r="A13" s="968" t="str">
        <f>+'ES F '!A16</f>
        <v>Pagos anticipados (Nota 10)</v>
      </c>
      <c r="B13" s="968">
        <f>+'ES F '!B16</f>
        <v>325699.31</v>
      </c>
      <c r="C13" s="968">
        <f>+'ES F '!C16</f>
        <v>488548.94</v>
      </c>
      <c r="D13" s="968">
        <f t="shared" si="0"/>
        <v>162849.63</v>
      </c>
      <c r="E13" s="969"/>
      <c r="F13" s="969"/>
      <c r="G13" s="969"/>
      <c r="H13" s="972">
        <f t="shared" ref="H13:H20" si="1">+D13</f>
        <v>162849.63</v>
      </c>
      <c r="I13" s="969"/>
      <c r="J13" s="975"/>
      <c r="K13" s="969"/>
      <c r="L13" s="978"/>
    </row>
    <row r="14" spans="1:13">
      <c r="A14" s="968" t="str">
        <f>+'ES F '!A17</f>
        <v>Otros activos corrientes (Nota 11)</v>
      </c>
      <c r="B14" s="968">
        <f>+'ES F '!B17</f>
        <v>0</v>
      </c>
      <c r="C14" s="968">
        <f>+'ES F '!C17</f>
        <v>0</v>
      </c>
      <c r="D14" s="968">
        <f t="shared" si="0"/>
        <v>0</v>
      </c>
      <c r="E14" s="969"/>
      <c r="F14" s="969"/>
      <c r="G14" s="969"/>
      <c r="H14" s="972">
        <f t="shared" si="1"/>
        <v>0</v>
      </c>
      <c r="I14" s="969"/>
      <c r="J14" s="975"/>
      <c r="K14" s="969"/>
      <c r="L14" s="978"/>
    </row>
    <row r="15" spans="1:13">
      <c r="A15" s="968" t="str">
        <f>+'ES F '!A18</f>
        <v>Total activos corrientes</v>
      </c>
      <c r="B15" s="968">
        <f>+'ES F '!B18</f>
        <v>436736657.08999997</v>
      </c>
      <c r="C15" s="968">
        <f>+'ES F '!C18</f>
        <v>439038358.81999993</v>
      </c>
      <c r="D15" s="968">
        <f t="shared" si="0"/>
        <v>2301701.7299999595</v>
      </c>
      <c r="E15" s="969"/>
      <c r="F15" s="969"/>
      <c r="G15" s="969"/>
      <c r="H15" s="972"/>
      <c r="I15" s="969"/>
      <c r="J15" s="975"/>
      <c r="K15" s="969"/>
      <c r="L15" s="978"/>
    </row>
    <row r="16" spans="1:13">
      <c r="A16" s="968"/>
      <c r="B16" s="968"/>
      <c r="C16" s="968"/>
      <c r="D16" s="968"/>
      <c r="E16" s="969"/>
      <c r="F16" s="969"/>
      <c r="G16" s="969"/>
      <c r="H16" s="972"/>
      <c r="I16" s="969"/>
      <c r="J16" s="975"/>
      <c r="K16" s="969"/>
      <c r="L16" s="978"/>
    </row>
    <row r="17" spans="1:12">
      <c r="A17" s="968" t="str">
        <f>+'ES F '!A19</f>
        <v>Activos no corrientes</v>
      </c>
      <c r="B17" s="968">
        <f>+'ES F '!B19</f>
        <v>0</v>
      </c>
      <c r="C17" s="968">
        <f>+'ES F '!C19</f>
        <v>0</v>
      </c>
      <c r="D17" s="968">
        <f t="shared" si="0"/>
        <v>0</v>
      </c>
      <c r="E17" s="969"/>
      <c r="F17" s="969"/>
      <c r="G17" s="969"/>
      <c r="H17" s="972">
        <f t="shared" si="1"/>
        <v>0</v>
      </c>
      <c r="I17" s="969"/>
      <c r="J17" s="975"/>
      <c r="K17" s="969"/>
      <c r="L17" s="978"/>
    </row>
    <row r="18" spans="1:12">
      <c r="A18" s="968" t="str">
        <f>+'ES F '!A20</f>
        <v>Cuentas por cobrar a largo plazo (Notas 14)</v>
      </c>
      <c r="B18" s="968">
        <f>+'ES F '!B20</f>
        <v>0</v>
      </c>
      <c r="C18" s="968">
        <f>+'ES F '!C20</f>
        <v>0</v>
      </c>
      <c r="D18" s="968">
        <f t="shared" si="0"/>
        <v>0</v>
      </c>
      <c r="E18" s="969"/>
      <c r="F18" s="969"/>
      <c r="G18" s="969"/>
      <c r="H18" s="972">
        <f t="shared" si="1"/>
        <v>0</v>
      </c>
      <c r="I18" s="969"/>
      <c r="J18" s="975"/>
      <c r="K18" s="969"/>
      <c r="L18" s="978"/>
    </row>
    <row r="19" spans="1:12">
      <c r="A19" s="968" t="str">
        <f>+'ES F '!A21</f>
        <v>Documentos por cobrar (Nota 15)</v>
      </c>
      <c r="B19" s="968">
        <f>+'ES F '!B21</f>
        <v>0</v>
      </c>
      <c r="C19" s="968">
        <f>+'ES F '!C21</f>
        <v>0</v>
      </c>
      <c r="D19" s="968">
        <f t="shared" si="0"/>
        <v>0</v>
      </c>
      <c r="E19" s="969"/>
      <c r="F19" s="969"/>
      <c r="G19" s="969"/>
      <c r="H19" s="972">
        <f t="shared" si="1"/>
        <v>0</v>
      </c>
      <c r="I19" s="969"/>
      <c r="J19" s="975"/>
      <c r="K19" s="969"/>
      <c r="L19" s="978"/>
    </row>
    <row r="20" spans="1:12">
      <c r="A20" s="968" t="str">
        <f>+'ES F '!A22</f>
        <v>Inversiones a largo plazo (Nota 16)</v>
      </c>
      <c r="B20" s="968">
        <f>+'ES F '!B22</f>
        <v>0</v>
      </c>
      <c r="C20" s="968">
        <f>+'ES F '!C22</f>
        <v>0</v>
      </c>
      <c r="D20" s="968">
        <f t="shared" si="0"/>
        <v>0</v>
      </c>
      <c r="E20" s="969"/>
      <c r="F20" s="969"/>
      <c r="G20" s="969"/>
      <c r="H20" s="972">
        <f t="shared" si="1"/>
        <v>0</v>
      </c>
      <c r="I20" s="969"/>
      <c r="J20" s="975"/>
      <c r="K20" s="969"/>
      <c r="L20" s="978"/>
    </row>
    <row r="21" spans="1:12">
      <c r="A21" s="968" t="str">
        <f>+'ES F '!A23</f>
        <v xml:space="preserve"> Otros activos financieros (Notas 17)</v>
      </c>
      <c r="B21" s="968">
        <f>+'ES F '!B23</f>
        <v>0</v>
      </c>
      <c r="C21" s="968">
        <f>+'ES F '!C23</f>
        <v>0</v>
      </c>
      <c r="D21" s="968">
        <f t="shared" si="0"/>
        <v>0</v>
      </c>
      <c r="E21" s="969"/>
      <c r="F21" s="969"/>
      <c r="G21" s="969"/>
      <c r="H21" s="971"/>
      <c r="I21" s="969"/>
      <c r="J21" s="975"/>
      <c r="K21" s="969"/>
      <c r="L21" s="978"/>
    </row>
    <row r="22" spans="1:12">
      <c r="A22" s="968" t="str">
        <f>+'ES F '!A24</f>
        <v>Propiedad, planta y equipo neto (Nota 12)</v>
      </c>
      <c r="B22" s="968">
        <f>+'ES F '!B24</f>
        <v>783928750.25000024</v>
      </c>
      <c r="C22" s="968">
        <f>+'ES F '!C24</f>
        <v>778387439.07000005</v>
      </c>
      <c r="D22" s="968">
        <f t="shared" si="0"/>
        <v>-5541311.180000186</v>
      </c>
      <c r="E22" s="969"/>
      <c r="F22" s="969"/>
      <c r="G22" s="969"/>
      <c r="H22" s="971"/>
      <c r="I22" s="969"/>
      <c r="J22" s="976">
        <f>+D22</f>
        <v>-5541311.180000186</v>
      </c>
      <c r="K22" s="969"/>
      <c r="L22" s="978"/>
    </row>
    <row r="23" spans="1:12">
      <c r="A23" s="968" t="s">
        <v>2818</v>
      </c>
      <c r="B23" s="968">
        <f>+C23+nota12!K29</f>
        <v>394455129.78000003</v>
      </c>
      <c r="C23" s="968">
        <f>+nota12!K28</f>
        <v>394455129.78000003</v>
      </c>
      <c r="D23" s="968"/>
      <c r="E23" s="969"/>
      <c r="F23" s="969"/>
      <c r="G23" s="969"/>
      <c r="H23" s="972">
        <f>+B23-C23</f>
        <v>0</v>
      </c>
      <c r="I23" s="969"/>
      <c r="J23" s="976">
        <f>+D23</f>
        <v>0</v>
      </c>
      <c r="K23" s="969"/>
      <c r="L23" s="978"/>
    </row>
    <row r="24" spans="1:12">
      <c r="A24" s="968" t="str">
        <f>+'ES F '!A25</f>
        <v>Activos intangibles (Nota 13)</v>
      </c>
      <c r="B24" s="968">
        <f>+'ES F '!B25</f>
        <v>69520</v>
      </c>
      <c r="C24" s="968">
        <f>+'ES F '!C25</f>
        <v>121660</v>
      </c>
      <c r="D24" s="968">
        <f t="shared" si="0"/>
        <v>52140</v>
      </c>
      <c r="E24" s="969"/>
      <c r="F24" s="969"/>
      <c r="G24" s="969"/>
      <c r="H24" s="972">
        <f>-B24+C24</f>
        <v>52140</v>
      </c>
      <c r="I24" s="969"/>
      <c r="J24" s="976"/>
      <c r="K24" s="969"/>
      <c r="L24" s="978"/>
    </row>
    <row r="25" spans="1:12">
      <c r="A25" s="968" t="str">
        <f>+'Notas NF'!B374</f>
        <v>Amortización Programa informáticos</v>
      </c>
      <c r="B25" s="968">
        <f>'Notas NF'!C374</f>
        <v>-52140</v>
      </c>
      <c r="C25" s="968">
        <f>'Notas NF'!D374</f>
        <v>-86900</v>
      </c>
      <c r="D25" s="968">
        <f t="shared" si="0"/>
        <v>-34760</v>
      </c>
      <c r="E25" s="969"/>
      <c r="F25" s="969"/>
      <c r="G25" s="969"/>
      <c r="H25" s="972">
        <f>+B25</f>
        <v>-52140</v>
      </c>
      <c r="I25" s="969"/>
      <c r="J25" s="976"/>
      <c r="K25" s="969"/>
      <c r="L25" s="978"/>
    </row>
    <row r="26" spans="1:12">
      <c r="A26" s="968" t="str">
        <f>+'ES F '!A26</f>
        <v>Otros activos no financieros (Nota 20)</v>
      </c>
      <c r="B26" s="968">
        <f>+'ES F '!B26</f>
        <v>0</v>
      </c>
      <c r="C26" s="968">
        <f>+'ES F '!C26</f>
        <v>0</v>
      </c>
      <c r="D26" s="968">
        <f t="shared" si="0"/>
        <v>0</v>
      </c>
      <c r="E26" s="969"/>
      <c r="F26" s="969"/>
      <c r="G26" s="969"/>
      <c r="H26" s="972">
        <f>+B26-C26</f>
        <v>0</v>
      </c>
      <c r="I26" s="969"/>
      <c r="J26" s="975"/>
      <c r="K26" s="969"/>
      <c r="L26" s="978"/>
    </row>
    <row r="27" spans="1:12">
      <c r="A27" s="968" t="str">
        <f>+'ES F '!A27</f>
        <v>Total activos no corrientes</v>
      </c>
      <c r="B27" s="968">
        <f>+'ES F '!B27</f>
        <v>783998270.25000024</v>
      </c>
      <c r="C27" s="968">
        <f>+'ES F '!C27</f>
        <v>778509099.07000005</v>
      </c>
      <c r="D27" s="968">
        <f t="shared" si="0"/>
        <v>-5489171.180000186</v>
      </c>
      <c r="E27" s="969"/>
      <c r="F27" s="969"/>
      <c r="G27" s="969"/>
      <c r="H27" s="971"/>
      <c r="I27" s="969"/>
      <c r="J27" s="975"/>
      <c r="K27" s="969"/>
      <c r="L27" s="978"/>
    </row>
    <row r="28" spans="1:12">
      <c r="A28" s="968">
        <f>+'ES F '!A28</f>
        <v>0</v>
      </c>
      <c r="B28" s="968">
        <f>+'ES F '!B28</f>
        <v>0</v>
      </c>
      <c r="C28" s="968">
        <f>+'ES F '!C28</f>
        <v>0</v>
      </c>
      <c r="D28" s="968">
        <f>+B28-C28</f>
        <v>0</v>
      </c>
      <c r="E28" s="969"/>
      <c r="F28" s="969"/>
      <c r="G28" s="969"/>
      <c r="H28" s="971"/>
      <c r="I28" s="969"/>
      <c r="J28" s="975"/>
      <c r="K28" s="969"/>
      <c r="L28" s="978"/>
    </row>
    <row r="29" spans="1:12">
      <c r="A29" s="968" t="str">
        <f>+'ES F '!A29</f>
        <v>Total activos</v>
      </c>
      <c r="B29" s="968">
        <f>+'ES F '!B29</f>
        <v>1220734927.3400002</v>
      </c>
      <c r="C29" s="968">
        <f>+'ES F '!C29</f>
        <v>1217547457.8899999</v>
      </c>
      <c r="D29" s="968">
        <f>+B29-C29</f>
        <v>3187469.4500002861</v>
      </c>
      <c r="E29" s="969"/>
      <c r="F29" s="969"/>
      <c r="G29" s="969"/>
      <c r="H29" s="971"/>
      <c r="I29" s="969"/>
      <c r="J29" s="975"/>
      <c r="K29" s="969"/>
      <c r="L29" s="978"/>
    </row>
    <row r="30" spans="1:12">
      <c r="A30" s="968"/>
      <c r="B30" s="968"/>
      <c r="C30" s="968"/>
      <c r="D30" s="969"/>
      <c r="E30" s="969"/>
      <c r="F30" s="969"/>
      <c r="G30" s="969"/>
      <c r="H30" s="971"/>
      <c r="I30" s="969"/>
      <c r="J30" s="975"/>
      <c r="K30" s="969"/>
      <c r="L30" s="978"/>
    </row>
    <row r="31" spans="1:12">
      <c r="A31" s="968" t="str">
        <f>+'ES F '!A30</f>
        <v xml:space="preserve">Pasivos </v>
      </c>
      <c r="B31" s="968">
        <f>+'ES F '!B30</f>
        <v>0</v>
      </c>
      <c r="C31" s="968">
        <f>+'ES F '!C30</f>
        <v>0</v>
      </c>
      <c r="D31" s="969"/>
      <c r="E31" s="969"/>
      <c r="F31" s="969"/>
      <c r="G31" s="969"/>
      <c r="H31" s="971"/>
      <c r="I31" s="969"/>
      <c r="J31" s="975"/>
      <c r="K31" s="969"/>
      <c r="L31" s="978"/>
    </row>
    <row r="32" spans="1:12">
      <c r="A32" s="968" t="str">
        <f>+'ES F '!A31</f>
        <v>Pasivos corrientes</v>
      </c>
      <c r="B32" s="968">
        <f>+'ES F '!B31</f>
        <v>0</v>
      </c>
      <c r="C32" s="968">
        <f>+'ES F '!C31</f>
        <v>0</v>
      </c>
      <c r="D32" s="969"/>
      <c r="E32" s="969"/>
      <c r="F32" s="969"/>
      <c r="G32" s="969"/>
      <c r="H32" s="971"/>
      <c r="I32" s="969"/>
      <c r="J32" s="975"/>
      <c r="K32" s="969"/>
      <c r="L32" s="978"/>
    </row>
    <row r="33" spans="1:12">
      <c r="A33" s="968" t="str">
        <f>+'ES F '!A32</f>
        <v>Sobregiro bancario</v>
      </c>
      <c r="B33" s="968">
        <f>+'ES F '!B32</f>
        <v>0</v>
      </c>
      <c r="C33" s="968">
        <f>+'ES F '!C32</f>
        <v>0</v>
      </c>
      <c r="D33" s="968">
        <f>+B33-C33</f>
        <v>0</v>
      </c>
      <c r="E33" s="969"/>
      <c r="F33" s="969"/>
      <c r="G33" s="969"/>
      <c r="H33" s="972">
        <f>+D33</f>
        <v>0</v>
      </c>
      <c r="I33" s="969"/>
      <c r="J33" s="975"/>
      <c r="K33" s="969"/>
      <c r="L33" s="978"/>
    </row>
    <row r="34" spans="1:12">
      <c r="A34" s="968" t="str">
        <f>+'ES F '!A33</f>
        <v>Cuentas por pagar a corto plazo (Nota 14)</v>
      </c>
      <c r="B34" s="968">
        <f>+'ES F '!B33</f>
        <v>11936643.77</v>
      </c>
      <c r="C34" s="968">
        <f>+'ES F '!C33</f>
        <v>8951565.0899999999</v>
      </c>
      <c r="D34" s="968">
        <f t="shared" ref="D34:D65" si="2">+B34-C34</f>
        <v>2985078.6799999997</v>
      </c>
      <c r="E34" s="969"/>
      <c r="F34" s="969"/>
      <c r="G34" s="969"/>
      <c r="H34" s="972">
        <f>+D34</f>
        <v>2985078.6799999997</v>
      </c>
      <c r="I34" s="969"/>
      <c r="J34" s="975"/>
      <c r="K34" s="969"/>
      <c r="L34" s="978"/>
    </row>
    <row r="35" spans="1:12">
      <c r="A35" s="968" t="str">
        <f>+'ES F '!A34</f>
        <v xml:space="preserve"> Préstamos a corto plazo (Nota 23)</v>
      </c>
      <c r="B35" s="968">
        <f>+'ES F '!B34</f>
        <v>0</v>
      </c>
      <c r="C35" s="968">
        <f>+'ES F '!C34</f>
        <v>0</v>
      </c>
      <c r="D35" s="968">
        <f t="shared" si="2"/>
        <v>0</v>
      </c>
      <c r="E35" s="969"/>
      <c r="F35" s="969"/>
      <c r="G35" s="969"/>
      <c r="H35" s="971"/>
      <c r="I35" s="969"/>
      <c r="J35" s="975"/>
      <c r="K35" s="969"/>
      <c r="L35" s="979">
        <f>+D35</f>
        <v>0</v>
      </c>
    </row>
    <row r="36" spans="1:12">
      <c r="A36" s="968" t="str">
        <f>+'ES F '!A35</f>
        <v xml:space="preserve">Parte corriente de préstamos a largo plazo (Nota 24) </v>
      </c>
      <c r="B36" s="968">
        <f>+'ES F '!B35</f>
        <v>0</v>
      </c>
      <c r="C36" s="968">
        <f>+'ES F '!C35</f>
        <v>0</v>
      </c>
      <c r="D36" s="968">
        <f t="shared" si="2"/>
        <v>0</v>
      </c>
      <c r="E36" s="969"/>
      <c r="F36" s="969"/>
      <c r="G36" s="969"/>
      <c r="H36" s="971"/>
      <c r="I36" s="969"/>
      <c r="J36" s="975"/>
      <c r="K36" s="969"/>
      <c r="L36" s="978"/>
    </row>
    <row r="37" spans="1:12">
      <c r="A37" s="968" t="str">
        <f>+'ES F '!A36</f>
        <v>Retencione y Acumulaciones  por pagar (Nota 15)</v>
      </c>
      <c r="B37" s="968">
        <f>+'ES F '!B36</f>
        <v>139610.85</v>
      </c>
      <c r="C37" s="968">
        <f>+'ES F '!C36</f>
        <v>139610.85100000002</v>
      </c>
      <c r="D37" s="968">
        <f t="shared" si="2"/>
        <v>-1.0000000183936208E-3</v>
      </c>
      <c r="E37" s="969"/>
      <c r="F37" s="969"/>
      <c r="G37" s="969"/>
      <c r="H37" s="972">
        <f>+D37</f>
        <v>-1.0000000183936208E-3</v>
      </c>
      <c r="I37" s="969"/>
      <c r="J37" s="975"/>
      <c r="K37" s="969"/>
      <c r="L37" s="978"/>
    </row>
    <row r="38" spans="1:12">
      <c r="A38" s="968" t="str">
        <f>+'ES F '!A37</f>
        <v>Retenciones y acumulaciones por pagar (Nota 14)</v>
      </c>
      <c r="B38" s="968">
        <f>+'ES F '!B37</f>
        <v>0</v>
      </c>
      <c r="C38" s="968">
        <f>+'ES F '!C37</f>
        <v>0</v>
      </c>
      <c r="D38" s="968">
        <f t="shared" si="2"/>
        <v>0</v>
      </c>
      <c r="E38" s="969"/>
      <c r="F38" s="969"/>
      <c r="G38" s="969"/>
      <c r="H38" s="971"/>
      <c r="I38" s="969"/>
      <c r="J38" s="975"/>
      <c r="K38" s="969"/>
      <c r="L38" s="978"/>
    </row>
    <row r="39" spans="1:12">
      <c r="A39" s="968" t="str">
        <f>+'ES F '!A38</f>
        <v>Retenciones y acumulaciones por pagar (Nota 14)</v>
      </c>
      <c r="B39" s="968">
        <f>+'ES F '!B38</f>
        <v>0</v>
      </c>
      <c r="C39" s="968">
        <f>+'ES F '!C38</f>
        <v>0</v>
      </c>
      <c r="D39" s="968">
        <f t="shared" si="2"/>
        <v>0</v>
      </c>
      <c r="E39" s="969"/>
      <c r="F39" s="969"/>
      <c r="G39" s="969"/>
      <c r="H39" s="971"/>
      <c r="I39" s="969"/>
      <c r="J39" s="975"/>
      <c r="K39" s="969"/>
      <c r="L39" s="978"/>
    </row>
    <row r="40" spans="1:12">
      <c r="A40" s="968" t="str">
        <f>+'ES F '!A39</f>
        <v>Retenciones por pagar (Nota 17)</v>
      </c>
      <c r="B40" s="968">
        <f>+'ES F '!B39</f>
        <v>0</v>
      </c>
      <c r="C40" s="968">
        <f>+'ES F '!C39</f>
        <v>0</v>
      </c>
      <c r="D40" s="968">
        <f t="shared" si="2"/>
        <v>0</v>
      </c>
      <c r="E40" s="969"/>
      <c r="F40" s="969"/>
      <c r="G40" s="969"/>
      <c r="H40" s="972">
        <f>+D40</f>
        <v>0</v>
      </c>
      <c r="I40" s="969"/>
      <c r="J40" s="975"/>
      <c r="K40" s="969"/>
      <c r="L40" s="978"/>
    </row>
    <row r="41" spans="1:12">
      <c r="A41" s="968" t="str">
        <f>+'ES F '!A40</f>
        <v>Otros pasivos corrientes (Nota 29)</v>
      </c>
      <c r="B41" s="968">
        <f>+'ES F '!B40</f>
        <v>0</v>
      </c>
      <c r="C41" s="968">
        <f>+'ES F '!C40</f>
        <v>0</v>
      </c>
      <c r="D41" s="968">
        <f t="shared" si="2"/>
        <v>0</v>
      </c>
      <c r="E41" s="969"/>
      <c r="F41" s="969"/>
      <c r="G41" s="969"/>
      <c r="H41" s="971"/>
      <c r="I41" s="969"/>
      <c r="J41" s="975"/>
      <c r="K41" s="969"/>
      <c r="L41" s="978"/>
    </row>
    <row r="42" spans="1:12">
      <c r="A42" s="968" t="str">
        <f>+'ES F '!A41</f>
        <v>Total pasivos corrientes</v>
      </c>
      <c r="B42" s="968">
        <f>+'ES F '!B41</f>
        <v>12076254.619999999</v>
      </c>
      <c r="C42" s="968">
        <f>+'ES F '!C41</f>
        <v>9091175.9409999996</v>
      </c>
      <c r="D42" s="968">
        <f t="shared" si="2"/>
        <v>2985078.6789999995</v>
      </c>
      <c r="E42" s="969"/>
      <c r="F42" s="969"/>
      <c r="G42" s="969"/>
      <c r="H42" s="971"/>
      <c r="I42" s="969"/>
      <c r="J42" s="975"/>
      <c r="K42" s="969"/>
      <c r="L42" s="978"/>
    </row>
    <row r="43" spans="1:12">
      <c r="A43" s="968">
        <f>+'ES F '!A42</f>
        <v>0</v>
      </c>
      <c r="B43" s="968">
        <f>+'ES F '!B42</f>
        <v>0</v>
      </c>
      <c r="C43" s="968">
        <f>+'ES F '!C42</f>
        <v>0</v>
      </c>
      <c r="D43" s="968">
        <f t="shared" si="2"/>
        <v>0</v>
      </c>
      <c r="E43" s="969"/>
      <c r="F43" s="969"/>
      <c r="G43" s="969"/>
      <c r="H43" s="971"/>
      <c r="I43" s="969"/>
      <c r="J43" s="975"/>
      <c r="K43" s="969"/>
      <c r="L43" s="978"/>
    </row>
    <row r="44" spans="1:12">
      <c r="A44" s="968" t="e">
        <f>+'ES F '!#REF!</f>
        <v>#REF!</v>
      </c>
      <c r="B44" s="968" t="e">
        <f>+'ES F '!#REF!</f>
        <v>#REF!</v>
      </c>
      <c r="C44" s="968" t="e">
        <f>+'ES F '!#REF!</f>
        <v>#REF!</v>
      </c>
      <c r="D44" s="968" t="e">
        <f t="shared" si="2"/>
        <v>#REF!</v>
      </c>
      <c r="E44" s="969"/>
      <c r="F44" s="969"/>
      <c r="G44" s="969"/>
      <c r="H44" s="971"/>
      <c r="I44" s="969"/>
      <c r="J44" s="975"/>
      <c r="K44" s="969"/>
      <c r="L44" s="978"/>
    </row>
    <row r="45" spans="1:12">
      <c r="A45" s="968" t="e">
        <f>+'ES F '!#REF!</f>
        <v>#REF!</v>
      </c>
      <c r="B45" s="968" t="e">
        <f>+'ES F '!#REF!</f>
        <v>#REF!</v>
      </c>
      <c r="C45" s="968" t="e">
        <f>+'ES F '!#REF!</f>
        <v>#REF!</v>
      </c>
      <c r="D45" s="968" t="e">
        <f t="shared" si="2"/>
        <v>#REF!</v>
      </c>
      <c r="E45" s="969"/>
      <c r="F45" s="969"/>
      <c r="G45" s="969"/>
      <c r="H45" s="971"/>
      <c r="I45" s="969"/>
      <c r="J45" s="975"/>
      <c r="K45" s="969"/>
      <c r="L45" s="978"/>
    </row>
    <row r="46" spans="1:12">
      <c r="A46" s="968" t="e">
        <f>+'ES F '!#REF!</f>
        <v>#REF!</v>
      </c>
      <c r="B46" s="968" t="e">
        <f>+'ES F '!#REF!</f>
        <v>#REF!</v>
      </c>
      <c r="C46" s="968" t="e">
        <f>+'ES F '!#REF!</f>
        <v>#REF!</v>
      </c>
      <c r="D46" s="968" t="e">
        <f t="shared" si="2"/>
        <v>#REF!</v>
      </c>
      <c r="E46" s="969"/>
      <c r="F46" s="969"/>
      <c r="G46" s="969"/>
      <c r="H46" s="971"/>
      <c r="I46" s="969"/>
      <c r="J46" s="975"/>
      <c r="K46" s="969"/>
      <c r="L46" s="978"/>
    </row>
    <row r="47" spans="1:12">
      <c r="A47" s="968" t="e">
        <f>+'ES F '!#REF!</f>
        <v>#REF!</v>
      </c>
      <c r="B47" s="968" t="e">
        <f>+'ES F '!#REF!</f>
        <v>#REF!</v>
      </c>
      <c r="C47" s="968" t="e">
        <f>+'ES F '!#REF!</f>
        <v>#REF!</v>
      </c>
      <c r="D47" s="968" t="e">
        <f t="shared" si="2"/>
        <v>#REF!</v>
      </c>
      <c r="E47" s="969"/>
      <c r="F47" s="969"/>
      <c r="G47" s="969"/>
      <c r="H47" s="971"/>
      <c r="I47" s="969"/>
      <c r="J47" s="975"/>
      <c r="K47" s="969"/>
      <c r="L47" s="978"/>
    </row>
    <row r="48" spans="1:12">
      <c r="A48" s="968" t="e">
        <f>+'ES F '!#REF!</f>
        <v>#REF!</v>
      </c>
      <c r="B48" s="968" t="e">
        <f>+'ES F '!#REF!</f>
        <v>#REF!</v>
      </c>
      <c r="C48" s="968" t="e">
        <f>+'ES F '!#REF!</f>
        <v>#REF!</v>
      </c>
      <c r="D48" s="968" t="e">
        <f t="shared" si="2"/>
        <v>#REF!</v>
      </c>
      <c r="E48" s="969"/>
      <c r="F48" s="969"/>
      <c r="G48" s="969"/>
      <c r="H48" s="971"/>
      <c r="I48" s="969"/>
      <c r="J48" s="975"/>
      <c r="K48" s="969"/>
      <c r="L48" s="978"/>
    </row>
    <row r="49" spans="1:12">
      <c r="A49" s="968" t="str">
        <f>+'ES F '!A43</f>
        <v>Pasivos no corrientes</v>
      </c>
      <c r="B49" s="968">
        <f>+'ES F '!B43</f>
        <v>0</v>
      </c>
      <c r="C49" s="968">
        <f>+'ES F '!C43</f>
        <v>0</v>
      </c>
      <c r="D49" s="968">
        <f t="shared" si="2"/>
        <v>0</v>
      </c>
      <c r="E49" s="969"/>
      <c r="F49" s="969"/>
      <c r="G49" s="969"/>
      <c r="H49" s="971"/>
      <c r="I49" s="969"/>
      <c r="J49" s="975"/>
      <c r="K49" s="969"/>
      <c r="L49" s="978"/>
    </row>
    <row r="50" spans="1:12">
      <c r="A50" s="968" t="str">
        <f>+'ES F '!A44</f>
        <v>Cuentas por pagar a largo plazo (Nota 30)</v>
      </c>
      <c r="B50" s="968">
        <f>+'ES F '!B44</f>
        <v>0</v>
      </c>
      <c r="C50" s="968">
        <f>+'ES F '!C44</f>
        <v>0</v>
      </c>
      <c r="D50" s="968">
        <f t="shared" si="2"/>
        <v>0</v>
      </c>
      <c r="E50" s="969"/>
      <c r="F50" s="969"/>
      <c r="G50" s="969"/>
      <c r="H50" s="971"/>
      <c r="I50" s="969"/>
      <c r="J50" s="975"/>
      <c r="K50" s="969"/>
      <c r="L50" s="978"/>
    </row>
    <row r="51" spans="1:12">
      <c r="A51" s="968" t="str">
        <f>+'ES F '!A45</f>
        <v>Préstamos a largo plazo (Nota 31)</v>
      </c>
      <c r="B51" s="968">
        <f>+'ES F '!B45</f>
        <v>0</v>
      </c>
      <c r="C51" s="968">
        <f>+'ES F '!C45</f>
        <v>0</v>
      </c>
      <c r="D51" s="968">
        <f t="shared" si="2"/>
        <v>0</v>
      </c>
      <c r="E51" s="969"/>
      <c r="F51" s="969"/>
      <c r="G51" s="969"/>
      <c r="H51" s="971"/>
      <c r="I51" s="969"/>
      <c r="J51" s="975"/>
      <c r="K51" s="969"/>
      <c r="L51" s="978"/>
    </row>
    <row r="52" spans="1:12">
      <c r="A52" s="968" t="str">
        <f>+'ES F '!A46</f>
        <v xml:space="preserve">Instrumentos de deuda (Nota 32) </v>
      </c>
      <c r="B52" s="968">
        <f>+'ES F '!B46</f>
        <v>0</v>
      </c>
      <c r="C52" s="968">
        <f>+'ES F '!C46</f>
        <v>0</v>
      </c>
      <c r="D52" s="968">
        <f t="shared" si="2"/>
        <v>0</v>
      </c>
      <c r="E52" s="969"/>
      <c r="F52" s="969"/>
      <c r="G52" s="969"/>
      <c r="H52" s="971"/>
      <c r="I52" s="969"/>
      <c r="J52" s="975"/>
      <c r="K52" s="969"/>
      <c r="L52" s="978"/>
    </row>
    <row r="53" spans="1:12">
      <c r="A53" s="968" t="str">
        <f>+'ES F '!A47</f>
        <v>Provisiones a largo plazo (Nota 33)</v>
      </c>
      <c r="B53" s="968">
        <f>+'ES F '!B47</f>
        <v>0</v>
      </c>
      <c r="C53" s="968">
        <f>+'ES F '!C47</f>
        <v>0</v>
      </c>
      <c r="D53" s="968">
        <f t="shared" si="2"/>
        <v>0</v>
      </c>
      <c r="E53" s="969"/>
      <c r="F53" s="969"/>
      <c r="G53" s="969"/>
      <c r="H53" s="971"/>
      <c r="I53" s="969"/>
      <c r="J53" s="975"/>
      <c r="K53" s="969"/>
      <c r="L53" s="978"/>
    </row>
    <row r="54" spans="1:12">
      <c r="A54" s="968" t="str">
        <f>+'ES F '!A48</f>
        <v>Beneficios a empleados a largo plazo (Nota 34)</v>
      </c>
      <c r="B54" s="968">
        <f>+'ES F '!B48</f>
        <v>0</v>
      </c>
      <c r="C54" s="968">
        <f>+'ES F '!C48</f>
        <v>0</v>
      </c>
      <c r="D54" s="968">
        <f t="shared" si="2"/>
        <v>0</v>
      </c>
      <c r="E54" s="969"/>
      <c r="F54" s="969"/>
      <c r="G54" s="969"/>
      <c r="H54" s="971"/>
      <c r="I54" s="969"/>
      <c r="J54" s="975"/>
      <c r="K54" s="969"/>
      <c r="L54" s="978"/>
    </row>
    <row r="55" spans="1:12">
      <c r="A55" s="968" t="str">
        <f>+'ES F '!A49</f>
        <v xml:space="preserve"> Otros pasivos no corrientes (Nota 35)</v>
      </c>
      <c r="B55" s="968">
        <f>+'ES F '!B49</f>
        <v>0</v>
      </c>
      <c r="C55" s="968">
        <f>+'ES F '!C49</f>
        <v>0</v>
      </c>
      <c r="D55" s="968">
        <f t="shared" si="2"/>
        <v>0</v>
      </c>
      <c r="E55" s="969"/>
      <c r="F55" s="969"/>
      <c r="G55" s="969"/>
      <c r="H55" s="971"/>
      <c r="I55" s="969"/>
      <c r="J55" s="975"/>
      <c r="K55" s="969"/>
      <c r="L55" s="978"/>
    </row>
    <row r="56" spans="1:12">
      <c r="A56" s="968" t="str">
        <f>+'ES F '!A50</f>
        <v>Total pasivos no corrientes</v>
      </c>
      <c r="B56" s="968">
        <f>+'ES F '!B50</f>
        <v>0</v>
      </c>
      <c r="C56" s="968">
        <f>+'ES F '!C50</f>
        <v>0</v>
      </c>
      <c r="D56" s="968">
        <f t="shared" si="2"/>
        <v>0</v>
      </c>
      <c r="E56" s="969"/>
      <c r="F56" s="969"/>
      <c r="G56" s="969"/>
      <c r="H56" s="971"/>
      <c r="I56" s="969"/>
      <c r="J56" s="975"/>
      <c r="K56" s="969"/>
      <c r="L56" s="978"/>
    </row>
    <row r="57" spans="1:12">
      <c r="A57" s="968">
        <f>+'ES F '!A51</f>
        <v>0</v>
      </c>
      <c r="B57" s="968">
        <f>+'ES F '!B51</f>
        <v>0</v>
      </c>
      <c r="C57" s="968">
        <f>+'ES F '!C51</f>
        <v>0</v>
      </c>
      <c r="D57" s="968">
        <f t="shared" si="2"/>
        <v>0</v>
      </c>
      <c r="E57" s="969"/>
      <c r="F57" s="969"/>
      <c r="G57" s="969"/>
      <c r="H57" s="971"/>
      <c r="I57" s="969"/>
      <c r="J57" s="975"/>
      <c r="K57" s="969"/>
      <c r="L57" s="978"/>
    </row>
    <row r="58" spans="1:12">
      <c r="A58" s="968" t="str">
        <f>+'ES F '!A52</f>
        <v>Total pasivos</v>
      </c>
      <c r="B58" s="968">
        <f>+'ES F '!B52</f>
        <v>12076254.619999999</v>
      </c>
      <c r="C58" s="968">
        <f>+'ES F '!C52</f>
        <v>9091175.9409999996</v>
      </c>
      <c r="D58" s="968">
        <f t="shared" si="2"/>
        <v>2985078.6789999995</v>
      </c>
      <c r="E58" s="969"/>
      <c r="F58" s="969"/>
      <c r="G58" s="969"/>
      <c r="H58" s="971"/>
      <c r="I58" s="969"/>
      <c r="J58" s="975"/>
      <c r="K58" s="969"/>
      <c r="L58" s="978"/>
    </row>
    <row r="59" spans="1:12">
      <c r="A59" s="968" t="e">
        <f>+'ES F '!#REF!</f>
        <v>#REF!</v>
      </c>
      <c r="B59" s="968" t="e">
        <f>+'ES F '!#REF!</f>
        <v>#REF!</v>
      </c>
      <c r="C59" s="968" t="e">
        <f>+'ES F '!#REF!</f>
        <v>#REF!</v>
      </c>
      <c r="D59" s="968" t="e">
        <f t="shared" si="2"/>
        <v>#REF!</v>
      </c>
      <c r="E59" s="969"/>
      <c r="F59" s="969"/>
      <c r="G59" s="969"/>
      <c r="H59" s="971"/>
      <c r="I59" s="969"/>
      <c r="J59" s="975"/>
      <c r="K59" s="969"/>
      <c r="L59" s="978"/>
    </row>
    <row r="60" spans="1:12">
      <c r="A60" s="968" t="str">
        <f>+'ES F '!A54</f>
        <v>Activos Netos/Patrimonio (Notas 16)</v>
      </c>
      <c r="B60" s="968">
        <f>+'ES F '!B54</f>
        <v>0</v>
      </c>
      <c r="C60" s="968">
        <f>+'ES F '!C54</f>
        <v>0</v>
      </c>
      <c r="D60" s="968">
        <f t="shared" si="2"/>
        <v>0</v>
      </c>
      <c r="E60" s="969"/>
      <c r="F60" s="969"/>
      <c r="G60" s="969"/>
      <c r="H60" s="971"/>
      <c r="I60" s="969"/>
      <c r="J60" s="975"/>
      <c r="K60" s="969"/>
      <c r="L60" s="978"/>
    </row>
    <row r="61" spans="1:12">
      <c r="A61" s="968" t="str">
        <f>+'ES F '!A55</f>
        <v>Capital</v>
      </c>
      <c r="B61" s="968">
        <f>+'ES F '!B55</f>
        <v>808793054.60000002</v>
      </c>
      <c r="C61" s="968">
        <f>+'ES F '!C55</f>
        <v>808793054.60000002</v>
      </c>
      <c r="D61" s="968">
        <f t="shared" si="2"/>
        <v>0</v>
      </c>
      <c r="E61" s="969"/>
      <c r="F61" s="969"/>
      <c r="G61" s="969"/>
      <c r="H61" s="971"/>
      <c r="I61" s="969"/>
      <c r="J61" s="975"/>
      <c r="K61" s="969"/>
      <c r="L61" s="978"/>
    </row>
    <row r="62" spans="1:12">
      <c r="A62" s="968" t="str">
        <f>+'ES F '!A56</f>
        <v>Reservas</v>
      </c>
      <c r="B62" s="968">
        <f>+'ES F '!B56</f>
        <v>0</v>
      </c>
      <c r="C62" s="968">
        <f>+'ES F '!C56</f>
        <v>0</v>
      </c>
      <c r="D62" s="968">
        <f t="shared" si="2"/>
        <v>0</v>
      </c>
      <c r="E62" s="969"/>
      <c r="F62" s="969"/>
      <c r="G62" s="969"/>
      <c r="H62" s="971"/>
      <c r="I62" s="969"/>
      <c r="J62" s="975"/>
      <c r="K62" s="969"/>
      <c r="L62" s="978"/>
    </row>
    <row r="63" spans="1:12">
      <c r="A63" s="968" t="str">
        <f>+'ES F '!A58</f>
        <v>Resultados  acumulado</v>
      </c>
      <c r="B63" s="968">
        <f>+'ES F '!B58</f>
        <v>399663227.34979999</v>
      </c>
      <c r="C63" s="968">
        <f>+'ES F '!C58</f>
        <v>279289394.97989994</v>
      </c>
      <c r="D63" s="968">
        <f t="shared" si="2"/>
        <v>120373832.36990005</v>
      </c>
      <c r="E63" s="969"/>
      <c r="F63" s="969"/>
      <c r="G63" s="969"/>
      <c r="H63" s="971"/>
      <c r="I63" s="969"/>
      <c r="J63" s="975"/>
      <c r="K63" s="969"/>
      <c r="L63" s="978"/>
    </row>
    <row r="64" spans="1:12">
      <c r="A64" s="968" t="str">
        <f>+'ES F '!A59</f>
        <v>Intereses minoritarios</v>
      </c>
      <c r="B64" s="968">
        <f>+'ES F '!B59</f>
        <v>0</v>
      </c>
      <c r="C64" s="968">
        <f>+'ES F '!C59</f>
        <v>0</v>
      </c>
      <c r="D64" s="968">
        <f t="shared" si="2"/>
        <v>0</v>
      </c>
      <c r="E64" s="969"/>
      <c r="F64" s="969"/>
      <c r="G64" s="969"/>
      <c r="H64" s="971"/>
      <c r="I64" s="969"/>
      <c r="J64" s="975"/>
      <c r="K64" s="969"/>
      <c r="L64" s="978"/>
    </row>
    <row r="65" spans="1:12">
      <c r="A65" s="968" t="str">
        <f>+'ES F '!A60</f>
        <v xml:space="preserve"> </v>
      </c>
      <c r="B65" s="968">
        <f>+'ES F '!B60</f>
        <v>1208658672.7198</v>
      </c>
      <c r="C65" s="968">
        <f>+'ES F '!C60</f>
        <v>1208456281.9498</v>
      </c>
      <c r="D65" s="968">
        <f t="shared" si="2"/>
        <v>202390.76999998093</v>
      </c>
      <c r="E65" s="969"/>
      <c r="F65" s="969"/>
      <c r="G65" s="969"/>
      <c r="H65" s="971"/>
      <c r="I65" s="969"/>
      <c r="J65" s="975"/>
      <c r="K65" s="969"/>
      <c r="L65" s="978"/>
    </row>
    <row r="66" spans="1:12">
      <c r="A66" s="969"/>
      <c r="B66" s="969"/>
      <c r="C66" s="969"/>
      <c r="D66" s="969"/>
      <c r="E66" s="969"/>
      <c r="F66" s="969"/>
      <c r="G66" s="969"/>
      <c r="H66" s="971"/>
      <c r="I66" s="969"/>
      <c r="J66" s="975"/>
      <c r="K66" s="969"/>
      <c r="L66" s="978"/>
    </row>
    <row r="67" spans="1:12">
      <c r="A67" s="969"/>
      <c r="B67" s="969">
        <v>0</v>
      </c>
      <c r="C67" s="969">
        <v>0</v>
      </c>
      <c r="D67" s="969"/>
      <c r="E67" s="969"/>
      <c r="F67" s="969"/>
      <c r="G67" s="969"/>
      <c r="H67" s="971"/>
      <c r="I67" s="969"/>
      <c r="J67" s="975"/>
      <c r="K67" s="969"/>
      <c r="L67" s="978"/>
    </row>
    <row r="68" spans="1:12">
      <c r="A68" s="969"/>
      <c r="B68" s="969"/>
      <c r="C68" s="969"/>
      <c r="D68" s="969"/>
      <c r="E68" s="969"/>
      <c r="F68" s="969"/>
      <c r="G68" s="969"/>
      <c r="H68" s="971"/>
      <c r="I68" s="969"/>
      <c r="J68" s="975"/>
      <c r="K68" s="969"/>
      <c r="L68" s="978"/>
    </row>
    <row r="69" spans="1:12">
      <c r="A69" s="969"/>
      <c r="B69" s="969">
        <v>2019</v>
      </c>
      <c r="C69" s="969">
        <v>2018</v>
      </c>
      <c r="D69" s="969"/>
      <c r="E69" s="969"/>
      <c r="F69" s="969"/>
      <c r="G69" s="969"/>
      <c r="H69" s="971"/>
      <c r="I69" s="969"/>
      <c r="J69" s="975"/>
      <c r="K69" s="969"/>
      <c r="L69" s="978"/>
    </row>
    <row r="70" spans="1:12">
      <c r="A70" s="969" t="s">
        <v>2063</v>
      </c>
      <c r="B70" s="969"/>
      <c r="C70" s="969"/>
      <c r="D70" s="969"/>
      <c r="E70" s="969"/>
      <c r="F70" s="969"/>
      <c r="G70" s="969"/>
      <c r="H70" s="971"/>
      <c r="I70" s="969"/>
      <c r="J70" s="975"/>
      <c r="K70" s="969"/>
      <c r="L70" s="978"/>
    </row>
    <row r="71" spans="1:12">
      <c r="A71" s="969" t="s">
        <v>2064</v>
      </c>
      <c r="B71" s="968">
        <f>+ERF!B10</f>
        <v>0</v>
      </c>
      <c r="C71" s="968">
        <f>+ERF!C10</f>
        <v>0</v>
      </c>
      <c r="D71" s="969"/>
      <c r="E71" s="969"/>
      <c r="F71" s="969"/>
      <c r="G71" s="969"/>
      <c r="H71" s="971"/>
      <c r="I71" s="969"/>
      <c r="J71" s="975"/>
      <c r="K71" s="969"/>
      <c r="L71" s="978"/>
    </row>
    <row r="72" spans="1:12">
      <c r="A72" s="968" t="str">
        <f>+ERF!A11</f>
        <v>Ingresos por transacciones con contraprestación</v>
      </c>
      <c r="B72" s="968">
        <f>+ERF!B11</f>
        <v>45032091.25</v>
      </c>
      <c r="C72" s="968">
        <f>+ERF!C11</f>
        <v>186534488.11000001</v>
      </c>
      <c r="D72" s="969"/>
      <c r="E72" s="969"/>
      <c r="F72" s="969"/>
      <c r="G72" s="969"/>
      <c r="H72" s="972">
        <f>+B72</f>
        <v>45032091.25</v>
      </c>
      <c r="I72" s="969"/>
      <c r="J72" s="975"/>
      <c r="K72" s="969"/>
      <c r="L72" s="978"/>
    </row>
    <row r="73" spans="1:12">
      <c r="A73" s="968" t="str">
        <f>+ERF!A12</f>
        <v>Transferencias y donaciones</v>
      </c>
      <c r="B73" s="968">
        <f>+ERF!B12</f>
        <v>25865457</v>
      </c>
      <c r="C73" s="968">
        <f>+ERF!C12</f>
        <v>307209103</v>
      </c>
      <c r="D73" s="969"/>
      <c r="E73" s="969"/>
      <c r="F73" s="969"/>
      <c r="G73" s="969"/>
      <c r="H73" s="972">
        <f t="shared" ref="H73:H95" si="3">+B73</f>
        <v>25865457</v>
      </c>
      <c r="I73" s="969"/>
      <c r="J73" s="975"/>
      <c r="K73" s="969"/>
      <c r="L73" s="978"/>
    </row>
    <row r="74" spans="1:12">
      <c r="A74" s="968" t="str">
        <f>+ERF!A13</f>
        <v>Recargos, multas y otros ingresos</v>
      </c>
      <c r="B74" s="968">
        <f>+'Notas NF'!C480</f>
        <v>0</v>
      </c>
      <c r="C74" s="968">
        <f>+ERF!C13</f>
        <v>0</v>
      </c>
      <c r="D74" s="969"/>
      <c r="E74" s="969"/>
      <c r="F74" s="969"/>
      <c r="G74" s="969"/>
      <c r="H74" s="972">
        <f t="shared" si="3"/>
        <v>0</v>
      </c>
      <c r="I74" s="969"/>
      <c r="J74" s="975"/>
      <c r="K74" s="969"/>
      <c r="L74" s="978"/>
    </row>
    <row r="75" spans="1:12">
      <c r="A75" s="968" t="str">
        <f>+ERF!A14</f>
        <v>Total ingresos</v>
      </c>
      <c r="B75" s="968">
        <f>+ERF!B14</f>
        <v>70897548.25</v>
      </c>
      <c r="C75" s="968">
        <f>+ERF!C14</f>
        <v>493743591.11000001</v>
      </c>
      <c r="D75" s="969"/>
      <c r="E75" s="969"/>
      <c r="F75" s="969"/>
      <c r="G75" s="969"/>
      <c r="H75" s="972"/>
      <c r="I75" s="969"/>
      <c r="J75" s="975"/>
      <c r="K75" s="969"/>
      <c r="L75" s="978"/>
    </row>
    <row r="76" spans="1:12">
      <c r="A76" s="968">
        <f>+ERF!A15</f>
        <v>0</v>
      </c>
      <c r="B76" s="968">
        <f>+ERF!B15</f>
        <v>0</v>
      </c>
      <c r="C76" s="968">
        <f>+ERF!C15</f>
        <v>0</v>
      </c>
      <c r="D76" s="969"/>
      <c r="E76" s="969"/>
      <c r="F76" s="969"/>
      <c r="G76" s="969"/>
      <c r="H76" s="972">
        <f t="shared" si="3"/>
        <v>0</v>
      </c>
      <c r="I76" s="969"/>
      <c r="J76" s="975"/>
      <c r="K76" s="969"/>
      <c r="L76" s="978"/>
    </row>
    <row r="77" spans="1:12">
      <c r="A77" s="968" t="str">
        <f>+ERF!A16</f>
        <v>Gastos (Notas 19,20,21,22,23,24,25)</v>
      </c>
      <c r="B77" s="968">
        <f>+ERF!B16</f>
        <v>0</v>
      </c>
      <c r="C77" s="968">
        <f>+ERF!C16</f>
        <v>0</v>
      </c>
      <c r="D77" s="969"/>
      <c r="E77" s="969"/>
      <c r="F77" s="969"/>
      <c r="G77" s="969"/>
      <c r="H77" s="972">
        <f t="shared" si="3"/>
        <v>0</v>
      </c>
      <c r="I77" s="969"/>
      <c r="J77" s="975"/>
      <c r="K77" s="969"/>
      <c r="L77" s="978"/>
    </row>
    <row r="78" spans="1:12">
      <c r="A78" s="968" t="str">
        <f>+ERF!A17</f>
        <v>Sueldos, salarios y beneficios a empleados</v>
      </c>
      <c r="B78" s="968">
        <f>+ERF!B17</f>
        <v>46820324.450000003</v>
      </c>
      <c r="C78" s="968">
        <f>+ERF!C17</f>
        <v>202342741.25000003</v>
      </c>
      <c r="D78" s="969"/>
      <c r="E78" s="969"/>
      <c r="F78" s="969"/>
      <c r="G78" s="969"/>
      <c r="H78" s="972">
        <f t="shared" ref="H78:H83" si="4">-B78</f>
        <v>-46820324.450000003</v>
      </c>
      <c r="I78" s="969"/>
      <c r="J78" s="975"/>
      <c r="K78" s="969"/>
      <c r="L78" s="978"/>
    </row>
    <row r="79" spans="1:12">
      <c r="A79" s="968" t="str">
        <f>+ERF!A18</f>
        <v>Subvenciones y otros pagos por transferencias</v>
      </c>
      <c r="B79" s="968">
        <f>+ERF!B18</f>
        <v>0</v>
      </c>
      <c r="C79" s="968">
        <f>+ERF!C18</f>
        <v>30000.000100000001</v>
      </c>
      <c r="D79" s="969"/>
      <c r="E79" s="969"/>
      <c r="F79" s="969"/>
      <c r="G79" s="969"/>
      <c r="H79" s="972">
        <f t="shared" si="4"/>
        <v>0</v>
      </c>
      <c r="I79" s="969"/>
      <c r="J79" s="975"/>
      <c r="K79" s="969"/>
      <c r="L79" s="978"/>
    </row>
    <row r="80" spans="1:12">
      <c r="A80" s="968" t="str">
        <f>+ERF!A19</f>
        <v>Suministros y material para consumo</v>
      </c>
      <c r="B80" s="968">
        <f>+ERF!B19</f>
        <v>4593784.7300000004</v>
      </c>
      <c r="C80" s="968">
        <f>+ERF!C19</f>
        <v>27553148.020000003</v>
      </c>
      <c r="D80" s="969"/>
      <c r="E80" s="969"/>
      <c r="F80" s="969"/>
      <c r="G80" s="969"/>
      <c r="H80" s="972">
        <f t="shared" si="4"/>
        <v>-4593784.7300000004</v>
      </c>
      <c r="I80" s="969"/>
      <c r="J80" s="975"/>
      <c r="K80" s="969"/>
      <c r="L80" s="978"/>
    </row>
    <row r="81" spans="1:12">
      <c r="A81" s="968" t="str">
        <f>+ERF!A20</f>
        <v>Gasto de depreciación y amortización</v>
      </c>
      <c r="B81" s="968">
        <f>+ERF!B20</f>
        <v>52140.000000000349</v>
      </c>
      <c r="C81" s="968">
        <f>+ERF!C20</f>
        <v>46530009.390000008</v>
      </c>
      <c r="D81" s="969"/>
      <c r="E81" s="969"/>
      <c r="F81" s="969"/>
      <c r="G81" s="968"/>
      <c r="H81" s="972">
        <f t="shared" si="4"/>
        <v>-52140.000000000349</v>
      </c>
      <c r="I81" s="969"/>
      <c r="J81" s="975"/>
      <c r="K81" s="969"/>
      <c r="L81" s="978"/>
    </row>
    <row r="82" spans="1:12">
      <c r="A82" s="968" t="str">
        <f>+ERF!A21</f>
        <v>Deterioro del valor de propiedad, planta y equipo</v>
      </c>
      <c r="B82" s="968">
        <f>+ERF!B21</f>
        <v>0</v>
      </c>
      <c r="C82" s="968">
        <f>+ERF!C21</f>
        <v>0</v>
      </c>
      <c r="D82" s="969"/>
      <c r="E82" s="969"/>
      <c r="F82" s="969"/>
      <c r="G82" s="969"/>
      <c r="H82" s="972">
        <f t="shared" si="4"/>
        <v>0</v>
      </c>
      <c r="I82" s="969"/>
      <c r="J82" s="975"/>
      <c r="K82" s="969"/>
      <c r="L82" s="978"/>
    </row>
    <row r="83" spans="1:12">
      <c r="A83" s="968" t="str">
        <f>+ERF!A22</f>
        <v>Otros gastos</v>
      </c>
      <c r="B83" s="968">
        <f>+ERF!B22</f>
        <v>19050920.319999997</v>
      </c>
      <c r="C83" s="968">
        <f>+ERF!C22</f>
        <v>96220962.140000001</v>
      </c>
      <c r="D83" s="969"/>
      <c r="E83" s="969"/>
      <c r="F83" s="969"/>
      <c r="G83" s="969"/>
      <c r="H83" s="972">
        <f t="shared" si="4"/>
        <v>-19050920.319999997</v>
      </c>
      <c r="I83" s="969"/>
      <c r="J83" s="975"/>
      <c r="K83" s="969"/>
      <c r="L83" s="978"/>
    </row>
    <row r="84" spans="1:12">
      <c r="A84" s="968" t="str">
        <f>+ERF!A23</f>
        <v>Gastos financieros</v>
      </c>
      <c r="B84" s="968">
        <f>+ERF!B23</f>
        <v>177987.98</v>
      </c>
      <c r="C84" s="968">
        <f>+ERF!C23</f>
        <v>692897.94</v>
      </c>
      <c r="D84" s="969"/>
      <c r="E84" s="969"/>
      <c r="F84" s="969"/>
      <c r="G84" s="969"/>
      <c r="H84" s="972">
        <f>-B84-J84</f>
        <v>-177987.98</v>
      </c>
      <c r="I84" s="969"/>
      <c r="J84" s="976">
        <f>-'Notas NF'!C625</f>
        <v>0</v>
      </c>
      <c r="K84" s="969"/>
      <c r="L84" s="978"/>
    </row>
    <row r="85" spans="1:12">
      <c r="A85" s="968" t="str">
        <f>+ERF!A24</f>
        <v>Total gastos</v>
      </c>
      <c r="B85" s="968">
        <f>+ERF!B24</f>
        <v>70695157.480000004</v>
      </c>
      <c r="C85" s="968">
        <f>+ERF!C24</f>
        <v>373369758.74010003</v>
      </c>
      <c r="D85" s="969"/>
      <c r="E85" s="969"/>
      <c r="F85" s="969"/>
      <c r="G85" s="969"/>
      <c r="H85" s="972"/>
      <c r="I85" s="969"/>
      <c r="J85" s="975"/>
      <c r="K85" s="969"/>
      <c r="L85" s="978"/>
    </row>
    <row r="86" spans="1:12">
      <c r="A86" s="968">
        <f>+ERF!A25</f>
        <v>0</v>
      </c>
      <c r="B86" s="968">
        <f>+ERF!B25</f>
        <v>0</v>
      </c>
      <c r="C86" s="968">
        <f>+ERF!C25</f>
        <v>0</v>
      </c>
      <c r="D86" s="969"/>
      <c r="E86" s="969"/>
      <c r="F86" s="969"/>
      <c r="G86" s="969"/>
      <c r="H86" s="972">
        <f t="shared" si="3"/>
        <v>0</v>
      </c>
      <c r="I86" s="969"/>
      <c r="J86" s="975"/>
      <c r="K86" s="969"/>
      <c r="L86" s="978"/>
    </row>
    <row r="87" spans="1:12">
      <c r="A87" s="968" t="str">
        <f>+ERF!A26</f>
        <v>Ganancia (perdida) por diferencia cambiaria</v>
      </c>
      <c r="B87" s="968">
        <f>+ERF!B26</f>
        <v>0</v>
      </c>
      <c r="C87" s="968">
        <f>+ERF!C26</f>
        <v>0</v>
      </c>
      <c r="D87" s="969"/>
      <c r="E87" s="969"/>
      <c r="F87" s="969"/>
      <c r="G87" s="969"/>
      <c r="H87" s="972">
        <f t="shared" si="3"/>
        <v>0</v>
      </c>
      <c r="I87" s="969"/>
      <c r="J87" s="975"/>
      <c r="K87" s="969"/>
      <c r="L87" s="978"/>
    </row>
    <row r="88" spans="1:12">
      <c r="A88" s="968">
        <f>+ERF!A27</f>
        <v>0</v>
      </c>
      <c r="B88" s="968">
        <f>+ERF!B27</f>
        <v>0</v>
      </c>
      <c r="C88" s="968">
        <f>+ERF!C27</f>
        <v>0</v>
      </c>
      <c r="D88" s="969"/>
      <c r="E88" s="969"/>
      <c r="F88" s="969"/>
      <c r="G88" s="969"/>
      <c r="H88" s="972">
        <f t="shared" si="3"/>
        <v>0</v>
      </c>
      <c r="I88" s="969"/>
      <c r="J88" s="975"/>
      <c r="K88" s="969"/>
      <c r="L88" s="978"/>
    </row>
    <row r="89" spans="1:12">
      <c r="A89" s="968" t="str">
        <f>+ERF!A28</f>
        <v>Participación en resultado de asociadas</v>
      </c>
      <c r="B89" s="968">
        <f>+ERF!B28</f>
        <v>0</v>
      </c>
      <c r="C89" s="968">
        <f>+ERF!C28</f>
        <v>0</v>
      </c>
      <c r="D89" s="969"/>
      <c r="E89" s="969"/>
      <c r="F89" s="969"/>
      <c r="G89" s="969"/>
      <c r="H89" s="972">
        <f t="shared" si="3"/>
        <v>0</v>
      </c>
      <c r="I89" s="969"/>
      <c r="J89" s="975"/>
      <c r="K89" s="969"/>
      <c r="L89" s="978"/>
    </row>
    <row r="90" spans="1:12">
      <c r="A90" s="968" t="str">
        <f>BALANZA!A6</f>
        <v>Resultado Per. Ant.</v>
      </c>
      <c r="B90" s="968"/>
      <c r="C90" s="968">
        <f>+ERF!C29</f>
        <v>0</v>
      </c>
      <c r="D90" s="969"/>
      <c r="E90" s="969"/>
      <c r="F90" s="969"/>
      <c r="G90" s="969"/>
      <c r="H90" s="972">
        <f>BALANZA!B6</f>
        <v>0</v>
      </c>
      <c r="I90" s="969"/>
      <c r="J90" s="975"/>
      <c r="K90" s="969"/>
      <c r="L90" s="978"/>
    </row>
    <row r="91" spans="1:12">
      <c r="A91" s="968" t="str">
        <f>+ERF!A30</f>
        <v>Resultado del período (ahorro / desahorro)</v>
      </c>
      <c r="B91" s="968">
        <f>+ERF!B30</f>
        <v>202390.76999999583</v>
      </c>
      <c r="C91" s="968">
        <f>+ERF!C30</f>
        <v>120373832.36989999</v>
      </c>
      <c r="D91" s="969"/>
      <c r="E91" s="969"/>
      <c r="F91" s="969"/>
      <c r="G91" s="969"/>
      <c r="H91" s="972"/>
      <c r="I91" s="969"/>
      <c r="J91" s="975"/>
      <c r="K91" s="969"/>
      <c r="L91" s="978"/>
    </row>
    <row r="92" spans="1:12">
      <c r="A92" s="968">
        <f>+ERF!A31</f>
        <v>0</v>
      </c>
      <c r="B92" s="968">
        <f>+ERF!B31</f>
        <v>0</v>
      </c>
      <c r="C92" s="968">
        <f>+ERF!C31</f>
        <v>0</v>
      </c>
      <c r="D92" s="969"/>
      <c r="E92" s="969"/>
      <c r="F92" s="969"/>
      <c r="G92" s="969"/>
      <c r="H92" s="972">
        <f t="shared" si="3"/>
        <v>0</v>
      </c>
      <c r="I92" s="969"/>
      <c r="J92" s="975"/>
      <c r="K92" s="969"/>
      <c r="L92" s="978"/>
    </row>
    <row r="93" spans="1:12">
      <c r="A93" s="968" t="str">
        <f>+ERF!A32</f>
        <v>Atribuible a:</v>
      </c>
      <c r="B93" s="968">
        <f>+ERF!B32</f>
        <v>0</v>
      </c>
      <c r="C93" s="968">
        <f>+ERF!C32</f>
        <v>0</v>
      </c>
      <c r="D93" s="969"/>
      <c r="E93" s="969"/>
      <c r="F93" s="969"/>
      <c r="G93" s="969"/>
      <c r="H93" s="972">
        <f t="shared" si="3"/>
        <v>0</v>
      </c>
      <c r="I93" s="969"/>
      <c r="J93" s="975"/>
      <c r="K93" s="969"/>
      <c r="L93" s="978"/>
    </row>
    <row r="94" spans="1:12">
      <c r="A94" s="968" t="str">
        <f>+ERF!A33</f>
        <v>Propietarios de la entidad controladora</v>
      </c>
      <c r="B94" s="968">
        <f>+ERF!B33</f>
        <v>202390.76999999583</v>
      </c>
      <c r="C94" s="968">
        <f>+ERF!C33</f>
        <v>120373832.36989999</v>
      </c>
      <c r="D94" s="969"/>
      <c r="E94" s="969"/>
      <c r="F94" s="969"/>
      <c r="G94" s="969"/>
      <c r="H94" s="972"/>
      <c r="I94" s="969"/>
      <c r="J94" s="975"/>
      <c r="K94" s="969"/>
      <c r="L94" s="978"/>
    </row>
    <row r="95" spans="1:12">
      <c r="A95" s="968" t="str">
        <f>+ERF!A34</f>
        <v>Intereses minoritarios</v>
      </c>
      <c r="B95" s="968">
        <f>+ERF!B34</f>
        <v>0</v>
      </c>
      <c r="C95" s="968">
        <f>+ERF!C34</f>
        <v>0</v>
      </c>
      <c r="D95" s="969"/>
      <c r="E95" s="969"/>
      <c r="F95" s="969"/>
      <c r="G95" s="969"/>
      <c r="H95" s="972">
        <f t="shared" si="3"/>
        <v>0</v>
      </c>
      <c r="I95" s="969"/>
      <c r="J95" s="975"/>
      <c r="K95" s="969"/>
      <c r="L95" s="978"/>
    </row>
    <row r="96" spans="1:12">
      <c r="A96" s="969"/>
      <c r="B96" s="968">
        <f>+ERF!B35</f>
        <v>202390.76999999583</v>
      </c>
      <c r="C96" s="968">
        <f>+ERF!C35</f>
        <v>120373832.36989999</v>
      </c>
      <c r="D96" s="969"/>
      <c r="E96" s="969"/>
      <c r="F96" s="969"/>
      <c r="G96" s="969"/>
      <c r="H96" s="972">
        <f>SUM(H7:H95)</f>
        <v>4893380.8189999945</v>
      </c>
      <c r="I96" s="969"/>
      <c r="J96" s="976">
        <f>SUM(J7:J95)</f>
        <v>-5541311.180000186</v>
      </c>
      <c r="K96" s="969"/>
      <c r="L96" s="979">
        <f>SUM(L7:L95)</f>
        <v>0</v>
      </c>
    </row>
    <row r="97" spans="1:12">
      <c r="A97" s="969"/>
      <c r="B97" s="969"/>
      <c r="C97" s="969"/>
      <c r="D97" s="969"/>
      <c r="E97" s="969"/>
      <c r="F97" s="969"/>
      <c r="G97" s="969"/>
      <c r="H97" s="973">
        <f>SUM(H96:L96)</f>
        <v>-647930.36100019142</v>
      </c>
      <c r="I97" s="969"/>
      <c r="J97" s="975"/>
      <c r="K97" s="969"/>
      <c r="L97" s="978"/>
    </row>
    <row r="99" spans="1:12">
      <c r="H99" s="963"/>
    </row>
    <row r="100" spans="1:12">
      <c r="A100" s="966" t="s">
        <v>2400</v>
      </c>
      <c r="B100" s="967">
        <f>B5</f>
        <v>2026</v>
      </c>
      <c r="C100" s="967">
        <f>C5</f>
        <v>2025</v>
      </c>
      <c r="D100" s="967">
        <f>C100-1</f>
        <v>2024</v>
      </c>
      <c r="H100" s="963"/>
    </row>
    <row r="101" spans="1:12">
      <c r="H101" s="963"/>
    </row>
    <row r="102" spans="1:12">
      <c r="H102" s="963"/>
    </row>
    <row r="103" spans="1:12">
      <c r="B103" s="963"/>
      <c r="C103" s="963"/>
      <c r="D103" s="963"/>
      <c r="H103" s="963"/>
    </row>
    <row r="104" spans="1:12">
      <c r="B104" s="963"/>
      <c r="C104" s="963"/>
      <c r="D104" s="963"/>
      <c r="H104" s="963"/>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
  <sheetViews>
    <sheetView topLeftCell="A4" workbookViewId="0">
      <selection activeCell="H25" sqref="H25"/>
    </sheetView>
  </sheetViews>
  <sheetFormatPr baseColWidth="10" defaultRowHeight="1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I617"/>
  <sheetViews>
    <sheetView topLeftCell="A337" workbookViewId="0">
      <selection activeCell="K340" sqref="K340"/>
    </sheetView>
  </sheetViews>
  <sheetFormatPr baseColWidth="10" defaultRowHeight="15"/>
  <sheetData>
    <row r="6" spans="1:9">
      <c r="A6" t="s">
        <v>2966</v>
      </c>
    </row>
    <row r="7" spans="1:9">
      <c r="A7" t="s">
        <v>2967</v>
      </c>
    </row>
    <row r="9" spans="1:9">
      <c r="A9" t="s">
        <v>0</v>
      </c>
      <c r="B9" t="s">
        <v>2968</v>
      </c>
    </row>
    <row r="10" spans="1:9">
      <c r="A10" t="s">
        <v>0</v>
      </c>
    </row>
    <row r="12" spans="1:9">
      <c r="A12" t="s">
        <v>2969</v>
      </c>
      <c r="C12" t="s">
        <v>8</v>
      </c>
      <c r="F12" t="s">
        <v>2970</v>
      </c>
      <c r="H12" t="s">
        <v>2971</v>
      </c>
      <c r="I12" t="s">
        <v>2972</v>
      </c>
    </row>
    <row r="13" spans="1:9">
      <c r="A13">
        <v>2</v>
      </c>
      <c r="B13">
        <v>2</v>
      </c>
      <c r="C13" t="s">
        <v>2973</v>
      </c>
      <c r="E13">
        <v>1</v>
      </c>
      <c r="F13">
        <v>1811</v>
      </c>
      <c r="G13">
        <v>6.78</v>
      </c>
      <c r="H13">
        <v>12278.58</v>
      </c>
      <c r="I13">
        <v>10405.576271186441</v>
      </c>
    </row>
    <row r="14" spans="1:9">
      <c r="A14">
        <v>3</v>
      </c>
      <c r="B14">
        <v>3</v>
      </c>
      <c r="C14" t="s">
        <v>2974</v>
      </c>
      <c r="E14">
        <v>1</v>
      </c>
      <c r="F14">
        <v>107</v>
      </c>
      <c r="G14">
        <v>10</v>
      </c>
      <c r="H14">
        <v>1070</v>
      </c>
      <c r="I14">
        <v>906.77966101694915</v>
      </c>
    </row>
    <row r="15" spans="1:9">
      <c r="A15">
        <v>4</v>
      </c>
      <c r="B15">
        <v>4</v>
      </c>
      <c r="C15" t="s">
        <v>2975</v>
      </c>
      <c r="E15">
        <v>1</v>
      </c>
      <c r="F15">
        <v>19</v>
      </c>
      <c r="G15">
        <v>14.41</v>
      </c>
      <c r="H15">
        <v>273.79000000000002</v>
      </c>
      <c r="I15">
        <v>232.02542372881359</v>
      </c>
    </row>
    <row r="16" spans="1:9">
      <c r="A16">
        <v>5</v>
      </c>
      <c r="B16">
        <v>5</v>
      </c>
      <c r="C16" t="s">
        <v>2976</v>
      </c>
      <c r="E16">
        <v>1</v>
      </c>
      <c r="F16">
        <v>43</v>
      </c>
      <c r="G16">
        <v>18</v>
      </c>
      <c r="H16">
        <v>774</v>
      </c>
      <c r="I16">
        <v>655.93220338983053</v>
      </c>
    </row>
    <row r="17" spans="1:9">
      <c r="A17">
        <v>7</v>
      </c>
      <c r="B17">
        <v>7</v>
      </c>
      <c r="C17" t="s">
        <v>2977</v>
      </c>
      <c r="E17">
        <v>1</v>
      </c>
      <c r="F17">
        <v>93</v>
      </c>
      <c r="G17">
        <v>105</v>
      </c>
      <c r="H17">
        <v>9765</v>
      </c>
      <c r="I17">
        <v>8275.4237288135591</v>
      </c>
    </row>
    <row r="18" spans="1:9">
      <c r="A18">
        <v>11</v>
      </c>
      <c r="B18">
        <v>11</v>
      </c>
      <c r="C18" t="s">
        <v>2978</v>
      </c>
      <c r="E18">
        <v>1</v>
      </c>
      <c r="F18">
        <v>290</v>
      </c>
      <c r="G18">
        <v>17.170000000000002</v>
      </c>
      <c r="H18">
        <v>4979.3</v>
      </c>
      <c r="I18">
        <v>4219.7457627118647</v>
      </c>
    </row>
    <row r="19" spans="1:9">
      <c r="A19">
        <v>12</v>
      </c>
      <c r="B19">
        <v>12</v>
      </c>
      <c r="C19" t="s">
        <v>2979</v>
      </c>
      <c r="E19">
        <v>1</v>
      </c>
      <c r="F19">
        <v>110</v>
      </c>
      <c r="G19">
        <v>20</v>
      </c>
      <c r="H19">
        <v>2200</v>
      </c>
      <c r="I19">
        <v>1864.406779661017</v>
      </c>
    </row>
    <row r="20" spans="1:9">
      <c r="A20">
        <v>13</v>
      </c>
      <c r="B20">
        <v>13</v>
      </c>
      <c r="C20" t="s">
        <v>2980</v>
      </c>
      <c r="E20">
        <v>1</v>
      </c>
      <c r="F20">
        <v>10</v>
      </c>
      <c r="G20">
        <v>40</v>
      </c>
      <c r="H20">
        <v>400</v>
      </c>
      <c r="I20">
        <v>338.98305084745766</v>
      </c>
    </row>
    <row r="21" spans="1:9">
      <c r="A21">
        <v>14</v>
      </c>
      <c r="B21">
        <v>14</v>
      </c>
      <c r="C21" t="s">
        <v>2981</v>
      </c>
      <c r="E21">
        <v>1</v>
      </c>
      <c r="F21">
        <v>446</v>
      </c>
      <c r="G21">
        <v>13.25</v>
      </c>
      <c r="H21">
        <v>5909.5</v>
      </c>
      <c r="I21">
        <v>5008.0508474576272</v>
      </c>
    </row>
    <row r="22" spans="1:9">
      <c r="A22">
        <v>15</v>
      </c>
      <c r="B22">
        <v>15</v>
      </c>
      <c r="C22" t="s">
        <v>2982</v>
      </c>
      <c r="E22">
        <v>1</v>
      </c>
      <c r="F22">
        <v>13</v>
      </c>
      <c r="G22">
        <v>16.95</v>
      </c>
      <c r="H22">
        <v>220.35</v>
      </c>
      <c r="I22">
        <v>186.73728813559322</v>
      </c>
    </row>
    <row r="23" spans="1:9">
      <c r="A23">
        <v>16</v>
      </c>
      <c r="B23">
        <v>16</v>
      </c>
      <c r="C23" t="s">
        <v>2983</v>
      </c>
      <c r="E23">
        <v>1</v>
      </c>
      <c r="F23">
        <v>111</v>
      </c>
      <c r="G23">
        <v>31.35</v>
      </c>
      <c r="H23">
        <v>3479.85</v>
      </c>
      <c r="I23">
        <v>2949.0254237288136</v>
      </c>
    </row>
    <row r="24" spans="1:9">
      <c r="A24">
        <v>17</v>
      </c>
      <c r="B24">
        <v>17</v>
      </c>
      <c r="C24" t="s">
        <v>2984</v>
      </c>
      <c r="E24">
        <v>1</v>
      </c>
      <c r="F24">
        <v>38</v>
      </c>
      <c r="G24">
        <v>70</v>
      </c>
      <c r="H24">
        <v>2660</v>
      </c>
      <c r="I24">
        <v>2254.2372881355932</v>
      </c>
    </row>
    <row r="25" spans="1:9">
      <c r="A25">
        <v>18</v>
      </c>
      <c r="B25">
        <v>18</v>
      </c>
      <c r="C25" t="s">
        <v>2985</v>
      </c>
      <c r="E25">
        <v>1</v>
      </c>
      <c r="F25">
        <v>54</v>
      </c>
      <c r="G25">
        <v>89.83</v>
      </c>
      <c r="H25">
        <v>4850.82</v>
      </c>
      <c r="I25">
        <v>4110.8644067796613</v>
      </c>
    </row>
    <row r="26" spans="1:9">
      <c r="A26">
        <v>20</v>
      </c>
      <c r="B26">
        <v>20</v>
      </c>
      <c r="C26" t="s">
        <v>2986</v>
      </c>
      <c r="E26">
        <v>1</v>
      </c>
      <c r="F26">
        <v>698</v>
      </c>
      <c r="G26">
        <v>7</v>
      </c>
      <c r="H26">
        <v>4886</v>
      </c>
      <c r="I26">
        <v>4140.6779661016953</v>
      </c>
    </row>
    <row r="27" spans="1:9">
      <c r="A27">
        <v>21</v>
      </c>
      <c r="B27">
        <v>21</v>
      </c>
      <c r="C27" t="s">
        <v>2987</v>
      </c>
      <c r="E27">
        <v>1</v>
      </c>
      <c r="F27">
        <v>374</v>
      </c>
      <c r="G27">
        <v>10</v>
      </c>
      <c r="H27">
        <v>3740</v>
      </c>
      <c r="I27">
        <v>3169.4915254237289</v>
      </c>
    </row>
    <row r="28" spans="1:9">
      <c r="A28">
        <v>22</v>
      </c>
      <c r="B28">
        <v>22</v>
      </c>
      <c r="C28" t="s">
        <v>2988</v>
      </c>
      <c r="E28">
        <v>1</v>
      </c>
      <c r="F28">
        <v>825</v>
      </c>
      <c r="G28">
        <v>9</v>
      </c>
      <c r="H28">
        <v>7425</v>
      </c>
      <c r="I28">
        <v>6292.3728813559328</v>
      </c>
    </row>
    <row r="29" spans="1:9">
      <c r="A29">
        <v>23</v>
      </c>
      <c r="B29">
        <v>23</v>
      </c>
      <c r="C29" t="s">
        <v>2989</v>
      </c>
      <c r="E29">
        <v>1</v>
      </c>
      <c r="F29">
        <v>1063</v>
      </c>
      <c r="G29">
        <v>10</v>
      </c>
      <c r="H29">
        <v>10630</v>
      </c>
      <c r="I29">
        <v>9008.4745762711864</v>
      </c>
    </row>
    <row r="30" spans="1:9">
      <c r="A30">
        <v>24</v>
      </c>
      <c r="B30">
        <v>24</v>
      </c>
      <c r="C30" t="s">
        <v>2990</v>
      </c>
      <c r="E30">
        <v>1</v>
      </c>
      <c r="F30">
        <v>101</v>
      </c>
      <c r="G30">
        <v>70</v>
      </c>
      <c r="H30">
        <v>7070</v>
      </c>
      <c r="I30">
        <v>5991.5254237288136</v>
      </c>
    </row>
    <row r="31" spans="1:9">
      <c r="A31">
        <v>25</v>
      </c>
      <c r="B31">
        <v>25</v>
      </c>
      <c r="C31" t="s">
        <v>2991</v>
      </c>
      <c r="E31">
        <v>1</v>
      </c>
      <c r="F31">
        <v>44</v>
      </c>
      <c r="G31">
        <v>69.900000000000006</v>
      </c>
      <c r="H31">
        <v>3075.6</v>
      </c>
      <c r="I31">
        <v>2606.4406779661017</v>
      </c>
    </row>
    <row r="32" spans="1:9">
      <c r="A32">
        <v>26</v>
      </c>
      <c r="B32">
        <v>26</v>
      </c>
      <c r="C32" t="s">
        <v>2992</v>
      </c>
      <c r="E32">
        <v>1</v>
      </c>
      <c r="F32">
        <v>77</v>
      </c>
      <c r="G32">
        <v>85</v>
      </c>
      <c r="H32">
        <v>6545</v>
      </c>
      <c r="I32">
        <v>5546.610169491526</v>
      </c>
    </row>
    <row r="33" spans="1:9">
      <c r="A33">
        <v>27</v>
      </c>
      <c r="B33">
        <v>27</v>
      </c>
      <c r="C33" t="s">
        <v>2993</v>
      </c>
      <c r="E33">
        <v>1</v>
      </c>
      <c r="F33">
        <v>37</v>
      </c>
      <c r="G33">
        <v>123.5</v>
      </c>
      <c r="H33">
        <v>4569.5</v>
      </c>
      <c r="I33">
        <v>3872.4576271186443</v>
      </c>
    </row>
    <row r="34" spans="1:9">
      <c r="A34">
        <v>28</v>
      </c>
      <c r="B34">
        <v>28</v>
      </c>
      <c r="C34" t="s">
        <v>2994</v>
      </c>
      <c r="E34">
        <v>1</v>
      </c>
      <c r="F34">
        <v>2</v>
      </c>
      <c r="G34">
        <v>160</v>
      </c>
      <c r="H34">
        <v>320</v>
      </c>
      <c r="I34">
        <v>271.18644067796612</v>
      </c>
    </row>
    <row r="35" spans="1:9">
      <c r="A35">
        <v>30</v>
      </c>
      <c r="B35">
        <v>30</v>
      </c>
      <c r="C35" t="s">
        <v>2995</v>
      </c>
      <c r="E35">
        <v>1</v>
      </c>
      <c r="F35">
        <v>58</v>
      </c>
      <c r="G35">
        <v>99.98</v>
      </c>
      <c r="H35">
        <v>5798.84</v>
      </c>
      <c r="I35">
        <v>4914.2711864406783</v>
      </c>
    </row>
    <row r="36" spans="1:9">
      <c r="A36">
        <v>31</v>
      </c>
      <c r="B36">
        <v>31</v>
      </c>
      <c r="C36" t="s">
        <v>2996</v>
      </c>
      <c r="E36">
        <v>1</v>
      </c>
      <c r="F36">
        <v>89</v>
      </c>
      <c r="G36">
        <v>115</v>
      </c>
      <c r="H36">
        <v>10235</v>
      </c>
      <c r="I36">
        <v>8673.7288135593226</v>
      </c>
    </row>
    <row r="37" spans="1:9">
      <c r="A37">
        <v>32</v>
      </c>
      <c r="B37">
        <v>32</v>
      </c>
      <c r="C37" t="s">
        <v>2997</v>
      </c>
      <c r="E37">
        <v>1</v>
      </c>
      <c r="F37">
        <v>475</v>
      </c>
      <c r="G37">
        <v>6</v>
      </c>
      <c r="H37">
        <v>2850</v>
      </c>
      <c r="I37">
        <v>2415.2542372881358</v>
      </c>
    </row>
    <row r="38" spans="1:9">
      <c r="A38">
        <v>33</v>
      </c>
      <c r="B38">
        <v>33</v>
      </c>
      <c r="C38" t="s">
        <v>2998</v>
      </c>
      <c r="E38">
        <v>1</v>
      </c>
      <c r="F38">
        <v>190</v>
      </c>
      <c r="G38">
        <v>13.56</v>
      </c>
      <c r="H38">
        <v>2576.4</v>
      </c>
      <c r="I38">
        <v>2183.3898305084749</v>
      </c>
    </row>
    <row r="39" spans="1:9">
      <c r="A39">
        <v>34</v>
      </c>
      <c r="B39">
        <v>34</v>
      </c>
      <c r="C39" t="s">
        <v>2999</v>
      </c>
      <c r="E39">
        <v>1</v>
      </c>
      <c r="F39">
        <v>154</v>
      </c>
      <c r="G39">
        <v>11.68</v>
      </c>
      <c r="H39">
        <v>1798.72</v>
      </c>
      <c r="I39">
        <v>1524.3389830508477</v>
      </c>
    </row>
    <row r="40" spans="1:9">
      <c r="A40">
        <v>35</v>
      </c>
      <c r="B40">
        <v>35</v>
      </c>
      <c r="C40" t="s">
        <v>3000</v>
      </c>
      <c r="E40">
        <v>1</v>
      </c>
      <c r="F40">
        <v>114</v>
      </c>
      <c r="G40">
        <v>294</v>
      </c>
      <c r="H40">
        <v>33516</v>
      </c>
      <c r="I40">
        <v>28403.389830508477</v>
      </c>
    </row>
    <row r="41" spans="1:9">
      <c r="A41">
        <v>36</v>
      </c>
      <c r="B41">
        <v>36</v>
      </c>
      <c r="C41" t="s">
        <v>3001</v>
      </c>
      <c r="E41">
        <v>1</v>
      </c>
      <c r="F41">
        <v>284</v>
      </c>
      <c r="G41">
        <v>388.8</v>
      </c>
      <c r="H41">
        <v>110419.2</v>
      </c>
      <c r="I41">
        <v>93575.593220338982</v>
      </c>
    </row>
    <row r="42" spans="1:9">
      <c r="A42">
        <v>37</v>
      </c>
      <c r="B42">
        <v>37</v>
      </c>
      <c r="C42" t="s">
        <v>3002</v>
      </c>
      <c r="E42">
        <v>1</v>
      </c>
      <c r="F42">
        <v>148</v>
      </c>
      <c r="G42">
        <v>576</v>
      </c>
      <c r="H42">
        <v>85248</v>
      </c>
      <c r="I42">
        <v>72244.067796610179</v>
      </c>
    </row>
    <row r="43" spans="1:9">
      <c r="A43">
        <v>38</v>
      </c>
      <c r="B43">
        <v>38</v>
      </c>
      <c r="C43" t="s">
        <v>3003</v>
      </c>
      <c r="E43">
        <v>1</v>
      </c>
      <c r="F43">
        <v>32</v>
      </c>
      <c r="G43">
        <v>936</v>
      </c>
      <c r="H43">
        <v>29952</v>
      </c>
      <c r="I43">
        <v>25383.050847457627</v>
      </c>
    </row>
    <row r="44" spans="1:9">
      <c r="A44">
        <v>47</v>
      </c>
      <c r="B44">
        <v>47</v>
      </c>
      <c r="C44" t="s">
        <v>3004</v>
      </c>
      <c r="E44">
        <v>1</v>
      </c>
      <c r="F44">
        <v>43</v>
      </c>
      <c r="G44">
        <v>2000</v>
      </c>
      <c r="H44">
        <v>86000</v>
      </c>
      <c r="I44">
        <v>72881.355932203398</v>
      </c>
    </row>
    <row r="45" spans="1:9">
      <c r="A45">
        <v>52</v>
      </c>
      <c r="B45">
        <v>52</v>
      </c>
      <c r="C45" t="s">
        <v>3005</v>
      </c>
      <c r="E45">
        <v>1</v>
      </c>
      <c r="F45">
        <v>14</v>
      </c>
      <c r="G45">
        <v>45</v>
      </c>
      <c r="H45">
        <v>630</v>
      </c>
      <c r="I45">
        <v>533.89830508474574</v>
      </c>
    </row>
    <row r="46" spans="1:9">
      <c r="A46">
        <v>53</v>
      </c>
      <c r="B46">
        <v>53</v>
      </c>
      <c r="C46" t="s">
        <v>3006</v>
      </c>
      <c r="E46">
        <v>1</v>
      </c>
      <c r="F46">
        <v>23</v>
      </c>
      <c r="G46">
        <v>10.6</v>
      </c>
      <c r="H46">
        <v>243.8</v>
      </c>
      <c r="I46">
        <v>206.61016949152545</v>
      </c>
    </row>
    <row r="47" spans="1:9">
      <c r="A47">
        <v>54</v>
      </c>
      <c r="B47">
        <v>54</v>
      </c>
      <c r="C47" t="s">
        <v>3007</v>
      </c>
      <c r="E47">
        <v>1</v>
      </c>
      <c r="F47">
        <v>4</v>
      </c>
      <c r="G47">
        <v>45</v>
      </c>
      <c r="H47">
        <v>180</v>
      </c>
      <c r="I47">
        <v>152.54237288135593</v>
      </c>
    </row>
    <row r="48" spans="1:9">
      <c r="A48">
        <v>55</v>
      </c>
      <c r="B48">
        <v>55</v>
      </c>
      <c r="C48" t="s">
        <v>3008</v>
      </c>
      <c r="E48">
        <v>1</v>
      </c>
      <c r="F48">
        <v>32</v>
      </c>
      <c r="G48">
        <v>55.47</v>
      </c>
      <c r="H48">
        <v>1775.04</v>
      </c>
      <c r="I48">
        <v>1504.2711864406781</v>
      </c>
    </row>
    <row r="49" spans="1:9">
      <c r="A49">
        <v>56</v>
      </c>
      <c r="B49">
        <v>56</v>
      </c>
      <c r="C49" t="s">
        <v>3009</v>
      </c>
      <c r="E49">
        <v>1</v>
      </c>
      <c r="F49">
        <v>17</v>
      </c>
      <c r="G49">
        <v>23.36</v>
      </c>
      <c r="H49">
        <v>397.12</v>
      </c>
      <c r="I49">
        <v>336.54237288135596</v>
      </c>
    </row>
    <row r="50" spans="1:9">
      <c r="A50">
        <v>58</v>
      </c>
      <c r="B50">
        <v>58</v>
      </c>
      <c r="C50" t="s">
        <v>3010</v>
      </c>
      <c r="E50">
        <v>1</v>
      </c>
      <c r="F50">
        <v>45</v>
      </c>
      <c r="G50">
        <v>34.75</v>
      </c>
      <c r="H50">
        <v>1563.75</v>
      </c>
      <c r="I50">
        <v>1325.2118644067798</v>
      </c>
    </row>
    <row r="51" spans="1:9">
      <c r="A51">
        <v>66</v>
      </c>
      <c r="B51">
        <v>66</v>
      </c>
      <c r="C51" t="s">
        <v>3011</v>
      </c>
      <c r="E51">
        <v>1</v>
      </c>
      <c r="F51">
        <v>4</v>
      </c>
      <c r="G51">
        <v>60</v>
      </c>
      <c r="H51">
        <v>240</v>
      </c>
      <c r="I51">
        <v>203.38983050847457</v>
      </c>
    </row>
    <row r="52" spans="1:9">
      <c r="A52">
        <v>67</v>
      </c>
      <c r="B52">
        <v>67</v>
      </c>
      <c r="C52" t="s">
        <v>3012</v>
      </c>
      <c r="E52">
        <v>1</v>
      </c>
      <c r="F52">
        <v>69</v>
      </c>
      <c r="G52">
        <v>3.1</v>
      </c>
      <c r="H52">
        <v>213.9</v>
      </c>
      <c r="I52">
        <v>181.27118644067798</v>
      </c>
    </row>
    <row r="53" spans="1:9">
      <c r="A53">
        <v>68</v>
      </c>
      <c r="B53">
        <v>68</v>
      </c>
      <c r="C53" t="s">
        <v>3013</v>
      </c>
      <c r="E53">
        <v>1</v>
      </c>
      <c r="F53">
        <v>22</v>
      </c>
      <c r="G53">
        <v>5</v>
      </c>
      <c r="H53">
        <v>110</v>
      </c>
      <c r="I53">
        <v>93.220338983050851</v>
      </c>
    </row>
    <row r="54" spans="1:9">
      <c r="A54">
        <v>70</v>
      </c>
      <c r="B54">
        <v>70</v>
      </c>
      <c r="C54" t="s">
        <v>3014</v>
      </c>
      <c r="E54">
        <v>1</v>
      </c>
      <c r="F54">
        <v>5762</v>
      </c>
      <c r="G54">
        <v>1.53</v>
      </c>
      <c r="H54">
        <v>8815.86</v>
      </c>
      <c r="I54">
        <v>7471.0677966101703</v>
      </c>
    </row>
    <row r="55" spans="1:9">
      <c r="A55">
        <v>71</v>
      </c>
      <c r="B55">
        <v>71</v>
      </c>
      <c r="C55" t="s">
        <v>3015</v>
      </c>
      <c r="E55">
        <v>1</v>
      </c>
      <c r="F55">
        <v>105</v>
      </c>
      <c r="G55">
        <v>42.37</v>
      </c>
      <c r="H55">
        <v>4448.8500000000004</v>
      </c>
      <c r="I55">
        <v>3770.21186440678</v>
      </c>
    </row>
    <row r="56" spans="1:9">
      <c r="A56">
        <v>72</v>
      </c>
      <c r="B56">
        <v>72</v>
      </c>
      <c r="C56" t="s">
        <v>3016</v>
      </c>
      <c r="E56">
        <v>1</v>
      </c>
      <c r="F56">
        <v>61</v>
      </c>
      <c r="G56">
        <v>35.17</v>
      </c>
      <c r="H56">
        <v>2145.37</v>
      </c>
      <c r="I56">
        <v>1818.1101694915255</v>
      </c>
    </row>
    <row r="57" spans="1:9">
      <c r="A57">
        <v>77</v>
      </c>
      <c r="B57">
        <v>77</v>
      </c>
      <c r="C57" t="s">
        <v>3017</v>
      </c>
      <c r="E57">
        <v>1</v>
      </c>
      <c r="F57">
        <v>6</v>
      </c>
      <c r="G57">
        <v>1600</v>
      </c>
      <c r="H57">
        <v>9600</v>
      </c>
      <c r="I57">
        <v>8135.5932203389839</v>
      </c>
    </row>
    <row r="58" spans="1:9">
      <c r="A58">
        <v>78</v>
      </c>
      <c r="B58">
        <v>78</v>
      </c>
      <c r="C58" t="s">
        <v>3018</v>
      </c>
      <c r="E58">
        <v>1</v>
      </c>
      <c r="F58">
        <v>17</v>
      </c>
      <c r="G58">
        <v>7</v>
      </c>
      <c r="H58">
        <v>119</v>
      </c>
      <c r="I58">
        <v>100.84745762711864</v>
      </c>
    </row>
    <row r="59" spans="1:9">
      <c r="A59">
        <v>80</v>
      </c>
      <c r="B59">
        <v>80</v>
      </c>
      <c r="C59" t="s">
        <v>3019</v>
      </c>
      <c r="E59">
        <v>1</v>
      </c>
      <c r="F59">
        <v>359</v>
      </c>
      <c r="G59">
        <v>13.24</v>
      </c>
      <c r="H59">
        <v>4753.16</v>
      </c>
      <c r="I59">
        <v>4028.1016949152545</v>
      </c>
    </row>
    <row r="60" spans="1:9">
      <c r="A60">
        <v>81</v>
      </c>
      <c r="B60">
        <v>81</v>
      </c>
      <c r="C60" t="s">
        <v>3020</v>
      </c>
      <c r="E60">
        <v>1</v>
      </c>
      <c r="F60">
        <v>497</v>
      </c>
      <c r="G60">
        <v>16.190000000000001</v>
      </c>
      <c r="H60">
        <v>8046.43</v>
      </c>
      <c r="I60">
        <v>6819.0084745762715</v>
      </c>
    </row>
    <row r="61" spans="1:9">
      <c r="A61">
        <v>82</v>
      </c>
      <c r="B61">
        <v>82</v>
      </c>
      <c r="C61" t="s">
        <v>3021</v>
      </c>
      <c r="E61">
        <v>1</v>
      </c>
      <c r="F61">
        <v>17</v>
      </c>
      <c r="G61">
        <v>130</v>
      </c>
      <c r="H61">
        <v>2210</v>
      </c>
      <c r="I61">
        <v>1872.8813559322034</v>
      </c>
    </row>
    <row r="62" spans="1:9">
      <c r="A62">
        <v>85</v>
      </c>
      <c r="B62">
        <v>85</v>
      </c>
      <c r="C62" t="s">
        <v>3022</v>
      </c>
      <c r="E62">
        <v>1</v>
      </c>
      <c r="F62">
        <v>2</v>
      </c>
      <c r="G62">
        <v>300</v>
      </c>
      <c r="H62">
        <v>600</v>
      </c>
      <c r="I62">
        <v>508.47457627118649</v>
      </c>
    </row>
    <row r="63" spans="1:9">
      <c r="A63">
        <v>90</v>
      </c>
      <c r="B63">
        <v>90</v>
      </c>
      <c r="C63" t="s">
        <v>3023</v>
      </c>
      <c r="E63">
        <v>1</v>
      </c>
      <c r="F63">
        <v>19</v>
      </c>
      <c r="G63">
        <v>9.92</v>
      </c>
      <c r="H63">
        <v>188.48</v>
      </c>
      <c r="I63">
        <v>159.72881355932202</v>
      </c>
    </row>
    <row r="64" spans="1:9">
      <c r="A64">
        <v>92</v>
      </c>
      <c r="B64">
        <v>92</v>
      </c>
      <c r="C64" t="s">
        <v>3024</v>
      </c>
      <c r="E64">
        <v>1</v>
      </c>
      <c r="F64">
        <v>67</v>
      </c>
      <c r="G64">
        <v>49.95</v>
      </c>
      <c r="H64">
        <v>3346.65</v>
      </c>
      <c r="I64">
        <v>2836.1440677966102</v>
      </c>
    </row>
    <row r="65" spans="1:9">
      <c r="A65">
        <v>98</v>
      </c>
      <c r="B65">
        <v>98</v>
      </c>
      <c r="C65" t="s">
        <v>3025</v>
      </c>
      <c r="E65">
        <v>1</v>
      </c>
      <c r="F65">
        <v>2</v>
      </c>
      <c r="G65">
        <v>60</v>
      </c>
      <c r="H65">
        <v>120</v>
      </c>
      <c r="I65">
        <v>101.69491525423729</v>
      </c>
    </row>
    <row r="66" spans="1:9">
      <c r="A66">
        <v>99</v>
      </c>
      <c r="B66">
        <v>99</v>
      </c>
      <c r="C66" t="s">
        <v>3026</v>
      </c>
      <c r="E66">
        <v>1</v>
      </c>
      <c r="F66">
        <v>277</v>
      </c>
      <c r="G66">
        <v>190</v>
      </c>
      <c r="H66">
        <v>52629</v>
      </c>
      <c r="I66">
        <v>44600.847457627118</v>
      </c>
    </row>
    <row r="67" spans="1:9">
      <c r="A67">
        <v>100</v>
      </c>
      <c r="B67">
        <v>100</v>
      </c>
      <c r="C67" t="s">
        <v>3027</v>
      </c>
      <c r="E67">
        <v>1</v>
      </c>
      <c r="F67">
        <v>137</v>
      </c>
      <c r="G67">
        <v>32</v>
      </c>
      <c r="H67">
        <v>4384</v>
      </c>
      <c r="I67">
        <v>3715.2542372881358</v>
      </c>
    </row>
    <row r="68" spans="1:9">
      <c r="A68">
        <v>101</v>
      </c>
      <c r="B68">
        <v>101</v>
      </c>
      <c r="C68" t="s">
        <v>3028</v>
      </c>
      <c r="E68">
        <v>1</v>
      </c>
      <c r="F68">
        <v>105</v>
      </c>
      <c r="G68">
        <v>32</v>
      </c>
      <c r="H68">
        <v>3360</v>
      </c>
      <c r="I68">
        <v>2847.4576271186443</v>
      </c>
    </row>
    <row r="69" spans="1:9">
      <c r="A69">
        <v>102</v>
      </c>
      <c r="B69">
        <v>102</v>
      </c>
      <c r="C69" t="s">
        <v>3029</v>
      </c>
      <c r="E69">
        <v>1</v>
      </c>
      <c r="F69">
        <v>83</v>
      </c>
      <c r="G69">
        <v>100</v>
      </c>
      <c r="H69">
        <v>8300</v>
      </c>
      <c r="I69">
        <v>7033.8983050847464</v>
      </c>
    </row>
    <row r="70" spans="1:9">
      <c r="A70">
        <v>103</v>
      </c>
      <c r="B70">
        <v>103</v>
      </c>
      <c r="C70" t="s">
        <v>3030</v>
      </c>
      <c r="E70">
        <v>1</v>
      </c>
      <c r="F70">
        <v>57</v>
      </c>
      <c r="G70">
        <v>130</v>
      </c>
      <c r="H70">
        <v>7410</v>
      </c>
      <c r="I70">
        <v>6279.6610169491532</v>
      </c>
    </row>
    <row r="71" spans="1:9">
      <c r="A71">
        <v>105</v>
      </c>
      <c r="B71">
        <v>105</v>
      </c>
      <c r="C71" t="s">
        <v>3031</v>
      </c>
      <c r="E71">
        <v>1</v>
      </c>
      <c r="F71">
        <v>4</v>
      </c>
      <c r="G71">
        <v>180</v>
      </c>
      <c r="H71">
        <v>720</v>
      </c>
      <c r="I71">
        <v>610.16949152542372</v>
      </c>
    </row>
    <row r="72" spans="1:9">
      <c r="A72">
        <v>106</v>
      </c>
      <c r="B72">
        <v>106</v>
      </c>
      <c r="C72" t="s">
        <v>3032</v>
      </c>
      <c r="E72">
        <v>1</v>
      </c>
      <c r="F72">
        <v>77</v>
      </c>
      <c r="G72">
        <v>60</v>
      </c>
      <c r="H72">
        <v>4620</v>
      </c>
      <c r="I72">
        <v>3915.2542372881358</v>
      </c>
    </row>
    <row r="73" spans="1:9">
      <c r="A73">
        <v>108</v>
      </c>
      <c r="B73">
        <v>108</v>
      </c>
      <c r="C73" t="s">
        <v>3033</v>
      </c>
      <c r="E73">
        <v>1</v>
      </c>
      <c r="F73">
        <v>12</v>
      </c>
      <c r="G73">
        <v>175</v>
      </c>
      <c r="H73">
        <v>2100</v>
      </c>
      <c r="I73">
        <v>1779.6610169491526</v>
      </c>
    </row>
    <row r="74" spans="1:9">
      <c r="A74">
        <v>109</v>
      </c>
      <c r="B74">
        <v>109</v>
      </c>
      <c r="C74" t="s">
        <v>3034</v>
      </c>
      <c r="E74">
        <v>1</v>
      </c>
      <c r="F74">
        <v>23</v>
      </c>
      <c r="G74">
        <v>231</v>
      </c>
      <c r="H74">
        <v>5313</v>
      </c>
      <c r="I74">
        <v>4502.5423728813557</v>
      </c>
    </row>
    <row r="75" spans="1:9">
      <c r="A75">
        <v>110</v>
      </c>
      <c r="B75">
        <v>110</v>
      </c>
      <c r="C75" t="s">
        <v>3035</v>
      </c>
      <c r="E75">
        <v>1</v>
      </c>
      <c r="F75">
        <v>16</v>
      </c>
      <c r="G75">
        <v>250</v>
      </c>
      <c r="H75">
        <v>4000</v>
      </c>
      <c r="I75">
        <v>3389.8305084745766</v>
      </c>
    </row>
    <row r="76" spans="1:9">
      <c r="A76">
        <v>116</v>
      </c>
      <c r="B76">
        <v>116</v>
      </c>
      <c r="C76" t="s">
        <v>3036</v>
      </c>
      <c r="E76">
        <v>1</v>
      </c>
      <c r="F76">
        <v>5</v>
      </c>
      <c r="G76">
        <v>560</v>
      </c>
      <c r="H76">
        <v>2800</v>
      </c>
      <c r="I76">
        <v>2372.8813559322034</v>
      </c>
    </row>
    <row r="77" spans="1:9">
      <c r="A77">
        <v>117</v>
      </c>
      <c r="B77">
        <v>117</v>
      </c>
      <c r="C77" t="s">
        <v>3037</v>
      </c>
      <c r="E77">
        <v>1</v>
      </c>
      <c r="F77">
        <v>518</v>
      </c>
      <c r="G77">
        <v>56</v>
      </c>
      <c r="H77">
        <v>29008</v>
      </c>
      <c r="I77">
        <v>24583.050847457627</v>
      </c>
    </row>
    <row r="78" spans="1:9">
      <c r="A78">
        <v>119</v>
      </c>
      <c r="B78">
        <v>119</v>
      </c>
      <c r="C78" t="s">
        <v>3038</v>
      </c>
      <c r="E78">
        <v>1</v>
      </c>
      <c r="F78">
        <v>79</v>
      </c>
      <c r="G78">
        <v>177</v>
      </c>
      <c r="H78">
        <v>13983</v>
      </c>
      <c r="I78">
        <v>11850</v>
      </c>
    </row>
    <row r="79" spans="1:9">
      <c r="A79">
        <v>122</v>
      </c>
      <c r="B79">
        <v>122</v>
      </c>
      <c r="C79" t="s">
        <v>3039</v>
      </c>
      <c r="E79">
        <v>1</v>
      </c>
      <c r="F79">
        <v>66</v>
      </c>
      <c r="G79">
        <v>187</v>
      </c>
      <c r="H79">
        <v>12342</v>
      </c>
      <c r="I79">
        <v>10459.322033898306</v>
      </c>
    </row>
    <row r="80" spans="1:9">
      <c r="A80">
        <v>124</v>
      </c>
      <c r="B80">
        <v>124</v>
      </c>
      <c r="C80" t="s">
        <v>3040</v>
      </c>
      <c r="E80">
        <v>1</v>
      </c>
      <c r="F80">
        <v>61</v>
      </c>
      <c r="G80">
        <v>128</v>
      </c>
      <c r="H80">
        <v>7808</v>
      </c>
      <c r="I80">
        <v>6616.9491525423737</v>
      </c>
    </row>
    <row r="81" spans="1:9">
      <c r="A81">
        <v>125</v>
      </c>
      <c r="B81">
        <v>125</v>
      </c>
      <c r="C81" t="s">
        <v>3041</v>
      </c>
      <c r="E81">
        <v>1</v>
      </c>
      <c r="F81">
        <v>133</v>
      </c>
      <c r="G81">
        <v>128</v>
      </c>
      <c r="H81">
        <v>17024</v>
      </c>
      <c r="I81">
        <v>14427.118644067798</v>
      </c>
    </row>
    <row r="82" spans="1:9">
      <c r="A82">
        <v>129</v>
      </c>
      <c r="B82">
        <v>129</v>
      </c>
      <c r="C82" t="s">
        <v>3042</v>
      </c>
      <c r="E82">
        <v>1</v>
      </c>
      <c r="F82">
        <v>68</v>
      </c>
      <c r="G82">
        <v>75</v>
      </c>
      <c r="H82">
        <v>5100</v>
      </c>
      <c r="I82">
        <v>4322.0338983050851</v>
      </c>
    </row>
    <row r="83" spans="1:9">
      <c r="A83">
        <v>130</v>
      </c>
      <c r="B83">
        <v>130</v>
      </c>
      <c r="C83" t="s">
        <v>3043</v>
      </c>
      <c r="E83">
        <v>1</v>
      </c>
      <c r="F83">
        <v>15</v>
      </c>
      <c r="G83">
        <v>75</v>
      </c>
      <c r="H83">
        <v>1125</v>
      </c>
      <c r="I83">
        <v>953.38983050847457</v>
      </c>
    </row>
    <row r="84" spans="1:9">
      <c r="A84">
        <v>131</v>
      </c>
      <c r="B84">
        <v>131</v>
      </c>
      <c r="C84" t="s">
        <v>3044</v>
      </c>
      <c r="E84">
        <v>1</v>
      </c>
      <c r="F84">
        <v>80</v>
      </c>
      <c r="G84">
        <v>67.2</v>
      </c>
      <c r="H84">
        <v>5376</v>
      </c>
      <c r="I84">
        <v>4555.9322033898306</v>
      </c>
    </row>
    <row r="85" spans="1:9">
      <c r="A85">
        <v>132</v>
      </c>
      <c r="B85">
        <v>132</v>
      </c>
      <c r="C85" t="s">
        <v>3045</v>
      </c>
      <c r="E85">
        <v>1</v>
      </c>
      <c r="F85">
        <v>16</v>
      </c>
      <c r="G85">
        <v>295</v>
      </c>
      <c r="H85">
        <v>4720</v>
      </c>
      <c r="I85">
        <v>4000</v>
      </c>
    </row>
    <row r="86" spans="1:9">
      <c r="A86">
        <v>133</v>
      </c>
      <c r="B86">
        <v>133</v>
      </c>
      <c r="C86" t="s">
        <v>3046</v>
      </c>
      <c r="E86">
        <v>1</v>
      </c>
      <c r="F86">
        <v>1</v>
      </c>
      <c r="G86">
        <v>850</v>
      </c>
      <c r="H86">
        <v>850</v>
      </c>
      <c r="I86">
        <v>720.33898305084745</v>
      </c>
    </row>
    <row r="87" spans="1:9">
      <c r="A87">
        <v>135</v>
      </c>
      <c r="B87">
        <v>135</v>
      </c>
      <c r="C87" t="s">
        <v>3047</v>
      </c>
      <c r="E87">
        <v>1</v>
      </c>
      <c r="F87">
        <v>17</v>
      </c>
      <c r="G87">
        <v>413</v>
      </c>
      <c r="H87">
        <v>7021</v>
      </c>
      <c r="I87">
        <v>5950</v>
      </c>
    </row>
    <row r="88" spans="1:9">
      <c r="A88">
        <v>136</v>
      </c>
      <c r="B88">
        <v>136</v>
      </c>
      <c r="C88" t="s">
        <v>3048</v>
      </c>
      <c r="E88">
        <v>1</v>
      </c>
      <c r="F88">
        <v>1</v>
      </c>
      <c r="G88">
        <v>118</v>
      </c>
      <c r="H88">
        <v>118</v>
      </c>
      <c r="I88">
        <v>100</v>
      </c>
    </row>
    <row r="89" spans="1:9">
      <c r="A89">
        <v>138</v>
      </c>
      <c r="B89">
        <v>138</v>
      </c>
      <c r="C89" t="s">
        <v>3049</v>
      </c>
      <c r="E89">
        <v>1</v>
      </c>
      <c r="F89">
        <v>38</v>
      </c>
      <c r="G89">
        <v>165</v>
      </c>
      <c r="H89">
        <v>6270</v>
      </c>
      <c r="I89">
        <v>5313.5593220338988</v>
      </c>
    </row>
    <row r="90" spans="1:9">
      <c r="A90">
        <v>139</v>
      </c>
      <c r="B90">
        <v>139</v>
      </c>
      <c r="C90" t="s">
        <v>3050</v>
      </c>
      <c r="E90">
        <v>1</v>
      </c>
      <c r="F90">
        <v>12</v>
      </c>
      <c r="G90">
        <v>210</v>
      </c>
      <c r="H90">
        <v>2520</v>
      </c>
      <c r="I90">
        <v>2135.593220338983</v>
      </c>
    </row>
    <row r="91" spans="1:9">
      <c r="A91">
        <v>141</v>
      </c>
      <c r="B91">
        <v>141</v>
      </c>
      <c r="C91" t="s">
        <v>3051</v>
      </c>
      <c r="E91">
        <v>1</v>
      </c>
      <c r="F91">
        <v>20</v>
      </c>
      <c r="G91">
        <v>189</v>
      </c>
      <c r="H91">
        <v>3780</v>
      </c>
      <c r="I91">
        <v>3203.3898305084749</v>
      </c>
    </row>
    <row r="92" spans="1:9">
      <c r="A92">
        <v>142</v>
      </c>
      <c r="B92">
        <v>142</v>
      </c>
      <c r="C92" t="s">
        <v>3052</v>
      </c>
      <c r="E92">
        <v>1</v>
      </c>
      <c r="F92">
        <v>39</v>
      </c>
      <c r="G92">
        <v>74.58</v>
      </c>
      <c r="H92">
        <v>2908.62</v>
      </c>
      <c r="I92">
        <v>2464.9322033898306</v>
      </c>
    </row>
    <row r="93" spans="1:9">
      <c r="A93">
        <v>143</v>
      </c>
      <c r="B93">
        <v>143</v>
      </c>
      <c r="C93" t="s">
        <v>3053</v>
      </c>
      <c r="E93">
        <v>1</v>
      </c>
      <c r="F93">
        <v>29</v>
      </c>
      <c r="G93">
        <v>19.899999999999999</v>
      </c>
      <c r="H93">
        <v>577.1</v>
      </c>
      <c r="I93">
        <v>489.06779661016952</v>
      </c>
    </row>
    <row r="94" spans="1:9">
      <c r="A94">
        <v>144</v>
      </c>
      <c r="B94">
        <v>144</v>
      </c>
      <c r="C94" t="s">
        <v>3054</v>
      </c>
      <c r="E94">
        <v>1</v>
      </c>
      <c r="F94">
        <v>195</v>
      </c>
      <c r="G94">
        <v>22.03</v>
      </c>
      <c r="H94">
        <v>4295.8500000000004</v>
      </c>
      <c r="I94">
        <v>3640.5508474576277</v>
      </c>
    </row>
    <row r="95" spans="1:9">
      <c r="A95">
        <v>152</v>
      </c>
      <c r="B95">
        <v>152</v>
      </c>
      <c r="C95" t="s">
        <v>3055</v>
      </c>
      <c r="E95">
        <v>1</v>
      </c>
      <c r="F95">
        <v>115</v>
      </c>
      <c r="G95">
        <v>94</v>
      </c>
      <c r="H95">
        <v>10810</v>
      </c>
      <c r="I95">
        <v>9161.016949152543</v>
      </c>
    </row>
    <row r="96" spans="1:9">
      <c r="A96">
        <v>154</v>
      </c>
      <c r="B96">
        <v>154</v>
      </c>
      <c r="C96" t="s">
        <v>3056</v>
      </c>
      <c r="E96">
        <v>1</v>
      </c>
      <c r="F96">
        <v>163</v>
      </c>
      <c r="G96">
        <v>1.1200000000000001</v>
      </c>
      <c r="H96">
        <v>182.56</v>
      </c>
      <c r="I96">
        <v>154.71186440677968</v>
      </c>
    </row>
    <row r="97" spans="1:9">
      <c r="A97">
        <v>155</v>
      </c>
      <c r="B97">
        <v>155</v>
      </c>
      <c r="C97" t="s">
        <v>3057</v>
      </c>
      <c r="E97">
        <v>1</v>
      </c>
      <c r="F97">
        <v>76</v>
      </c>
      <c r="G97">
        <v>39.11</v>
      </c>
      <c r="H97">
        <v>2972.36</v>
      </c>
      <c r="I97">
        <v>2518.9491525423732</v>
      </c>
    </row>
    <row r="98" spans="1:9">
      <c r="A98">
        <v>160</v>
      </c>
      <c r="B98">
        <v>160</v>
      </c>
      <c r="C98" t="s">
        <v>3058</v>
      </c>
      <c r="E98">
        <v>1</v>
      </c>
      <c r="F98">
        <v>1866</v>
      </c>
      <c r="G98">
        <v>1.07</v>
      </c>
      <c r="H98">
        <v>1996.62</v>
      </c>
      <c r="I98">
        <v>1692.050847457627</v>
      </c>
    </row>
    <row r="99" spans="1:9">
      <c r="A99">
        <v>165</v>
      </c>
      <c r="B99">
        <v>165</v>
      </c>
      <c r="C99" t="s">
        <v>3059</v>
      </c>
      <c r="E99">
        <v>1</v>
      </c>
      <c r="F99">
        <v>2</v>
      </c>
      <c r="G99">
        <v>198.24</v>
      </c>
      <c r="H99">
        <v>396.48</v>
      </c>
      <c r="I99">
        <v>336.00000000000006</v>
      </c>
    </row>
    <row r="100" spans="1:9">
      <c r="A100">
        <v>167</v>
      </c>
      <c r="B100">
        <v>167</v>
      </c>
      <c r="C100" t="s">
        <v>3060</v>
      </c>
      <c r="E100">
        <v>1</v>
      </c>
      <c r="F100">
        <v>330</v>
      </c>
      <c r="G100">
        <v>24.33</v>
      </c>
      <c r="H100">
        <v>8030.07</v>
      </c>
      <c r="I100">
        <v>6805.1440677966102</v>
      </c>
    </row>
    <row r="101" spans="1:9">
      <c r="A101">
        <v>172</v>
      </c>
      <c r="B101">
        <v>172</v>
      </c>
      <c r="C101" t="s">
        <v>3061</v>
      </c>
      <c r="E101">
        <v>1</v>
      </c>
      <c r="F101">
        <v>20</v>
      </c>
      <c r="G101">
        <v>73.25</v>
      </c>
      <c r="H101">
        <v>1465</v>
      </c>
      <c r="I101">
        <v>1241.5254237288136</v>
      </c>
    </row>
    <row r="102" spans="1:9">
      <c r="A102">
        <v>175</v>
      </c>
      <c r="B102">
        <v>175</v>
      </c>
      <c r="C102" t="s">
        <v>3062</v>
      </c>
      <c r="E102">
        <v>1</v>
      </c>
      <c r="F102">
        <v>11</v>
      </c>
      <c r="G102">
        <v>75</v>
      </c>
      <c r="H102">
        <v>825</v>
      </c>
      <c r="I102">
        <v>699.15254237288138</v>
      </c>
    </row>
    <row r="103" spans="1:9">
      <c r="A103">
        <v>176</v>
      </c>
      <c r="B103">
        <v>176</v>
      </c>
      <c r="C103" t="s">
        <v>3063</v>
      </c>
      <c r="E103">
        <v>1</v>
      </c>
      <c r="F103">
        <v>10</v>
      </c>
      <c r="G103">
        <v>158</v>
      </c>
      <c r="H103">
        <v>1580</v>
      </c>
      <c r="I103">
        <v>1338.9830508474577</v>
      </c>
    </row>
    <row r="104" spans="1:9">
      <c r="A104">
        <v>177</v>
      </c>
      <c r="B104">
        <v>177</v>
      </c>
      <c r="C104" t="s">
        <v>3064</v>
      </c>
      <c r="E104">
        <v>1</v>
      </c>
      <c r="F104">
        <v>30</v>
      </c>
      <c r="G104">
        <v>35</v>
      </c>
      <c r="H104">
        <v>1050</v>
      </c>
      <c r="I104">
        <v>889.83050847457628</v>
      </c>
    </row>
    <row r="105" spans="1:9">
      <c r="A105">
        <v>178</v>
      </c>
      <c r="B105">
        <v>178</v>
      </c>
      <c r="C105" t="s">
        <v>3065</v>
      </c>
      <c r="E105">
        <v>1</v>
      </c>
      <c r="F105">
        <v>3</v>
      </c>
      <c r="G105">
        <v>145</v>
      </c>
      <c r="H105">
        <v>435</v>
      </c>
      <c r="I105">
        <v>368.64406779661022</v>
      </c>
    </row>
    <row r="106" spans="1:9">
      <c r="A106">
        <v>179</v>
      </c>
      <c r="B106">
        <v>179</v>
      </c>
      <c r="C106" t="s">
        <v>3066</v>
      </c>
      <c r="E106">
        <v>1</v>
      </c>
      <c r="F106">
        <v>24</v>
      </c>
      <c r="G106">
        <v>11.65</v>
      </c>
      <c r="H106">
        <v>279.60000000000002</v>
      </c>
      <c r="I106">
        <v>236.9491525423729</v>
      </c>
    </row>
    <row r="107" spans="1:9">
      <c r="A107">
        <v>180</v>
      </c>
      <c r="B107">
        <v>180</v>
      </c>
      <c r="C107" t="s">
        <v>3067</v>
      </c>
      <c r="E107">
        <v>1</v>
      </c>
      <c r="F107">
        <v>6</v>
      </c>
      <c r="G107">
        <v>98</v>
      </c>
      <c r="H107">
        <v>588</v>
      </c>
      <c r="I107">
        <v>498.30508474576271</v>
      </c>
    </row>
    <row r="108" spans="1:9">
      <c r="A108">
        <v>184</v>
      </c>
      <c r="B108">
        <v>184</v>
      </c>
      <c r="C108" t="s">
        <v>3068</v>
      </c>
      <c r="E108">
        <v>1</v>
      </c>
      <c r="F108">
        <v>18</v>
      </c>
      <c r="G108">
        <v>750</v>
      </c>
      <c r="H108">
        <v>13500</v>
      </c>
      <c r="I108">
        <v>11440.677966101695</v>
      </c>
    </row>
    <row r="109" spans="1:9">
      <c r="A109">
        <v>185</v>
      </c>
      <c r="B109">
        <v>185</v>
      </c>
      <c r="C109" t="s">
        <v>3069</v>
      </c>
      <c r="E109">
        <v>1</v>
      </c>
      <c r="F109">
        <v>3</v>
      </c>
      <c r="G109">
        <v>830</v>
      </c>
      <c r="H109">
        <v>2490</v>
      </c>
      <c r="I109">
        <v>2110.1694915254238</v>
      </c>
    </row>
    <row r="110" spans="1:9">
      <c r="A110">
        <v>186</v>
      </c>
      <c r="B110">
        <v>186</v>
      </c>
      <c r="C110" t="s">
        <v>3070</v>
      </c>
      <c r="E110">
        <v>1</v>
      </c>
      <c r="F110">
        <v>10</v>
      </c>
      <c r="G110">
        <v>80</v>
      </c>
      <c r="H110">
        <v>800</v>
      </c>
      <c r="I110">
        <v>677.96610169491532</v>
      </c>
    </row>
    <row r="111" spans="1:9">
      <c r="A111">
        <v>188</v>
      </c>
      <c r="B111">
        <v>188</v>
      </c>
      <c r="C111" t="s">
        <v>3071</v>
      </c>
      <c r="E111">
        <v>1</v>
      </c>
      <c r="F111">
        <v>30</v>
      </c>
      <c r="G111">
        <v>72.099999999999994</v>
      </c>
      <c r="H111">
        <v>2163</v>
      </c>
      <c r="I111">
        <v>1833.0508474576272</v>
      </c>
    </row>
    <row r="112" spans="1:9">
      <c r="A112">
        <v>190</v>
      </c>
      <c r="B112">
        <v>190</v>
      </c>
      <c r="C112" t="s">
        <v>3072</v>
      </c>
      <c r="E112">
        <v>1</v>
      </c>
      <c r="F112">
        <v>14</v>
      </c>
      <c r="G112">
        <v>98</v>
      </c>
      <c r="H112">
        <v>1372</v>
      </c>
      <c r="I112">
        <v>1162.7118644067798</v>
      </c>
    </row>
    <row r="113" spans="1:9">
      <c r="A113">
        <v>192</v>
      </c>
      <c r="B113">
        <v>192</v>
      </c>
      <c r="C113" t="s">
        <v>3073</v>
      </c>
      <c r="E113">
        <v>1</v>
      </c>
      <c r="F113">
        <v>3</v>
      </c>
      <c r="G113">
        <v>241.53</v>
      </c>
      <c r="H113">
        <v>724.59</v>
      </c>
      <c r="I113">
        <v>614.05932203389841</v>
      </c>
    </row>
    <row r="114" spans="1:9">
      <c r="A114">
        <v>195</v>
      </c>
      <c r="B114">
        <v>195</v>
      </c>
      <c r="C114" t="s">
        <v>3074</v>
      </c>
      <c r="E114">
        <v>1</v>
      </c>
      <c r="F114">
        <v>58</v>
      </c>
      <c r="G114">
        <v>45</v>
      </c>
      <c r="H114">
        <v>2610</v>
      </c>
      <c r="I114">
        <v>2211.8644067796613</v>
      </c>
    </row>
    <row r="115" spans="1:9">
      <c r="A115">
        <v>196</v>
      </c>
      <c r="B115">
        <v>196</v>
      </c>
      <c r="C115" t="s">
        <v>3075</v>
      </c>
      <c r="E115">
        <v>1</v>
      </c>
      <c r="F115">
        <v>750</v>
      </c>
      <c r="G115">
        <v>1700</v>
      </c>
      <c r="H115">
        <v>1275000</v>
      </c>
      <c r="I115">
        <v>1080508.4745762711</v>
      </c>
    </row>
    <row r="116" spans="1:9">
      <c r="A116">
        <v>198</v>
      </c>
      <c r="B116">
        <v>198</v>
      </c>
      <c r="C116" t="s">
        <v>3076</v>
      </c>
      <c r="E116">
        <v>1</v>
      </c>
      <c r="F116">
        <v>2000</v>
      </c>
      <c r="G116">
        <v>31</v>
      </c>
      <c r="H116">
        <v>62000</v>
      </c>
      <c r="I116">
        <v>52542.372881355936</v>
      </c>
    </row>
    <row r="117" spans="1:9">
      <c r="A117">
        <v>201</v>
      </c>
      <c r="B117">
        <v>201</v>
      </c>
      <c r="C117" t="s">
        <v>3077</v>
      </c>
      <c r="E117">
        <v>1</v>
      </c>
      <c r="F117">
        <v>3</v>
      </c>
      <c r="G117">
        <v>720</v>
      </c>
      <c r="H117">
        <v>2160</v>
      </c>
      <c r="I117">
        <v>1830.5084745762713</v>
      </c>
    </row>
    <row r="118" spans="1:9">
      <c r="A118">
        <v>202</v>
      </c>
      <c r="B118">
        <v>202</v>
      </c>
      <c r="C118" t="s">
        <v>3078</v>
      </c>
      <c r="E118">
        <v>1</v>
      </c>
      <c r="F118">
        <v>1170.07</v>
      </c>
      <c r="G118">
        <v>4.1100000000000003</v>
      </c>
      <c r="H118">
        <v>4808.99</v>
      </c>
      <c r="I118">
        <v>4075.4152542372881</v>
      </c>
    </row>
    <row r="119" spans="1:9">
      <c r="A119">
        <v>205</v>
      </c>
      <c r="B119">
        <v>205</v>
      </c>
      <c r="C119" t="s">
        <v>3079</v>
      </c>
      <c r="E119">
        <v>1</v>
      </c>
      <c r="F119">
        <v>374</v>
      </c>
      <c r="G119">
        <v>360</v>
      </c>
      <c r="H119">
        <v>134640</v>
      </c>
      <c r="I119">
        <v>114101.69491525424</v>
      </c>
    </row>
    <row r="120" spans="1:9">
      <c r="A120">
        <v>229</v>
      </c>
      <c r="B120">
        <v>229</v>
      </c>
      <c r="C120" t="s">
        <v>3080</v>
      </c>
      <c r="E120">
        <v>1</v>
      </c>
      <c r="F120">
        <v>68</v>
      </c>
      <c r="G120">
        <v>39.67</v>
      </c>
      <c r="H120">
        <v>2697.56</v>
      </c>
      <c r="I120">
        <v>2286.0677966101694</v>
      </c>
    </row>
    <row r="121" spans="1:9">
      <c r="A121">
        <v>230</v>
      </c>
      <c r="B121">
        <v>230</v>
      </c>
      <c r="C121" t="s">
        <v>3081</v>
      </c>
      <c r="E121">
        <v>1</v>
      </c>
      <c r="F121">
        <v>53</v>
      </c>
      <c r="G121">
        <v>58.98</v>
      </c>
      <c r="H121">
        <v>3125.94</v>
      </c>
      <c r="I121">
        <v>2649.1016949152545</v>
      </c>
    </row>
    <row r="122" spans="1:9">
      <c r="A122">
        <v>241</v>
      </c>
      <c r="B122">
        <v>241</v>
      </c>
      <c r="C122" t="s">
        <v>3082</v>
      </c>
      <c r="E122">
        <v>1</v>
      </c>
      <c r="F122">
        <v>909</v>
      </c>
      <c r="G122">
        <v>2598</v>
      </c>
      <c r="H122">
        <v>2361582</v>
      </c>
      <c r="I122">
        <v>2001340.6779661018</v>
      </c>
    </row>
    <row r="123" spans="1:9">
      <c r="A123">
        <v>242</v>
      </c>
      <c r="B123">
        <v>242</v>
      </c>
      <c r="C123" t="s">
        <v>3083</v>
      </c>
      <c r="E123">
        <v>1</v>
      </c>
      <c r="F123">
        <v>3</v>
      </c>
      <c r="G123">
        <v>8500</v>
      </c>
      <c r="H123">
        <v>25500</v>
      </c>
      <c r="I123">
        <v>21610.169491525427</v>
      </c>
    </row>
    <row r="124" spans="1:9">
      <c r="A124">
        <v>246</v>
      </c>
      <c r="B124">
        <v>246</v>
      </c>
      <c r="C124" t="s">
        <v>3084</v>
      </c>
      <c r="E124">
        <v>1</v>
      </c>
      <c r="F124">
        <v>5</v>
      </c>
      <c r="G124">
        <v>30</v>
      </c>
      <c r="H124">
        <v>150</v>
      </c>
      <c r="I124">
        <v>127.11864406779662</v>
      </c>
    </row>
    <row r="125" spans="1:9">
      <c r="A125">
        <v>249</v>
      </c>
      <c r="B125">
        <v>249</v>
      </c>
      <c r="C125" t="s">
        <v>3085</v>
      </c>
      <c r="E125">
        <v>1</v>
      </c>
      <c r="F125">
        <v>3</v>
      </c>
      <c r="G125">
        <v>350</v>
      </c>
      <c r="H125">
        <v>1050</v>
      </c>
      <c r="I125">
        <v>889.83050847457628</v>
      </c>
    </row>
    <row r="126" spans="1:9">
      <c r="A126">
        <v>257</v>
      </c>
      <c r="B126">
        <v>257</v>
      </c>
      <c r="C126" t="s">
        <v>3086</v>
      </c>
      <c r="E126">
        <v>1</v>
      </c>
      <c r="F126">
        <v>4</v>
      </c>
      <c r="G126">
        <v>1700</v>
      </c>
      <c r="H126">
        <v>6800</v>
      </c>
      <c r="I126">
        <v>5762.7118644067796</v>
      </c>
    </row>
    <row r="127" spans="1:9">
      <c r="A127">
        <v>271</v>
      </c>
      <c r="B127">
        <v>271</v>
      </c>
      <c r="C127" t="s">
        <v>3087</v>
      </c>
      <c r="E127">
        <v>1</v>
      </c>
      <c r="F127">
        <v>5</v>
      </c>
      <c r="G127">
        <v>672.39</v>
      </c>
      <c r="H127">
        <v>3361.95</v>
      </c>
      <c r="I127">
        <v>2849.1101694915255</v>
      </c>
    </row>
    <row r="128" spans="1:9">
      <c r="A128">
        <v>276</v>
      </c>
      <c r="B128">
        <v>276</v>
      </c>
      <c r="C128" t="s">
        <v>3088</v>
      </c>
      <c r="E128">
        <v>1</v>
      </c>
      <c r="F128">
        <v>13</v>
      </c>
      <c r="G128">
        <v>590</v>
      </c>
      <c r="H128">
        <v>7670</v>
      </c>
      <c r="I128">
        <v>6500</v>
      </c>
    </row>
    <row r="129" spans="1:9">
      <c r="A129">
        <v>277</v>
      </c>
      <c r="B129">
        <v>277</v>
      </c>
      <c r="C129" t="s">
        <v>3089</v>
      </c>
      <c r="E129">
        <v>1</v>
      </c>
      <c r="F129">
        <v>11</v>
      </c>
      <c r="G129">
        <v>2118.64</v>
      </c>
      <c r="H129">
        <v>23305.040000000001</v>
      </c>
      <c r="I129">
        <v>19750.033898305086</v>
      </c>
    </row>
    <row r="130" spans="1:9">
      <c r="A130">
        <v>283</v>
      </c>
      <c r="B130">
        <v>283</v>
      </c>
      <c r="C130" t="s">
        <v>3090</v>
      </c>
      <c r="E130">
        <v>1</v>
      </c>
      <c r="F130">
        <v>10</v>
      </c>
      <c r="G130">
        <v>130</v>
      </c>
      <c r="H130">
        <v>1300</v>
      </c>
      <c r="I130">
        <v>1101.6949152542375</v>
      </c>
    </row>
    <row r="131" spans="1:9">
      <c r="A131">
        <v>287</v>
      </c>
      <c r="B131">
        <v>287</v>
      </c>
      <c r="C131" t="s">
        <v>3091</v>
      </c>
      <c r="E131">
        <v>1</v>
      </c>
      <c r="F131">
        <v>13</v>
      </c>
      <c r="G131">
        <v>7500</v>
      </c>
      <c r="H131">
        <v>97500</v>
      </c>
      <c r="I131">
        <v>82627.118644067799</v>
      </c>
    </row>
    <row r="132" spans="1:9">
      <c r="A132">
        <v>289</v>
      </c>
      <c r="B132">
        <v>289</v>
      </c>
      <c r="C132" t="s">
        <v>3092</v>
      </c>
      <c r="E132">
        <v>1</v>
      </c>
      <c r="F132">
        <v>4</v>
      </c>
      <c r="G132">
        <v>1750</v>
      </c>
      <c r="H132">
        <v>7000</v>
      </c>
      <c r="I132">
        <v>5932.203389830509</v>
      </c>
    </row>
    <row r="133" spans="1:9">
      <c r="A133">
        <v>290</v>
      </c>
      <c r="B133">
        <v>290</v>
      </c>
      <c r="C133" t="s">
        <v>3093</v>
      </c>
      <c r="E133">
        <v>1</v>
      </c>
      <c r="F133">
        <v>49</v>
      </c>
      <c r="G133">
        <v>1050</v>
      </c>
      <c r="H133">
        <v>51450</v>
      </c>
      <c r="I133">
        <v>43601.694915254237</v>
      </c>
    </row>
    <row r="134" spans="1:9">
      <c r="A134">
        <v>291</v>
      </c>
      <c r="B134">
        <v>291</v>
      </c>
      <c r="C134" t="s">
        <v>3094</v>
      </c>
      <c r="E134">
        <v>1</v>
      </c>
      <c r="F134">
        <v>8</v>
      </c>
      <c r="G134">
        <v>5300</v>
      </c>
      <c r="H134">
        <v>42400</v>
      </c>
      <c r="I134">
        <v>35932.203389830509</v>
      </c>
    </row>
    <row r="135" spans="1:9">
      <c r="A135">
        <v>292</v>
      </c>
      <c r="B135">
        <v>292</v>
      </c>
      <c r="C135" t="s">
        <v>3095</v>
      </c>
      <c r="E135">
        <v>1</v>
      </c>
      <c r="F135">
        <v>38</v>
      </c>
      <c r="G135">
        <v>400</v>
      </c>
      <c r="H135">
        <v>15200</v>
      </c>
      <c r="I135">
        <v>12881.355932203391</v>
      </c>
    </row>
    <row r="136" spans="1:9">
      <c r="A136">
        <v>293</v>
      </c>
      <c r="B136">
        <v>293</v>
      </c>
      <c r="C136" t="s">
        <v>3096</v>
      </c>
      <c r="E136">
        <v>1</v>
      </c>
      <c r="F136">
        <v>4</v>
      </c>
      <c r="G136">
        <v>800</v>
      </c>
      <c r="H136">
        <v>3200</v>
      </c>
      <c r="I136">
        <v>2711.8644067796613</v>
      </c>
    </row>
    <row r="137" spans="1:9">
      <c r="A137">
        <v>294</v>
      </c>
      <c r="B137">
        <v>294</v>
      </c>
      <c r="C137" t="s">
        <v>3097</v>
      </c>
      <c r="E137">
        <v>1</v>
      </c>
      <c r="F137">
        <v>4</v>
      </c>
      <c r="G137">
        <v>800</v>
      </c>
      <c r="H137">
        <v>3200</v>
      </c>
      <c r="I137">
        <v>2711.8644067796613</v>
      </c>
    </row>
    <row r="138" spans="1:9">
      <c r="A138">
        <v>295</v>
      </c>
      <c r="B138">
        <v>295</v>
      </c>
      <c r="C138" t="s">
        <v>3098</v>
      </c>
      <c r="E138">
        <v>1</v>
      </c>
      <c r="F138">
        <v>2</v>
      </c>
      <c r="G138">
        <v>1000</v>
      </c>
      <c r="H138">
        <v>2000</v>
      </c>
      <c r="I138">
        <v>1694.9152542372883</v>
      </c>
    </row>
    <row r="139" spans="1:9">
      <c r="A139">
        <v>310</v>
      </c>
      <c r="B139">
        <v>310</v>
      </c>
      <c r="C139" t="s">
        <v>3099</v>
      </c>
      <c r="E139">
        <v>1</v>
      </c>
      <c r="F139">
        <v>39</v>
      </c>
      <c r="G139">
        <v>23.6</v>
      </c>
      <c r="H139">
        <v>920.4</v>
      </c>
      <c r="I139">
        <v>780</v>
      </c>
    </row>
    <row r="140" spans="1:9">
      <c r="A140">
        <v>311</v>
      </c>
      <c r="B140">
        <v>311</v>
      </c>
      <c r="C140" t="s">
        <v>3100</v>
      </c>
      <c r="E140">
        <v>1</v>
      </c>
      <c r="F140">
        <v>26</v>
      </c>
      <c r="G140">
        <v>40</v>
      </c>
      <c r="H140">
        <v>1040</v>
      </c>
      <c r="I140">
        <v>881.3559322033899</v>
      </c>
    </row>
    <row r="141" spans="1:9">
      <c r="A141">
        <v>314</v>
      </c>
      <c r="B141">
        <v>314</v>
      </c>
      <c r="C141" t="s">
        <v>3101</v>
      </c>
      <c r="E141">
        <v>1</v>
      </c>
      <c r="F141">
        <v>41</v>
      </c>
      <c r="G141">
        <v>38.130000000000003</v>
      </c>
      <c r="H141">
        <v>1563.33</v>
      </c>
      <c r="I141">
        <v>1324.8559322033898</v>
      </c>
    </row>
    <row r="142" spans="1:9">
      <c r="A142">
        <v>323</v>
      </c>
      <c r="B142">
        <v>323</v>
      </c>
      <c r="C142" t="s">
        <v>3102</v>
      </c>
      <c r="E142">
        <v>1</v>
      </c>
      <c r="F142">
        <v>18</v>
      </c>
      <c r="G142">
        <v>600</v>
      </c>
      <c r="H142">
        <v>10800</v>
      </c>
      <c r="I142">
        <v>9152.5423728813566</v>
      </c>
    </row>
    <row r="143" spans="1:9">
      <c r="A143">
        <v>324</v>
      </c>
      <c r="B143">
        <v>324</v>
      </c>
      <c r="C143" t="s">
        <v>3103</v>
      </c>
      <c r="E143">
        <v>1</v>
      </c>
      <c r="F143">
        <v>10</v>
      </c>
      <c r="G143">
        <v>973.5</v>
      </c>
      <c r="H143">
        <v>9735</v>
      </c>
      <c r="I143">
        <v>8250</v>
      </c>
    </row>
    <row r="144" spans="1:9">
      <c r="A144">
        <v>325</v>
      </c>
      <c r="B144">
        <v>325</v>
      </c>
      <c r="C144" t="s">
        <v>3104</v>
      </c>
      <c r="E144">
        <v>1</v>
      </c>
      <c r="F144">
        <v>13</v>
      </c>
      <c r="G144">
        <v>2650</v>
      </c>
      <c r="H144">
        <v>34450</v>
      </c>
      <c r="I144">
        <v>29194.91525423729</v>
      </c>
    </row>
    <row r="145" spans="1:9">
      <c r="A145">
        <v>329</v>
      </c>
      <c r="B145">
        <v>329</v>
      </c>
      <c r="C145" t="s">
        <v>3105</v>
      </c>
      <c r="E145">
        <v>1</v>
      </c>
      <c r="F145">
        <v>2</v>
      </c>
      <c r="G145">
        <v>241.9</v>
      </c>
      <c r="H145">
        <v>483.8</v>
      </c>
      <c r="I145">
        <v>410.00000000000006</v>
      </c>
    </row>
    <row r="146" spans="1:9">
      <c r="A146">
        <v>331</v>
      </c>
      <c r="B146">
        <v>331</v>
      </c>
      <c r="C146" t="s">
        <v>3106</v>
      </c>
      <c r="E146">
        <v>1</v>
      </c>
      <c r="F146">
        <v>1</v>
      </c>
      <c r="G146">
        <v>70</v>
      </c>
      <c r="H146">
        <v>70</v>
      </c>
      <c r="I146">
        <v>59.322033898305087</v>
      </c>
    </row>
    <row r="147" spans="1:9">
      <c r="A147">
        <v>332</v>
      </c>
      <c r="B147">
        <v>332</v>
      </c>
      <c r="C147" t="s">
        <v>3107</v>
      </c>
      <c r="E147">
        <v>1</v>
      </c>
      <c r="F147">
        <v>5</v>
      </c>
      <c r="G147">
        <v>250</v>
      </c>
      <c r="H147">
        <v>1250</v>
      </c>
      <c r="I147">
        <v>1059.3220338983051</v>
      </c>
    </row>
    <row r="148" spans="1:9">
      <c r="A148">
        <v>334</v>
      </c>
      <c r="B148">
        <v>334</v>
      </c>
      <c r="C148" t="s">
        <v>3108</v>
      </c>
      <c r="E148">
        <v>1</v>
      </c>
      <c r="F148">
        <v>17</v>
      </c>
      <c r="G148">
        <v>42.03</v>
      </c>
      <c r="H148">
        <v>714.51</v>
      </c>
      <c r="I148">
        <v>605.51694915254245</v>
      </c>
    </row>
    <row r="149" spans="1:9">
      <c r="A149">
        <v>343</v>
      </c>
      <c r="B149">
        <v>343</v>
      </c>
      <c r="C149" t="s">
        <v>3109</v>
      </c>
      <c r="E149">
        <v>1</v>
      </c>
      <c r="F149">
        <v>37</v>
      </c>
      <c r="G149">
        <v>360</v>
      </c>
      <c r="H149">
        <v>13320</v>
      </c>
      <c r="I149">
        <v>11288.135593220339</v>
      </c>
    </row>
    <row r="150" spans="1:9">
      <c r="A150">
        <v>347</v>
      </c>
      <c r="B150">
        <v>347</v>
      </c>
      <c r="C150" t="s">
        <v>3110</v>
      </c>
      <c r="E150">
        <v>1</v>
      </c>
      <c r="F150">
        <v>205.9</v>
      </c>
      <c r="G150">
        <v>290</v>
      </c>
      <c r="H150">
        <v>59711</v>
      </c>
      <c r="I150">
        <v>50602.542372881362</v>
      </c>
    </row>
    <row r="151" spans="1:9">
      <c r="A151">
        <v>350</v>
      </c>
      <c r="B151">
        <v>350</v>
      </c>
      <c r="C151" t="s">
        <v>3111</v>
      </c>
      <c r="E151">
        <v>1</v>
      </c>
      <c r="F151">
        <v>10</v>
      </c>
      <c r="G151">
        <v>350</v>
      </c>
      <c r="H151">
        <v>3500</v>
      </c>
      <c r="I151">
        <v>2966.1016949152545</v>
      </c>
    </row>
    <row r="152" spans="1:9">
      <c r="A152">
        <v>351</v>
      </c>
      <c r="B152">
        <v>351</v>
      </c>
      <c r="C152" t="s">
        <v>3112</v>
      </c>
      <c r="E152">
        <v>1</v>
      </c>
      <c r="F152">
        <v>71</v>
      </c>
      <c r="G152">
        <v>263</v>
      </c>
      <c r="H152">
        <v>18673</v>
      </c>
      <c r="I152">
        <v>15824.576271186441</v>
      </c>
    </row>
    <row r="153" spans="1:9">
      <c r="A153">
        <v>352</v>
      </c>
      <c r="B153">
        <v>352</v>
      </c>
      <c r="C153" t="s">
        <v>3113</v>
      </c>
      <c r="E153">
        <v>1</v>
      </c>
      <c r="F153">
        <v>34</v>
      </c>
      <c r="G153">
        <v>320</v>
      </c>
      <c r="H153">
        <v>10880</v>
      </c>
      <c r="I153">
        <v>9220.3389830508477</v>
      </c>
    </row>
    <row r="154" spans="1:9">
      <c r="A154">
        <v>353</v>
      </c>
      <c r="B154">
        <v>353</v>
      </c>
      <c r="C154" t="s">
        <v>3114</v>
      </c>
      <c r="E154">
        <v>1</v>
      </c>
      <c r="F154">
        <v>13</v>
      </c>
      <c r="G154">
        <v>518</v>
      </c>
      <c r="H154">
        <v>6734</v>
      </c>
      <c r="I154">
        <v>5706.7796610169498</v>
      </c>
    </row>
    <row r="155" spans="1:9">
      <c r="A155">
        <v>354</v>
      </c>
      <c r="B155">
        <v>354</v>
      </c>
      <c r="C155" t="s">
        <v>3115</v>
      </c>
      <c r="E155">
        <v>1</v>
      </c>
      <c r="F155">
        <v>10</v>
      </c>
      <c r="G155">
        <v>150</v>
      </c>
      <c r="H155">
        <v>1500</v>
      </c>
      <c r="I155">
        <v>1271.1864406779662</v>
      </c>
    </row>
    <row r="156" spans="1:9">
      <c r="A156">
        <v>355</v>
      </c>
      <c r="B156">
        <v>355</v>
      </c>
      <c r="C156" t="s">
        <v>3116</v>
      </c>
      <c r="E156">
        <v>1</v>
      </c>
      <c r="F156">
        <v>20</v>
      </c>
      <c r="G156">
        <v>100</v>
      </c>
      <c r="H156">
        <v>2000</v>
      </c>
      <c r="I156">
        <v>1694.9152542372883</v>
      </c>
    </row>
    <row r="157" spans="1:9">
      <c r="A157">
        <v>359</v>
      </c>
      <c r="B157">
        <v>359</v>
      </c>
      <c r="C157" t="s">
        <v>3117</v>
      </c>
      <c r="E157">
        <v>1</v>
      </c>
      <c r="F157">
        <v>3</v>
      </c>
      <c r="G157">
        <v>400</v>
      </c>
      <c r="H157">
        <v>1200</v>
      </c>
      <c r="I157">
        <v>1016.949152542373</v>
      </c>
    </row>
    <row r="158" spans="1:9">
      <c r="A158">
        <v>363</v>
      </c>
      <c r="B158">
        <v>363</v>
      </c>
      <c r="C158" t="s">
        <v>3118</v>
      </c>
      <c r="E158">
        <v>1</v>
      </c>
      <c r="F158">
        <v>2</v>
      </c>
      <c r="G158">
        <v>250</v>
      </c>
      <c r="H158">
        <v>500</v>
      </c>
      <c r="I158">
        <v>423.72881355932208</v>
      </c>
    </row>
    <row r="159" spans="1:9">
      <c r="A159">
        <v>364</v>
      </c>
      <c r="B159">
        <v>364</v>
      </c>
      <c r="C159" t="s">
        <v>3119</v>
      </c>
      <c r="E159">
        <v>1</v>
      </c>
      <c r="F159">
        <v>5</v>
      </c>
      <c r="G159">
        <v>250</v>
      </c>
      <c r="H159">
        <v>1250</v>
      </c>
      <c r="I159">
        <v>1059.3220338983051</v>
      </c>
    </row>
    <row r="160" spans="1:9">
      <c r="A160">
        <v>365</v>
      </c>
      <c r="B160">
        <v>365</v>
      </c>
      <c r="C160" t="s">
        <v>3120</v>
      </c>
      <c r="E160">
        <v>1</v>
      </c>
      <c r="F160">
        <v>5</v>
      </c>
      <c r="G160">
        <v>150</v>
      </c>
      <c r="H160">
        <v>750</v>
      </c>
      <c r="I160">
        <v>635.59322033898309</v>
      </c>
    </row>
    <row r="161" spans="1:9">
      <c r="A161">
        <v>370</v>
      </c>
      <c r="B161">
        <v>370</v>
      </c>
      <c r="C161" t="s">
        <v>3121</v>
      </c>
      <c r="E161">
        <v>1</v>
      </c>
      <c r="F161">
        <v>630</v>
      </c>
      <c r="G161">
        <v>47.2</v>
      </c>
      <c r="H161">
        <v>29736</v>
      </c>
      <c r="I161">
        <v>25200</v>
      </c>
    </row>
    <row r="162" spans="1:9">
      <c r="A162">
        <v>372</v>
      </c>
      <c r="B162">
        <v>372</v>
      </c>
      <c r="C162" t="s">
        <v>3122</v>
      </c>
      <c r="E162">
        <v>1</v>
      </c>
      <c r="F162">
        <v>4</v>
      </c>
      <c r="G162">
        <v>3100</v>
      </c>
      <c r="H162">
        <v>12400</v>
      </c>
      <c r="I162">
        <v>10508.474576271186</v>
      </c>
    </row>
    <row r="163" spans="1:9">
      <c r="A163">
        <v>377</v>
      </c>
      <c r="B163">
        <v>377</v>
      </c>
      <c r="C163" t="s">
        <v>3123</v>
      </c>
      <c r="E163">
        <v>1</v>
      </c>
      <c r="F163">
        <v>28</v>
      </c>
      <c r="G163">
        <v>38.450000000000003</v>
      </c>
      <c r="H163">
        <v>1076.5999999999999</v>
      </c>
      <c r="I163">
        <v>912.37288135593212</v>
      </c>
    </row>
    <row r="164" spans="1:9">
      <c r="A164">
        <v>386</v>
      </c>
      <c r="B164">
        <v>386</v>
      </c>
      <c r="C164" t="s">
        <v>3124</v>
      </c>
      <c r="E164">
        <v>1</v>
      </c>
      <c r="F164">
        <v>250</v>
      </c>
      <c r="G164">
        <v>41.66</v>
      </c>
      <c r="H164">
        <v>10415</v>
      </c>
      <c r="I164">
        <v>8826.2711864406792</v>
      </c>
    </row>
    <row r="165" spans="1:9">
      <c r="A165">
        <v>388</v>
      </c>
      <c r="B165">
        <v>388</v>
      </c>
      <c r="C165" t="s">
        <v>3125</v>
      </c>
      <c r="E165">
        <v>1</v>
      </c>
      <c r="F165">
        <v>190</v>
      </c>
      <c r="G165">
        <v>18</v>
      </c>
      <c r="H165">
        <v>3420</v>
      </c>
      <c r="I165">
        <v>2898.305084745763</v>
      </c>
    </row>
    <row r="166" spans="1:9">
      <c r="A166">
        <v>392</v>
      </c>
      <c r="B166">
        <v>392</v>
      </c>
      <c r="C166" t="s">
        <v>3126</v>
      </c>
      <c r="E166">
        <v>1</v>
      </c>
      <c r="F166">
        <v>153</v>
      </c>
      <c r="G166">
        <v>45</v>
      </c>
      <c r="H166">
        <v>6885</v>
      </c>
      <c r="I166">
        <v>5834.7457627118647</v>
      </c>
    </row>
    <row r="167" spans="1:9">
      <c r="A167">
        <v>393</v>
      </c>
      <c r="B167">
        <v>393</v>
      </c>
      <c r="C167" t="s">
        <v>3127</v>
      </c>
      <c r="E167">
        <v>1</v>
      </c>
      <c r="F167">
        <v>84</v>
      </c>
      <c r="G167">
        <v>99.98</v>
      </c>
      <c r="H167">
        <v>8398.32</v>
      </c>
      <c r="I167">
        <v>7117.2203389830511</v>
      </c>
    </row>
    <row r="168" spans="1:9">
      <c r="A168">
        <v>394</v>
      </c>
      <c r="B168">
        <v>394</v>
      </c>
      <c r="C168" t="s">
        <v>3128</v>
      </c>
      <c r="E168">
        <v>1</v>
      </c>
      <c r="F168">
        <v>46</v>
      </c>
      <c r="G168">
        <v>100</v>
      </c>
      <c r="H168">
        <v>4600</v>
      </c>
      <c r="I168">
        <v>3898.305084745763</v>
      </c>
    </row>
    <row r="169" spans="1:9">
      <c r="A169">
        <v>397</v>
      </c>
      <c r="B169">
        <v>397</v>
      </c>
      <c r="C169" t="s">
        <v>3129</v>
      </c>
      <c r="E169">
        <v>1</v>
      </c>
      <c r="F169">
        <v>2</v>
      </c>
      <c r="G169">
        <v>6900</v>
      </c>
      <c r="H169">
        <v>13800</v>
      </c>
      <c r="I169">
        <v>11694.915254237289</v>
      </c>
    </row>
    <row r="170" spans="1:9">
      <c r="A170">
        <v>398</v>
      </c>
      <c r="B170">
        <v>398</v>
      </c>
      <c r="C170" t="s">
        <v>3130</v>
      </c>
      <c r="E170">
        <v>1</v>
      </c>
      <c r="F170">
        <v>115</v>
      </c>
      <c r="G170">
        <v>177</v>
      </c>
      <c r="H170">
        <v>20355</v>
      </c>
      <c r="I170">
        <v>17250</v>
      </c>
    </row>
    <row r="171" spans="1:9">
      <c r="A171">
        <v>401</v>
      </c>
      <c r="B171">
        <v>401</v>
      </c>
      <c r="C171" t="s">
        <v>3131</v>
      </c>
      <c r="E171">
        <v>1</v>
      </c>
      <c r="F171">
        <v>43</v>
      </c>
      <c r="G171">
        <v>8.86</v>
      </c>
      <c r="H171">
        <v>380.98</v>
      </c>
      <c r="I171">
        <v>322.86440677966107</v>
      </c>
    </row>
    <row r="172" spans="1:9">
      <c r="A172">
        <v>402</v>
      </c>
      <c r="B172">
        <v>402</v>
      </c>
      <c r="C172" t="s">
        <v>3132</v>
      </c>
      <c r="E172">
        <v>1</v>
      </c>
      <c r="F172">
        <v>32</v>
      </c>
      <c r="G172">
        <v>117.8</v>
      </c>
      <c r="H172">
        <v>3769.6</v>
      </c>
      <c r="I172">
        <v>3194.5762711864409</v>
      </c>
    </row>
    <row r="173" spans="1:9">
      <c r="A173">
        <v>404</v>
      </c>
      <c r="B173">
        <v>404</v>
      </c>
      <c r="C173" t="s">
        <v>3133</v>
      </c>
      <c r="E173">
        <v>1</v>
      </c>
      <c r="F173">
        <v>14</v>
      </c>
      <c r="G173">
        <v>84</v>
      </c>
      <c r="H173">
        <v>1176</v>
      </c>
      <c r="I173">
        <v>996.61016949152543</v>
      </c>
    </row>
    <row r="174" spans="1:9">
      <c r="A174">
        <v>408</v>
      </c>
      <c r="B174">
        <v>408</v>
      </c>
      <c r="C174" t="s">
        <v>3134</v>
      </c>
      <c r="E174">
        <v>1</v>
      </c>
      <c r="F174">
        <v>6</v>
      </c>
      <c r="G174">
        <v>66.08</v>
      </c>
      <c r="H174">
        <v>396.48</v>
      </c>
      <c r="I174">
        <v>336.00000000000006</v>
      </c>
    </row>
    <row r="175" spans="1:9">
      <c r="A175">
        <v>413</v>
      </c>
      <c r="B175">
        <v>413</v>
      </c>
      <c r="C175" t="s">
        <v>3135</v>
      </c>
      <c r="E175">
        <v>1</v>
      </c>
      <c r="F175">
        <v>96</v>
      </c>
      <c r="G175">
        <v>25</v>
      </c>
      <c r="H175">
        <v>2400</v>
      </c>
      <c r="I175">
        <v>2033.898305084746</v>
      </c>
    </row>
    <row r="176" spans="1:9">
      <c r="A176">
        <v>414</v>
      </c>
      <c r="B176">
        <v>414</v>
      </c>
      <c r="C176" t="s">
        <v>3136</v>
      </c>
      <c r="E176">
        <v>1</v>
      </c>
      <c r="F176">
        <v>408</v>
      </c>
      <c r="G176">
        <v>10</v>
      </c>
      <c r="H176">
        <v>4080</v>
      </c>
      <c r="I176">
        <v>3457.6271186440681</v>
      </c>
    </row>
    <row r="177" spans="1:9">
      <c r="A177">
        <v>421</v>
      </c>
      <c r="B177">
        <v>421</v>
      </c>
      <c r="C177" t="s">
        <v>3137</v>
      </c>
      <c r="E177">
        <v>1</v>
      </c>
      <c r="F177">
        <v>72</v>
      </c>
      <c r="G177">
        <v>32</v>
      </c>
      <c r="H177">
        <v>2304</v>
      </c>
      <c r="I177">
        <v>1952.542372881356</v>
      </c>
    </row>
    <row r="178" spans="1:9">
      <c r="A178">
        <v>422</v>
      </c>
      <c r="B178">
        <v>422</v>
      </c>
      <c r="C178" t="s">
        <v>3138</v>
      </c>
      <c r="E178">
        <v>1</v>
      </c>
      <c r="F178">
        <v>189</v>
      </c>
      <c r="G178">
        <v>55</v>
      </c>
      <c r="H178">
        <v>10395</v>
      </c>
      <c r="I178">
        <v>8809.3220338983047</v>
      </c>
    </row>
    <row r="179" spans="1:9">
      <c r="A179">
        <v>424</v>
      </c>
      <c r="B179">
        <v>424</v>
      </c>
      <c r="C179" t="s">
        <v>3139</v>
      </c>
      <c r="E179">
        <v>1</v>
      </c>
      <c r="F179">
        <v>18</v>
      </c>
      <c r="G179">
        <v>231</v>
      </c>
      <c r="H179">
        <v>4158</v>
      </c>
      <c r="I179">
        <v>3523.7288135593221</v>
      </c>
    </row>
    <row r="180" spans="1:9">
      <c r="A180">
        <v>433</v>
      </c>
      <c r="B180">
        <v>433</v>
      </c>
      <c r="C180" t="s">
        <v>3140</v>
      </c>
      <c r="E180">
        <v>1</v>
      </c>
      <c r="F180">
        <v>39</v>
      </c>
      <c r="G180">
        <v>265.5</v>
      </c>
      <c r="H180">
        <v>10354.5</v>
      </c>
      <c r="I180">
        <v>8775</v>
      </c>
    </row>
    <row r="181" spans="1:9">
      <c r="A181">
        <v>439</v>
      </c>
      <c r="B181">
        <v>439</v>
      </c>
      <c r="C181" t="s">
        <v>3141</v>
      </c>
      <c r="E181">
        <v>1</v>
      </c>
      <c r="F181">
        <v>7</v>
      </c>
      <c r="G181">
        <v>3204</v>
      </c>
      <c r="H181">
        <v>22428</v>
      </c>
      <c r="I181">
        <v>19006.77966101695</v>
      </c>
    </row>
    <row r="182" spans="1:9">
      <c r="A182">
        <v>443</v>
      </c>
      <c r="B182">
        <v>443</v>
      </c>
      <c r="C182" t="s">
        <v>3142</v>
      </c>
      <c r="E182">
        <v>1</v>
      </c>
      <c r="F182">
        <v>33</v>
      </c>
      <c r="G182">
        <v>1250</v>
      </c>
      <c r="H182">
        <v>41250</v>
      </c>
      <c r="I182">
        <v>34957.627118644072</v>
      </c>
    </row>
    <row r="183" spans="1:9">
      <c r="A183">
        <v>450</v>
      </c>
      <c r="B183">
        <v>450</v>
      </c>
      <c r="C183" t="s">
        <v>3143</v>
      </c>
      <c r="E183">
        <v>1</v>
      </c>
      <c r="F183">
        <v>5</v>
      </c>
      <c r="G183">
        <v>2000</v>
      </c>
      <c r="H183">
        <v>10000</v>
      </c>
      <c r="I183">
        <v>8474.5762711864409</v>
      </c>
    </row>
    <row r="184" spans="1:9">
      <c r="A184">
        <v>457</v>
      </c>
      <c r="B184">
        <v>457</v>
      </c>
      <c r="C184" t="s">
        <v>3144</v>
      </c>
      <c r="E184">
        <v>1</v>
      </c>
      <c r="F184">
        <v>2</v>
      </c>
      <c r="G184">
        <v>750</v>
      </c>
      <c r="H184">
        <v>1500</v>
      </c>
      <c r="I184">
        <v>1271.1864406779662</v>
      </c>
    </row>
    <row r="185" spans="1:9">
      <c r="A185">
        <v>466</v>
      </c>
      <c r="B185">
        <v>466</v>
      </c>
      <c r="C185" t="s">
        <v>3145</v>
      </c>
      <c r="E185">
        <v>1</v>
      </c>
      <c r="F185">
        <v>6</v>
      </c>
      <c r="G185">
        <v>300</v>
      </c>
      <c r="H185">
        <v>1800</v>
      </c>
      <c r="I185">
        <v>1525.4237288135594</v>
      </c>
    </row>
    <row r="186" spans="1:9">
      <c r="A186">
        <v>479</v>
      </c>
      <c r="B186">
        <v>479</v>
      </c>
      <c r="C186" t="s">
        <v>3146</v>
      </c>
      <c r="E186">
        <v>1</v>
      </c>
      <c r="F186">
        <v>16</v>
      </c>
      <c r="G186">
        <v>100</v>
      </c>
      <c r="H186">
        <v>1600</v>
      </c>
      <c r="I186">
        <v>1355.9322033898306</v>
      </c>
    </row>
    <row r="187" spans="1:9">
      <c r="A187">
        <v>480</v>
      </c>
      <c r="B187">
        <v>480</v>
      </c>
      <c r="C187" t="s">
        <v>3147</v>
      </c>
      <c r="E187">
        <v>1</v>
      </c>
      <c r="F187">
        <v>9</v>
      </c>
      <c r="G187">
        <v>190.68</v>
      </c>
      <c r="H187">
        <v>1716.12</v>
      </c>
      <c r="I187">
        <v>1454.3389830508474</v>
      </c>
    </row>
    <row r="188" spans="1:9">
      <c r="A188">
        <v>484</v>
      </c>
      <c r="B188">
        <v>484</v>
      </c>
      <c r="C188" t="s">
        <v>3148</v>
      </c>
      <c r="E188">
        <v>1</v>
      </c>
      <c r="F188">
        <v>15</v>
      </c>
      <c r="G188">
        <v>50</v>
      </c>
      <c r="H188">
        <v>750</v>
      </c>
      <c r="I188">
        <v>635.59322033898309</v>
      </c>
    </row>
    <row r="189" spans="1:9">
      <c r="A189">
        <v>485</v>
      </c>
      <c r="B189">
        <v>485</v>
      </c>
      <c r="C189" t="s">
        <v>3149</v>
      </c>
      <c r="E189">
        <v>1</v>
      </c>
      <c r="F189">
        <v>1</v>
      </c>
      <c r="G189">
        <v>700</v>
      </c>
      <c r="H189">
        <v>700</v>
      </c>
      <c r="I189">
        <v>593.22033898305085</v>
      </c>
    </row>
    <row r="190" spans="1:9">
      <c r="A190">
        <v>495</v>
      </c>
      <c r="B190">
        <v>495</v>
      </c>
      <c r="C190" t="s">
        <v>3150</v>
      </c>
      <c r="E190">
        <v>1</v>
      </c>
      <c r="F190">
        <v>6</v>
      </c>
      <c r="G190">
        <v>600</v>
      </c>
      <c r="H190">
        <v>3600</v>
      </c>
      <c r="I190">
        <v>3050.8474576271187</v>
      </c>
    </row>
    <row r="191" spans="1:9">
      <c r="A191">
        <v>501</v>
      </c>
      <c r="B191">
        <v>501</v>
      </c>
      <c r="C191" t="s">
        <v>3151</v>
      </c>
      <c r="E191">
        <v>1</v>
      </c>
      <c r="F191">
        <v>25</v>
      </c>
      <c r="G191">
        <v>70</v>
      </c>
      <c r="H191">
        <v>1750</v>
      </c>
      <c r="I191">
        <v>1483.0508474576272</v>
      </c>
    </row>
    <row r="192" spans="1:9">
      <c r="A192">
        <v>506</v>
      </c>
      <c r="B192">
        <v>506</v>
      </c>
      <c r="C192" t="s">
        <v>3152</v>
      </c>
      <c r="E192">
        <v>1</v>
      </c>
      <c r="F192">
        <v>2</v>
      </c>
      <c r="G192">
        <v>110</v>
      </c>
      <c r="H192">
        <v>220</v>
      </c>
      <c r="I192">
        <v>186.4406779661017</v>
      </c>
    </row>
    <row r="193" spans="1:9">
      <c r="A193">
        <v>513</v>
      </c>
      <c r="B193">
        <v>513</v>
      </c>
      <c r="C193" t="s">
        <v>3153</v>
      </c>
      <c r="E193">
        <v>1</v>
      </c>
      <c r="F193">
        <v>1</v>
      </c>
      <c r="G193">
        <v>330</v>
      </c>
      <c r="H193">
        <v>330</v>
      </c>
      <c r="I193">
        <v>279.66101694915255</v>
      </c>
    </row>
    <row r="194" spans="1:9">
      <c r="A194">
        <v>514</v>
      </c>
      <c r="B194">
        <v>514</v>
      </c>
      <c r="C194" t="s">
        <v>3154</v>
      </c>
      <c r="E194">
        <v>1</v>
      </c>
      <c r="F194">
        <v>4</v>
      </c>
      <c r="G194">
        <v>70</v>
      </c>
      <c r="H194">
        <v>280</v>
      </c>
      <c r="I194">
        <v>237.28813559322035</v>
      </c>
    </row>
    <row r="195" spans="1:9">
      <c r="A195">
        <v>515</v>
      </c>
      <c r="B195">
        <v>515</v>
      </c>
      <c r="C195" t="s">
        <v>3155</v>
      </c>
      <c r="E195">
        <v>1</v>
      </c>
      <c r="F195">
        <v>4</v>
      </c>
      <c r="G195">
        <v>677.97</v>
      </c>
      <c r="H195">
        <v>2711.87</v>
      </c>
      <c r="I195">
        <v>2298.1949152542375</v>
      </c>
    </row>
    <row r="196" spans="1:9">
      <c r="A196">
        <v>517</v>
      </c>
      <c r="B196">
        <v>517</v>
      </c>
      <c r="C196" t="s">
        <v>3156</v>
      </c>
      <c r="E196">
        <v>1</v>
      </c>
      <c r="F196">
        <v>9</v>
      </c>
      <c r="G196">
        <v>40</v>
      </c>
      <c r="H196">
        <v>360</v>
      </c>
      <c r="I196">
        <v>305.08474576271186</v>
      </c>
    </row>
    <row r="197" spans="1:9">
      <c r="A197">
        <v>520</v>
      </c>
      <c r="B197">
        <v>520</v>
      </c>
      <c r="C197" t="s">
        <v>3157</v>
      </c>
      <c r="E197">
        <v>1</v>
      </c>
      <c r="F197">
        <v>2</v>
      </c>
      <c r="G197">
        <v>780</v>
      </c>
      <c r="H197">
        <v>1560</v>
      </c>
      <c r="I197">
        <v>1322.0338983050849</v>
      </c>
    </row>
    <row r="198" spans="1:9">
      <c r="A198">
        <v>536</v>
      </c>
      <c r="B198">
        <v>536</v>
      </c>
      <c r="C198" t="s">
        <v>3158</v>
      </c>
      <c r="E198">
        <v>1</v>
      </c>
      <c r="F198">
        <v>2</v>
      </c>
      <c r="G198">
        <v>130</v>
      </c>
      <c r="H198">
        <v>260</v>
      </c>
      <c r="I198">
        <v>220.33898305084747</v>
      </c>
    </row>
    <row r="199" spans="1:9">
      <c r="A199">
        <v>539</v>
      </c>
      <c r="B199">
        <v>539</v>
      </c>
      <c r="C199" t="s">
        <v>3159</v>
      </c>
      <c r="E199">
        <v>1</v>
      </c>
      <c r="F199">
        <v>21</v>
      </c>
      <c r="G199">
        <v>112.7</v>
      </c>
      <c r="H199">
        <v>2366.6999999999998</v>
      </c>
      <c r="I199">
        <v>2005.6779661016949</v>
      </c>
    </row>
    <row r="200" spans="1:9">
      <c r="A200">
        <v>541</v>
      </c>
      <c r="B200">
        <v>541</v>
      </c>
      <c r="C200" t="s">
        <v>3160</v>
      </c>
      <c r="E200">
        <v>1</v>
      </c>
      <c r="F200">
        <v>9</v>
      </c>
      <c r="G200">
        <v>565</v>
      </c>
      <c r="H200">
        <v>5085</v>
      </c>
      <c r="I200">
        <v>4309.3220338983056</v>
      </c>
    </row>
    <row r="201" spans="1:9">
      <c r="A201">
        <v>550</v>
      </c>
      <c r="B201">
        <v>550</v>
      </c>
      <c r="C201" t="s">
        <v>3161</v>
      </c>
      <c r="E201">
        <v>1</v>
      </c>
      <c r="F201">
        <v>28</v>
      </c>
      <c r="G201">
        <v>300</v>
      </c>
      <c r="H201">
        <v>8400</v>
      </c>
      <c r="I201">
        <v>7118.6440677966102</v>
      </c>
    </row>
    <row r="202" spans="1:9">
      <c r="A202">
        <v>572</v>
      </c>
      <c r="B202">
        <v>572</v>
      </c>
      <c r="C202" t="s">
        <v>3162</v>
      </c>
      <c r="E202">
        <v>1</v>
      </c>
      <c r="F202">
        <v>195</v>
      </c>
      <c r="G202">
        <v>120</v>
      </c>
      <c r="H202">
        <v>23400</v>
      </c>
      <c r="I202">
        <v>19830.508474576272</v>
      </c>
    </row>
    <row r="203" spans="1:9">
      <c r="A203">
        <v>573</v>
      </c>
      <c r="B203">
        <v>573</v>
      </c>
      <c r="C203" t="s">
        <v>3163</v>
      </c>
      <c r="E203">
        <v>1</v>
      </c>
      <c r="F203">
        <v>2</v>
      </c>
      <c r="G203">
        <v>180</v>
      </c>
      <c r="H203">
        <v>360</v>
      </c>
      <c r="I203">
        <v>305.08474576271186</v>
      </c>
    </row>
    <row r="204" spans="1:9">
      <c r="A204">
        <v>575</v>
      </c>
      <c r="B204">
        <v>575</v>
      </c>
      <c r="C204" t="s">
        <v>3164</v>
      </c>
      <c r="E204">
        <v>1</v>
      </c>
      <c r="F204">
        <v>1</v>
      </c>
      <c r="G204">
        <v>825</v>
      </c>
      <c r="H204">
        <v>825</v>
      </c>
      <c r="I204">
        <v>699.15254237288138</v>
      </c>
    </row>
    <row r="205" spans="1:9">
      <c r="A205">
        <v>577</v>
      </c>
      <c r="B205">
        <v>577</v>
      </c>
      <c r="C205" t="s">
        <v>3165</v>
      </c>
      <c r="E205">
        <v>1</v>
      </c>
      <c r="F205">
        <v>7</v>
      </c>
      <c r="G205">
        <v>100</v>
      </c>
      <c r="H205">
        <v>700</v>
      </c>
      <c r="I205">
        <v>593.22033898305085</v>
      </c>
    </row>
    <row r="206" spans="1:9">
      <c r="A206">
        <v>588</v>
      </c>
      <c r="B206">
        <v>588</v>
      </c>
      <c r="C206" t="s">
        <v>3166</v>
      </c>
      <c r="E206">
        <v>1</v>
      </c>
      <c r="F206">
        <v>62</v>
      </c>
      <c r="G206">
        <v>20</v>
      </c>
      <c r="H206">
        <v>1240</v>
      </c>
      <c r="I206">
        <v>1050.8474576271187</v>
      </c>
    </row>
    <row r="207" spans="1:9">
      <c r="A207">
        <v>593</v>
      </c>
      <c r="B207">
        <v>593</v>
      </c>
      <c r="C207" t="s">
        <v>3167</v>
      </c>
      <c r="E207">
        <v>1</v>
      </c>
      <c r="F207">
        <v>20</v>
      </c>
      <c r="G207">
        <v>100</v>
      </c>
      <c r="H207">
        <v>2000</v>
      </c>
      <c r="I207">
        <v>1694.9152542372883</v>
      </c>
    </row>
    <row r="208" spans="1:9">
      <c r="A208">
        <v>600</v>
      </c>
      <c r="B208">
        <v>600</v>
      </c>
      <c r="C208" t="s">
        <v>3168</v>
      </c>
      <c r="E208">
        <v>1</v>
      </c>
      <c r="F208">
        <v>41.5</v>
      </c>
      <c r="G208">
        <v>1696.25</v>
      </c>
      <c r="H208">
        <v>70394.38</v>
      </c>
      <c r="I208">
        <v>59656.254237288143</v>
      </c>
    </row>
    <row r="209" spans="1:9">
      <c r="A209">
        <v>601</v>
      </c>
      <c r="B209">
        <v>601</v>
      </c>
      <c r="C209" t="s">
        <v>3169</v>
      </c>
      <c r="E209">
        <v>1</v>
      </c>
      <c r="F209">
        <v>18.5</v>
      </c>
      <c r="G209">
        <v>1357</v>
      </c>
      <c r="H209">
        <v>25104.5</v>
      </c>
      <c r="I209">
        <v>21275</v>
      </c>
    </row>
    <row r="210" spans="1:9">
      <c r="A210">
        <v>606</v>
      </c>
      <c r="B210">
        <v>606</v>
      </c>
      <c r="C210" t="s">
        <v>3170</v>
      </c>
      <c r="E210">
        <v>1</v>
      </c>
      <c r="F210">
        <v>3</v>
      </c>
      <c r="G210">
        <v>315</v>
      </c>
      <c r="H210">
        <v>945</v>
      </c>
      <c r="I210">
        <v>800.84745762711873</v>
      </c>
    </row>
    <row r="211" spans="1:9">
      <c r="A211">
        <v>607</v>
      </c>
      <c r="B211">
        <v>607</v>
      </c>
      <c r="C211" t="s">
        <v>3171</v>
      </c>
      <c r="E211">
        <v>1</v>
      </c>
      <c r="F211">
        <v>5</v>
      </c>
      <c r="G211">
        <v>540</v>
      </c>
      <c r="H211">
        <v>2700</v>
      </c>
      <c r="I211">
        <v>2288.1355932203392</v>
      </c>
    </row>
    <row r="212" spans="1:9">
      <c r="A212">
        <v>608</v>
      </c>
      <c r="B212">
        <v>608</v>
      </c>
      <c r="C212" t="s">
        <v>3172</v>
      </c>
      <c r="E212">
        <v>1</v>
      </c>
      <c r="F212">
        <v>10</v>
      </c>
      <c r="G212">
        <v>400</v>
      </c>
      <c r="H212">
        <v>4000</v>
      </c>
      <c r="I212">
        <v>3389.8305084745766</v>
      </c>
    </row>
    <row r="213" spans="1:9">
      <c r="A213">
        <v>613</v>
      </c>
      <c r="B213">
        <v>613</v>
      </c>
      <c r="C213" t="s">
        <v>3173</v>
      </c>
      <c r="E213">
        <v>1</v>
      </c>
      <c r="F213">
        <v>3</v>
      </c>
      <c r="G213">
        <v>7400</v>
      </c>
      <c r="H213">
        <v>22200</v>
      </c>
      <c r="I213">
        <v>18813.5593220339</v>
      </c>
    </row>
    <row r="214" spans="1:9">
      <c r="A214">
        <v>618</v>
      </c>
      <c r="B214">
        <v>618</v>
      </c>
      <c r="C214" t="s">
        <v>3174</v>
      </c>
      <c r="E214">
        <v>1</v>
      </c>
      <c r="F214">
        <v>2</v>
      </c>
      <c r="G214">
        <v>230</v>
      </c>
      <c r="H214">
        <v>460</v>
      </c>
      <c r="I214">
        <v>389.83050847457628</v>
      </c>
    </row>
    <row r="215" spans="1:9">
      <c r="A215">
        <v>630</v>
      </c>
      <c r="B215">
        <v>630</v>
      </c>
      <c r="C215" t="s">
        <v>3175</v>
      </c>
      <c r="E215">
        <v>1</v>
      </c>
      <c r="F215">
        <v>77</v>
      </c>
      <c r="G215">
        <v>500</v>
      </c>
      <c r="H215">
        <v>38500</v>
      </c>
      <c r="I215">
        <v>32627.118644067799</v>
      </c>
    </row>
    <row r="216" spans="1:9">
      <c r="A216">
        <v>632</v>
      </c>
      <c r="B216">
        <v>632</v>
      </c>
      <c r="C216" t="s">
        <v>3176</v>
      </c>
      <c r="E216">
        <v>1</v>
      </c>
      <c r="F216">
        <v>9</v>
      </c>
      <c r="G216">
        <v>125</v>
      </c>
      <c r="H216">
        <v>1125</v>
      </c>
      <c r="I216">
        <v>953.38983050847457</v>
      </c>
    </row>
    <row r="217" spans="1:9">
      <c r="A217">
        <v>643</v>
      </c>
      <c r="B217">
        <v>643</v>
      </c>
      <c r="C217" t="s">
        <v>3177</v>
      </c>
      <c r="E217">
        <v>1</v>
      </c>
      <c r="F217">
        <v>4</v>
      </c>
      <c r="G217">
        <v>560</v>
      </c>
      <c r="H217">
        <v>2240</v>
      </c>
      <c r="I217">
        <v>1898.3050847457628</v>
      </c>
    </row>
    <row r="218" spans="1:9">
      <c r="A218">
        <v>648</v>
      </c>
      <c r="B218">
        <v>648</v>
      </c>
      <c r="C218" t="s">
        <v>3178</v>
      </c>
      <c r="E218">
        <v>1</v>
      </c>
      <c r="F218">
        <v>11</v>
      </c>
      <c r="G218">
        <v>164.61</v>
      </c>
      <c r="H218">
        <v>1810.71</v>
      </c>
      <c r="I218">
        <v>1534.5</v>
      </c>
    </row>
    <row r="219" spans="1:9">
      <c r="A219">
        <v>652</v>
      </c>
      <c r="B219">
        <v>652</v>
      </c>
      <c r="C219" t="s">
        <v>3179</v>
      </c>
      <c r="E219">
        <v>1</v>
      </c>
      <c r="F219">
        <v>1</v>
      </c>
      <c r="G219">
        <v>2600</v>
      </c>
      <c r="H219">
        <v>2600</v>
      </c>
      <c r="I219">
        <v>2203.3898305084749</v>
      </c>
    </row>
    <row r="220" spans="1:9">
      <c r="A220">
        <v>654</v>
      </c>
      <c r="B220">
        <v>654</v>
      </c>
      <c r="C220" t="s">
        <v>3180</v>
      </c>
      <c r="E220">
        <v>1</v>
      </c>
      <c r="F220">
        <v>15</v>
      </c>
      <c r="G220">
        <v>169.49</v>
      </c>
      <c r="H220">
        <v>2542.35</v>
      </c>
      <c r="I220">
        <v>2154.5338983050847</v>
      </c>
    </row>
    <row r="221" spans="1:9">
      <c r="A221">
        <v>666</v>
      </c>
      <c r="B221">
        <v>666</v>
      </c>
      <c r="C221" t="s">
        <v>3181</v>
      </c>
      <c r="E221">
        <v>1</v>
      </c>
      <c r="F221">
        <v>972</v>
      </c>
      <c r="G221">
        <v>600</v>
      </c>
      <c r="H221">
        <v>583200</v>
      </c>
      <c r="I221">
        <v>494237.28813559323</v>
      </c>
    </row>
    <row r="222" spans="1:9">
      <c r="A222">
        <v>668</v>
      </c>
      <c r="B222">
        <v>668</v>
      </c>
      <c r="C222" t="s">
        <v>3182</v>
      </c>
      <c r="E222">
        <v>1</v>
      </c>
      <c r="F222">
        <v>1</v>
      </c>
      <c r="G222">
        <v>578.20000000000005</v>
      </c>
      <c r="H222">
        <v>578.20000000000005</v>
      </c>
      <c r="I222">
        <v>490.00000000000006</v>
      </c>
    </row>
    <row r="223" spans="1:9">
      <c r="A223">
        <v>671</v>
      </c>
      <c r="B223">
        <v>671</v>
      </c>
      <c r="C223" t="s">
        <v>3183</v>
      </c>
      <c r="E223">
        <v>1</v>
      </c>
      <c r="F223">
        <v>21</v>
      </c>
      <c r="G223">
        <v>2749</v>
      </c>
      <c r="H223">
        <v>57729</v>
      </c>
      <c r="I223">
        <v>48922.881355932208</v>
      </c>
    </row>
    <row r="224" spans="1:9">
      <c r="A224">
        <v>673</v>
      </c>
      <c r="B224">
        <v>673</v>
      </c>
      <c r="C224" t="s">
        <v>3184</v>
      </c>
      <c r="E224">
        <v>1</v>
      </c>
      <c r="F224">
        <v>53</v>
      </c>
      <c r="G224">
        <v>255</v>
      </c>
      <c r="H224">
        <v>13515</v>
      </c>
      <c r="I224">
        <v>11453.389830508475</v>
      </c>
    </row>
    <row r="225" spans="1:9">
      <c r="A225">
        <v>676</v>
      </c>
      <c r="B225">
        <v>676</v>
      </c>
      <c r="C225" t="s">
        <v>3185</v>
      </c>
      <c r="E225">
        <v>1</v>
      </c>
      <c r="F225">
        <v>28</v>
      </c>
      <c r="G225">
        <v>13</v>
      </c>
      <c r="H225">
        <v>364</v>
      </c>
      <c r="I225">
        <v>308.47457627118644</v>
      </c>
    </row>
    <row r="226" spans="1:9">
      <c r="A226">
        <v>677</v>
      </c>
      <c r="B226">
        <v>677</v>
      </c>
      <c r="C226" t="s">
        <v>3186</v>
      </c>
      <c r="E226">
        <v>1</v>
      </c>
      <c r="F226">
        <v>19</v>
      </c>
      <c r="G226">
        <v>265.5</v>
      </c>
      <c r="H226">
        <v>5044.5</v>
      </c>
      <c r="I226">
        <v>4275</v>
      </c>
    </row>
    <row r="227" spans="1:9">
      <c r="A227">
        <v>678</v>
      </c>
      <c r="B227">
        <v>678</v>
      </c>
      <c r="C227" t="s">
        <v>3187</v>
      </c>
      <c r="E227">
        <v>1</v>
      </c>
      <c r="F227">
        <v>20</v>
      </c>
      <c r="G227">
        <v>225</v>
      </c>
      <c r="H227">
        <v>4500</v>
      </c>
      <c r="I227">
        <v>3813.5593220338983</v>
      </c>
    </row>
    <row r="228" spans="1:9">
      <c r="A228">
        <v>679</v>
      </c>
      <c r="B228">
        <v>679</v>
      </c>
      <c r="C228" t="s">
        <v>3188</v>
      </c>
      <c r="E228">
        <v>1</v>
      </c>
      <c r="F228">
        <v>14</v>
      </c>
      <c r="G228">
        <v>200</v>
      </c>
      <c r="H228">
        <v>2800</v>
      </c>
      <c r="I228">
        <v>2372.8813559322034</v>
      </c>
    </row>
    <row r="229" spans="1:9">
      <c r="A229">
        <v>681</v>
      </c>
      <c r="B229">
        <v>681</v>
      </c>
      <c r="C229" t="s">
        <v>3189</v>
      </c>
      <c r="E229">
        <v>1</v>
      </c>
      <c r="F229">
        <v>10</v>
      </c>
      <c r="G229">
        <v>530</v>
      </c>
      <c r="H229">
        <v>5300</v>
      </c>
      <c r="I229">
        <v>4491.5254237288136</v>
      </c>
    </row>
    <row r="230" spans="1:9">
      <c r="A230">
        <v>683</v>
      </c>
      <c r="B230">
        <v>683</v>
      </c>
      <c r="C230" t="s">
        <v>3190</v>
      </c>
      <c r="E230">
        <v>1</v>
      </c>
      <c r="F230">
        <v>2</v>
      </c>
      <c r="G230">
        <v>1525.42</v>
      </c>
      <c r="H230">
        <v>3050.84</v>
      </c>
      <c r="I230">
        <v>2585.4576271186443</v>
      </c>
    </row>
    <row r="231" spans="1:9">
      <c r="A231">
        <v>686</v>
      </c>
      <c r="B231">
        <v>686</v>
      </c>
      <c r="C231" t="s">
        <v>3191</v>
      </c>
      <c r="E231">
        <v>1</v>
      </c>
      <c r="F231">
        <v>16</v>
      </c>
      <c r="G231">
        <v>306.8</v>
      </c>
      <c r="H231">
        <v>4908.8</v>
      </c>
      <c r="I231">
        <v>4160</v>
      </c>
    </row>
    <row r="232" spans="1:9">
      <c r="A232">
        <v>689</v>
      </c>
      <c r="B232">
        <v>689</v>
      </c>
      <c r="C232" t="s">
        <v>3192</v>
      </c>
      <c r="E232">
        <v>1</v>
      </c>
      <c r="F232">
        <v>58</v>
      </c>
      <c r="G232">
        <v>59</v>
      </c>
      <c r="H232">
        <v>3422</v>
      </c>
      <c r="I232">
        <v>2900</v>
      </c>
    </row>
    <row r="233" spans="1:9">
      <c r="A233">
        <v>690</v>
      </c>
      <c r="B233">
        <v>690</v>
      </c>
      <c r="C233" t="s">
        <v>3193</v>
      </c>
      <c r="E233">
        <v>1</v>
      </c>
      <c r="F233">
        <v>6</v>
      </c>
      <c r="G233">
        <v>125</v>
      </c>
      <c r="H233">
        <v>750</v>
      </c>
      <c r="I233">
        <v>635.59322033898309</v>
      </c>
    </row>
    <row r="234" spans="1:9">
      <c r="A234">
        <v>691</v>
      </c>
      <c r="B234">
        <v>691</v>
      </c>
      <c r="C234" t="s">
        <v>3194</v>
      </c>
      <c r="E234">
        <v>1</v>
      </c>
      <c r="F234">
        <v>2</v>
      </c>
      <c r="G234">
        <v>500</v>
      </c>
      <c r="H234">
        <v>1000</v>
      </c>
      <c r="I234">
        <v>847.45762711864415</v>
      </c>
    </row>
    <row r="235" spans="1:9">
      <c r="A235">
        <v>692</v>
      </c>
      <c r="B235">
        <v>692</v>
      </c>
      <c r="C235" t="s">
        <v>3195</v>
      </c>
      <c r="E235">
        <v>1</v>
      </c>
      <c r="F235">
        <v>25</v>
      </c>
      <c r="G235">
        <v>60</v>
      </c>
      <c r="H235">
        <v>1500</v>
      </c>
      <c r="I235">
        <v>1271.1864406779662</v>
      </c>
    </row>
    <row r="236" spans="1:9">
      <c r="A236">
        <v>693</v>
      </c>
      <c r="B236">
        <v>693</v>
      </c>
      <c r="C236" t="s">
        <v>3196</v>
      </c>
      <c r="E236">
        <v>1</v>
      </c>
      <c r="F236">
        <v>12</v>
      </c>
      <c r="G236">
        <v>213</v>
      </c>
      <c r="H236">
        <v>2556</v>
      </c>
      <c r="I236">
        <v>2166.1016949152545</v>
      </c>
    </row>
    <row r="237" spans="1:9">
      <c r="A237">
        <v>694</v>
      </c>
      <c r="B237">
        <v>694</v>
      </c>
      <c r="C237" t="s">
        <v>3197</v>
      </c>
      <c r="E237">
        <v>1</v>
      </c>
      <c r="F237">
        <v>6</v>
      </c>
      <c r="G237">
        <v>85</v>
      </c>
      <c r="H237">
        <v>510</v>
      </c>
      <c r="I237">
        <v>432.20338983050851</v>
      </c>
    </row>
    <row r="238" spans="1:9">
      <c r="A238">
        <v>695</v>
      </c>
      <c r="B238">
        <v>695</v>
      </c>
      <c r="C238" t="s">
        <v>3198</v>
      </c>
      <c r="E238">
        <v>1</v>
      </c>
      <c r="F238">
        <v>10</v>
      </c>
      <c r="G238">
        <v>30</v>
      </c>
      <c r="H238">
        <v>300</v>
      </c>
      <c r="I238">
        <v>254.23728813559325</v>
      </c>
    </row>
    <row r="239" spans="1:9">
      <c r="A239">
        <v>701</v>
      </c>
      <c r="B239">
        <v>701</v>
      </c>
      <c r="C239" t="s">
        <v>3199</v>
      </c>
      <c r="E239">
        <v>1</v>
      </c>
      <c r="F239">
        <v>77</v>
      </c>
      <c r="G239">
        <v>110.44</v>
      </c>
      <c r="H239">
        <v>8503.8799999999992</v>
      </c>
      <c r="I239">
        <v>7206.6779661016944</v>
      </c>
    </row>
    <row r="240" spans="1:9">
      <c r="A240">
        <v>702</v>
      </c>
      <c r="B240">
        <v>702</v>
      </c>
      <c r="C240" t="s">
        <v>3200</v>
      </c>
      <c r="E240">
        <v>1</v>
      </c>
      <c r="F240">
        <v>55</v>
      </c>
      <c r="G240">
        <v>152.54</v>
      </c>
      <c r="H240">
        <v>8389.7000000000007</v>
      </c>
      <c r="I240">
        <v>7109.9152542372894</v>
      </c>
    </row>
    <row r="241" spans="1:9">
      <c r="A241">
        <v>705</v>
      </c>
      <c r="B241">
        <v>705</v>
      </c>
      <c r="C241" t="s">
        <v>3201</v>
      </c>
      <c r="E241">
        <v>1</v>
      </c>
      <c r="F241">
        <v>2</v>
      </c>
      <c r="G241">
        <v>428</v>
      </c>
      <c r="H241">
        <v>856</v>
      </c>
      <c r="I241">
        <v>725.42372881355936</v>
      </c>
    </row>
    <row r="242" spans="1:9">
      <c r="A242">
        <v>709</v>
      </c>
      <c r="B242">
        <v>709</v>
      </c>
      <c r="C242" t="s">
        <v>3202</v>
      </c>
      <c r="E242">
        <v>1</v>
      </c>
      <c r="F242">
        <v>3</v>
      </c>
      <c r="G242">
        <v>84.73</v>
      </c>
      <c r="H242">
        <v>254.19</v>
      </c>
      <c r="I242">
        <v>215.41525423728814</v>
      </c>
    </row>
    <row r="243" spans="1:9">
      <c r="A243">
        <v>710</v>
      </c>
      <c r="B243">
        <v>710</v>
      </c>
      <c r="C243" t="s">
        <v>3203</v>
      </c>
      <c r="E243">
        <v>1</v>
      </c>
      <c r="F243">
        <v>72</v>
      </c>
      <c r="G243">
        <v>112.09</v>
      </c>
      <c r="H243">
        <v>8070.61</v>
      </c>
      <c r="I243">
        <v>6839.5</v>
      </c>
    </row>
    <row r="244" spans="1:9">
      <c r="A244">
        <v>711</v>
      </c>
      <c r="B244">
        <v>711</v>
      </c>
      <c r="C244" t="s">
        <v>3204</v>
      </c>
      <c r="E244">
        <v>1</v>
      </c>
      <c r="F244">
        <v>5</v>
      </c>
      <c r="G244">
        <v>135</v>
      </c>
      <c r="H244">
        <v>675</v>
      </c>
      <c r="I244">
        <v>572.03389830508479</v>
      </c>
    </row>
    <row r="245" spans="1:9">
      <c r="A245">
        <v>712</v>
      </c>
      <c r="B245">
        <v>712</v>
      </c>
      <c r="C245" t="s">
        <v>3205</v>
      </c>
      <c r="E245">
        <v>1</v>
      </c>
      <c r="F245">
        <v>12</v>
      </c>
      <c r="G245">
        <v>100</v>
      </c>
      <c r="H245">
        <v>1200</v>
      </c>
      <c r="I245">
        <v>1016.949152542373</v>
      </c>
    </row>
    <row r="246" spans="1:9">
      <c r="A246">
        <v>714</v>
      </c>
      <c r="B246">
        <v>714</v>
      </c>
      <c r="C246" t="s">
        <v>3206</v>
      </c>
      <c r="E246">
        <v>1</v>
      </c>
      <c r="F246">
        <v>4</v>
      </c>
      <c r="G246">
        <v>2000</v>
      </c>
      <c r="H246">
        <v>8000</v>
      </c>
      <c r="I246">
        <v>6779.6610169491532</v>
      </c>
    </row>
    <row r="247" spans="1:9">
      <c r="A247">
        <v>715</v>
      </c>
      <c r="B247">
        <v>715</v>
      </c>
      <c r="C247" t="s">
        <v>3207</v>
      </c>
      <c r="E247">
        <v>1</v>
      </c>
      <c r="F247">
        <v>12</v>
      </c>
      <c r="G247">
        <v>33.89</v>
      </c>
      <c r="H247">
        <v>406.68</v>
      </c>
      <c r="I247">
        <v>344.64406779661022</v>
      </c>
    </row>
    <row r="248" spans="1:9">
      <c r="A248">
        <v>718</v>
      </c>
      <c r="B248">
        <v>718</v>
      </c>
      <c r="C248" t="s">
        <v>3208</v>
      </c>
      <c r="E248">
        <v>1</v>
      </c>
      <c r="F248">
        <v>7</v>
      </c>
      <c r="G248">
        <v>338.13</v>
      </c>
      <c r="H248">
        <v>2366.9</v>
      </c>
      <c r="I248">
        <v>2005.8474576271187</v>
      </c>
    </row>
    <row r="249" spans="1:9">
      <c r="A249">
        <v>726</v>
      </c>
      <c r="B249">
        <v>726</v>
      </c>
      <c r="C249" t="s">
        <v>3209</v>
      </c>
      <c r="E249">
        <v>1</v>
      </c>
      <c r="F249">
        <v>10</v>
      </c>
      <c r="G249">
        <v>775</v>
      </c>
      <c r="H249">
        <v>7750</v>
      </c>
      <c r="I249">
        <v>6567.7966101694919</v>
      </c>
    </row>
    <row r="250" spans="1:9">
      <c r="A250">
        <v>729</v>
      </c>
      <c r="B250">
        <v>729</v>
      </c>
      <c r="C250" t="s">
        <v>3210</v>
      </c>
      <c r="E250">
        <v>1</v>
      </c>
      <c r="F250">
        <v>5</v>
      </c>
      <c r="G250">
        <v>127.12</v>
      </c>
      <c r="H250">
        <v>635.6</v>
      </c>
      <c r="I250">
        <v>538.64406779661022</v>
      </c>
    </row>
    <row r="251" spans="1:9">
      <c r="A251">
        <v>730</v>
      </c>
      <c r="B251">
        <v>730</v>
      </c>
      <c r="C251" t="s">
        <v>3211</v>
      </c>
      <c r="E251">
        <v>1</v>
      </c>
      <c r="F251">
        <v>3</v>
      </c>
      <c r="G251">
        <v>101.69</v>
      </c>
      <c r="H251">
        <v>305.07</v>
      </c>
      <c r="I251">
        <v>258.53389830508473</v>
      </c>
    </row>
    <row r="252" spans="1:9">
      <c r="A252">
        <v>738</v>
      </c>
      <c r="B252">
        <v>738</v>
      </c>
      <c r="C252" t="s">
        <v>3212</v>
      </c>
      <c r="E252">
        <v>1</v>
      </c>
      <c r="F252">
        <v>4</v>
      </c>
      <c r="G252">
        <v>114.41</v>
      </c>
      <c r="H252">
        <v>457.64</v>
      </c>
      <c r="I252">
        <v>387.83050847457628</v>
      </c>
    </row>
    <row r="253" spans="1:9">
      <c r="A253">
        <v>739</v>
      </c>
      <c r="B253">
        <v>739</v>
      </c>
      <c r="C253" t="s">
        <v>3213</v>
      </c>
      <c r="E253">
        <v>1</v>
      </c>
      <c r="F253">
        <v>7</v>
      </c>
      <c r="G253">
        <v>63.56</v>
      </c>
      <c r="H253">
        <v>444.92</v>
      </c>
      <c r="I253">
        <v>377.05084745762713</v>
      </c>
    </row>
    <row r="254" spans="1:9">
      <c r="A254">
        <v>741</v>
      </c>
      <c r="B254">
        <v>741</v>
      </c>
      <c r="C254" t="s">
        <v>3214</v>
      </c>
      <c r="E254">
        <v>1</v>
      </c>
      <c r="F254">
        <v>56</v>
      </c>
      <c r="G254">
        <v>125</v>
      </c>
      <c r="H254">
        <v>7000</v>
      </c>
      <c r="I254">
        <v>5932.203389830509</v>
      </c>
    </row>
    <row r="255" spans="1:9">
      <c r="A255">
        <v>742</v>
      </c>
      <c r="B255">
        <v>742</v>
      </c>
      <c r="C255" t="s">
        <v>3215</v>
      </c>
      <c r="E255">
        <v>1</v>
      </c>
      <c r="F255">
        <v>3</v>
      </c>
      <c r="G255">
        <v>1180</v>
      </c>
      <c r="H255">
        <v>3540</v>
      </c>
      <c r="I255">
        <v>3000</v>
      </c>
    </row>
    <row r="256" spans="1:9">
      <c r="A256">
        <v>751</v>
      </c>
      <c r="B256">
        <v>751</v>
      </c>
      <c r="C256" t="s">
        <v>3216</v>
      </c>
      <c r="E256">
        <v>1</v>
      </c>
      <c r="F256">
        <v>14</v>
      </c>
      <c r="G256">
        <v>80.5</v>
      </c>
      <c r="H256">
        <v>1127</v>
      </c>
      <c r="I256">
        <v>955.08474576271192</v>
      </c>
    </row>
    <row r="257" spans="1:9">
      <c r="A257">
        <v>755</v>
      </c>
      <c r="B257">
        <v>755</v>
      </c>
      <c r="C257" t="s">
        <v>3217</v>
      </c>
      <c r="E257">
        <v>1</v>
      </c>
      <c r="F257">
        <v>20</v>
      </c>
      <c r="G257">
        <v>33.9</v>
      </c>
      <c r="H257">
        <v>678</v>
      </c>
      <c r="I257">
        <v>574.57627118644075</v>
      </c>
    </row>
    <row r="258" spans="1:9">
      <c r="A258">
        <v>766</v>
      </c>
      <c r="B258">
        <v>766</v>
      </c>
      <c r="C258" t="s">
        <v>3218</v>
      </c>
      <c r="E258">
        <v>1</v>
      </c>
      <c r="F258">
        <v>9</v>
      </c>
      <c r="G258">
        <v>500</v>
      </c>
      <c r="H258">
        <v>4500</v>
      </c>
      <c r="I258">
        <v>3813.5593220338983</v>
      </c>
    </row>
    <row r="259" spans="1:9">
      <c r="A259">
        <v>774</v>
      </c>
      <c r="B259">
        <v>774</v>
      </c>
      <c r="C259" t="s">
        <v>3219</v>
      </c>
      <c r="E259">
        <v>1</v>
      </c>
      <c r="F259">
        <v>4</v>
      </c>
      <c r="G259">
        <v>211.86</v>
      </c>
      <c r="H259">
        <v>847.44</v>
      </c>
      <c r="I259">
        <v>718.16949152542384</v>
      </c>
    </row>
    <row r="260" spans="1:9">
      <c r="A260">
        <v>775</v>
      </c>
      <c r="B260">
        <v>775</v>
      </c>
      <c r="C260" t="s">
        <v>3220</v>
      </c>
      <c r="E260">
        <v>1</v>
      </c>
      <c r="F260">
        <v>3</v>
      </c>
      <c r="G260">
        <v>220.34</v>
      </c>
      <c r="H260">
        <v>661.02</v>
      </c>
      <c r="I260">
        <v>560.18644067796606</v>
      </c>
    </row>
    <row r="261" spans="1:9">
      <c r="A261">
        <v>780</v>
      </c>
      <c r="B261">
        <v>780</v>
      </c>
      <c r="C261" t="s">
        <v>3221</v>
      </c>
      <c r="E261">
        <v>1</v>
      </c>
      <c r="F261">
        <v>13</v>
      </c>
      <c r="G261">
        <v>100</v>
      </c>
      <c r="H261">
        <v>1300</v>
      </c>
      <c r="I261">
        <v>1101.6949152542375</v>
      </c>
    </row>
    <row r="262" spans="1:9">
      <c r="A262">
        <v>781</v>
      </c>
      <c r="B262">
        <v>781</v>
      </c>
      <c r="C262" t="s">
        <v>3222</v>
      </c>
      <c r="E262">
        <v>1</v>
      </c>
      <c r="F262">
        <v>13</v>
      </c>
      <c r="G262">
        <v>100</v>
      </c>
      <c r="H262">
        <v>1300</v>
      </c>
      <c r="I262">
        <v>1101.6949152542375</v>
      </c>
    </row>
    <row r="263" spans="1:9">
      <c r="A263">
        <v>782</v>
      </c>
      <c r="B263">
        <v>782</v>
      </c>
      <c r="C263" t="s">
        <v>3223</v>
      </c>
      <c r="E263">
        <v>1</v>
      </c>
      <c r="F263">
        <v>2</v>
      </c>
      <c r="G263">
        <v>63.56</v>
      </c>
      <c r="H263">
        <v>127.12</v>
      </c>
      <c r="I263">
        <v>107.72881355932205</v>
      </c>
    </row>
    <row r="264" spans="1:9">
      <c r="A264">
        <v>783</v>
      </c>
      <c r="B264">
        <v>783</v>
      </c>
      <c r="C264" t="s">
        <v>3224</v>
      </c>
      <c r="E264">
        <v>1</v>
      </c>
      <c r="F264">
        <v>2</v>
      </c>
      <c r="G264">
        <v>105.93</v>
      </c>
      <c r="H264">
        <v>211.86</v>
      </c>
      <c r="I264">
        <v>179.54237288135596</v>
      </c>
    </row>
    <row r="265" spans="1:9">
      <c r="A265">
        <v>784</v>
      </c>
      <c r="B265">
        <v>784</v>
      </c>
      <c r="C265" t="s">
        <v>3225</v>
      </c>
      <c r="E265">
        <v>1</v>
      </c>
      <c r="F265">
        <v>4</v>
      </c>
      <c r="G265">
        <v>65</v>
      </c>
      <c r="H265">
        <v>260</v>
      </c>
      <c r="I265">
        <v>220.33898305084747</v>
      </c>
    </row>
    <row r="266" spans="1:9">
      <c r="A266">
        <v>785</v>
      </c>
      <c r="B266">
        <v>785</v>
      </c>
      <c r="C266" t="s">
        <v>3226</v>
      </c>
      <c r="E266">
        <v>1</v>
      </c>
      <c r="F266">
        <v>3</v>
      </c>
      <c r="G266">
        <v>80</v>
      </c>
      <c r="H266">
        <v>240</v>
      </c>
      <c r="I266">
        <v>203.38983050847457</v>
      </c>
    </row>
    <row r="267" spans="1:9">
      <c r="A267">
        <v>787</v>
      </c>
      <c r="B267">
        <v>787</v>
      </c>
      <c r="C267" t="s">
        <v>3227</v>
      </c>
      <c r="E267">
        <v>1</v>
      </c>
      <c r="F267">
        <v>6</v>
      </c>
      <c r="G267">
        <v>130</v>
      </c>
      <c r="H267">
        <v>780</v>
      </c>
      <c r="I267">
        <v>661.01694915254245</v>
      </c>
    </row>
    <row r="268" spans="1:9">
      <c r="A268">
        <v>788</v>
      </c>
      <c r="B268">
        <v>788</v>
      </c>
      <c r="C268" t="s">
        <v>3228</v>
      </c>
      <c r="E268">
        <v>1</v>
      </c>
      <c r="F268">
        <v>8</v>
      </c>
      <c r="G268">
        <v>340</v>
      </c>
      <c r="H268">
        <v>2720</v>
      </c>
      <c r="I268">
        <v>2305.0847457627119</v>
      </c>
    </row>
    <row r="269" spans="1:9">
      <c r="A269">
        <v>789</v>
      </c>
      <c r="B269">
        <v>789</v>
      </c>
      <c r="C269" t="s">
        <v>3229</v>
      </c>
      <c r="E269">
        <v>1</v>
      </c>
      <c r="F269">
        <v>2</v>
      </c>
      <c r="G269">
        <v>180</v>
      </c>
      <c r="H269">
        <v>360</v>
      </c>
      <c r="I269">
        <v>305.08474576271186</v>
      </c>
    </row>
    <row r="270" spans="1:9">
      <c r="A270">
        <v>792</v>
      </c>
      <c r="B270">
        <v>792</v>
      </c>
      <c r="C270" t="s">
        <v>3230</v>
      </c>
      <c r="E270">
        <v>1</v>
      </c>
      <c r="F270">
        <v>2</v>
      </c>
      <c r="G270">
        <v>100</v>
      </c>
      <c r="H270">
        <v>200</v>
      </c>
      <c r="I270">
        <v>169.49152542372883</v>
      </c>
    </row>
    <row r="271" spans="1:9">
      <c r="A271">
        <v>796</v>
      </c>
      <c r="B271">
        <v>796</v>
      </c>
      <c r="C271" t="s">
        <v>3231</v>
      </c>
      <c r="E271">
        <v>1</v>
      </c>
      <c r="F271">
        <v>1</v>
      </c>
      <c r="G271">
        <v>700</v>
      </c>
      <c r="H271">
        <v>700</v>
      </c>
      <c r="I271">
        <v>593.22033898305085</v>
      </c>
    </row>
    <row r="272" spans="1:9">
      <c r="A272">
        <v>803</v>
      </c>
      <c r="B272">
        <v>803</v>
      </c>
      <c r="C272" t="s">
        <v>3232</v>
      </c>
      <c r="E272">
        <v>1</v>
      </c>
      <c r="F272">
        <v>2</v>
      </c>
      <c r="G272">
        <v>120</v>
      </c>
      <c r="H272">
        <v>240</v>
      </c>
      <c r="I272">
        <v>203.38983050847457</v>
      </c>
    </row>
    <row r="273" spans="1:9">
      <c r="A273">
        <v>804</v>
      </c>
      <c r="B273">
        <v>804</v>
      </c>
      <c r="C273" t="s">
        <v>3233</v>
      </c>
      <c r="E273">
        <v>1</v>
      </c>
      <c r="F273">
        <v>1</v>
      </c>
      <c r="G273">
        <v>180</v>
      </c>
      <c r="H273">
        <v>180</v>
      </c>
      <c r="I273">
        <v>152.54237288135593</v>
      </c>
    </row>
    <row r="274" spans="1:9">
      <c r="A274">
        <v>805</v>
      </c>
      <c r="B274">
        <v>805</v>
      </c>
      <c r="C274" t="s">
        <v>3234</v>
      </c>
      <c r="E274">
        <v>1</v>
      </c>
      <c r="F274">
        <v>8</v>
      </c>
      <c r="G274">
        <v>7938</v>
      </c>
      <c r="H274">
        <v>63504</v>
      </c>
      <c r="I274">
        <v>53816.949152542373</v>
      </c>
    </row>
    <row r="275" spans="1:9">
      <c r="A275">
        <v>806</v>
      </c>
      <c r="B275">
        <v>806</v>
      </c>
      <c r="C275" t="s">
        <v>3235</v>
      </c>
      <c r="E275">
        <v>1</v>
      </c>
      <c r="F275">
        <v>7</v>
      </c>
      <c r="G275">
        <v>15360</v>
      </c>
      <c r="H275">
        <v>107520</v>
      </c>
      <c r="I275">
        <v>91118.644067796617</v>
      </c>
    </row>
    <row r="276" spans="1:9">
      <c r="A276">
        <v>808</v>
      </c>
      <c r="B276">
        <v>808</v>
      </c>
      <c r="C276" t="s">
        <v>3236</v>
      </c>
      <c r="E276">
        <v>1</v>
      </c>
      <c r="F276">
        <v>5</v>
      </c>
      <c r="G276">
        <v>830</v>
      </c>
      <c r="H276">
        <v>4150</v>
      </c>
      <c r="I276">
        <v>3516.9491525423732</v>
      </c>
    </row>
    <row r="277" spans="1:9">
      <c r="A277">
        <v>810</v>
      </c>
      <c r="B277">
        <v>810</v>
      </c>
      <c r="C277" t="s">
        <v>3237</v>
      </c>
      <c r="E277">
        <v>1</v>
      </c>
      <c r="F277">
        <v>1</v>
      </c>
      <c r="G277">
        <v>460.2</v>
      </c>
      <c r="H277">
        <v>460.2</v>
      </c>
      <c r="I277">
        <v>390</v>
      </c>
    </row>
    <row r="278" spans="1:9">
      <c r="A278">
        <v>824</v>
      </c>
      <c r="B278">
        <v>824</v>
      </c>
      <c r="C278" t="s">
        <v>3238</v>
      </c>
      <c r="E278">
        <v>6</v>
      </c>
      <c r="F278">
        <v>12</v>
      </c>
      <c r="G278">
        <v>3068</v>
      </c>
      <c r="H278">
        <v>36816</v>
      </c>
      <c r="I278">
        <v>31200</v>
      </c>
    </row>
    <row r="279" spans="1:9">
      <c r="A279">
        <v>827</v>
      </c>
      <c r="B279">
        <v>827</v>
      </c>
      <c r="C279" t="s">
        <v>3239</v>
      </c>
      <c r="E279">
        <v>6</v>
      </c>
      <c r="F279">
        <v>31</v>
      </c>
      <c r="G279">
        <v>2323.42</v>
      </c>
      <c r="H279">
        <v>72026.02</v>
      </c>
      <c r="I279">
        <v>61039.000000000007</v>
      </c>
    </row>
    <row r="280" spans="1:9">
      <c r="A280">
        <v>830</v>
      </c>
      <c r="B280">
        <v>830</v>
      </c>
      <c r="C280" t="s">
        <v>3240</v>
      </c>
      <c r="E280">
        <v>1</v>
      </c>
      <c r="F280">
        <v>85</v>
      </c>
      <c r="G280">
        <v>120</v>
      </c>
      <c r="H280">
        <v>10200</v>
      </c>
      <c r="I280">
        <v>8644.0677966101703</v>
      </c>
    </row>
    <row r="281" spans="1:9">
      <c r="A281">
        <v>856</v>
      </c>
      <c r="B281">
        <v>856</v>
      </c>
      <c r="C281" t="s">
        <v>3241</v>
      </c>
      <c r="E281">
        <v>1</v>
      </c>
      <c r="F281">
        <v>13</v>
      </c>
      <c r="G281">
        <v>338.98</v>
      </c>
      <c r="H281">
        <v>4406.74</v>
      </c>
      <c r="I281">
        <v>3734.5254237288136</v>
      </c>
    </row>
    <row r="282" spans="1:9">
      <c r="A282">
        <v>863</v>
      </c>
      <c r="B282">
        <v>863</v>
      </c>
      <c r="C282" t="s">
        <v>3242</v>
      </c>
      <c r="E282">
        <v>1</v>
      </c>
      <c r="F282">
        <v>7</v>
      </c>
      <c r="G282">
        <v>847.46</v>
      </c>
      <c r="H282">
        <v>5932.22</v>
      </c>
      <c r="I282">
        <v>5027.3050847457635</v>
      </c>
    </row>
    <row r="283" spans="1:9">
      <c r="A283">
        <v>864</v>
      </c>
      <c r="B283">
        <v>864</v>
      </c>
      <c r="C283" t="s">
        <v>3243</v>
      </c>
      <c r="E283">
        <v>1</v>
      </c>
      <c r="F283">
        <v>4</v>
      </c>
      <c r="G283">
        <v>2500</v>
      </c>
      <c r="H283">
        <v>10000</v>
      </c>
      <c r="I283">
        <v>8474.5762711864409</v>
      </c>
    </row>
    <row r="284" spans="1:9">
      <c r="A284">
        <v>867</v>
      </c>
      <c r="B284">
        <v>867</v>
      </c>
      <c r="C284" t="s">
        <v>3244</v>
      </c>
      <c r="E284">
        <v>1</v>
      </c>
      <c r="F284">
        <v>20</v>
      </c>
      <c r="G284">
        <v>170</v>
      </c>
      <c r="H284">
        <v>3400</v>
      </c>
      <c r="I284">
        <v>2881.3559322033898</v>
      </c>
    </row>
    <row r="285" spans="1:9">
      <c r="A285">
        <v>868</v>
      </c>
      <c r="B285">
        <v>868</v>
      </c>
      <c r="C285" t="s">
        <v>3245</v>
      </c>
      <c r="E285">
        <v>1</v>
      </c>
      <c r="F285">
        <v>2</v>
      </c>
      <c r="G285">
        <v>1610.17</v>
      </c>
      <c r="H285">
        <v>3220.34</v>
      </c>
      <c r="I285">
        <v>2729.1016949152545</v>
      </c>
    </row>
    <row r="286" spans="1:9">
      <c r="A286">
        <v>872</v>
      </c>
      <c r="B286">
        <v>872</v>
      </c>
      <c r="C286" t="s">
        <v>3246</v>
      </c>
      <c r="E286">
        <v>1</v>
      </c>
      <c r="F286">
        <v>4</v>
      </c>
      <c r="G286">
        <v>5508.47</v>
      </c>
      <c r="H286">
        <v>22033.88</v>
      </c>
      <c r="I286">
        <v>18672.77966101695</v>
      </c>
    </row>
    <row r="287" spans="1:9">
      <c r="A287">
        <v>874</v>
      </c>
      <c r="B287">
        <v>874</v>
      </c>
      <c r="C287" t="s">
        <v>3247</v>
      </c>
      <c r="E287">
        <v>1</v>
      </c>
      <c r="F287">
        <v>1</v>
      </c>
      <c r="G287">
        <v>850</v>
      </c>
      <c r="H287">
        <v>850</v>
      </c>
      <c r="I287">
        <v>720.33898305084745</v>
      </c>
    </row>
    <row r="288" spans="1:9">
      <c r="A288">
        <v>875</v>
      </c>
      <c r="B288">
        <v>875</v>
      </c>
      <c r="C288" t="s">
        <v>3248</v>
      </c>
      <c r="E288">
        <v>1</v>
      </c>
      <c r="F288">
        <v>22</v>
      </c>
      <c r="G288">
        <v>107</v>
      </c>
      <c r="H288">
        <v>2354</v>
      </c>
      <c r="I288">
        <v>1994.9152542372883</v>
      </c>
    </row>
    <row r="289" spans="1:9">
      <c r="A289">
        <v>877</v>
      </c>
      <c r="B289">
        <v>877</v>
      </c>
      <c r="C289" t="s">
        <v>3249</v>
      </c>
      <c r="E289">
        <v>1</v>
      </c>
      <c r="F289">
        <v>10</v>
      </c>
      <c r="G289">
        <v>60</v>
      </c>
      <c r="H289">
        <v>600</v>
      </c>
      <c r="I289">
        <v>508.47457627118649</v>
      </c>
    </row>
    <row r="290" spans="1:9">
      <c r="A290">
        <v>878</v>
      </c>
      <c r="B290">
        <v>878</v>
      </c>
      <c r="C290" t="s">
        <v>3250</v>
      </c>
      <c r="E290">
        <v>1</v>
      </c>
      <c r="F290">
        <v>7</v>
      </c>
      <c r="G290">
        <v>70</v>
      </c>
      <c r="H290">
        <v>490</v>
      </c>
      <c r="I290">
        <v>415.25423728813564</v>
      </c>
    </row>
    <row r="291" spans="1:9">
      <c r="A291">
        <v>879</v>
      </c>
      <c r="B291">
        <v>879</v>
      </c>
      <c r="C291" t="s">
        <v>3251</v>
      </c>
      <c r="E291">
        <v>1</v>
      </c>
      <c r="F291">
        <v>16</v>
      </c>
      <c r="G291">
        <v>128</v>
      </c>
      <c r="H291">
        <v>2048</v>
      </c>
      <c r="I291">
        <v>1735.5932203389832</v>
      </c>
    </row>
    <row r="292" spans="1:9">
      <c r="A292">
        <v>880</v>
      </c>
      <c r="B292">
        <v>880</v>
      </c>
      <c r="C292" t="s">
        <v>3252</v>
      </c>
      <c r="E292">
        <v>1</v>
      </c>
      <c r="F292">
        <v>1</v>
      </c>
      <c r="G292">
        <v>100</v>
      </c>
      <c r="H292">
        <v>100</v>
      </c>
      <c r="I292">
        <v>84.745762711864415</v>
      </c>
    </row>
    <row r="293" spans="1:9">
      <c r="A293">
        <v>881</v>
      </c>
      <c r="B293">
        <v>881</v>
      </c>
      <c r="C293" t="s">
        <v>3253</v>
      </c>
      <c r="E293">
        <v>1</v>
      </c>
      <c r="F293">
        <v>12</v>
      </c>
      <c r="G293">
        <v>144</v>
      </c>
      <c r="H293">
        <v>1728</v>
      </c>
      <c r="I293">
        <v>1464.406779661017</v>
      </c>
    </row>
    <row r="294" spans="1:9">
      <c r="A294">
        <v>882</v>
      </c>
      <c r="B294">
        <v>882</v>
      </c>
      <c r="C294" t="s">
        <v>3254</v>
      </c>
      <c r="E294">
        <v>1</v>
      </c>
      <c r="F294">
        <v>10</v>
      </c>
      <c r="G294">
        <v>135</v>
      </c>
      <c r="H294">
        <v>1350</v>
      </c>
      <c r="I294">
        <v>1144.0677966101696</v>
      </c>
    </row>
    <row r="295" spans="1:9">
      <c r="A295">
        <v>883</v>
      </c>
      <c r="B295">
        <v>883</v>
      </c>
      <c r="C295" t="s">
        <v>3255</v>
      </c>
      <c r="E295">
        <v>1</v>
      </c>
      <c r="F295">
        <v>5</v>
      </c>
      <c r="G295">
        <v>100</v>
      </c>
      <c r="H295">
        <v>500</v>
      </c>
      <c r="I295">
        <v>423.72881355932208</v>
      </c>
    </row>
    <row r="296" spans="1:9">
      <c r="A296">
        <v>896</v>
      </c>
      <c r="B296">
        <v>896</v>
      </c>
      <c r="C296" t="s">
        <v>3256</v>
      </c>
      <c r="E296">
        <v>1</v>
      </c>
      <c r="F296">
        <v>89</v>
      </c>
      <c r="G296">
        <v>399</v>
      </c>
      <c r="H296">
        <v>35511</v>
      </c>
      <c r="I296">
        <v>30094.067796610172</v>
      </c>
    </row>
    <row r="297" spans="1:9">
      <c r="A297">
        <v>897</v>
      </c>
      <c r="B297">
        <v>897</v>
      </c>
      <c r="C297" t="s">
        <v>3257</v>
      </c>
      <c r="E297">
        <v>1</v>
      </c>
      <c r="F297">
        <v>22</v>
      </c>
      <c r="G297">
        <v>1200</v>
      </c>
      <c r="H297">
        <v>26400</v>
      </c>
      <c r="I297">
        <v>22372.881355932204</v>
      </c>
    </row>
    <row r="298" spans="1:9">
      <c r="A298">
        <v>898</v>
      </c>
      <c r="B298">
        <v>898</v>
      </c>
      <c r="C298" t="s">
        <v>3258</v>
      </c>
      <c r="E298">
        <v>1</v>
      </c>
      <c r="F298">
        <v>1</v>
      </c>
      <c r="G298">
        <v>48406.78</v>
      </c>
      <c r="H298">
        <v>48406.78</v>
      </c>
      <c r="I298">
        <v>41022.694915254237</v>
      </c>
    </row>
    <row r="299" spans="1:9">
      <c r="A299">
        <v>908</v>
      </c>
      <c r="B299">
        <v>908</v>
      </c>
      <c r="C299" t="s">
        <v>3259</v>
      </c>
      <c r="E299">
        <v>1</v>
      </c>
      <c r="F299">
        <v>5</v>
      </c>
      <c r="G299">
        <v>4930</v>
      </c>
      <c r="H299">
        <v>24650</v>
      </c>
      <c r="I299">
        <v>20889.830508474577</v>
      </c>
    </row>
    <row r="300" spans="1:9">
      <c r="A300">
        <v>911</v>
      </c>
      <c r="B300">
        <v>911</v>
      </c>
      <c r="C300" t="s">
        <v>3260</v>
      </c>
      <c r="E300">
        <v>1</v>
      </c>
      <c r="F300">
        <v>4</v>
      </c>
      <c r="G300">
        <v>211.89</v>
      </c>
      <c r="H300">
        <v>847.56</v>
      </c>
      <c r="I300">
        <v>718.27118644067798</v>
      </c>
    </row>
    <row r="301" spans="1:9">
      <c r="A301">
        <v>913</v>
      </c>
      <c r="B301">
        <v>913</v>
      </c>
      <c r="C301" t="s">
        <v>3261</v>
      </c>
      <c r="E301">
        <v>1</v>
      </c>
      <c r="F301">
        <v>8</v>
      </c>
      <c r="G301">
        <v>2250</v>
      </c>
      <c r="H301">
        <v>18000</v>
      </c>
      <c r="I301">
        <v>15254.237288135593</v>
      </c>
    </row>
    <row r="302" spans="1:9">
      <c r="A302">
        <v>914</v>
      </c>
      <c r="B302">
        <v>914</v>
      </c>
      <c r="C302" t="s">
        <v>3262</v>
      </c>
      <c r="E302">
        <v>1</v>
      </c>
      <c r="F302">
        <v>5</v>
      </c>
      <c r="G302">
        <v>1101.69</v>
      </c>
      <c r="H302">
        <v>5508.45</v>
      </c>
      <c r="I302">
        <v>4668.1779661016953</v>
      </c>
    </row>
    <row r="303" spans="1:9">
      <c r="A303">
        <v>917</v>
      </c>
      <c r="B303">
        <v>917</v>
      </c>
      <c r="C303" t="s">
        <v>3263</v>
      </c>
      <c r="E303">
        <v>1</v>
      </c>
      <c r="F303">
        <v>6</v>
      </c>
      <c r="G303">
        <v>900</v>
      </c>
      <c r="H303">
        <v>5400</v>
      </c>
      <c r="I303">
        <v>4576.2711864406783</v>
      </c>
    </row>
    <row r="304" spans="1:9">
      <c r="A304">
        <v>920</v>
      </c>
      <c r="B304">
        <v>920</v>
      </c>
      <c r="C304" t="s">
        <v>3264</v>
      </c>
      <c r="E304">
        <v>1</v>
      </c>
      <c r="F304">
        <v>4</v>
      </c>
      <c r="G304">
        <v>350</v>
      </c>
      <c r="H304">
        <v>1400</v>
      </c>
      <c r="I304">
        <v>1186.4406779661017</v>
      </c>
    </row>
    <row r="305" spans="1:9">
      <c r="A305">
        <v>922</v>
      </c>
      <c r="B305">
        <v>922</v>
      </c>
      <c r="C305" t="s">
        <v>3265</v>
      </c>
      <c r="E305">
        <v>1</v>
      </c>
      <c r="F305">
        <v>18</v>
      </c>
      <c r="G305">
        <v>90</v>
      </c>
      <c r="H305">
        <v>1620</v>
      </c>
      <c r="I305">
        <v>1372.8813559322034</v>
      </c>
    </row>
    <row r="306" spans="1:9">
      <c r="A306">
        <v>931</v>
      </c>
      <c r="B306">
        <v>931</v>
      </c>
      <c r="C306" t="s">
        <v>3266</v>
      </c>
      <c r="E306">
        <v>1</v>
      </c>
      <c r="F306">
        <v>49</v>
      </c>
      <c r="G306">
        <v>369</v>
      </c>
      <c r="H306">
        <v>18081</v>
      </c>
      <c r="I306">
        <v>15322.881355932204</v>
      </c>
    </row>
    <row r="307" spans="1:9">
      <c r="A307">
        <v>944</v>
      </c>
      <c r="B307">
        <v>944</v>
      </c>
      <c r="C307" t="s">
        <v>3267</v>
      </c>
      <c r="E307">
        <v>1</v>
      </c>
      <c r="F307">
        <v>3</v>
      </c>
      <c r="G307">
        <v>42922</v>
      </c>
      <c r="H307">
        <v>128766</v>
      </c>
      <c r="I307">
        <v>109123.72881355933</v>
      </c>
    </row>
    <row r="308" spans="1:9">
      <c r="A308">
        <v>945</v>
      </c>
      <c r="B308">
        <v>945</v>
      </c>
      <c r="C308" t="s">
        <v>3268</v>
      </c>
      <c r="E308">
        <v>1</v>
      </c>
      <c r="F308">
        <v>1</v>
      </c>
      <c r="G308">
        <v>58309</v>
      </c>
      <c r="H308">
        <v>58309</v>
      </c>
      <c r="I308">
        <v>49414.406779661018</v>
      </c>
    </row>
    <row r="309" spans="1:9">
      <c r="A309">
        <v>947</v>
      </c>
      <c r="B309">
        <v>947</v>
      </c>
      <c r="C309" t="s">
        <v>3269</v>
      </c>
      <c r="E309">
        <v>1</v>
      </c>
      <c r="F309">
        <v>2</v>
      </c>
      <c r="G309">
        <v>86086</v>
      </c>
      <c r="H309">
        <v>172172</v>
      </c>
      <c r="I309">
        <v>145908.4745762712</v>
      </c>
    </row>
    <row r="310" spans="1:9">
      <c r="A310">
        <v>948</v>
      </c>
      <c r="B310">
        <v>948</v>
      </c>
      <c r="C310" t="s">
        <v>3270</v>
      </c>
      <c r="E310">
        <v>1</v>
      </c>
      <c r="F310">
        <v>62</v>
      </c>
      <c r="G310">
        <v>1254</v>
      </c>
      <c r="H310">
        <v>77748</v>
      </c>
      <c r="I310">
        <v>65888.135593220344</v>
      </c>
    </row>
    <row r="311" spans="1:9">
      <c r="A311">
        <v>949</v>
      </c>
      <c r="B311">
        <v>949</v>
      </c>
      <c r="C311" t="s">
        <v>3271</v>
      </c>
      <c r="E311">
        <v>1</v>
      </c>
      <c r="F311">
        <v>275</v>
      </c>
      <c r="G311">
        <v>2377.1999999999998</v>
      </c>
      <c r="H311">
        <v>653730</v>
      </c>
      <c r="I311">
        <v>604008</v>
      </c>
    </row>
    <row r="312" spans="1:9">
      <c r="A312">
        <v>950</v>
      </c>
      <c r="B312">
        <v>950</v>
      </c>
      <c r="C312" t="s">
        <v>3272</v>
      </c>
      <c r="E312">
        <v>1</v>
      </c>
      <c r="F312">
        <v>91</v>
      </c>
      <c r="G312">
        <v>3720</v>
      </c>
      <c r="H312">
        <v>338520</v>
      </c>
      <c r="I312">
        <v>340500</v>
      </c>
    </row>
    <row r="313" spans="1:9">
      <c r="A313">
        <v>952</v>
      </c>
      <c r="B313">
        <v>952</v>
      </c>
      <c r="C313" t="s">
        <v>3273</v>
      </c>
      <c r="E313">
        <v>1</v>
      </c>
      <c r="F313">
        <v>31</v>
      </c>
      <c r="G313">
        <v>13116</v>
      </c>
      <c r="H313">
        <v>406596</v>
      </c>
      <c r="I313">
        <v>425000</v>
      </c>
    </row>
    <row r="314" spans="1:9">
      <c r="A314">
        <v>953</v>
      </c>
      <c r="B314">
        <v>953</v>
      </c>
      <c r="C314" t="s">
        <v>3274</v>
      </c>
      <c r="E314">
        <v>1</v>
      </c>
      <c r="F314">
        <v>2</v>
      </c>
      <c r="G314">
        <v>31990</v>
      </c>
      <c r="H314">
        <v>63980</v>
      </c>
      <c r="I314">
        <v>59893.15</v>
      </c>
    </row>
    <row r="315" spans="1:9">
      <c r="A315">
        <v>954</v>
      </c>
      <c r="B315">
        <v>954</v>
      </c>
      <c r="C315" t="s">
        <v>3275</v>
      </c>
      <c r="E315">
        <v>1</v>
      </c>
      <c r="F315">
        <v>18</v>
      </c>
      <c r="G315">
        <v>44632.27</v>
      </c>
      <c r="H315">
        <v>803380.86</v>
      </c>
      <c r="I315">
        <v>680831.23728813557</v>
      </c>
    </row>
    <row r="316" spans="1:9">
      <c r="A316">
        <v>955</v>
      </c>
      <c r="B316">
        <v>955</v>
      </c>
      <c r="C316" t="s">
        <v>3276</v>
      </c>
      <c r="E316">
        <v>1</v>
      </c>
      <c r="F316">
        <v>2</v>
      </c>
      <c r="G316">
        <v>75067</v>
      </c>
      <c r="H316">
        <v>150134</v>
      </c>
      <c r="I316">
        <v>127232.20338983051</v>
      </c>
    </row>
    <row r="317" spans="1:9">
      <c r="A317">
        <v>957</v>
      </c>
      <c r="B317">
        <v>957</v>
      </c>
      <c r="C317" t="s">
        <v>3277</v>
      </c>
      <c r="E317">
        <v>1</v>
      </c>
      <c r="F317">
        <v>1</v>
      </c>
      <c r="G317">
        <v>6310</v>
      </c>
      <c r="H317">
        <v>6310</v>
      </c>
      <c r="I317">
        <v>5347.4576271186443</v>
      </c>
    </row>
    <row r="318" spans="1:9">
      <c r="A318">
        <v>959</v>
      </c>
      <c r="B318">
        <v>959</v>
      </c>
      <c r="C318" t="s">
        <v>3278</v>
      </c>
      <c r="E318">
        <v>1</v>
      </c>
      <c r="F318">
        <v>5</v>
      </c>
      <c r="G318">
        <v>17087.3</v>
      </c>
      <c r="H318">
        <v>85436.5</v>
      </c>
      <c r="I318">
        <v>72403.813559322036</v>
      </c>
    </row>
    <row r="319" spans="1:9">
      <c r="A319">
        <v>961</v>
      </c>
      <c r="B319">
        <v>961</v>
      </c>
      <c r="C319" t="s">
        <v>3279</v>
      </c>
      <c r="E319">
        <v>1</v>
      </c>
      <c r="F319">
        <v>40</v>
      </c>
      <c r="G319">
        <v>5788.14</v>
      </c>
      <c r="H319">
        <v>231525.6</v>
      </c>
      <c r="I319">
        <v>196208.13559322036</v>
      </c>
    </row>
    <row r="320" spans="1:9">
      <c r="A320">
        <v>962</v>
      </c>
      <c r="B320">
        <v>962</v>
      </c>
      <c r="C320" t="s">
        <v>3280</v>
      </c>
      <c r="E320">
        <v>1</v>
      </c>
      <c r="F320">
        <v>15</v>
      </c>
      <c r="G320">
        <v>3791.05</v>
      </c>
      <c r="H320">
        <v>56865.75</v>
      </c>
      <c r="I320">
        <v>48191.313559322036</v>
      </c>
    </row>
    <row r="321" spans="1:9">
      <c r="A321">
        <v>965</v>
      </c>
      <c r="B321">
        <v>965</v>
      </c>
      <c r="C321" t="s">
        <v>3281</v>
      </c>
      <c r="E321">
        <v>1</v>
      </c>
      <c r="F321">
        <v>1</v>
      </c>
      <c r="G321">
        <v>2966</v>
      </c>
      <c r="H321">
        <v>2966</v>
      </c>
      <c r="I321">
        <v>2513.5593220338983</v>
      </c>
    </row>
    <row r="322" spans="1:9">
      <c r="A322">
        <v>973</v>
      </c>
      <c r="B322">
        <v>973</v>
      </c>
      <c r="C322" t="s">
        <v>3282</v>
      </c>
      <c r="E322">
        <v>1</v>
      </c>
      <c r="F322">
        <v>13</v>
      </c>
      <c r="G322">
        <v>4960</v>
      </c>
      <c r="H322">
        <v>64480</v>
      </c>
      <c r="I322">
        <v>54644.067796610172</v>
      </c>
    </row>
    <row r="323" spans="1:9">
      <c r="A323">
        <v>975</v>
      </c>
      <c r="B323">
        <v>975</v>
      </c>
      <c r="C323" t="s">
        <v>3283</v>
      </c>
      <c r="E323">
        <v>1</v>
      </c>
      <c r="F323">
        <v>1</v>
      </c>
      <c r="G323">
        <v>15865</v>
      </c>
      <c r="H323">
        <v>15865</v>
      </c>
      <c r="I323">
        <v>13444.915254237289</v>
      </c>
    </row>
    <row r="324" spans="1:9">
      <c r="A324">
        <v>976</v>
      </c>
      <c r="B324">
        <v>976</v>
      </c>
      <c r="C324" t="s">
        <v>3284</v>
      </c>
      <c r="E324">
        <v>1</v>
      </c>
      <c r="F324">
        <v>4</v>
      </c>
      <c r="G324">
        <v>4000</v>
      </c>
      <c r="H324">
        <v>16000</v>
      </c>
      <c r="I324">
        <v>13559.322033898306</v>
      </c>
    </row>
    <row r="325" spans="1:9">
      <c r="A325">
        <v>977</v>
      </c>
      <c r="B325">
        <v>977</v>
      </c>
      <c r="C325" t="s">
        <v>3285</v>
      </c>
      <c r="E325">
        <v>1</v>
      </c>
      <c r="F325">
        <v>400</v>
      </c>
      <c r="G325">
        <v>58.5</v>
      </c>
      <c r="H325">
        <v>23400</v>
      </c>
      <c r="I325">
        <v>19830.508474576272</v>
      </c>
    </row>
    <row r="326" spans="1:9">
      <c r="A326">
        <v>978</v>
      </c>
      <c r="B326">
        <v>978</v>
      </c>
      <c r="C326" t="s">
        <v>3286</v>
      </c>
      <c r="E326">
        <v>1</v>
      </c>
      <c r="F326">
        <v>392</v>
      </c>
      <c r="G326">
        <v>40</v>
      </c>
      <c r="H326">
        <v>15680</v>
      </c>
      <c r="I326">
        <v>13288.135593220341</v>
      </c>
    </row>
    <row r="327" spans="1:9">
      <c r="A327">
        <v>982</v>
      </c>
      <c r="B327">
        <v>982</v>
      </c>
      <c r="C327" t="s">
        <v>3287</v>
      </c>
      <c r="E327">
        <v>1</v>
      </c>
      <c r="F327">
        <v>3</v>
      </c>
      <c r="G327">
        <v>343.1</v>
      </c>
      <c r="H327">
        <v>1029.3</v>
      </c>
      <c r="I327">
        <v>872.28813559322032</v>
      </c>
    </row>
    <row r="328" spans="1:9">
      <c r="A328">
        <v>983</v>
      </c>
      <c r="B328">
        <v>983</v>
      </c>
      <c r="C328" t="s">
        <v>3288</v>
      </c>
      <c r="E328">
        <v>1</v>
      </c>
      <c r="F328">
        <v>4</v>
      </c>
      <c r="G328">
        <v>61.07</v>
      </c>
      <c r="H328">
        <v>244.28</v>
      </c>
      <c r="I328">
        <v>207.0169491525424</v>
      </c>
    </row>
    <row r="329" spans="1:9">
      <c r="A329">
        <v>984</v>
      </c>
      <c r="B329">
        <v>984</v>
      </c>
      <c r="C329" t="s">
        <v>3289</v>
      </c>
      <c r="E329">
        <v>1</v>
      </c>
      <c r="F329">
        <v>2</v>
      </c>
      <c r="G329">
        <v>50.89</v>
      </c>
      <c r="H329">
        <v>101.78</v>
      </c>
      <c r="I329">
        <v>86.254237288135599</v>
      </c>
    </row>
    <row r="330" spans="1:9">
      <c r="A330">
        <v>986</v>
      </c>
      <c r="B330">
        <v>986</v>
      </c>
      <c r="C330" t="s">
        <v>3290</v>
      </c>
      <c r="E330">
        <v>1</v>
      </c>
      <c r="F330">
        <v>13</v>
      </c>
      <c r="G330">
        <v>317.54000000000002</v>
      </c>
      <c r="H330">
        <v>4128.0200000000004</v>
      </c>
      <c r="I330">
        <v>3498.3220338983056</v>
      </c>
    </row>
    <row r="331" spans="1:9">
      <c r="A331">
        <v>988</v>
      </c>
      <c r="B331">
        <v>988</v>
      </c>
      <c r="C331" t="s">
        <v>3291</v>
      </c>
      <c r="E331">
        <v>1</v>
      </c>
      <c r="F331">
        <v>5</v>
      </c>
      <c r="G331">
        <v>159.44999999999999</v>
      </c>
      <c r="H331">
        <v>797.25</v>
      </c>
      <c r="I331">
        <v>675.63559322033905</v>
      </c>
    </row>
    <row r="332" spans="1:9">
      <c r="A332">
        <v>989</v>
      </c>
      <c r="B332">
        <v>989</v>
      </c>
      <c r="C332" t="s">
        <v>3292</v>
      </c>
      <c r="E332">
        <v>1</v>
      </c>
      <c r="F332">
        <v>3</v>
      </c>
      <c r="G332">
        <v>136.38</v>
      </c>
      <c r="H332">
        <v>409.14</v>
      </c>
      <c r="I332">
        <v>346.72881355932202</v>
      </c>
    </row>
    <row r="333" spans="1:9">
      <c r="A333">
        <v>990</v>
      </c>
      <c r="B333">
        <v>990</v>
      </c>
      <c r="C333" t="s">
        <v>3293</v>
      </c>
      <c r="E333">
        <v>1</v>
      </c>
      <c r="F333">
        <v>21</v>
      </c>
      <c r="G333">
        <v>140</v>
      </c>
      <c r="H333">
        <v>2940</v>
      </c>
      <c r="I333">
        <v>2491.5254237288136</v>
      </c>
    </row>
    <row r="334" spans="1:9">
      <c r="A334">
        <v>1001</v>
      </c>
      <c r="B334">
        <v>1001</v>
      </c>
      <c r="C334" t="s">
        <v>3294</v>
      </c>
      <c r="E334">
        <v>1</v>
      </c>
      <c r="F334">
        <v>10</v>
      </c>
      <c r="G334">
        <v>2400</v>
      </c>
      <c r="H334">
        <v>24000</v>
      </c>
      <c r="I334">
        <v>20338.983050847459</v>
      </c>
    </row>
    <row r="335" spans="1:9">
      <c r="A335">
        <v>1009</v>
      </c>
      <c r="B335">
        <v>1009</v>
      </c>
      <c r="C335" t="s">
        <v>3295</v>
      </c>
      <c r="E335">
        <v>1</v>
      </c>
      <c r="F335">
        <v>25</v>
      </c>
      <c r="G335">
        <v>8500</v>
      </c>
      <c r="H335">
        <v>212500</v>
      </c>
      <c r="I335">
        <v>180084.74576271189</v>
      </c>
    </row>
    <row r="336" spans="1:9">
      <c r="A336">
        <v>1016</v>
      </c>
      <c r="B336">
        <v>1016</v>
      </c>
      <c r="C336" t="s">
        <v>3296</v>
      </c>
      <c r="E336">
        <v>1</v>
      </c>
      <c r="F336">
        <v>48</v>
      </c>
      <c r="G336">
        <v>370</v>
      </c>
      <c r="H336">
        <v>17760</v>
      </c>
      <c r="I336">
        <v>15050.84745762712</v>
      </c>
    </row>
    <row r="337" spans="1:9">
      <c r="A337">
        <v>1017</v>
      </c>
      <c r="B337">
        <v>1017</v>
      </c>
      <c r="C337" t="s">
        <v>3297</v>
      </c>
      <c r="E337">
        <v>1</v>
      </c>
      <c r="F337">
        <v>1</v>
      </c>
      <c r="G337">
        <v>625</v>
      </c>
      <c r="H337">
        <v>625</v>
      </c>
      <c r="I337">
        <v>529.66101694915255</v>
      </c>
    </row>
    <row r="338" spans="1:9">
      <c r="A338">
        <v>1018</v>
      </c>
      <c r="B338">
        <v>1018</v>
      </c>
      <c r="C338" t="s">
        <v>3298</v>
      </c>
      <c r="E338">
        <v>1</v>
      </c>
      <c r="F338">
        <v>11</v>
      </c>
      <c r="G338">
        <v>150</v>
      </c>
      <c r="H338">
        <v>1650</v>
      </c>
      <c r="I338">
        <v>1398.3050847457628</v>
      </c>
    </row>
    <row r="339" spans="1:9">
      <c r="A339">
        <v>1019</v>
      </c>
      <c r="B339">
        <v>1019</v>
      </c>
      <c r="C339" t="s">
        <v>3299</v>
      </c>
      <c r="E339">
        <v>1</v>
      </c>
      <c r="F339">
        <v>22</v>
      </c>
      <c r="G339">
        <v>75</v>
      </c>
      <c r="H339">
        <v>1650</v>
      </c>
      <c r="I339">
        <v>1398.3050847457628</v>
      </c>
    </row>
    <row r="340" spans="1:9">
      <c r="A340">
        <v>1020</v>
      </c>
      <c r="B340">
        <v>1020</v>
      </c>
      <c r="C340" t="s">
        <v>3300</v>
      </c>
      <c r="E340">
        <v>1</v>
      </c>
      <c r="F340">
        <v>12</v>
      </c>
      <c r="G340">
        <v>37.450000000000003</v>
      </c>
      <c r="H340">
        <v>449.4</v>
      </c>
      <c r="I340">
        <v>380.84745762711867</v>
      </c>
    </row>
    <row r="341" spans="1:9">
      <c r="A341">
        <v>1022</v>
      </c>
      <c r="B341">
        <v>1022</v>
      </c>
      <c r="C341" t="s">
        <v>3301</v>
      </c>
      <c r="E341">
        <v>1</v>
      </c>
      <c r="F341">
        <v>1</v>
      </c>
      <c r="G341">
        <v>1250</v>
      </c>
      <c r="H341">
        <v>1250</v>
      </c>
      <c r="I341">
        <v>1059.3220338983051</v>
      </c>
    </row>
    <row r="342" spans="1:9">
      <c r="A342">
        <v>1023</v>
      </c>
      <c r="B342">
        <v>1023</v>
      </c>
      <c r="C342" t="s">
        <v>3302</v>
      </c>
      <c r="E342">
        <v>1</v>
      </c>
      <c r="F342">
        <v>113</v>
      </c>
      <c r="G342">
        <v>52.5</v>
      </c>
      <c r="H342">
        <v>5932.5</v>
      </c>
      <c r="I342">
        <v>5027.5423728813566</v>
      </c>
    </row>
    <row r="343" spans="1:9">
      <c r="A343">
        <v>1027</v>
      </c>
      <c r="B343">
        <v>1027</v>
      </c>
      <c r="C343" t="s">
        <v>3303</v>
      </c>
      <c r="E343">
        <v>1</v>
      </c>
      <c r="F343">
        <v>1</v>
      </c>
      <c r="G343">
        <v>500</v>
      </c>
      <c r="H343">
        <v>500</v>
      </c>
      <c r="I343">
        <v>423.72881355932208</v>
      </c>
    </row>
    <row r="344" spans="1:9">
      <c r="A344">
        <v>1044</v>
      </c>
      <c r="B344">
        <v>1044</v>
      </c>
      <c r="C344" t="s">
        <v>3304</v>
      </c>
      <c r="E344">
        <v>1</v>
      </c>
      <c r="F344">
        <v>10</v>
      </c>
      <c r="G344">
        <v>201.3</v>
      </c>
      <c r="H344">
        <v>2013</v>
      </c>
      <c r="I344">
        <v>1705.9322033898306</v>
      </c>
    </row>
    <row r="345" spans="1:9">
      <c r="A345">
        <v>1045</v>
      </c>
      <c r="B345">
        <v>1045</v>
      </c>
      <c r="C345" t="s">
        <v>3305</v>
      </c>
      <c r="E345">
        <v>1</v>
      </c>
      <c r="F345">
        <v>10</v>
      </c>
      <c r="G345">
        <v>90.28</v>
      </c>
      <c r="H345">
        <v>902.8</v>
      </c>
      <c r="I345">
        <v>765.08474576271192</v>
      </c>
    </row>
    <row r="346" spans="1:9">
      <c r="A346">
        <v>1050</v>
      </c>
      <c r="B346">
        <v>1050</v>
      </c>
      <c r="C346" t="s">
        <v>3306</v>
      </c>
      <c r="E346">
        <v>1</v>
      </c>
      <c r="F346">
        <v>5</v>
      </c>
      <c r="G346">
        <v>3000</v>
      </c>
      <c r="H346">
        <v>15000</v>
      </c>
      <c r="I346">
        <v>12711.864406779661</v>
      </c>
    </row>
    <row r="347" spans="1:9">
      <c r="A347">
        <v>1051</v>
      </c>
      <c r="B347">
        <v>1051</v>
      </c>
      <c r="C347" t="s">
        <v>3307</v>
      </c>
      <c r="E347">
        <v>1</v>
      </c>
      <c r="F347">
        <v>8</v>
      </c>
      <c r="G347">
        <v>70</v>
      </c>
      <c r="H347">
        <v>560</v>
      </c>
      <c r="I347">
        <v>474.57627118644069</v>
      </c>
    </row>
    <row r="348" spans="1:9">
      <c r="A348">
        <v>1063</v>
      </c>
      <c r="B348">
        <v>1063</v>
      </c>
      <c r="C348" t="s">
        <v>3308</v>
      </c>
      <c r="E348">
        <v>1</v>
      </c>
      <c r="F348">
        <v>7</v>
      </c>
      <c r="G348">
        <v>588</v>
      </c>
      <c r="H348">
        <v>4116</v>
      </c>
      <c r="I348">
        <v>3488.1355932203392</v>
      </c>
    </row>
    <row r="349" spans="1:9">
      <c r="A349">
        <v>1064</v>
      </c>
      <c r="B349">
        <v>1064</v>
      </c>
      <c r="C349" t="s">
        <v>3309</v>
      </c>
      <c r="E349">
        <v>1</v>
      </c>
      <c r="F349">
        <v>11</v>
      </c>
      <c r="G349">
        <v>5000</v>
      </c>
      <c r="H349">
        <v>55000</v>
      </c>
      <c r="I349">
        <v>46610.169491525427</v>
      </c>
    </row>
    <row r="350" spans="1:9">
      <c r="A350">
        <v>1066</v>
      </c>
      <c r="B350">
        <v>1066</v>
      </c>
      <c r="C350" t="s">
        <v>3310</v>
      </c>
      <c r="E350">
        <v>1</v>
      </c>
      <c r="F350">
        <v>2</v>
      </c>
      <c r="G350">
        <v>9250</v>
      </c>
      <c r="H350">
        <v>18500</v>
      </c>
      <c r="I350">
        <v>15677.966101694916</v>
      </c>
    </row>
    <row r="351" spans="1:9">
      <c r="A351">
        <v>1067</v>
      </c>
      <c r="B351">
        <v>1067</v>
      </c>
      <c r="C351" t="s">
        <v>3311</v>
      </c>
      <c r="E351">
        <v>1</v>
      </c>
      <c r="F351">
        <v>1</v>
      </c>
      <c r="G351">
        <v>5300</v>
      </c>
      <c r="H351">
        <v>5300</v>
      </c>
      <c r="I351">
        <v>4491.5254237288136</v>
      </c>
    </row>
    <row r="352" spans="1:9">
      <c r="A352">
        <v>1068</v>
      </c>
      <c r="B352">
        <v>1068</v>
      </c>
      <c r="C352" t="s">
        <v>3312</v>
      </c>
      <c r="E352">
        <v>1</v>
      </c>
      <c r="F352">
        <v>1</v>
      </c>
      <c r="G352">
        <v>2450</v>
      </c>
      <c r="H352">
        <v>2450</v>
      </c>
      <c r="I352">
        <v>2076.2711864406779</v>
      </c>
    </row>
    <row r="353" spans="1:9">
      <c r="A353">
        <v>1073</v>
      </c>
      <c r="B353">
        <v>1073</v>
      </c>
      <c r="C353" t="s">
        <v>3313</v>
      </c>
      <c r="E353">
        <v>1</v>
      </c>
      <c r="F353">
        <v>2</v>
      </c>
      <c r="G353">
        <v>1540</v>
      </c>
      <c r="H353">
        <v>3080</v>
      </c>
      <c r="I353">
        <v>2610.1694915254238</v>
      </c>
    </row>
    <row r="354" spans="1:9">
      <c r="A354">
        <v>1087</v>
      </c>
      <c r="B354">
        <v>1087</v>
      </c>
      <c r="C354" t="s">
        <v>3314</v>
      </c>
      <c r="E354">
        <v>1</v>
      </c>
      <c r="F354">
        <v>6</v>
      </c>
      <c r="G354">
        <v>127.12</v>
      </c>
      <c r="H354">
        <v>762.72</v>
      </c>
      <c r="I354">
        <v>646.37288135593224</v>
      </c>
    </row>
    <row r="355" spans="1:9">
      <c r="A355">
        <v>1089</v>
      </c>
      <c r="B355">
        <v>1089</v>
      </c>
      <c r="C355" t="s">
        <v>3315</v>
      </c>
      <c r="E355">
        <v>1</v>
      </c>
      <c r="F355">
        <v>3</v>
      </c>
      <c r="G355">
        <v>423.73</v>
      </c>
      <c r="H355">
        <v>1271.19</v>
      </c>
      <c r="I355">
        <v>1077.2796610169491</v>
      </c>
    </row>
    <row r="356" spans="1:9">
      <c r="A356">
        <v>1091</v>
      </c>
      <c r="B356">
        <v>1091</v>
      </c>
      <c r="C356" t="s">
        <v>3316</v>
      </c>
      <c r="E356">
        <v>1</v>
      </c>
      <c r="F356">
        <v>13</v>
      </c>
      <c r="G356">
        <v>245.68</v>
      </c>
      <c r="H356">
        <v>3193.84</v>
      </c>
      <c r="I356">
        <v>2706.6440677966102</v>
      </c>
    </row>
    <row r="357" spans="1:9">
      <c r="A357">
        <v>1092</v>
      </c>
      <c r="B357">
        <v>1092</v>
      </c>
      <c r="C357" t="s">
        <v>3317</v>
      </c>
      <c r="E357">
        <v>1</v>
      </c>
      <c r="F357">
        <v>7</v>
      </c>
      <c r="G357">
        <v>847.46</v>
      </c>
      <c r="H357">
        <v>5932.22</v>
      </c>
      <c r="I357">
        <v>5027.3050847457635</v>
      </c>
    </row>
    <row r="358" spans="1:9">
      <c r="A358">
        <v>1094</v>
      </c>
      <c r="B358">
        <v>1094</v>
      </c>
      <c r="C358" t="s">
        <v>3318</v>
      </c>
      <c r="E358">
        <v>1</v>
      </c>
      <c r="F358">
        <v>5</v>
      </c>
      <c r="G358">
        <v>5.93</v>
      </c>
      <c r="H358">
        <v>29.65</v>
      </c>
      <c r="I358">
        <v>25.127118644067796</v>
      </c>
    </row>
    <row r="359" spans="1:9">
      <c r="A359">
        <v>1097</v>
      </c>
      <c r="B359">
        <v>1097</v>
      </c>
      <c r="C359" t="s">
        <v>3319</v>
      </c>
      <c r="E359">
        <v>1</v>
      </c>
      <c r="F359">
        <v>4</v>
      </c>
      <c r="G359">
        <v>105.93</v>
      </c>
      <c r="H359">
        <v>423.72</v>
      </c>
      <c r="I359">
        <v>359.08474576271192</v>
      </c>
    </row>
    <row r="360" spans="1:9">
      <c r="A360">
        <v>1098</v>
      </c>
      <c r="B360">
        <v>1098</v>
      </c>
      <c r="C360" t="s">
        <v>3320</v>
      </c>
      <c r="E360">
        <v>1</v>
      </c>
      <c r="F360">
        <v>6</v>
      </c>
      <c r="G360">
        <v>296.91000000000003</v>
      </c>
      <c r="H360">
        <v>1781.46</v>
      </c>
      <c r="I360">
        <v>1509.7118644067798</v>
      </c>
    </row>
    <row r="361" spans="1:9">
      <c r="A361">
        <v>1101</v>
      </c>
      <c r="B361">
        <v>1101</v>
      </c>
      <c r="C361" t="s">
        <v>3321</v>
      </c>
      <c r="E361">
        <v>1</v>
      </c>
      <c r="F361">
        <v>1</v>
      </c>
      <c r="G361">
        <v>677.97</v>
      </c>
      <c r="H361">
        <v>677.97</v>
      </c>
      <c r="I361">
        <v>574.55084745762713</v>
      </c>
    </row>
    <row r="362" spans="1:9">
      <c r="A362">
        <v>1103</v>
      </c>
      <c r="B362">
        <v>1103</v>
      </c>
      <c r="C362" t="s">
        <v>3322</v>
      </c>
      <c r="E362">
        <v>1</v>
      </c>
      <c r="F362">
        <v>1</v>
      </c>
      <c r="G362">
        <v>2754.24</v>
      </c>
      <c r="H362">
        <v>2754.24</v>
      </c>
      <c r="I362">
        <v>2334.101694915254</v>
      </c>
    </row>
    <row r="363" spans="1:9">
      <c r="A363">
        <v>1105</v>
      </c>
      <c r="B363">
        <v>1105</v>
      </c>
      <c r="C363" t="s">
        <v>3323</v>
      </c>
      <c r="E363">
        <v>1</v>
      </c>
      <c r="F363">
        <v>2</v>
      </c>
      <c r="G363">
        <v>5.6</v>
      </c>
      <c r="H363">
        <v>11.2</v>
      </c>
      <c r="I363">
        <v>9.4915254237288131</v>
      </c>
    </row>
    <row r="364" spans="1:9">
      <c r="A364">
        <v>1107</v>
      </c>
      <c r="B364">
        <v>1107</v>
      </c>
      <c r="C364" t="s">
        <v>3324</v>
      </c>
      <c r="E364">
        <v>1</v>
      </c>
      <c r="F364">
        <v>1</v>
      </c>
      <c r="G364">
        <v>63.56</v>
      </c>
      <c r="H364">
        <v>63.56</v>
      </c>
      <c r="I364">
        <v>53.864406779661024</v>
      </c>
    </row>
    <row r="365" spans="1:9">
      <c r="A365">
        <v>1118</v>
      </c>
      <c r="B365">
        <v>1118</v>
      </c>
      <c r="C365" t="s">
        <v>3325</v>
      </c>
      <c r="E365">
        <v>1</v>
      </c>
      <c r="F365">
        <v>10</v>
      </c>
      <c r="G365">
        <v>123.76</v>
      </c>
      <c r="H365">
        <v>1237.5999999999999</v>
      </c>
      <c r="I365">
        <v>1048.8135593220338</v>
      </c>
    </row>
    <row r="366" spans="1:9">
      <c r="A366">
        <v>1119</v>
      </c>
      <c r="B366">
        <v>1119</v>
      </c>
      <c r="C366" t="s">
        <v>3326</v>
      </c>
      <c r="E366">
        <v>1</v>
      </c>
      <c r="F366">
        <v>33</v>
      </c>
      <c r="G366">
        <v>32.56</v>
      </c>
      <c r="H366">
        <v>1074.48</v>
      </c>
      <c r="I366">
        <v>910.57627118644075</v>
      </c>
    </row>
    <row r="367" spans="1:9">
      <c r="A367">
        <v>1120</v>
      </c>
      <c r="B367">
        <v>1120</v>
      </c>
      <c r="C367" t="s">
        <v>3327</v>
      </c>
      <c r="E367">
        <v>1</v>
      </c>
      <c r="F367">
        <v>106</v>
      </c>
      <c r="G367">
        <v>70</v>
      </c>
      <c r="H367">
        <v>7420</v>
      </c>
      <c r="I367">
        <v>6288.1355932203396</v>
      </c>
    </row>
    <row r="368" spans="1:9">
      <c r="A368">
        <v>1121</v>
      </c>
      <c r="B368">
        <v>1121</v>
      </c>
      <c r="C368" t="s">
        <v>3328</v>
      </c>
      <c r="E368">
        <v>1</v>
      </c>
      <c r="F368">
        <v>8</v>
      </c>
      <c r="G368">
        <v>105</v>
      </c>
      <c r="H368">
        <v>840</v>
      </c>
      <c r="I368">
        <v>711.86440677966107</v>
      </c>
    </row>
    <row r="369" spans="1:9">
      <c r="A369">
        <v>1122</v>
      </c>
      <c r="B369">
        <v>1122</v>
      </c>
      <c r="C369" t="s">
        <v>3329</v>
      </c>
      <c r="E369">
        <v>1</v>
      </c>
      <c r="F369">
        <v>86</v>
      </c>
      <c r="G369">
        <v>9</v>
      </c>
      <c r="H369">
        <v>774</v>
      </c>
      <c r="I369">
        <v>655.93220338983053</v>
      </c>
    </row>
    <row r="370" spans="1:9">
      <c r="A370">
        <v>1123</v>
      </c>
      <c r="B370">
        <v>1123</v>
      </c>
      <c r="C370" t="s">
        <v>3330</v>
      </c>
      <c r="E370">
        <v>1</v>
      </c>
      <c r="F370">
        <v>28</v>
      </c>
      <c r="G370">
        <v>778.8</v>
      </c>
      <c r="H370">
        <v>21806.400000000001</v>
      </c>
      <c r="I370">
        <v>18480.000000000004</v>
      </c>
    </row>
    <row r="371" spans="1:9">
      <c r="A371">
        <v>1124</v>
      </c>
      <c r="B371">
        <v>1124</v>
      </c>
      <c r="C371" t="s">
        <v>3331</v>
      </c>
      <c r="E371">
        <v>1</v>
      </c>
      <c r="F371">
        <v>49</v>
      </c>
      <c r="G371">
        <v>831.9</v>
      </c>
      <c r="H371">
        <v>40763.1</v>
      </c>
      <c r="I371">
        <v>34545</v>
      </c>
    </row>
    <row r="372" spans="1:9">
      <c r="A372">
        <v>1126</v>
      </c>
      <c r="B372">
        <v>1126</v>
      </c>
      <c r="C372" t="s">
        <v>3332</v>
      </c>
      <c r="E372">
        <v>1</v>
      </c>
      <c r="F372">
        <v>6</v>
      </c>
      <c r="G372">
        <v>18</v>
      </c>
      <c r="H372">
        <v>108</v>
      </c>
      <c r="I372">
        <v>91.525423728813564</v>
      </c>
    </row>
    <row r="373" spans="1:9">
      <c r="A373">
        <v>1127</v>
      </c>
      <c r="B373">
        <v>1127</v>
      </c>
      <c r="C373" t="s">
        <v>3333</v>
      </c>
      <c r="E373">
        <v>1</v>
      </c>
      <c r="F373">
        <v>22</v>
      </c>
      <c r="G373">
        <v>53</v>
      </c>
      <c r="H373">
        <v>1166</v>
      </c>
      <c r="I373">
        <v>988.13559322033905</v>
      </c>
    </row>
    <row r="374" spans="1:9">
      <c r="A374">
        <v>1128</v>
      </c>
      <c r="B374">
        <v>1128</v>
      </c>
      <c r="C374" t="s">
        <v>3334</v>
      </c>
      <c r="E374">
        <v>1</v>
      </c>
      <c r="F374">
        <v>12</v>
      </c>
      <c r="G374">
        <v>80</v>
      </c>
      <c r="H374">
        <v>960</v>
      </c>
      <c r="I374">
        <v>813.5593220338983</v>
      </c>
    </row>
    <row r="375" spans="1:9">
      <c r="A375">
        <v>1129</v>
      </c>
      <c r="B375">
        <v>1129</v>
      </c>
      <c r="C375" t="s">
        <v>3335</v>
      </c>
      <c r="E375">
        <v>1</v>
      </c>
      <c r="F375">
        <v>19</v>
      </c>
      <c r="G375">
        <v>65</v>
      </c>
      <c r="H375">
        <v>1235</v>
      </c>
      <c r="I375">
        <v>1046.6101694915255</v>
      </c>
    </row>
    <row r="376" spans="1:9">
      <c r="A376">
        <v>1130</v>
      </c>
      <c r="B376">
        <v>1130</v>
      </c>
      <c r="C376" t="s">
        <v>3336</v>
      </c>
      <c r="E376">
        <v>1</v>
      </c>
      <c r="F376">
        <v>7</v>
      </c>
      <c r="G376">
        <v>600</v>
      </c>
      <c r="H376">
        <v>4200</v>
      </c>
      <c r="I376">
        <v>3559.3220338983051</v>
      </c>
    </row>
    <row r="377" spans="1:9">
      <c r="A377">
        <v>1132</v>
      </c>
      <c r="B377">
        <v>1132</v>
      </c>
      <c r="C377" t="s">
        <v>3337</v>
      </c>
      <c r="E377">
        <v>1</v>
      </c>
      <c r="F377">
        <v>10</v>
      </c>
      <c r="G377">
        <v>35</v>
      </c>
      <c r="H377">
        <v>350</v>
      </c>
      <c r="I377">
        <v>296.61016949152543</v>
      </c>
    </row>
    <row r="378" spans="1:9">
      <c r="A378">
        <v>1134</v>
      </c>
      <c r="B378">
        <v>1134</v>
      </c>
      <c r="C378" t="s">
        <v>3338</v>
      </c>
      <c r="E378">
        <v>1</v>
      </c>
      <c r="F378">
        <v>5</v>
      </c>
      <c r="G378">
        <v>350</v>
      </c>
      <c r="H378">
        <v>1750</v>
      </c>
      <c r="I378">
        <v>1483.0508474576272</v>
      </c>
    </row>
    <row r="379" spans="1:9">
      <c r="A379">
        <v>1135</v>
      </c>
      <c r="B379">
        <v>1135</v>
      </c>
      <c r="C379" t="s">
        <v>3339</v>
      </c>
      <c r="E379">
        <v>1</v>
      </c>
      <c r="F379">
        <v>7</v>
      </c>
      <c r="G379">
        <v>35</v>
      </c>
      <c r="H379">
        <v>245</v>
      </c>
      <c r="I379">
        <v>207.62711864406782</v>
      </c>
    </row>
    <row r="380" spans="1:9">
      <c r="A380">
        <v>1136</v>
      </c>
      <c r="B380">
        <v>1136</v>
      </c>
      <c r="C380" t="s">
        <v>3340</v>
      </c>
      <c r="E380">
        <v>1</v>
      </c>
      <c r="F380">
        <v>10</v>
      </c>
      <c r="G380">
        <v>500</v>
      </c>
      <c r="H380">
        <v>5000</v>
      </c>
      <c r="I380">
        <v>4237.2881355932204</v>
      </c>
    </row>
    <row r="381" spans="1:9">
      <c r="A381">
        <v>1137</v>
      </c>
      <c r="B381">
        <v>1137</v>
      </c>
      <c r="C381" t="s">
        <v>3341</v>
      </c>
      <c r="E381">
        <v>1</v>
      </c>
      <c r="F381">
        <v>8</v>
      </c>
      <c r="G381">
        <v>95</v>
      </c>
      <c r="H381">
        <v>760</v>
      </c>
      <c r="I381">
        <v>644.06779661016958</v>
      </c>
    </row>
    <row r="382" spans="1:9">
      <c r="A382">
        <v>1138</v>
      </c>
      <c r="B382">
        <v>1138</v>
      </c>
      <c r="C382" t="s">
        <v>3342</v>
      </c>
      <c r="E382">
        <v>1</v>
      </c>
      <c r="F382">
        <v>10</v>
      </c>
      <c r="G382">
        <v>250</v>
      </c>
      <c r="H382">
        <v>2500</v>
      </c>
      <c r="I382">
        <v>2118.6440677966102</v>
      </c>
    </row>
    <row r="383" spans="1:9">
      <c r="A383">
        <v>1139</v>
      </c>
      <c r="B383">
        <v>1139</v>
      </c>
      <c r="C383" t="s">
        <v>3343</v>
      </c>
      <c r="E383">
        <v>1</v>
      </c>
      <c r="F383">
        <v>4</v>
      </c>
      <c r="G383">
        <v>1200</v>
      </c>
      <c r="H383">
        <v>4800</v>
      </c>
      <c r="I383">
        <v>4067.7966101694919</v>
      </c>
    </row>
    <row r="384" spans="1:9">
      <c r="A384">
        <v>1140</v>
      </c>
      <c r="B384">
        <v>1140</v>
      </c>
      <c r="C384" t="s">
        <v>3344</v>
      </c>
      <c r="E384">
        <v>1</v>
      </c>
      <c r="F384">
        <v>4</v>
      </c>
      <c r="G384">
        <v>1200</v>
      </c>
      <c r="H384">
        <v>4800</v>
      </c>
      <c r="I384">
        <v>4067.7966101694919</v>
      </c>
    </row>
    <row r="385" spans="1:9">
      <c r="A385">
        <v>1141</v>
      </c>
      <c r="B385">
        <v>1141</v>
      </c>
      <c r="C385" t="s">
        <v>3345</v>
      </c>
      <c r="E385">
        <v>1</v>
      </c>
      <c r="F385">
        <v>6</v>
      </c>
      <c r="G385">
        <v>213</v>
      </c>
      <c r="H385">
        <v>1278</v>
      </c>
      <c r="I385">
        <v>1083.0508474576272</v>
      </c>
    </row>
    <row r="386" spans="1:9">
      <c r="A386">
        <v>1143</v>
      </c>
      <c r="B386">
        <v>1143</v>
      </c>
      <c r="C386" t="s">
        <v>3346</v>
      </c>
      <c r="E386">
        <v>1</v>
      </c>
      <c r="F386">
        <v>10</v>
      </c>
      <c r="G386">
        <v>165</v>
      </c>
      <c r="H386">
        <v>1650</v>
      </c>
      <c r="I386">
        <v>1398.3050847457628</v>
      </c>
    </row>
    <row r="387" spans="1:9">
      <c r="A387">
        <v>1144</v>
      </c>
      <c r="B387">
        <v>1144</v>
      </c>
      <c r="C387" t="s">
        <v>3347</v>
      </c>
      <c r="E387">
        <v>1</v>
      </c>
      <c r="F387">
        <v>12</v>
      </c>
      <c r="G387">
        <v>220</v>
      </c>
      <c r="H387">
        <v>2640</v>
      </c>
      <c r="I387">
        <v>2237.2881355932204</v>
      </c>
    </row>
    <row r="388" spans="1:9">
      <c r="A388">
        <v>1145</v>
      </c>
      <c r="B388">
        <v>1145</v>
      </c>
      <c r="C388" t="s">
        <v>3348</v>
      </c>
      <c r="E388">
        <v>1</v>
      </c>
      <c r="F388">
        <v>7</v>
      </c>
      <c r="G388">
        <v>80</v>
      </c>
      <c r="H388">
        <v>560</v>
      </c>
      <c r="I388">
        <v>474.57627118644069</v>
      </c>
    </row>
    <row r="389" spans="1:9">
      <c r="A389">
        <v>1146</v>
      </c>
      <c r="B389">
        <v>1146</v>
      </c>
      <c r="C389" t="s">
        <v>3349</v>
      </c>
      <c r="E389">
        <v>1</v>
      </c>
      <c r="F389">
        <v>11</v>
      </c>
      <c r="G389">
        <v>385</v>
      </c>
      <c r="H389">
        <v>4235</v>
      </c>
      <c r="I389">
        <v>3588.9830508474579</v>
      </c>
    </row>
    <row r="390" spans="1:9">
      <c r="A390">
        <v>1148</v>
      </c>
      <c r="B390">
        <v>1148</v>
      </c>
      <c r="C390" t="s">
        <v>3350</v>
      </c>
      <c r="E390">
        <v>1</v>
      </c>
      <c r="F390">
        <v>6</v>
      </c>
      <c r="G390">
        <v>120</v>
      </c>
      <c r="H390">
        <v>720</v>
      </c>
      <c r="I390">
        <v>610.16949152542372</v>
      </c>
    </row>
    <row r="391" spans="1:9">
      <c r="A391">
        <v>1149</v>
      </c>
      <c r="B391">
        <v>1149</v>
      </c>
      <c r="C391" t="s">
        <v>3351</v>
      </c>
      <c r="E391">
        <v>1</v>
      </c>
      <c r="F391">
        <v>20</v>
      </c>
      <c r="G391">
        <v>80</v>
      </c>
      <c r="H391">
        <v>1600</v>
      </c>
      <c r="I391">
        <v>1355.9322033898306</v>
      </c>
    </row>
    <row r="392" spans="1:9">
      <c r="A392">
        <v>1151</v>
      </c>
      <c r="B392">
        <v>1151</v>
      </c>
      <c r="C392" t="s">
        <v>3352</v>
      </c>
      <c r="E392">
        <v>1</v>
      </c>
      <c r="F392">
        <v>4</v>
      </c>
      <c r="G392">
        <v>145</v>
      </c>
      <c r="H392">
        <v>580</v>
      </c>
      <c r="I392">
        <v>491.52542372881356</v>
      </c>
    </row>
    <row r="393" spans="1:9">
      <c r="A393">
        <v>1152</v>
      </c>
      <c r="B393">
        <v>1152</v>
      </c>
      <c r="C393" t="s">
        <v>3353</v>
      </c>
      <c r="E393">
        <v>1</v>
      </c>
      <c r="F393">
        <v>5</v>
      </c>
      <c r="G393">
        <v>12</v>
      </c>
      <c r="H393">
        <v>60</v>
      </c>
      <c r="I393">
        <v>50.847457627118644</v>
      </c>
    </row>
    <row r="394" spans="1:9">
      <c r="A394">
        <v>1153</v>
      </c>
      <c r="B394">
        <v>1153</v>
      </c>
      <c r="C394" t="s">
        <v>3354</v>
      </c>
      <c r="E394">
        <v>1</v>
      </c>
      <c r="F394">
        <v>3</v>
      </c>
      <c r="G394">
        <v>300</v>
      </c>
      <c r="H394">
        <v>900</v>
      </c>
      <c r="I394">
        <v>762.71186440677968</v>
      </c>
    </row>
    <row r="395" spans="1:9">
      <c r="A395">
        <v>1154</v>
      </c>
      <c r="B395">
        <v>1154</v>
      </c>
      <c r="C395" t="s">
        <v>3355</v>
      </c>
      <c r="E395">
        <v>1</v>
      </c>
      <c r="F395">
        <v>10</v>
      </c>
      <c r="G395">
        <v>12.71</v>
      </c>
      <c r="H395">
        <v>127.1</v>
      </c>
      <c r="I395">
        <v>107.71186440677967</v>
      </c>
    </row>
    <row r="396" spans="1:9">
      <c r="A396">
        <v>1155</v>
      </c>
      <c r="B396">
        <v>1155</v>
      </c>
      <c r="C396" t="s">
        <v>3356</v>
      </c>
      <c r="E396">
        <v>1</v>
      </c>
      <c r="F396">
        <v>12</v>
      </c>
      <c r="G396">
        <v>338.98</v>
      </c>
      <c r="H396">
        <v>4067.76</v>
      </c>
      <c r="I396">
        <v>3447.2542372881358</v>
      </c>
    </row>
    <row r="397" spans="1:9">
      <c r="A397">
        <v>1157</v>
      </c>
      <c r="B397">
        <v>1157</v>
      </c>
      <c r="C397" t="s">
        <v>3357</v>
      </c>
      <c r="E397">
        <v>1</v>
      </c>
      <c r="F397">
        <v>6</v>
      </c>
      <c r="G397">
        <v>800</v>
      </c>
      <c r="H397">
        <v>4800</v>
      </c>
      <c r="I397">
        <v>4067.7966101694919</v>
      </c>
    </row>
    <row r="398" spans="1:9">
      <c r="A398">
        <v>1158</v>
      </c>
      <c r="B398">
        <v>1158</v>
      </c>
      <c r="C398" t="s">
        <v>3358</v>
      </c>
      <c r="E398">
        <v>1</v>
      </c>
      <c r="F398">
        <v>6</v>
      </c>
      <c r="G398">
        <v>584.75</v>
      </c>
      <c r="H398">
        <v>3508.5</v>
      </c>
      <c r="I398">
        <v>2973.305084745763</v>
      </c>
    </row>
    <row r="399" spans="1:9">
      <c r="A399">
        <v>1160</v>
      </c>
      <c r="B399">
        <v>1160</v>
      </c>
      <c r="C399" t="s">
        <v>3359</v>
      </c>
      <c r="E399">
        <v>1</v>
      </c>
      <c r="F399">
        <v>1</v>
      </c>
      <c r="G399">
        <v>390</v>
      </c>
      <c r="H399">
        <v>390</v>
      </c>
      <c r="I399">
        <v>330.50847457627123</v>
      </c>
    </row>
    <row r="400" spans="1:9">
      <c r="A400">
        <v>1161</v>
      </c>
      <c r="B400">
        <v>1161</v>
      </c>
      <c r="C400" t="s">
        <v>3360</v>
      </c>
      <c r="E400">
        <v>1</v>
      </c>
      <c r="F400">
        <v>5</v>
      </c>
      <c r="G400">
        <v>260</v>
      </c>
      <c r="H400">
        <v>1300</v>
      </c>
      <c r="I400">
        <v>1101.6949152542375</v>
      </c>
    </row>
    <row r="401" spans="1:9">
      <c r="A401">
        <v>1162</v>
      </c>
      <c r="B401">
        <v>1162</v>
      </c>
      <c r="C401" t="s">
        <v>3361</v>
      </c>
      <c r="E401">
        <v>1</v>
      </c>
      <c r="F401">
        <v>5</v>
      </c>
      <c r="G401">
        <v>24.64</v>
      </c>
      <c r="H401">
        <v>123.2</v>
      </c>
      <c r="I401">
        <v>104.40677966101696</v>
      </c>
    </row>
    <row r="402" spans="1:9">
      <c r="A402">
        <v>1166</v>
      </c>
      <c r="B402">
        <v>1166</v>
      </c>
      <c r="C402" t="s">
        <v>3362</v>
      </c>
      <c r="E402">
        <v>1</v>
      </c>
      <c r="F402">
        <v>15</v>
      </c>
      <c r="G402">
        <v>95</v>
      </c>
      <c r="H402">
        <v>1425</v>
      </c>
      <c r="I402">
        <v>1207.6271186440679</v>
      </c>
    </row>
    <row r="403" spans="1:9">
      <c r="A403">
        <v>1167</v>
      </c>
      <c r="B403">
        <v>1167</v>
      </c>
      <c r="C403" t="s">
        <v>3363</v>
      </c>
      <c r="E403">
        <v>1</v>
      </c>
      <c r="F403">
        <v>7</v>
      </c>
      <c r="G403">
        <v>115</v>
      </c>
      <c r="H403">
        <v>805</v>
      </c>
      <c r="I403">
        <v>682.20338983050851</v>
      </c>
    </row>
    <row r="404" spans="1:9">
      <c r="A404">
        <v>1175</v>
      </c>
      <c r="B404">
        <v>1175</v>
      </c>
      <c r="C404" t="s">
        <v>3364</v>
      </c>
      <c r="E404">
        <v>1</v>
      </c>
      <c r="F404">
        <v>10</v>
      </c>
      <c r="G404">
        <v>140</v>
      </c>
      <c r="H404">
        <v>1400</v>
      </c>
      <c r="I404">
        <v>1186.4406779661017</v>
      </c>
    </row>
    <row r="405" spans="1:9">
      <c r="A405">
        <v>1177</v>
      </c>
      <c r="B405">
        <v>1177</v>
      </c>
      <c r="C405" t="s">
        <v>3365</v>
      </c>
      <c r="E405">
        <v>1</v>
      </c>
      <c r="F405">
        <v>8</v>
      </c>
      <c r="G405">
        <v>1.54</v>
      </c>
      <c r="H405">
        <v>12.32</v>
      </c>
      <c r="I405">
        <v>10.440677966101696</v>
      </c>
    </row>
    <row r="406" spans="1:9">
      <c r="A406">
        <v>1178</v>
      </c>
      <c r="B406">
        <v>1178</v>
      </c>
      <c r="C406" t="s">
        <v>3366</v>
      </c>
      <c r="E406">
        <v>1</v>
      </c>
      <c r="F406">
        <v>6</v>
      </c>
      <c r="G406">
        <v>60</v>
      </c>
      <c r="H406">
        <v>360</v>
      </c>
      <c r="I406">
        <v>305.08474576271186</v>
      </c>
    </row>
    <row r="407" spans="1:9">
      <c r="A407">
        <v>1193</v>
      </c>
      <c r="B407">
        <v>1193</v>
      </c>
      <c r="C407" t="s">
        <v>3367</v>
      </c>
      <c r="E407">
        <v>1</v>
      </c>
      <c r="F407">
        <v>5</v>
      </c>
      <c r="G407">
        <v>25</v>
      </c>
      <c r="H407">
        <v>125</v>
      </c>
      <c r="I407">
        <v>105.93220338983052</v>
      </c>
    </row>
    <row r="408" spans="1:9">
      <c r="A408">
        <v>1194</v>
      </c>
      <c r="B408">
        <v>1194</v>
      </c>
      <c r="C408" t="s">
        <v>3368</v>
      </c>
      <c r="E408">
        <v>1</v>
      </c>
      <c r="F408">
        <v>10</v>
      </c>
      <c r="G408">
        <v>465</v>
      </c>
      <c r="H408">
        <v>4650</v>
      </c>
      <c r="I408">
        <v>3940.6779661016953</v>
      </c>
    </row>
    <row r="409" spans="1:9">
      <c r="A409">
        <v>1195</v>
      </c>
      <c r="B409">
        <v>1195</v>
      </c>
      <c r="C409" t="s">
        <v>3369</v>
      </c>
      <c r="E409">
        <v>1</v>
      </c>
      <c r="F409">
        <v>10</v>
      </c>
      <c r="G409">
        <v>70</v>
      </c>
      <c r="H409">
        <v>700</v>
      </c>
      <c r="I409">
        <v>593.22033898305085</v>
      </c>
    </row>
    <row r="410" spans="1:9">
      <c r="A410">
        <v>1196</v>
      </c>
      <c r="B410">
        <v>1196</v>
      </c>
      <c r="C410" t="s">
        <v>3370</v>
      </c>
      <c r="E410">
        <v>1</v>
      </c>
      <c r="F410">
        <v>10</v>
      </c>
      <c r="G410">
        <v>220</v>
      </c>
      <c r="H410">
        <v>2200</v>
      </c>
      <c r="I410">
        <v>1864.406779661017</v>
      </c>
    </row>
    <row r="411" spans="1:9">
      <c r="A411">
        <v>1197</v>
      </c>
      <c r="B411">
        <v>1197</v>
      </c>
      <c r="C411" t="s">
        <v>3371</v>
      </c>
      <c r="E411">
        <v>1</v>
      </c>
      <c r="F411">
        <v>14</v>
      </c>
      <c r="G411">
        <v>580</v>
      </c>
      <c r="H411">
        <v>8120</v>
      </c>
      <c r="I411">
        <v>6881.3559322033898</v>
      </c>
    </row>
    <row r="412" spans="1:9">
      <c r="A412">
        <v>1198</v>
      </c>
      <c r="B412">
        <v>1198</v>
      </c>
      <c r="C412" t="s">
        <v>3372</v>
      </c>
      <c r="E412">
        <v>1</v>
      </c>
      <c r="F412">
        <v>20</v>
      </c>
      <c r="G412">
        <v>780</v>
      </c>
      <c r="H412">
        <v>15600</v>
      </c>
      <c r="I412">
        <v>13220.338983050848</v>
      </c>
    </row>
    <row r="413" spans="1:9">
      <c r="A413">
        <v>1199</v>
      </c>
      <c r="B413">
        <v>1199</v>
      </c>
      <c r="C413" t="s">
        <v>3373</v>
      </c>
      <c r="E413">
        <v>1</v>
      </c>
      <c r="F413">
        <v>2</v>
      </c>
      <c r="G413">
        <v>1300</v>
      </c>
      <c r="H413">
        <v>2600</v>
      </c>
      <c r="I413">
        <v>2203.3898305084749</v>
      </c>
    </row>
    <row r="414" spans="1:9">
      <c r="A414">
        <v>1200</v>
      </c>
      <c r="B414">
        <v>1200</v>
      </c>
      <c r="C414" t="s">
        <v>3374</v>
      </c>
      <c r="E414">
        <v>1</v>
      </c>
      <c r="F414">
        <v>4</v>
      </c>
      <c r="G414">
        <v>248</v>
      </c>
      <c r="H414">
        <v>992</v>
      </c>
      <c r="I414">
        <v>840.67796610169501</v>
      </c>
    </row>
    <row r="415" spans="1:9">
      <c r="A415">
        <v>1201</v>
      </c>
      <c r="B415">
        <v>1201</v>
      </c>
      <c r="C415" t="s">
        <v>3375</v>
      </c>
      <c r="E415">
        <v>1</v>
      </c>
      <c r="F415">
        <v>33</v>
      </c>
      <c r="G415">
        <v>105</v>
      </c>
      <c r="H415">
        <v>3465</v>
      </c>
      <c r="I415">
        <v>2936.4406779661017</v>
      </c>
    </row>
    <row r="416" spans="1:9">
      <c r="A416">
        <v>1202</v>
      </c>
      <c r="B416">
        <v>1202</v>
      </c>
      <c r="C416" t="s">
        <v>3376</v>
      </c>
      <c r="E416">
        <v>1</v>
      </c>
      <c r="F416">
        <v>58</v>
      </c>
      <c r="G416">
        <v>60</v>
      </c>
      <c r="H416">
        <v>3480</v>
      </c>
      <c r="I416">
        <v>2949.1525423728817</v>
      </c>
    </row>
    <row r="417" spans="1:9">
      <c r="A417">
        <v>1203</v>
      </c>
      <c r="B417">
        <v>1203</v>
      </c>
      <c r="C417" t="s">
        <v>3377</v>
      </c>
      <c r="E417">
        <v>1</v>
      </c>
      <c r="F417">
        <v>35</v>
      </c>
      <c r="G417">
        <v>45</v>
      </c>
      <c r="H417">
        <v>1575</v>
      </c>
      <c r="I417">
        <v>1334.7457627118645</v>
      </c>
    </row>
    <row r="418" spans="1:9">
      <c r="A418">
        <v>1205</v>
      </c>
      <c r="B418">
        <v>1205</v>
      </c>
      <c r="C418" t="s">
        <v>3378</v>
      </c>
      <c r="E418">
        <v>1</v>
      </c>
      <c r="F418">
        <v>8</v>
      </c>
      <c r="G418">
        <v>50</v>
      </c>
      <c r="H418">
        <v>400</v>
      </c>
      <c r="I418">
        <v>338.98305084745766</v>
      </c>
    </row>
    <row r="419" spans="1:9">
      <c r="A419">
        <v>1206</v>
      </c>
      <c r="B419">
        <v>1206</v>
      </c>
      <c r="C419" t="s">
        <v>3379</v>
      </c>
      <c r="E419">
        <v>1</v>
      </c>
      <c r="F419">
        <v>8</v>
      </c>
      <c r="G419">
        <v>75</v>
      </c>
      <c r="H419">
        <v>600</v>
      </c>
      <c r="I419">
        <v>508.47457627118649</v>
      </c>
    </row>
    <row r="420" spans="1:9">
      <c r="A420">
        <v>1207</v>
      </c>
      <c r="B420">
        <v>1207</v>
      </c>
      <c r="C420" t="s">
        <v>3380</v>
      </c>
      <c r="E420">
        <v>1</v>
      </c>
      <c r="F420">
        <v>8</v>
      </c>
      <c r="G420">
        <v>75</v>
      </c>
      <c r="H420">
        <v>600</v>
      </c>
      <c r="I420">
        <v>508.47457627118649</v>
      </c>
    </row>
    <row r="421" spans="1:9">
      <c r="A421">
        <v>1208</v>
      </c>
      <c r="B421">
        <v>1208</v>
      </c>
      <c r="C421" t="s">
        <v>3381</v>
      </c>
      <c r="E421">
        <v>1</v>
      </c>
      <c r="F421">
        <v>8</v>
      </c>
      <c r="G421">
        <v>75</v>
      </c>
      <c r="H421">
        <v>600</v>
      </c>
      <c r="I421">
        <v>508.47457627118649</v>
      </c>
    </row>
    <row r="422" spans="1:9">
      <c r="A422">
        <v>1210</v>
      </c>
      <c r="B422">
        <v>1210</v>
      </c>
      <c r="C422" t="s">
        <v>3382</v>
      </c>
      <c r="E422">
        <v>1</v>
      </c>
      <c r="F422">
        <v>8</v>
      </c>
      <c r="G422">
        <v>150</v>
      </c>
      <c r="H422">
        <v>1200</v>
      </c>
      <c r="I422">
        <v>1016.949152542373</v>
      </c>
    </row>
    <row r="423" spans="1:9">
      <c r="A423">
        <v>1211</v>
      </c>
      <c r="B423">
        <v>1211</v>
      </c>
      <c r="C423" t="s">
        <v>3383</v>
      </c>
      <c r="E423">
        <v>1</v>
      </c>
      <c r="F423">
        <v>12</v>
      </c>
      <c r="G423">
        <v>60</v>
      </c>
      <c r="H423">
        <v>720</v>
      </c>
      <c r="I423">
        <v>610.16949152542372</v>
      </c>
    </row>
    <row r="424" spans="1:9">
      <c r="A424">
        <v>1212</v>
      </c>
      <c r="B424">
        <v>1212</v>
      </c>
      <c r="C424" t="s">
        <v>3384</v>
      </c>
      <c r="E424">
        <v>1</v>
      </c>
      <c r="F424">
        <v>12</v>
      </c>
      <c r="G424">
        <v>260</v>
      </c>
      <c r="H424">
        <v>3120</v>
      </c>
      <c r="I424">
        <v>2644.0677966101698</v>
      </c>
    </row>
    <row r="425" spans="1:9">
      <c r="A425">
        <v>1213</v>
      </c>
      <c r="B425">
        <v>1213</v>
      </c>
      <c r="C425" t="s">
        <v>3385</v>
      </c>
      <c r="E425">
        <v>1</v>
      </c>
      <c r="F425">
        <v>9</v>
      </c>
      <c r="G425">
        <v>35</v>
      </c>
      <c r="H425">
        <v>315</v>
      </c>
      <c r="I425">
        <v>266.94915254237287</v>
      </c>
    </row>
    <row r="426" spans="1:9">
      <c r="A426">
        <v>1214</v>
      </c>
      <c r="B426">
        <v>1214</v>
      </c>
      <c r="C426" t="s">
        <v>3386</v>
      </c>
      <c r="E426">
        <v>1</v>
      </c>
      <c r="F426">
        <v>6</v>
      </c>
      <c r="G426">
        <v>1500</v>
      </c>
      <c r="H426">
        <v>9000</v>
      </c>
      <c r="I426">
        <v>7627.1186440677966</v>
      </c>
    </row>
    <row r="427" spans="1:9">
      <c r="A427">
        <v>1215</v>
      </c>
      <c r="B427">
        <v>1215</v>
      </c>
      <c r="C427" t="s">
        <v>3387</v>
      </c>
      <c r="E427">
        <v>1</v>
      </c>
      <c r="F427">
        <v>5</v>
      </c>
      <c r="G427">
        <v>500</v>
      </c>
      <c r="H427">
        <v>2500</v>
      </c>
      <c r="I427">
        <v>2118.6440677966102</v>
      </c>
    </row>
    <row r="428" spans="1:9">
      <c r="A428">
        <v>1216</v>
      </c>
      <c r="B428">
        <v>1216</v>
      </c>
      <c r="C428" t="s">
        <v>3388</v>
      </c>
      <c r="E428">
        <v>1</v>
      </c>
      <c r="F428">
        <v>1</v>
      </c>
      <c r="G428">
        <v>3500</v>
      </c>
      <c r="H428">
        <v>3500</v>
      </c>
      <c r="I428">
        <v>2966.1016949152545</v>
      </c>
    </row>
    <row r="429" spans="1:9">
      <c r="A429">
        <v>1217</v>
      </c>
      <c r="B429">
        <v>1217</v>
      </c>
      <c r="C429" t="s">
        <v>3389</v>
      </c>
      <c r="E429">
        <v>1</v>
      </c>
      <c r="F429">
        <v>3</v>
      </c>
      <c r="G429">
        <v>2650</v>
      </c>
      <c r="H429">
        <v>7950</v>
      </c>
      <c r="I429">
        <v>6737.2881355932204</v>
      </c>
    </row>
    <row r="430" spans="1:9">
      <c r="A430">
        <v>1218</v>
      </c>
      <c r="B430">
        <v>1218</v>
      </c>
      <c r="C430" t="s">
        <v>3390</v>
      </c>
      <c r="E430">
        <v>1</v>
      </c>
      <c r="F430">
        <v>2</v>
      </c>
      <c r="G430">
        <v>10000</v>
      </c>
      <c r="H430">
        <v>20000</v>
      </c>
      <c r="I430">
        <v>16949.152542372882</v>
      </c>
    </row>
    <row r="431" spans="1:9">
      <c r="A431">
        <v>1219</v>
      </c>
      <c r="B431">
        <v>1219</v>
      </c>
      <c r="C431" t="s">
        <v>3391</v>
      </c>
      <c r="E431">
        <v>1</v>
      </c>
      <c r="F431">
        <v>8</v>
      </c>
      <c r="G431">
        <v>70</v>
      </c>
      <c r="H431">
        <v>560</v>
      </c>
      <c r="I431">
        <v>474.57627118644069</v>
      </c>
    </row>
    <row r="432" spans="1:9">
      <c r="A432">
        <v>1221</v>
      </c>
      <c r="B432">
        <v>1221</v>
      </c>
      <c r="C432" t="s">
        <v>3392</v>
      </c>
      <c r="E432">
        <v>1</v>
      </c>
      <c r="F432">
        <v>10</v>
      </c>
      <c r="G432">
        <v>275</v>
      </c>
      <c r="H432">
        <v>2750</v>
      </c>
      <c r="I432">
        <v>2330.5084745762715</v>
      </c>
    </row>
    <row r="433" spans="1:9">
      <c r="A433">
        <v>1222</v>
      </c>
      <c r="B433">
        <v>1222</v>
      </c>
      <c r="C433" t="s">
        <v>3393</v>
      </c>
      <c r="E433">
        <v>1</v>
      </c>
      <c r="F433">
        <v>2</v>
      </c>
      <c r="G433">
        <v>350</v>
      </c>
      <c r="H433">
        <v>700</v>
      </c>
      <c r="I433">
        <v>593.22033898305085</v>
      </c>
    </row>
    <row r="434" spans="1:9">
      <c r="A434">
        <v>1223</v>
      </c>
      <c r="B434">
        <v>1223</v>
      </c>
      <c r="C434" t="s">
        <v>3394</v>
      </c>
      <c r="E434">
        <v>1</v>
      </c>
      <c r="F434">
        <v>8</v>
      </c>
      <c r="G434">
        <v>50</v>
      </c>
      <c r="H434">
        <v>400</v>
      </c>
      <c r="I434">
        <v>338.98305084745766</v>
      </c>
    </row>
    <row r="435" spans="1:9">
      <c r="A435">
        <v>1224</v>
      </c>
      <c r="B435">
        <v>1224</v>
      </c>
      <c r="C435" t="s">
        <v>3395</v>
      </c>
      <c r="E435">
        <v>1</v>
      </c>
      <c r="F435">
        <v>3</v>
      </c>
      <c r="G435">
        <v>90</v>
      </c>
      <c r="H435">
        <v>270</v>
      </c>
      <c r="I435">
        <v>228.81355932203391</v>
      </c>
    </row>
    <row r="436" spans="1:9">
      <c r="A436">
        <v>1225</v>
      </c>
      <c r="B436">
        <v>1225</v>
      </c>
      <c r="C436" t="s">
        <v>3396</v>
      </c>
      <c r="E436">
        <v>1</v>
      </c>
      <c r="F436">
        <v>10</v>
      </c>
      <c r="G436">
        <v>140</v>
      </c>
      <c r="H436">
        <v>1400</v>
      </c>
      <c r="I436">
        <v>1186.4406779661017</v>
      </c>
    </row>
    <row r="437" spans="1:9">
      <c r="A437">
        <v>1226</v>
      </c>
      <c r="B437">
        <v>1226</v>
      </c>
      <c r="C437" t="s">
        <v>3397</v>
      </c>
      <c r="E437">
        <v>1</v>
      </c>
      <c r="F437">
        <v>7</v>
      </c>
      <c r="G437">
        <v>1000</v>
      </c>
      <c r="H437">
        <v>7000</v>
      </c>
      <c r="I437">
        <v>5932.203389830509</v>
      </c>
    </row>
    <row r="438" spans="1:9">
      <c r="A438">
        <v>1227</v>
      </c>
      <c r="B438">
        <v>1227</v>
      </c>
      <c r="C438" t="s">
        <v>3398</v>
      </c>
      <c r="E438">
        <v>1</v>
      </c>
      <c r="F438">
        <v>17</v>
      </c>
      <c r="G438">
        <v>400</v>
      </c>
      <c r="H438">
        <v>6800</v>
      </c>
      <c r="I438">
        <v>5762.7118644067796</v>
      </c>
    </row>
    <row r="439" spans="1:9">
      <c r="A439">
        <v>1228</v>
      </c>
      <c r="B439">
        <v>1228</v>
      </c>
      <c r="C439" t="s">
        <v>3399</v>
      </c>
      <c r="E439">
        <v>1</v>
      </c>
      <c r="F439">
        <v>28</v>
      </c>
      <c r="G439">
        <v>800</v>
      </c>
      <c r="H439">
        <v>22400</v>
      </c>
      <c r="I439">
        <v>18983.050847457627</v>
      </c>
    </row>
    <row r="440" spans="1:9">
      <c r="A440">
        <v>1229</v>
      </c>
      <c r="B440">
        <v>1229</v>
      </c>
      <c r="C440" t="s">
        <v>3400</v>
      </c>
      <c r="E440">
        <v>1</v>
      </c>
      <c r="F440">
        <v>2</v>
      </c>
      <c r="G440">
        <v>2542.37</v>
      </c>
      <c r="H440">
        <v>5084.74</v>
      </c>
      <c r="I440">
        <v>4309.1016949152545</v>
      </c>
    </row>
    <row r="441" spans="1:9">
      <c r="A441">
        <v>1230</v>
      </c>
      <c r="B441">
        <v>1230</v>
      </c>
      <c r="C441" t="s">
        <v>3401</v>
      </c>
      <c r="E441">
        <v>1</v>
      </c>
      <c r="F441">
        <v>25</v>
      </c>
      <c r="G441">
        <v>148.31</v>
      </c>
      <c r="H441">
        <v>3707.75</v>
      </c>
      <c r="I441">
        <v>3142.1610169491528</v>
      </c>
    </row>
    <row r="442" spans="1:9">
      <c r="A442">
        <v>1231</v>
      </c>
      <c r="B442">
        <v>1231</v>
      </c>
      <c r="C442" t="s">
        <v>3402</v>
      </c>
      <c r="E442">
        <v>1</v>
      </c>
      <c r="F442">
        <v>25</v>
      </c>
      <c r="G442">
        <v>148.31</v>
      </c>
      <c r="H442">
        <v>3707.75</v>
      </c>
      <c r="I442">
        <v>3142.1610169491528</v>
      </c>
    </row>
    <row r="443" spans="1:9">
      <c r="A443">
        <v>1234</v>
      </c>
      <c r="B443">
        <v>1234</v>
      </c>
      <c r="C443" t="s">
        <v>3403</v>
      </c>
      <c r="E443">
        <v>1</v>
      </c>
      <c r="F443">
        <v>4</v>
      </c>
      <c r="G443">
        <v>60</v>
      </c>
      <c r="H443">
        <v>240</v>
      </c>
      <c r="I443">
        <v>203.38983050847457</v>
      </c>
    </row>
    <row r="444" spans="1:9">
      <c r="A444">
        <v>1235</v>
      </c>
      <c r="B444">
        <v>1235</v>
      </c>
      <c r="C444" t="s">
        <v>3404</v>
      </c>
      <c r="E444">
        <v>1</v>
      </c>
      <c r="F444">
        <v>2</v>
      </c>
      <c r="G444">
        <v>450</v>
      </c>
      <c r="H444">
        <v>900</v>
      </c>
      <c r="I444">
        <v>762.71186440677968</v>
      </c>
    </row>
    <row r="445" spans="1:9">
      <c r="A445">
        <v>1236</v>
      </c>
      <c r="B445">
        <v>1236</v>
      </c>
      <c r="C445" t="s">
        <v>3405</v>
      </c>
      <c r="E445">
        <v>1</v>
      </c>
      <c r="F445">
        <v>8</v>
      </c>
      <c r="G445">
        <v>40</v>
      </c>
      <c r="H445">
        <v>320</v>
      </c>
      <c r="I445">
        <v>271.18644067796612</v>
      </c>
    </row>
    <row r="446" spans="1:9">
      <c r="A446">
        <v>1237</v>
      </c>
      <c r="B446">
        <v>1237</v>
      </c>
      <c r="C446" t="s">
        <v>3406</v>
      </c>
      <c r="E446">
        <v>1</v>
      </c>
      <c r="F446">
        <v>5</v>
      </c>
      <c r="G446">
        <v>40</v>
      </c>
      <c r="H446">
        <v>200</v>
      </c>
      <c r="I446">
        <v>169.49152542372883</v>
      </c>
    </row>
    <row r="447" spans="1:9">
      <c r="A447">
        <v>1238</v>
      </c>
      <c r="B447">
        <v>1238</v>
      </c>
      <c r="C447" t="s">
        <v>3407</v>
      </c>
      <c r="E447">
        <v>1</v>
      </c>
      <c r="F447">
        <v>15</v>
      </c>
      <c r="G447">
        <v>8.4700000000000006</v>
      </c>
      <c r="H447">
        <v>127.05</v>
      </c>
      <c r="I447">
        <v>107.66949152542374</v>
      </c>
    </row>
    <row r="448" spans="1:9">
      <c r="A448">
        <v>1240</v>
      </c>
      <c r="B448">
        <v>1240</v>
      </c>
      <c r="C448" t="s">
        <v>3408</v>
      </c>
      <c r="E448">
        <v>1</v>
      </c>
      <c r="F448">
        <v>1</v>
      </c>
      <c r="G448">
        <v>1617</v>
      </c>
      <c r="H448">
        <v>1617</v>
      </c>
      <c r="I448">
        <v>1370.3389830508474</v>
      </c>
    </row>
    <row r="449" spans="1:9">
      <c r="A449">
        <v>1241</v>
      </c>
      <c r="B449">
        <v>1241</v>
      </c>
      <c r="C449" t="s">
        <v>3409</v>
      </c>
      <c r="E449">
        <v>1</v>
      </c>
      <c r="F449">
        <v>14</v>
      </c>
      <c r="G449">
        <v>10.17</v>
      </c>
      <c r="H449">
        <v>142.38</v>
      </c>
      <c r="I449">
        <v>120.66101694915254</v>
      </c>
    </row>
    <row r="450" spans="1:9">
      <c r="A450">
        <v>1242</v>
      </c>
      <c r="B450">
        <v>1242</v>
      </c>
      <c r="C450" t="s">
        <v>3410</v>
      </c>
      <c r="E450">
        <v>1</v>
      </c>
      <c r="F450">
        <v>9</v>
      </c>
      <c r="G450">
        <v>150</v>
      </c>
      <c r="H450">
        <v>1350</v>
      </c>
      <c r="I450">
        <v>1144.0677966101696</v>
      </c>
    </row>
    <row r="451" spans="1:9">
      <c r="A451">
        <v>1243</v>
      </c>
      <c r="B451">
        <v>1243</v>
      </c>
      <c r="C451" t="s">
        <v>3411</v>
      </c>
      <c r="E451">
        <v>1</v>
      </c>
      <c r="F451">
        <v>5</v>
      </c>
      <c r="G451">
        <v>63.12</v>
      </c>
      <c r="H451">
        <v>315.60000000000002</v>
      </c>
      <c r="I451">
        <v>267.4576271186441</v>
      </c>
    </row>
    <row r="452" spans="1:9">
      <c r="A452">
        <v>1250</v>
      </c>
      <c r="B452">
        <v>1250</v>
      </c>
      <c r="C452" t="s">
        <v>3412</v>
      </c>
      <c r="E452">
        <v>1</v>
      </c>
      <c r="F452">
        <v>6</v>
      </c>
      <c r="G452">
        <v>338.98</v>
      </c>
      <c r="H452">
        <v>2033.88</v>
      </c>
      <c r="I452">
        <v>1723.6271186440679</v>
      </c>
    </row>
    <row r="453" spans="1:9">
      <c r="A453">
        <v>1251</v>
      </c>
      <c r="B453">
        <v>1251</v>
      </c>
      <c r="C453" t="s">
        <v>3413</v>
      </c>
      <c r="E453">
        <v>1</v>
      </c>
      <c r="F453">
        <v>11</v>
      </c>
      <c r="G453">
        <v>296.61</v>
      </c>
      <c r="H453">
        <v>3262.71</v>
      </c>
      <c r="I453">
        <v>2765.0084745762715</v>
      </c>
    </row>
    <row r="454" spans="1:9">
      <c r="A454">
        <v>1252</v>
      </c>
      <c r="B454">
        <v>1252</v>
      </c>
      <c r="C454" t="s">
        <v>3414</v>
      </c>
      <c r="E454">
        <v>1</v>
      </c>
      <c r="F454">
        <v>7</v>
      </c>
      <c r="G454">
        <v>10440</v>
      </c>
      <c r="H454">
        <v>73080</v>
      </c>
      <c r="I454">
        <v>61932.203389830509</v>
      </c>
    </row>
    <row r="455" spans="1:9">
      <c r="A455">
        <v>1260</v>
      </c>
      <c r="B455">
        <v>1260</v>
      </c>
      <c r="C455" t="s">
        <v>3415</v>
      </c>
      <c r="E455">
        <v>1</v>
      </c>
      <c r="F455">
        <v>4</v>
      </c>
      <c r="G455">
        <v>4755</v>
      </c>
      <c r="H455">
        <v>19020</v>
      </c>
      <c r="I455">
        <v>16118.644067796611</v>
      </c>
    </row>
    <row r="456" spans="1:9">
      <c r="A456" t="s">
        <v>3416</v>
      </c>
      <c r="B456">
        <v>1265</v>
      </c>
      <c r="C456" t="s">
        <v>3417</v>
      </c>
      <c r="E456">
        <v>1</v>
      </c>
      <c r="F456">
        <v>20</v>
      </c>
      <c r="G456">
        <v>55</v>
      </c>
      <c r="H456">
        <v>1100</v>
      </c>
      <c r="I456">
        <v>932.20338983050851</v>
      </c>
    </row>
    <row r="457" spans="1:9">
      <c r="A457">
        <v>1266</v>
      </c>
      <c r="B457">
        <v>1266</v>
      </c>
      <c r="C457" t="s">
        <v>3418</v>
      </c>
      <c r="E457">
        <v>1</v>
      </c>
      <c r="F457">
        <v>1</v>
      </c>
      <c r="G457">
        <v>8450</v>
      </c>
      <c r="H457">
        <v>8450</v>
      </c>
      <c r="I457">
        <v>7161.016949152543</v>
      </c>
    </row>
    <row r="458" spans="1:9">
      <c r="A458">
        <v>1268</v>
      </c>
      <c r="B458">
        <v>1268</v>
      </c>
      <c r="C458" t="s">
        <v>3419</v>
      </c>
      <c r="E458">
        <v>1</v>
      </c>
      <c r="F458">
        <v>2</v>
      </c>
      <c r="G458">
        <v>1000</v>
      </c>
      <c r="H458">
        <v>2000</v>
      </c>
      <c r="I458">
        <v>1694.9152542372883</v>
      </c>
    </row>
    <row r="459" spans="1:9">
      <c r="A459">
        <v>1269</v>
      </c>
      <c r="B459">
        <v>1269</v>
      </c>
      <c r="C459" t="s">
        <v>3420</v>
      </c>
      <c r="E459">
        <v>1</v>
      </c>
      <c r="F459">
        <v>2</v>
      </c>
      <c r="G459">
        <v>600</v>
      </c>
      <c r="H459">
        <v>1200</v>
      </c>
      <c r="I459">
        <v>1016.949152542373</v>
      </c>
    </row>
    <row r="460" spans="1:9">
      <c r="A460">
        <v>1276</v>
      </c>
      <c r="B460">
        <v>1276</v>
      </c>
      <c r="C460" t="s">
        <v>3421</v>
      </c>
      <c r="E460">
        <v>1</v>
      </c>
      <c r="F460">
        <v>6</v>
      </c>
      <c r="G460">
        <v>190</v>
      </c>
      <c r="H460">
        <v>1140</v>
      </c>
      <c r="I460">
        <v>966.10169491525426</v>
      </c>
    </row>
    <row r="461" spans="1:9">
      <c r="A461">
        <v>1278</v>
      </c>
      <c r="B461">
        <v>1278</v>
      </c>
      <c r="C461" t="s">
        <v>3422</v>
      </c>
      <c r="E461">
        <v>1</v>
      </c>
      <c r="F461">
        <v>7</v>
      </c>
      <c r="G461">
        <v>2850</v>
      </c>
      <c r="H461">
        <v>19950</v>
      </c>
      <c r="I461">
        <v>16906.77966101695</v>
      </c>
    </row>
    <row r="462" spans="1:9">
      <c r="A462">
        <v>1287</v>
      </c>
      <c r="B462">
        <v>1287</v>
      </c>
      <c r="C462" t="s">
        <v>3423</v>
      </c>
      <c r="E462">
        <v>1</v>
      </c>
      <c r="F462">
        <v>8</v>
      </c>
      <c r="G462">
        <v>27</v>
      </c>
      <c r="H462">
        <v>216</v>
      </c>
      <c r="I462">
        <v>183.05084745762713</v>
      </c>
    </row>
    <row r="463" spans="1:9">
      <c r="A463">
        <v>1291</v>
      </c>
      <c r="B463">
        <v>1291</v>
      </c>
      <c r="C463" t="s">
        <v>3424</v>
      </c>
      <c r="E463">
        <v>1</v>
      </c>
      <c r="F463">
        <v>16</v>
      </c>
      <c r="G463">
        <v>65</v>
      </c>
      <c r="H463">
        <v>1040</v>
      </c>
      <c r="I463">
        <v>881.3559322033899</v>
      </c>
    </row>
    <row r="464" spans="1:9">
      <c r="A464">
        <v>1295</v>
      </c>
      <c r="B464">
        <v>1295</v>
      </c>
      <c r="C464" t="s">
        <v>3425</v>
      </c>
      <c r="E464">
        <v>1</v>
      </c>
      <c r="F464">
        <v>7</v>
      </c>
      <c r="G464">
        <v>1400</v>
      </c>
      <c r="H464">
        <v>9800</v>
      </c>
      <c r="I464">
        <v>8305.0847457627115</v>
      </c>
    </row>
    <row r="465" spans="1:9">
      <c r="A465">
        <v>1297</v>
      </c>
      <c r="B465">
        <v>1297</v>
      </c>
      <c r="C465" t="s">
        <v>3426</v>
      </c>
      <c r="E465">
        <v>1</v>
      </c>
      <c r="F465">
        <v>3</v>
      </c>
      <c r="G465">
        <v>259</v>
      </c>
      <c r="H465">
        <v>777</v>
      </c>
      <c r="I465">
        <v>658.47457627118649</v>
      </c>
    </row>
    <row r="466" spans="1:9">
      <c r="A466">
        <v>1298</v>
      </c>
      <c r="B466">
        <v>1298</v>
      </c>
      <c r="C466" t="s">
        <v>3427</v>
      </c>
      <c r="E466">
        <v>1</v>
      </c>
      <c r="F466">
        <v>3</v>
      </c>
      <c r="G466">
        <v>259</v>
      </c>
      <c r="H466">
        <v>777</v>
      </c>
      <c r="I466">
        <v>658.47457627118649</v>
      </c>
    </row>
    <row r="467" spans="1:9">
      <c r="A467">
        <v>1302</v>
      </c>
      <c r="B467">
        <v>1302</v>
      </c>
      <c r="C467" t="s">
        <v>3428</v>
      </c>
      <c r="E467">
        <v>1</v>
      </c>
      <c r="F467">
        <v>3</v>
      </c>
      <c r="G467">
        <v>56</v>
      </c>
      <c r="H467">
        <v>168</v>
      </c>
      <c r="I467">
        <v>142.37288135593221</v>
      </c>
    </row>
    <row r="468" spans="1:9">
      <c r="A468">
        <v>1304</v>
      </c>
      <c r="B468">
        <v>1304</v>
      </c>
      <c r="C468" t="s">
        <v>3429</v>
      </c>
      <c r="E468">
        <v>1</v>
      </c>
      <c r="F468">
        <v>1</v>
      </c>
      <c r="G468">
        <v>3372.6</v>
      </c>
      <c r="H468">
        <v>3372.6</v>
      </c>
      <c r="I468">
        <v>2858.1355932203392</v>
      </c>
    </row>
    <row r="469" spans="1:9">
      <c r="A469">
        <v>1305</v>
      </c>
      <c r="B469">
        <v>1305</v>
      </c>
      <c r="C469" t="s">
        <v>3430</v>
      </c>
      <c r="E469">
        <v>1</v>
      </c>
      <c r="F469">
        <v>1</v>
      </c>
      <c r="G469">
        <v>84</v>
      </c>
      <c r="H469">
        <v>84</v>
      </c>
      <c r="I469">
        <v>71.186440677966104</v>
      </c>
    </row>
    <row r="470" spans="1:9">
      <c r="A470">
        <v>1348</v>
      </c>
      <c r="B470">
        <v>1348</v>
      </c>
      <c r="C470" t="s">
        <v>3431</v>
      </c>
      <c r="E470">
        <v>1</v>
      </c>
      <c r="F470">
        <v>10</v>
      </c>
      <c r="G470">
        <v>50</v>
      </c>
      <c r="H470">
        <v>500</v>
      </c>
      <c r="I470">
        <v>423.72881355932208</v>
      </c>
    </row>
    <row r="471" spans="1:9">
      <c r="A471">
        <v>1385</v>
      </c>
      <c r="B471">
        <v>1385</v>
      </c>
      <c r="C471" t="s">
        <v>3432</v>
      </c>
      <c r="E471">
        <v>1</v>
      </c>
      <c r="F471">
        <v>40</v>
      </c>
      <c r="G471">
        <v>8.25</v>
      </c>
      <c r="H471">
        <v>330</v>
      </c>
      <c r="I471">
        <v>279.66101694915255</v>
      </c>
    </row>
    <row r="472" spans="1:9">
      <c r="A472">
        <v>1395</v>
      </c>
      <c r="B472">
        <v>1395</v>
      </c>
      <c r="C472" t="s">
        <v>3433</v>
      </c>
      <c r="E472">
        <v>1</v>
      </c>
      <c r="F472">
        <v>2</v>
      </c>
      <c r="G472">
        <v>385</v>
      </c>
      <c r="H472">
        <v>770</v>
      </c>
      <c r="I472">
        <v>652.54237288135596</v>
      </c>
    </row>
    <row r="473" spans="1:9">
      <c r="A473">
        <v>1400</v>
      </c>
      <c r="B473">
        <v>1400</v>
      </c>
      <c r="C473" t="s">
        <v>3434</v>
      </c>
      <c r="E473">
        <v>1</v>
      </c>
      <c r="F473">
        <v>12</v>
      </c>
      <c r="G473">
        <v>350</v>
      </c>
      <c r="H473">
        <v>4200</v>
      </c>
      <c r="I473">
        <v>3559.3220338983051</v>
      </c>
    </row>
    <row r="474" spans="1:9">
      <c r="A474">
        <v>1410</v>
      </c>
      <c r="B474">
        <v>1410</v>
      </c>
      <c r="C474" t="s">
        <v>3435</v>
      </c>
      <c r="E474">
        <v>1</v>
      </c>
      <c r="F474">
        <v>5</v>
      </c>
      <c r="G474">
        <v>1020</v>
      </c>
      <c r="H474">
        <v>5100</v>
      </c>
      <c r="I474">
        <v>4322.0338983050851</v>
      </c>
    </row>
    <row r="475" spans="1:9">
      <c r="A475">
        <v>1413</v>
      </c>
      <c r="B475">
        <v>1413</v>
      </c>
      <c r="C475" t="s">
        <v>3436</v>
      </c>
      <c r="E475">
        <v>1</v>
      </c>
      <c r="F475">
        <v>7</v>
      </c>
      <c r="G475">
        <v>160</v>
      </c>
      <c r="H475">
        <v>1120</v>
      </c>
      <c r="I475">
        <v>949.15254237288138</v>
      </c>
    </row>
    <row r="476" spans="1:9">
      <c r="A476">
        <v>1415</v>
      </c>
      <c r="B476">
        <v>1415</v>
      </c>
      <c r="C476" t="s">
        <v>3437</v>
      </c>
      <c r="E476">
        <v>1</v>
      </c>
      <c r="F476">
        <v>21</v>
      </c>
      <c r="G476">
        <v>60</v>
      </c>
      <c r="H476">
        <v>1260</v>
      </c>
      <c r="I476">
        <v>1067.7966101694915</v>
      </c>
    </row>
    <row r="477" spans="1:9">
      <c r="A477">
        <v>1416</v>
      </c>
      <c r="B477">
        <v>1416</v>
      </c>
      <c r="C477" t="s">
        <v>3438</v>
      </c>
      <c r="E477">
        <v>1</v>
      </c>
      <c r="F477">
        <v>4</v>
      </c>
      <c r="G477">
        <v>385</v>
      </c>
      <c r="H477">
        <v>1540</v>
      </c>
      <c r="I477">
        <v>1305.0847457627119</v>
      </c>
    </row>
    <row r="478" spans="1:9">
      <c r="A478">
        <v>1417</v>
      </c>
      <c r="B478">
        <v>1417</v>
      </c>
      <c r="C478" t="s">
        <v>3439</v>
      </c>
      <c r="E478">
        <v>1</v>
      </c>
      <c r="F478">
        <v>3</v>
      </c>
      <c r="G478">
        <v>135</v>
      </c>
      <c r="H478">
        <v>405</v>
      </c>
      <c r="I478">
        <v>343.22033898305085</v>
      </c>
    </row>
    <row r="479" spans="1:9">
      <c r="A479">
        <v>1418</v>
      </c>
      <c r="B479">
        <v>1418</v>
      </c>
      <c r="C479" t="s">
        <v>3440</v>
      </c>
      <c r="E479">
        <v>1</v>
      </c>
      <c r="F479">
        <v>131</v>
      </c>
      <c r="G479">
        <v>83.33</v>
      </c>
      <c r="H479">
        <v>10916.23</v>
      </c>
      <c r="I479">
        <v>9251.0423728813566</v>
      </c>
    </row>
    <row r="480" spans="1:9">
      <c r="A480">
        <v>1419</v>
      </c>
      <c r="B480">
        <v>1419</v>
      </c>
      <c r="C480" t="s">
        <v>3441</v>
      </c>
      <c r="E480">
        <v>1</v>
      </c>
      <c r="F480">
        <v>2</v>
      </c>
      <c r="G480">
        <v>950</v>
      </c>
      <c r="H480">
        <v>1900</v>
      </c>
      <c r="I480">
        <v>1610.1694915254238</v>
      </c>
    </row>
    <row r="481" spans="1:9">
      <c r="A481">
        <v>1420</v>
      </c>
      <c r="B481">
        <v>1420</v>
      </c>
      <c r="C481" t="s">
        <v>3442</v>
      </c>
      <c r="E481">
        <v>1</v>
      </c>
      <c r="F481">
        <v>15</v>
      </c>
      <c r="G481">
        <v>762.71</v>
      </c>
      <c r="H481">
        <v>11440.65</v>
      </c>
      <c r="I481">
        <v>9695.4661016949158</v>
      </c>
    </row>
    <row r="482" spans="1:9">
      <c r="A482">
        <v>1421</v>
      </c>
      <c r="B482">
        <v>1421</v>
      </c>
      <c r="C482" t="s">
        <v>3443</v>
      </c>
      <c r="E482">
        <v>1</v>
      </c>
      <c r="F482">
        <v>4</v>
      </c>
      <c r="G482">
        <v>8500</v>
      </c>
      <c r="H482">
        <v>34000</v>
      </c>
      <c r="I482">
        <v>28813.5593220339</v>
      </c>
    </row>
    <row r="483" spans="1:9">
      <c r="A483">
        <v>1422</v>
      </c>
      <c r="B483">
        <v>1422</v>
      </c>
      <c r="C483" t="s">
        <v>3444</v>
      </c>
      <c r="E483">
        <v>1</v>
      </c>
      <c r="F483">
        <v>7</v>
      </c>
      <c r="G483">
        <v>950</v>
      </c>
      <c r="H483">
        <v>6650</v>
      </c>
      <c r="I483">
        <v>5635.593220338983</v>
      </c>
    </row>
    <row r="484" spans="1:9">
      <c r="A484">
        <v>1423</v>
      </c>
      <c r="B484">
        <v>1423</v>
      </c>
      <c r="C484" t="s">
        <v>3445</v>
      </c>
      <c r="E484">
        <v>1</v>
      </c>
      <c r="F484">
        <v>10</v>
      </c>
      <c r="G484">
        <v>1200</v>
      </c>
      <c r="H484">
        <v>12000</v>
      </c>
      <c r="I484">
        <v>10169.491525423729</v>
      </c>
    </row>
    <row r="485" spans="1:9">
      <c r="A485">
        <v>1424</v>
      </c>
      <c r="B485">
        <v>1424</v>
      </c>
      <c r="C485" t="s">
        <v>3446</v>
      </c>
      <c r="E485">
        <v>1</v>
      </c>
      <c r="F485">
        <v>6</v>
      </c>
      <c r="G485">
        <v>3300</v>
      </c>
      <c r="H485">
        <v>19800</v>
      </c>
      <c r="I485">
        <v>16779.661016949154</v>
      </c>
    </row>
    <row r="486" spans="1:9">
      <c r="A486">
        <v>1425</v>
      </c>
      <c r="B486">
        <v>1425</v>
      </c>
      <c r="C486" t="s">
        <v>3447</v>
      </c>
      <c r="E486">
        <v>1</v>
      </c>
      <c r="F486">
        <v>1</v>
      </c>
      <c r="G486">
        <v>5300</v>
      </c>
      <c r="H486">
        <v>5300</v>
      </c>
      <c r="I486">
        <v>4491.5254237288136</v>
      </c>
    </row>
    <row r="487" spans="1:9">
      <c r="A487">
        <v>1426</v>
      </c>
      <c r="B487">
        <v>1426</v>
      </c>
      <c r="C487" t="s">
        <v>3448</v>
      </c>
      <c r="E487">
        <v>1</v>
      </c>
      <c r="F487">
        <v>192</v>
      </c>
      <c r="G487">
        <v>14.2</v>
      </c>
      <c r="H487">
        <v>2726.4</v>
      </c>
      <c r="I487">
        <v>2310.5084745762715</v>
      </c>
    </row>
    <row r="488" spans="1:9">
      <c r="A488">
        <v>1427</v>
      </c>
      <c r="B488">
        <v>1427</v>
      </c>
      <c r="C488" t="s">
        <v>3449</v>
      </c>
      <c r="E488">
        <v>1</v>
      </c>
      <c r="F488">
        <v>50</v>
      </c>
      <c r="G488">
        <v>23.36</v>
      </c>
      <c r="H488">
        <v>1168</v>
      </c>
      <c r="I488">
        <v>989.83050847457628</v>
      </c>
    </row>
    <row r="489" spans="1:9">
      <c r="A489">
        <v>1428</v>
      </c>
      <c r="B489">
        <v>1428</v>
      </c>
      <c r="C489" t="s">
        <v>3450</v>
      </c>
      <c r="E489">
        <v>1</v>
      </c>
      <c r="F489">
        <v>15</v>
      </c>
      <c r="G489">
        <v>26.17</v>
      </c>
      <c r="H489">
        <v>392.55</v>
      </c>
      <c r="I489">
        <v>332.66949152542378</v>
      </c>
    </row>
    <row r="490" spans="1:9">
      <c r="A490">
        <v>1429</v>
      </c>
      <c r="B490">
        <v>1429</v>
      </c>
      <c r="C490" t="s">
        <v>3451</v>
      </c>
      <c r="E490">
        <v>1</v>
      </c>
      <c r="F490">
        <v>10</v>
      </c>
      <c r="G490">
        <v>78</v>
      </c>
      <c r="H490">
        <v>780</v>
      </c>
      <c r="I490">
        <v>661.01694915254245</v>
      </c>
    </row>
    <row r="491" spans="1:9">
      <c r="A491">
        <v>1430</v>
      </c>
      <c r="B491">
        <v>1430</v>
      </c>
      <c r="C491" t="s">
        <v>3452</v>
      </c>
      <c r="E491">
        <v>1</v>
      </c>
      <c r="F491">
        <v>10</v>
      </c>
      <c r="G491">
        <v>85</v>
      </c>
      <c r="H491">
        <v>850</v>
      </c>
      <c r="I491">
        <v>720.33898305084745</v>
      </c>
    </row>
    <row r="492" spans="1:9">
      <c r="A492">
        <v>1432</v>
      </c>
      <c r="B492">
        <v>1432</v>
      </c>
      <c r="C492" t="s">
        <v>3453</v>
      </c>
      <c r="E492">
        <v>1</v>
      </c>
      <c r="F492">
        <v>12</v>
      </c>
      <c r="G492">
        <v>1608.47</v>
      </c>
      <c r="H492">
        <v>19301.64</v>
      </c>
      <c r="I492">
        <v>16357.322033898305</v>
      </c>
    </row>
    <row r="493" spans="1:9">
      <c r="A493">
        <v>1433</v>
      </c>
      <c r="B493">
        <v>1433</v>
      </c>
      <c r="C493" t="s">
        <v>3454</v>
      </c>
      <c r="E493">
        <v>1</v>
      </c>
      <c r="F493">
        <v>10</v>
      </c>
      <c r="G493">
        <v>58</v>
      </c>
      <c r="H493">
        <v>580</v>
      </c>
      <c r="I493">
        <v>491.52542372881356</v>
      </c>
    </row>
    <row r="494" spans="1:9">
      <c r="A494">
        <v>1434</v>
      </c>
      <c r="B494">
        <v>1434</v>
      </c>
      <c r="C494" t="s">
        <v>3455</v>
      </c>
      <c r="E494">
        <v>1</v>
      </c>
      <c r="F494">
        <v>25</v>
      </c>
      <c r="G494">
        <v>35</v>
      </c>
      <c r="H494">
        <v>875</v>
      </c>
      <c r="I494">
        <v>741.52542372881362</v>
      </c>
    </row>
    <row r="495" spans="1:9">
      <c r="A495">
        <v>1435</v>
      </c>
      <c r="B495">
        <v>1435</v>
      </c>
      <c r="C495" t="s">
        <v>3456</v>
      </c>
      <c r="E495">
        <v>1</v>
      </c>
      <c r="F495">
        <v>10</v>
      </c>
      <c r="G495">
        <v>150</v>
      </c>
      <c r="H495">
        <v>1500</v>
      </c>
      <c r="I495">
        <v>1271.1864406779662</v>
      </c>
    </row>
    <row r="496" spans="1:9">
      <c r="A496">
        <v>1436</v>
      </c>
      <c r="B496">
        <v>1436</v>
      </c>
      <c r="C496" t="s">
        <v>3457</v>
      </c>
      <c r="E496">
        <v>1</v>
      </c>
      <c r="F496">
        <v>15</v>
      </c>
      <c r="G496">
        <v>500</v>
      </c>
      <c r="H496">
        <v>7500</v>
      </c>
      <c r="I496">
        <v>6355.9322033898306</v>
      </c>
    </row>
    <row r="497" spans="1:9">
      <c r="A497">
        <v>1437</v>
      </c>
      <c r="B497">
        <v>1437</v>
      </c>
      <c r="C497" t="s">
        <v>3458</v>
      </c>
      <c r="E497">
        <v>1</v>
      </c>
      <c r="F497">
        <v>12</v>
      </c>
      <c r="G497">
        <v>850</v>
      </c>
      <c r="H497">
        <v>10200</v>
      </c>
      <c r="I497">
        <v>8644.0677966101703</v>
      </c>
    </row>
    <row r="498" spans="1:9">
      <c r="A498">
        <v>1438</v>
      </c>
      <c r="B498">
        <v>1438</v>
      </c>
      <c r="C498" t="s">
        <v>3459</v>
      </c>
      <c r="E498">
        <v>1</v>
      </c>
      <c r="F498">
        <v>10</v>
      </c>
      <c r="G498">
        <v>190</v>
      </c>
      <c r="H498">
        <v>1900</v>
      </c>
      <c r="I498">
        <v>1610.1694915254238</v>
      </c>
    </row>
    <row r="499" spans="1:9">
      <c r="A499">
        <v>1439</v>
      </c>
      <c r="B499">
        <v>1439</v>
      </c>
      <c r="C499" t="s">
        <v>3460</v>
      </c>
      <c r="E499">
        <v>1</v>
      </c>
      <c r="F499">
        <v>10</v>
      </c>
      <c r="G499">
        <v>485</v>
      </c>
      <c r="H499">
        <v>4850</v>
      </c>
      <c r="I499">
        <v>4110.1694915254238</v>
      </c>
    </row>
    <row r="500" spans="1:9">
      <c r="A500">
        <v>1440</v>
      </c>
      <c r="B500">
        <v>1440</v>
      </c>
      <c r="C500" t="s">
        <v>3461</v>
      </c>
      <c r="E500">
        <v>1</v>
      </c>
      <c r="F500">
        <v>10</v>
      </c>
      <c r="G500">
        <v>864</v>
      </c>
      <c r="H500">
        <v>8640</v>
      </c>
      <c r="I500">
        <v>7322.0338983050851</v>
      </c>
    </row>
    <row r="501" spans="1:9">
      <c r="A501">
        <v>1441</v>
      </c>
      <c r="B501">
        <v>1441</v>
      </c>
      <c r="C501" t="s">
        <v>3462</v>
      </c>
      <c r="E501">
        <v>1</v>
      </c>
      <c r="F501">
        <v>24</v>
      </c>
      <c r="G501">
        <v>275</v>
      </c>
      <c r="H501">
        <v>6600</v>
      </c>
      <c r="I501">
        <v>5593.2203389830511</v>
      </c>
    </row>
    <row r="502" spans="1:9">
      <c r="A502">
        <v>1442</v>
      </c>
      <c r="B502">
        <v>1442</v>
      </c>
      <c r="C502" t="s">
        <v>3463</v>
      </c>
      <c r="E502">
        <v>1</v>
      </c>
      <c r="F502">
        <v>30</v>
      </c>
      <c r="G502">
        <v>850</v>
      </c>
      <c r="H502">
        <v>25500</v>
      </c>
      <c r="I502">
        <v>21610.169491525427</v>
      </c>
    </row>
    <row r="503" spans="1:9">
      <c r="A503">
        <v>1443</v>
      </c>
      <c r="B503">
        <v>1443</v>
      </c>
      <c r="C503" t="s">
        <v>3464</v>
      </c>
      <c r="E503">
        <v>1</v>
      </c>
      <c r="F503">
        <v>50</v>
      </c>
      <c r="G503">
        <v>65</v>
      </c>
      <c r="H503">
        <v>3250</v>
      </c>
      <c r="I503">
        <v>2754.2372881355932</v>
      </c>
    </row>
    <row r="504" spans="1:9">
      <c r="A504">
        <v>1444</v>
      </c>
      <c r="B504">
        <v>1444</v>
      </c>
      <c r="C504" t="s">
        <v>3465</v>
      </c>
      <c r="E504">
        <v>1</v>
      </c>
      <c r="F504">
        <v>65</v>
      </c>
      <c r="G504">
        <v>1475</v>
      </c>
      <c r="H504">
        <v>95875</v>
      </c>
      <c r="I504">
        <v>81250</v>
      </c>
    </row>
    <row r="505" spans="1:9">
      <c r="A505">
        <v>1445</v>
      </c>
      <c r="B505">
        <v>1445</v>
      </c>
      <c r="C505" t="s">
        <v>3466</v>
      </c>
      <c r="E505">
        <v>1</v>
      </c>
      <c r="F505">
        <v>15</v>
      </c>
      <c r="G505">
        <v>95</v>
      </c>
      <c r="H505">
        <v>1425</v>
      </c>
      <c r="I505">
        <v>1207.6271186440679</v>
      </c>
    </row>
    <row r="506" spans="1:9">
      <c r="A506">
        <v>1447</v>
      </c>
      <c r="B506">
        <v>1447</v>
      </c>
      <c r="C506" t="s">
        <v>3467</v>
      </c>
      <c r="E506">
        <v>1</v>
      </c>
      <c r="F506">
        <v>12</v>
      </c>
      <c r="G506">
        <v>230</v>
      </c>
      <c r="H506">
        <v>2760</v>
      </c>
      <c r="I506">
        <v>2338.9830508474579</v>
      </c>
    </row>
    <row r="507" spans="1:9">
      <c r="A507">
        <v>1448</v>
      </c>
      <c r="B507">
        <v>1448</v>
      </c>
      <c r="C507" t="s">
        <v>3468</v>
      </c>
      <c r="E507">
        <v>1</v>
      </c>
      <c r="F507">
        <v>15</v>
      </c>
      <c r="G507">
        <v>548</v>
      </c>
      <c r="H507">
        <v>8220</v>
      </c>
      <c r="I507">
        <v>6966.1016949152545</v>
      </c>
    </row>
    <row r="508" spans="1:9">
      <c r="A508">
        <v>1449</v>
      </c>
      <c r="B508">
        <v>1449</v>
      </c>
      <c r="C508" t="s">
        <v>3469</v>
      </c>
      <c r="E508">
        <v>1</v>
      </c>
      <c r="F508">
        <v>15</v>
      </c>
      <c r="G508">
        <v>60</v>
      </c>
      <c r="H508">
        <v>900</v>
      </c>
      <c r="I508">
        <v>762.71186440677968</v>
      </c>
    </row>
    <row r="509" spans="1:9">
      <c r="A509">
        <v>1450</v>
      </c>
      <c r="B509">
        <v>1450</v>
      </c>
      <c r="C509" t="s">
        <v>3470</v>
      </c>
      <c r="E509">
        <v>1</v>
      </c>
      <c r="F509">
        <v>7</v>
      </c>
      <c r="G509">
        <v>3700</v>
      </c>
      <c r="H509">
        <v>25900</v>
      </c>
      <c r="I509">
        <v>21949.152542372882</v>
      </c>
    </row>
    <row r="510" spans="1:9">
      <c r="A510">
        <v>1455</v>
      </c>
      <c r="B510">
        <v>1455</v>
      </c>
      <c r="C510" t="s">
        <v>3471</v>
      </c>
      <c r="E510">
        <v>1</v>
      </c>
      <c r="F510">
        <v>6</v>
      </c>
      <c r="G510">
        <v>618</v>
      </c>
      <c r="H510">
        <v>3708</v>
      </c>
      <c r="I510">
        <v>3142.3728813559323</v>
      </c>
    </row>
    <row r="511" spans="1:9">
      <c r="A511">
        <v>1456</v>
      </c>
      <c r="B511">
        <v>1456</v>
      </c>
      <c r="C511" t="s">
        <v>3472</v>
      </c>
      <c r="E511">
        <v>1</v>
      </c>
      <c r="F511">
        <v>6</v>
      </c>
      <c r="G511">
        <v>927</v>
      </c>
      <c r="H511">
        <v>5562</v>
      </c>
      <c r="I511">
        <v>4713.5593220338988</v>
      </c>
    </row>
    <row r="512" spans="1:9">
      <c r="A512">
        <v>1458</v>
      </c>
      <c r="B512">
        <v>1458</v>
      </c>
      <c r="C512" t="s">
        <v>3473</v>
      </c>
      <c r="E512">
        <v>1</v>
      </c>
      <c r="F512">
        <v>1</v>
      </c>
      <c r="G512">
        <v>1300</v>
      </c>
      <c r="H512">
        <v>1300</v>
      </c>
      <c r="I512">
        <v>1101.6949152542375</v>
      </c>
    </row>
    <row r="513" spans="1:9">
      <c r="A513">
        <v>1460</v>
      </c>
      <c r="B513">
        <v>1460</v>
      </c>
      <c r="C513" t="s">
        <v>3474</v>
      </c>
      <c r="E513">
        <v>1</v>
      </c>
      <c r="F513">
        <v>1</v>
      </c>
      <c r="G513">
        <v>200</v>
      </c>
      <c r="H513">
        <v>200</v>
      </c>
      <c r="I513">
        <v>169.49152542372883</v>
      </c>
    </row>
    <row r="514" spans="1:9">
      <c r="A514">
        <v>1461</v>
      </c>
      <c r="B514">
        <v>1461</v>
      </c>
      <c r="C514" t="s">
        <v>3475</v>
      </c>
      <c r="E514">
        <v>1</v>
      </c>
      <c r="F514">
        <v>1</v>
      </c>
      <c r="G514">
        <v>200</v>
      </c>
      <c r="H514">
        <v>200</v>
      </c>
      <c r="I514">
        <v>169.49152542372883</v>
      </c>
    </row>
    <row r="515" spans="1:9">
      <c r="A515">
        <v>1462</v>
      </c>
      <c r="B515">
        <v>1462</v>
      </c>
      <c r="C515" t="s">
        <v>3476</v>
      </c>
      <c r="E515">
        <v>1</v>
      </c>
      <c r="F515">
        <v>5</v>
      </c>
      <c r="G515">
        <v>185</v>
      </c>
      <c r="H515">
        <v>925</v>
      </c>
      <c r="I515">
        <v>783.89830508474586</v>
      </c>
    </row>
    <row r="516" spans="1:9">
      <c r="A516">
        <v>1463</v>
      </c>
      <c r="B516">
        <v>1463</v>
      </c>
      <c r="C516" t="s">
        <v>3477</v>
      </c>
      <c r="E516">
        <v>1</v>
      </c>
      <c r="F516">
        <v>6</v>
      </c>
      <c r="G516">
        <v>375</v>
      </c>
      <c r="H516">
        <v>2250</v>
      </c>
      <c r="I516">
        <v>1906.7796610169491</v>
      </c>
    </row>
    <row r="517" spans="1:9">
      <c r="A517">
        <v>1470</v>
      </c>
      <c r="B517">
        <v>1470</v>
      </c>
      <c r="C517" t="s">
        <v>3478</v>
      </c>
      <c r="E517">
        <v>1</v>
      </c>
      <c r="F517">
        <v>3</v>
      </c>
      <c r="G517">
        <v>400</v>
      </c>
      <c r="H517">
        <v>1200</v>
      </c>
      <c r="I517">
        <v>1016.949152542373</v>
      </c>
    </row>
    <row r="518" spans="1:9">
      <c r="A518">
        <v>1475</v>
      </c>
      <c r="B518">
        <v>1475</v>
      </c>
      <c r="C518" t="s">
        <v>3479</v>
      </c>
      <c r="E518">
        <v>1</v>
      </c>
      <c r="F518">
        <v>8</v>
      </c>
      <c r="G518">
        <v>60</v>
      </c>
      <c r="H518">
        <v>480</v>
      </c>
      <c r="I518">
        <v>406.77966101694915</v>
      </c>
    </row>
    <row r="519" spans="1:9">
      <c r="A519">
        <v>1476</v>
      </c>
      <c r="B519">
        <v>1476</v>
      </c>
      <c r="C519" t="s">
        <v>3480</v>
      </c>
      <c r="E519">
        <v>1</v>
      </c>
      <c r="F519">
        <v>10</v>
      </c>
      <c r="G519">
        <v>75</v>
      </c>
      <c r="H519">
        <v>750</v>
      </c>
      <c r="I519">
        <v>635.59322033898309</v>
      </c>
    </row>
    <row r="520" spans="1:9">
      <c r="A520">
        <v>1477</v>
      </c>
      <c r="B520">
        <v>1477</v>
      </c>
      <c r="C520" t="s">
        <v>3481</v>
      </c>
      <c r="E520">
        <v>1</v>
      </c>
      <c r="F520">
        <v>30</v>
      </c>
      <c r="G520">
        <v>60</v>
      </c>
      <c r="H520">
        <v>1800</v>
      </c>
      <c r="I520">
        <v>1525.4237288135594</v>
      </c>
    </row>
    <row r="521" spans="1:9">
      <c r="A521">
        <v>1478</v>
      </c>
      <c r="B521">
        <v>1478</v>
      </c>
      <c r="C521" t="s">
        <v>3482</v>
      </c>
      <c r="E521">
        <v>1</v>
      </c>
      <c r="F521">
        <v>45</v>
      </c>
      <c r="G521">
        <v>98.33</v>
      </c>
      <c r="H521">
        <v>4424.8500000000004</v>
      </c>
      <c r="I521">
        <v>3749.8728813559328</v>
      </c>
    </row>
    <row r="522" spans="1:9">
      <c r="A522">
        <v>1479</v>
      </c>
      <c r="B522">
        <v>1479</v>
      </c>
      <c r="C522" t="s">
        <v>3483</v>
      </c>
      <c r="E522">
        <v>1</v>
      </c>
      <c r="F522">
        <v>10</v>
      </c>
      <c r="G522">
        <v>60</v>
      </c>
      <c r="H522">
        <v>600</v>
      </c>
      <c r="I522">
        <v>508.47457627118649</v>
      </c>
    </row>
    <row r="523" spans="1:9">
      <c r="A523">
        <v>1482</v>
      </c>
      <c r="B523">
        <v>1482</v>
      </c>
      <c r="C523" t="s">
        <v>3484</v>
      </c>
      <c r="E523">
        <v>1</v>
      </c>
      <c r="F523">
        <v>20</v>
      </c>
      <c r="G523">
        <v>387</v>
      </c>
      <c r="H523">
        <v>7740</v>
      </c>
      <c r="I523">
        <v>6559.3220338983056</v>
      </c>
    </row>
    <row r="524" spans="1:9">
      <c r="A524">
        <v>1483</v>
      </c>
      <c r="B524">
        <v>1483</v>
      </c>
      <c r="C524" t="s">
        <v>3485</v>
      </c>
      <c r="E524">
        <v>1</v>
      </c>
      <c r="F524">
        <v>1</v>
      </c>
      <c r="G524">
        <v>5256.9</v>
      </c>
      <c r="H524">
        <v>5256.9</v>
      </c>
      <c r="I524">
        <v>4455</v>
      </c>
    </row>
    <row r="525" spans="1:9">
      <c r="A525">
        <v>1484</v>
      </c>
      <c r="B525">
        <v>1484</v>
      </c>
      <c r="C525" t="s">
        <v>3486</v>
      </c>
      <c r="E525">
        <v>1</v>
      </c>
      <c r="F525">
        <v>1</v>
      </c>
      <c r="G525">
        <v>3998.43</v>
      </c>
      <c r="H525">
        <v>3998.43</v>
      </c>
      <c r="I525">
        <v>3388.5</v>
      </c>
    </row>
    <row r="526" spans="1:9">
      <c r="A526">
        <v>1486</v>
      </c>
      <c r="B526">
        <v>1486</v>
      </c>
      <c r="C526" t="s">
        <v>3487</v>
      </c>
      <c r="E526">
        <v>1</v>
      </c>
      <c r="F526">
        <v>11</v>
      </c>
      <c r="G526">
        <v>1067.31</v>
      </c>
      <c r="H526">
        <v>11740.41</v>
      </c>
      <c r="I526">
        <v>9949.5</v>
      </c>
    </row>
    <row r="527" spans="1:9">
      <c r="A527">
        <v>1487</v>
      </c>
      <c r="B527">
        <v>1487</v>
      </c>
      <c r="C527" t="s">
        <v>3488</v>
      </c>
      <c r="E527">
        <v>1</v>
      </c>
      <c r="F527">
        <v>2</v>
      </c>
      <c r="G527">
        <v>1274.4000000000001</v>
      </c>
      <c r="H527">
        <v>2548.8000000000002</v>
      </c>
      <c r="I527">
        <v>2160.0000000000005</v>
      </c>
    </row>
    <row r="528" spans="1:9">
      <c r="A528">
        <v>1490</v>
      </c>
      <c r="B528">
        <v>1490</v>
      </c>
      <c r="C528" t="s">
        <v>3489</v>
      </c>
      <c r="E528">
        <v>1</v>
      </c>
      <c r="F528">
        <v>1</v>
      </c>
      <c r="G528">
        <v>42692.4</v>
      </c>
      <c r="H528">
        <v>42692.4</v>
      </c>
      <c r="I528">
        <v>36180</v>
      </c>
    </row>
    <row r="529" spans="1:9">
      <c r="A529">
        <v>1491</v>
      </c>
      <c r="B529">
        <v>1491</v>
      </c>
      <c r="C529" t="s">
        <v>3490</v>
      </c>
      <c r="E529">
        <v>1</v>
      </c>
      <c r="F529">
        <v>3</v>
      </c>
      <c r="G529">
        <v>7434</v>
      </c>
      <c r="H529">
        <v>22302</v>
      </c>
      <c r="I529">
        <v>18900</v>
      </c>
    </row>
    <row r="530" spans="1:9">
      <c r="A530">
        <v>1492</v>
      </c>
      <c r="B530">
        <v>1492</v>
      </c>
      <c r="C530" t="s">
        <v>3491</v>
      </c>
      <c r="E530">
        <v>1</v>
      </c>
      <c r="F530">
        <v>1</v>
      </c>
      <c r="G530">
        <v>1300</v>
      </c>
      <c r="H530">
        <v>1300</v>
      </c>
      <c r="I530">
        <v>1101.6949152542375</v>
      </c>
    </row>
    <row r="531" spans="1:9">
      <c r="A531">
        <v>1494</v>
      </c>
      <c r="B531">
        <v>1494</v>
      </c>
      <c r="C531" t="s">
        <v>3492</v>
      </c>
      <c r="E531">
        <v>1</v>
      </c>
      <c r="F531">
        <v>20</v>
      </c>
      <c r="G531">
        <v>35</v>
      </c>
      <c r="H531">
        <v>700</v>
      </c>
      <c r="I531">
        <v>593.22033898305085</v>
      </c>
    </row>
    <row r="532" spans="1:9">
      <c r="A532">
        <v>1495</v>
      </c>
      <c r="B532">
        <v>1495</v>
      </c>
      <c r="C532" t="s">
        <v>3493</v>
      </c>
      <c r="E532">
        <v>1</v>
      </c>
      <c r="F532">
        <v>10</v>
      </c>
      <c r="G532">
        <v>30</v>
      </c>
      <c r="H532">
        <v>300</v>
      </c>
      <c r="I532">
        <v>254.23728813559325</v>
      </c>
    </row>
    <row r="533" spans="1:9">
      <c r="A533">
        <v>1496</v>
      </c>
      <c r="B533">
        <v>1496</v>
      </c>
      <c r="C533" t="s">
        <v>3494</v>
      </c>
      <c r="E533">
        <v>1</v>
      </c>
      <c r="F533">
        <v>5</v>
      </c>
      <c r="G533">
        <v>170</v>
      </c>
      <c r="H533">
        <v>850</v>
      </c>
      <c r="I533">
        <v>720.33898305084745</v>
      </c>
    </row>
    <row r="534" spans="1:9">
      <c r="A534">
        <v>1499</v>
      </c>
      <c r="B534">
        <v>1499</v>
      </c>
      <c r="C534" t="s">
        <v>3495</v>
      </c>
      <c r="E534">
        <v>1</v>
      </c>
      <c r="F534">
        <v>6</v>
      </c>
      <c r="G534">
        <v>6000</v>
      </c>
      <c r="H534">
        <v>36000</v>
      </c>
      <c r="I534">
        <v>30508.474576271186</v>
      </c>
    </row>
    <row r="535" spans="1:9">
      <c r="A535">
        <v>1500</v>
      </c>
      <c r="B535">
        <v>1500</v>
      </c>
      <c r="C535" t="s">
        <v>3496</v>
      </c>
      <c r="E535">
        <v>1</v>
      </c>
      <c r="F535">
        <v>2</v>
      </c>
      <c r="G535">
        <v>2000</v>
      </c>
      <c r="H535">
        <v>4000</v>
      </c>
      <c r="I535">
        <v>3389.8305084745766</v>
      </c>
    </row>
    <row r="536" spans="1:9">
      <c r="A536">
        <v>1503</v>
      </c>
      <c r="B536">
        <v>1503</v>
      </c>
      <c r="C536" t="s">
        <v>3497</v>
      </c>
      <c r="E536">
        <v>1</v>
      </c>
      <c r="F536">
        <v>7</v>
      </c>
      <c r="G536">
        <v>100</v>
      </c>
      <c r="H536">
        <v>700</v>
      </c>
      <c r="I536">
        <v>593.22033898305085</v>
      </c>
    </row>
    <row r="537" spans="1:9">
      <c r="A537">
        <v>1505</v>
      </c>
      <c r="B537">
        <v>1505</v>
      </c>
      <c r="C537" t="s">
        <v>3498</v>
      </c>
      <c r="E537">
        <v>1</v>
      </c>
      <c r="F537">
        <v>1</v>
      </c>
      <c r="G537">
        <v>200</v>
      </c>
      <c r="H537">
        <v>200</v>
      </c>
      <c r="I537">
        <v>169.49152542372883</v>
      </c>
    </row>
    <row r="538" spans="1:9">
      <c r="A538">
        <v>1506</v>
      </c>
      <c r="B538">
        <v>1506</v>
      </c>
      <c r="C538" t="s">
        <v>3499</v>
      </c>
      <c r="E538">
        <v>1</v>
      </c>
      <c r="F538">
        <v>2</v>
      </c>
      <c r="G538">
        <v>290</v>
      </c>
      <c r="H538">
        <v>580</v>
      </c>
      <c r="I538">
        <v>491.52542372881356</v>
      </c>
    </row>
    <row r="539" spans="1:9">
      <c r="A539">
        <v>1520</v>
      </c>
      <c r="B539">
        <v>1520</v>
      </c>
      <c r="C539" t="s">
        <v>3500</v>
      </c>
      <c r="E539">
        <v>1</v>
      </c>
      <c r="F539">
        <v>15</v>
      </c>
      <c r="G539">
        <v>485.07</v>
      </c>
      <c r="H539">
        <v>7276.05</v>
      </c>
      <c r="I539">
        <v>6166.1440677966102</v>
      </c>
    </row>
    <row r="540" spans="1:9">
      <c r="A540">
        <v>1521</v>
      </c>
      <c r="B540">
        <v>1521</v>
      </c>
      <c r="C540" t="s">
        <v>3501</v>
      </c>
      <c r="E540">
        <v>1</v>
      </c>
      <c r="F540">
        <v>30</v>
      </c>
      <c r="G540">
        <v>712.43</v>
      </c>
      <c r="H540">
        <v>21372.9</v>
      </c>
      <c r="I540">
        <v>18112.627118644072</v>
      </c>
    </row>
    <row r="541" spans="1:9">
      <c r="A541">
        <v>1522</v>
      </c>
      <c r="B541">
        <v>1522</v>
      </c>
      <c r="C541" t="s">
        <v>3502</v>
      </c>
      <c r="E541">
        <v>1</v>
      </c>
      <c r="F541">
        <v>1</v>
      </c>
      <c r="G541">
        <v>67796.56</v>
      </c>
      <c r="H541">
        <v>67796.56</v>
      </c>
      <c r="I541">
        <v>57454.711864406781</v>
      </c>
    </row>
    <row r="542" spans="1:9">
      <c r="A542">
        <v>1523</v>
      </c>
      <c r="B542">
        <v>1523</v>
      </c>
      <c r="C542" t="s">
        <v>3503</v>
      </c>
      <c r="E542">
        <v>1</v>
      </c>
      <c r="F542">
        <v>3</v>
      </c>
      <c r="G542">
        <v>5927.61</v>
      </c>
      <c r="H542">
        <v>17782.830000000002</v>
      </c>
      <c r="I542">
        <v>15070.19491525424</v>
      </c>
    </row>
    <row r="543" spans="1:9">
      <c r="A543">
        <v>1524</v>
      </c>
      <c r="B543">
        <v>1524</v>
      </c>
      <c r="C543" t="s">
        <v>3504</v>
      </c>
      <c r="E543">
        <v>1</v>
      </c>
      <c r="F543">
        <v>146</v>
      </c>
      <c r="G543">
        <v>388.8</v>
      </c>
      <c r="H543">
        <v>56764.800000000003</v>
      </c>
      <c r="I543">
        <v>48105.762711864409</v>
      </c>
    </row>
    <row r="544" spans="1:9">
      <c r="A544">
        <v>1525</v>
      </c>
      <c r="B544">
        <v>1525</v>
      </c>
      <c r="C544" t="s">
        <v>3505</v>
      </c>
      <c r="E544">
        <v>1</v>
      </c>
      <c r="F544">
        <v>18</v>
      </c>
      <c r="G544">
        <v>1800</v>
      </c>
      <c r="H544">
        <v>32400</v>
      </c>
      <c r="I544">
        <v>27457.627118644068</v>
      </c>
    </row>
    <row r="545" spans="1:9">
      <c r="A545">
        <v>1526</v>
      </c>
      <c r="B545">
        <v>1526</v>
      </c>
      <c r="C545" t="s">
        <v>3506</v>
      </c>
      <c r="E545">
        <v>1</v>
      </c>
      <c r="F545">
        <v>9</v>
      </c>
      <c r="G545">
        <v>4572</v>
      </c>
      <c r="H545">
        <v>41148</v>
      </c>
      <c r="I545">
        <v>34871.186440677971</v>
      </c>
    </row>
    <row r="546" spans="1:9">
      <c r="A546">
        <v>1527</v>
      </c>
      <c r="B546">
        <v>1527</v>
      </c>
      <c r="C546" t="s">
        <v>3507</v>
      </c>
      <c r="E546">
        <v>1</v>
      </c>
      <c r="F546">
        <v>35</v>
      </c>
      <c r="G546">
        <v>450</v>
      </c>
      <c r="H546">
        <v>15750</v>
      </c>
      <c r="I546">
        <v>13347.457627118645</v>
      </c>
    </row>
    <row r="547" spans="1:9">
      <c r="A547">
        <v>1528</v>
      </c>
      <c r="B547">
        <v>1528</v>
      </c>
      <c r="C547" t="s">
        <v>3508</v>
      </c>
      <c r="E547">
        <v>1</v>
      </c>
      <c r="F547">
        <v>1</v>
      </c>
      <c r="G547">
        <v>1186.44</v>
      </c>
      <c r="H547">
        <v>1186.44</v>
      </c>
      <c r="I547">
        <v>1005.4576271186442</v>
      </c>
    </row>
    <row r="548" spans="1:9">
      <c r="A548">
        <v>1529</v>
      </c>
      <c r="B548">
        <v>1529</v>
      </c>
      <c r="C548" t="s">
        <v>3509</v>
      </c>
      <c r="E548">
        <v>1</v>
      </c>
      <c r="F548">
        <v>12</v>
      </c>
      <c r="G548">
        <v>343.22</v>
      </c>
      <c r="H548">
        <v>4118.6400000000003</v>
      </c>
      <c r="I548">
        <v>3490.3728813559328</v>
      </c>
    </row>
    <row r="549" spans="1:9">
      <c r="A549">
        <v>1530</v>
      </c>
      <c r="B549">
        <v>1530</v>
      </c>
      <c r="C549" t="s">
        <v>3510</v>
      </c>
      <c r="E549">
        <v>1</v>
      </c>
      <c r="F549">
        <v>12</v>
      </c>
      <c r="G549">
        <v>457.63</v>
      </c>
      <c r="H549">
        <v>5491.56</v>
      </c>
      <c r="I549">
        <v>4653.8644067796613</v>
      </c>
    </row>
    <row r="550" spans="1:9">
      <c r="A550">
        <v>1532</v>
      </c>
      <c r="B550">
        <v>1532</v>
      </c>
      <c r="C550" t="s">
        <v>3511</v>
      </c>
      <c r="E550">
        <v>1</v>
      </c>
      <c r="F550">
        <v>1</v>
      </c>
      <c r="G550">
        <v>64400</v>
      </c>
      <c r="H550">
        <v>64400</v>
      </c>
      <c r="I550">
        <v>54576.271186440681</v>
      </c>
    </row>
    <row r="551" spans="1:9">
      <c r="A551">
        <v>1534</v>
      </c>
      <c r="B551">
        <v>1534</v>
      </c>
      <c r="C551" t="s">
        <v>3512</v>
      </c>
      <c r="E551">
        <v>1</v>
      </c>
      <c r="F551">
        <v>1</v>
      </c>
      <c r="G551">
        <v>1200</v>
      </c>
      <c r="H551">
        <v>1200</v>
      </c>
      <c r="I551">
        <v>1016.949152542373</v>
      </c>
    </row>
    <row r="552" spans="1:9">
      <c r="A552">
        <v>1535</v>
      </c>
      <c r="B552">
        <v>1535</v>
      </c>
      <c r="C552" t="s">
        <v>3513</v>
      </c>
      <c r="E552">
        <v>1</v>
      </c>
      <c r="F552">
        <v>18</v>
      </c>
      <c r="G552">
        <v>500</v>
      </c>
      <c r="H552">
        <v>9000</v>
      </c>
      <c r="I552">
        <v>7627.1186440677966</v>
      </c>
    </row>
    <row r="553" spans="1:9">
      <c r="A553">
        <v>1537</v>
      </c>
      <c r="B553">
        <v>1537</v>
      </c>
      <c r="C553" t="s">
        <v>3514</v>
      </c>
      <c r="E553">
        <v>1</v>
      </c>
      <c r="F553">
        <v>25</v>
      </c>
      <c r="G553">
        <v>180</v>
      </c>
      <c r="H553">
        <v>4500</v>
      </c>
      <c r="I553">
        <v>3813.5593220338983</v>
      </c>
    </row>
    <row r="554" spans="1:9">
      <c r="A554">
        <v>1542</v>
      </c>
      <c r="B554">
        <v>1542</v>
      </c>
      <c r="C554" t="s">
        <v>3515</v>
      </c>
      <c r="E554">
        <v>1</v>
      </c>
      <c r="F554">
        <v>10</v>
      </c>
      <c r="G554">
        <v>500</v>
      </c>
      <c r="H554">
        <v>5000</v>
      </c>
      <c r="I554">
        <v>4237.2881355932204</v>
      </c>
    </row>
    <row r="555" spans="1:9">
      <c r="A555">
        <v>1543</v>
      </c>
      <c r="B555">
        <v>1543</v>
      </c>
      <c r="C555" t="s">
        <v>3516</v>
      </c>
      <c r="E555">
        <v>1</v>
      </c>
      <c r="F555">
        <v>12</v>
      </c>
      <c r="G555">
        <v>950</v>
      </c>
      <c r="H555">
        <v>11400</v>
      </c>
      <c r="I555">
        <v>9661.016949152543</v>
      </c>
    </row>
    <row r="556" spans="1:9">
      <c r="A556">
        <v>1549</v>
      </c>
      <c r="B556">
        <v>1549</v>
      </c>
      <c r="C556" t="s">
        <v>3517</v>
      </c>
      <c r="E556">
        <v>1</v>
      </c>
      <c r="F556">
        <v>41</v>
      </c>
      <c r="G556">
        <v>882</v>
      </c>
      <c r="H556">
        <v>36162</v>
      </c>
      <c r="I556">
        <v>30645.762711864409</v>
      </c>
    </row>
    <row r="557" spans="1:9">
      <c r="A557">
        <v>1550</v>
      </c>
      <c r="B557">
        <v>1550</v>
      </c>
      <c r="C557" t="s">
        <v>3518</v>
      </c>
      <c r="E557">
        <v>1</v>
      </c>
      <c r="F557">
        <v>3</v>
      </c>
      <c r="G557">
        <v>2250</v>
      </c>
      <c r="H557">
        <v>6750</v>
      </c>
      <c r="I557">
        <v>5720.3389830508477</v>
      </c>
    </row>
    <row r="558" spans="1:9">
      <c r="A558">
        <v>1551</v>
      </c>
      <c r="B558">
        <v>1551</v>
      </c>
      <c r="C558" t="s">
        <v>3519</v>
      </c>
      <c r="E558">
        <v>1</v>
      </c>
      <c r="F558">
        <v>435</v>
      </c>
      <c r="G558">
        <v>8.98</v>
      </c>
      <c r="H558">
        <v>3906.3</v>
      </c>
      <c r="I558">
        <v>3310.4237288135596</v>
      </c>
    </row>
    <row r="559" spans="1:9">
      <c r="A559">
        <v>1552</v>
      </c>
      <c r="B559">
        <v>1552</v>
      </c>
      <c r="C559" t="s">
        <v>3520</v>
      </c>
      <c r="E559">
        <v>1</v>
      </c>
      <c r="F559">
        <v>135</v>
      </c>
      <c r="G559">
        <v>38</v>
      </c>
      <c r="H559">
        <v>5130</v>
      </c>
      <c r="I559">
        <v>4347.4576271186443</v>
      </c>
    </row>
    <row r="560" spans="1:9">
      <c r="A560">
        <v>1554</v>
      </c>
      <c r="B560">
        <v>1554</v>
      </c>
      <c r="C560" t="s">
        <v>3521</v>
      </c>
      <c r="E560">
        <v>1</v>
      </c>
      <c r="F560">
        <v>204</v>
      </c>
      <c r="G560">
        <v>6.8</v>
      </c>
      <c r="H560">
        <v>1387.2</v>
      </c>
      <c r="I560">
        <v>1175.5932203389832</v>
      </c>
    </row>
    <row r="561" spans="1:9">
      <c r="A561">
        <v>1559</v>
      </c>
      <c r="B561">
        <v>1559</v>
      </c>
      <c r="C561" t="s">
        <v>3522</v>
      </c>
      <c r="E561">
        <v>1</v>
      </c>
      <c r="F561">
        <v>4</v>
      </c>
      <c r="G561">
        <v>2700</v>
      </c>
      <c r="H561">
        <v>10800</v>
      </c>
      <c r="I561">
        <v>9152.5423728813566</v>
      </c>
    </row>
    <row r="562" spans="1:9">
      <c r="A562">
        <v>1561</v>
      </c>
      <c r="B562">
        <v>1561</v>
      </c>
      <c r="C562" t="s">
        <v>3523</v>
      </c>
      <c r="E562">
        <v>1</v>
      </c>
      <c r="F562">
        <v>2</v>
      </c>
      <c r="G562">
        <v>1300</v>
      </c>
      <c r="H562">
        <v>2600</v>
      </c>
      <c r="I562">
        <v>2203.3898305084749</v>
      </c>
    </row>
    <row r="563" spans="1:9">
      <c r="A563">
        <v>1562</v>
      </c>
      <c r="B563">
        <v>1562</v>
      </c>
      <c r="C563" t="s">
        <v>3524</v>
      </c>
      <c r="E563">
        <v>1</v>
      </c>
      <c r="F563">
        <v>70</v>
      </c>
      <c r="G563">
        <v>8.91</v>
      </c>
      <c r="H563">
        <v>623.70000000000005</v>
      </c>
      <c r="I563">
        <v>528.55932203389841</v>
      </c>
    </row>
    <row r="564" spans="1:9">
      <c r="A564">
        <v>1563</v>
      </c>
      <c r="B564">
        <v>1563</v>
      </c>
      <c r="C564" t="s">
        <v>3525</v>
      </c>
      <c r="E564">
        <v>1</v>
      </c>
      <c r="F564">
        <v>2</v>
      </c>
      <c r="G564">
        <v>580</v>
      </c>
      <c r="H564">
        <v>1160</v>
      </c>
      <c r="I564">
        <v>983.05084745762713</v>
      </c>
    </row>
    <row r="565" spans="1:9">
      <c r="A565">
        <v>1565</v>
      </c>
      <c r="B565">
        <v>1565</v>
      </c>
      <c r="C565" t="s">
        <v>3526</v>
      </c>
      <c r="E565">
        <v>1</v>
      </c>
      <c r="F565">
        <v>117</v>
      </c>
      <c r="G565">
        <v>72</v>
      </c>
      <c r="H565">
        <v>8424</v>
      </c>
      <c r="I565">
        <v>7138.9830508474579</v>
      </c>
    </row>
    <row r="566" spans="1:9">
      <c r="A566">
        <v>1568</v>
      </c>
      <c r="B566">
        <v>1568</v>
      </c>
      <c r="C566" t="s">
        <v>3527</v>
      </c>
      <c r="E566">
        <v>1</v>
      </c>
      <c r="F566">
        <v>2</v>
      </c>
      <c r="G566">
        <v>8328.91</v>
      </c>
      <c r="H566">
        <v>16657.82</v>
      </c>
      <c r="I566">
        <v>14116.796610169493</v>
      </c>
    </row>
    <row r="567" spans="1:9">
      <c r="A567">
        <v>1573</v>
      </c>
      <c r="B567">
        <v>1573</v>
      </c>
      <c r="C567" t="s">
        <v>3528</v>
      </c>
      <c r="E567">
        <v>1</v>
      </c>
      <c r="F567">
        <v>250</v>
      </c>
      <c r="G567">
        <v>1150</v>
      </c>
      <c r="H567">
        <v>287500</v>
      </c>
      <c r="I567">
        <v>243644.06779661018</v>
      </c>
    </row>
    <row r="568" spans="1:9">
      <c r="A568">
        <v>1574</v>
      </c>
      <c r="B568">
        <v>1574</v>
      </c>
      <c r="C568" t="s">
        <v>3529</v>
      </c>
      <c r="E568">
        <v>1</v>
      </c>
      <c r="F568">
        <v>185</v>
      </c>
      <c r="G568">
        <v>950</v>
      </c>
      <c r="H568">
        <v>175750</v>
      </c>
      <c r="I568">
        <v>148940.67796610171</v>
      </c>
    </row>
    <row r="569" spans="1:9">
      <c r="A569">
        <v>1575</v>
      </c>
      <c r="B569">
        <v>1575</v>
      </c>
      <c r="C569" t="s">
        <v>3530</v>
      </c>
      <c r="E569">
        <v>1</v>
      </c>
      <c r="F569">
        <v>25</v>
      </c>
      <c r="G569">
        <v>1540</v>
      </c>
      <c r="H569">
        <v>38500</v>
      </c>
      <c r="I569">
        <v>32627.118644067799</v>
      </c>
    </row>
    <row r="570" spans="1:9">
      <c r="A570">
        <v>1576</v>
      </c>
      <c r="B570">
        <v>1576</v>
      </c>
      <c r="C570" t="s">
        <v>3531</v>
      </c>
      <c r="E570">
        <v>1</v>
      </c>
      <c r="F570">
        <v>4</v>
      </c>
      <c r="G570">
        <v>3100</v>
      </c>
      <c r="H570">
        <v>12400</v>
      </c>
      <c r="I570">
        <v>10508.474576271186</v>
      </c>
    </row>
    <row r="571" spans="1:9">
      <c r="A571">
        <v>1577</v>
      </c>
      <c r="B571">
        <v>1577</v>
      </c>
      <c r="C571" t="s">
        <v>3532</v>
      </c>
      <c r="E571">
        <v>1</v>
      </c>
      <c r="F571">
        <v>5</v>
      </c>
      <c r="G571">
        <v>5300</v>
      </c>
      <c r="H571">
        <v>26500</v>
      </c>
      <c r="I571">
        <v>22457.627118644068</v>
      </c>
    </row>
    <row r="572" spans="1:9">
      <c r="A572">
        <v>1579</v>
      </c>
      <c r="B572">
        <v>1579</v>
      </c>
      <c r="C572" t="s">
        <v>3533</v>
      </c>
      <c r="E572">
        <v>1</v>
      </c>
      <c r="F572">
        <v>2</v>
      </c>
      <c r="G572">
        <v>60</v>
      </c>
      <c r="H572">
        <v>120</v>
      </c>
      <c r="I572">
        <v>101.69491525423729</v>
      </c>
    </row>
    <row r="573" spans="1:9">
      <c r="A573">
        <v>1580</v>
      </c>
      <c r="B573">
        <v>1580</v>
      </c>
      <c r="C573" t="s">
        <v>3534</v>
      </c>
      <c r="E573">
        <v>1</v>
      </c>
      <c r="F573">
        <v>2</v>
      </c>
      <c r="G573">
        <v>125</v>
      </c>
      <c r="H573">
        <v>250</v>
      </c>
      <c r="I573">
        <v>211.86440677966104</v>
      </c>
    </row>
    <row r="574" spans="1:9">
      <c r="A574">
        <v>1582</v>
      </c>
      <c r="B574">
        <v>1582</v>
      </c>
      <c r="C574" t="s">
        <v>3535</v>
      </c>
      <c r="E574">
        <v>1</v>
      </c>
      <c r="F574">
        <v>20</v>
      </c>
      <c r="G574">
        <v>4</v>
      </c>
      <c r="H574">
        <v>80</v>
      </c>
      <c r="I574">
        <v>67.79661016949153</v>
      </c>
    </row>
    <row r="575" spans="1:9">
      <c r="A575">
        <v>1600</v>
      </c>
      <c r="B575">
        <v>1600</v>
      </c>
      <c r="C575" t="s">
        <v>3536</v>
      </c>
      <c r="E575">
        <v>1</v>
      </c>
      <c r="F575">
        <v>11</v>
      </c>
      <c r="G575">
        <v>60</v>
      </c>
      <c r="H575">
        <v>660</v>
      </c>
      <c r="I575">
        <v>559.32203389830511</v>
      </c>
    </row>
    <row r="576" spans="1:9">
      <c r="A576">
        <v>1623</v>
      </c>
      <c r="B576">
        <v>1623</v>
      </c>
      <c r="C576" t="s">
        <v>3537</v>
      </c>
      <c r="E576">
        <v>1</v>
      </c>
      <c r="F576">
        <v>1</v>
      </c>
      <c r="G576">
        <v>19104</v>
      </c>
      <c r="H576">
        <v>19104</v>
      </c>
      <c r="I576">
        <v>16189.830508474577</v>
      </c>
    </row>
    <row r="577" spans="1:9">
      <c r="A577">
        <v>1624</v>
      </c>
      <c r="B577">
        <v>1624</v>
      </c>
      <c r="C577" t="s">
        <v>3538</v>
      </c>
      <c r="E577">
        <v>1</v>
      </c>
      <c r="F577">
        <v>25</v>
      </c>
      <c r="G577">
        <v>1050</v>
      </c>
      <c r="H577">
        <v>26250</v>
      </c>
      <c r="I577">
        <v>22245.762711864409</v>
      </c>
    </row>
    <row r="578" spans="1:9">
      <c r="A578">
        <v>1625</v>
      </c>
      <c r="B578">
        <v>1625</v>
      </c>
      <c r="C578" t="s">
        <v>3539</v>
      </c>
      <c r="E578">
        <v>1</v>
      </c>
      <c r="F578">
        <v>146</v>
      </c>
      <c r="G578">
        <v>294</v>
      </c>
      <c r="H578">
        <v>42924</v>
      </c>
      <c r="I578">
        <v>36376.271186440681</v>
      </c>
    </row>
    <row r="579" spans="1:9">
      <c r="A579">
        <v>1626</v>
      </c>
      <c r="B579">
        <v>1626</v>
      </c>
      <c r="C579" t="s">
        <v>3540</v>
      </c>
      <c r="E579">
        <v>1</v>
      </c>
      <c r="F579">
        <v>19</v>
      </c>
      <c r="G579">
        <v>1100</v>
      </c>
      <c r="H579">
        <v>20900</v>
      </c>
      <c r="I579">
        <v>17711.864406779663</v>
      </c>
    </row>
    <row r="580" spans="1:9">
      <c r="A580">
        <v>1627</v>
      </c>
      <c r="B580">
        <v>1627</v>
      </c>
      <c r="C580" t="s">
        <v>3541</v>
      </c>
      <c r="E580">
        <v>1</v>
      </c>
      <c r="F580">
        <v>2</v>
      </c>
      <c r="G580">
        <v>50750</v>
      </c>
      <c r="H580">
        <v>101500</v>
      </c>
      <c r="I580">
        <v>86016.94915254238</v>
      </c>
    </row>
    <row r="581" spans="1:9">
      <c r="A581">
        <v>1629</v>
      </c>
      <c r="B581">
        <v>1629</v>
      </c>
      <c r="C581" t="s">
        <v>3542</v>
      </c>
      <c r="E581">
        <v>1</v>
      </c>
      <c r="F581">
        <v>12</v>
      </c>
      <c r="G581">
        <v>250</v>
      </c>
      <c r="H581">
        <v>3000</v>
      </c>
      <c r="I581">
        <v>2542.3728813559323</v>
      </c>
    </row>
    <row r="582" spans="1:9">
      <c r="A582">
        <v>1640</v>
      </c>
      <c r="B582">
        <v>1640</v>
      </c>
      <c r="C582" t="s">
        <v>3543</v>
      </c>
      <c r="E582">
        <v>1</v>
      </c>
      <c r="F582">
        <v>1</v>
      </c>
      <c r="G582">
        <v>17700</v>
      </c>
      <c r="H582">
        <v>17700</v>
      </c>
      <c r="I582">
        <v>15000</v>
      </c>
    </row>
    <row r="583" spans="1:9">
      <c r="A583">
        <v>1643</v>
      </c>
      <c r="B583">
        <v>1643</v>
      </c>
      <c r="C583" t="s">
        <v>3544</v>
      </c>
      <c r="E583">
        <v>1</v>
      </c>
      <c r="F583">
        <v>1</v>
      </c>
      <c r="G583">
        <v>23500</v>
      </c>
      <c r="H583">
        <v>23500</v>
      </c>
      <c r="I583">
        <v>19915.254237288136</v>
      </c>
    </row>
    <row r="584" spans="1:9">
      <c r="A584">
        <v>1644</v>
      </c>
      <c r="B584">
        <v>1644</v>
      </c>
      <c r="C584" t="s">
        <v>3545</v>
      </c>
      <c r="E584">
        <v>1</v>
      </c>
      <c r="F584">
        <v>6</v>
      </c>
      <c r="G584">
        <v>200</v>
      </c>
      <c r="H584">
        <v>1200</v>
      </c>
      <c r="I584">
        <v>1016.949152542373</v>
      </c>
    </row>
    <row r="585" spans="1:9">
      <c r="A585">
        <v>1649</v>
      </c>
      <c r="B585">
        <v>1649</v>
      </c>
      <c r="C585" t="s">
        <v>3546</v>
      </c>
      <c r="E585">
        <v>1</v>
      </c>
      <c r="F585">
        <v>20</v>
      </c>
      <c r="G585">
        <v>1350</v>
      </c>
      <c r="H585">
        <v>27000</v>
      </c>
      <c r="I585">
        <v>22881.355932203391</v>
      </c>
    </row>
    <row r="586" spans="1:9">
      <c r="A586">
        <v>1650</v>
      </c>
      <c r="B586">
        <v>1650</v>
      </c>
      <c r="C586" t="s">
        <v>3547</v>
      </c>
      <c r="E586">
        <v>1</v>
      </c>
      <c r="F586">
        <v>10</v>
      </c>
      <c r="G586">
        <v>600</v>
      </c>
      <c r="H586">
        <v>6000</v>
      </c>
      <c r="I586">
        <v>5084.7457627118647</v>
      </c>
    </row>
    <row r="587" spans="1:9">
      <c r="A587">
        <v>1659</v>
      </c>
      <c r="B587">
        <v>1659</v>
      </c>
      <c r="C587" t="s">
        <v>3548</v>
      </c>
      <c r="E587">
        <v>1</v>
      </c>
      <c r="F587">
        <v>9</v>
      </c>
      <c r="G587">
        <v>90</v>
      </c>
      <c r="H587">
        <v>810</v>
      </c>
      <c r="I587">
        <v>686.4406779661017</v>
      </c>
    </row>
    <row r="588" spans="1:9">
      <c r="A588">
        <v>1684</v>
      </c>
      <c r="B588">
        <v>1684</v>
      </c>
      <c r="C588" t="s">
        <v>3549</v>
      </c>
      <c r="E588">
        <v>1</v>
      </c>
      <c r="F588">
        <v>5</v>
      </c>
      <c r="G588">
        <v>112.1</v>
      </c>
      <c r="H588">
        <v>560.5</v>
      </c>
      <c r="I588">
        <v>475</v>
      </c>
    </row>
    <row r="589" spans="1:9">
      <c r="A589">
        <v>1685</v>
      </c>
      <c r="B589">
        <v>1685</v>
      </c>
      <c r="C589" t="s">
        <v>3550</v>
      </c>
      <c r="E589">
        <v>1</v>
      </c>
      <c r="F589">
        <v>30</v>
      </c>
      <c r="G589">
        <v>88.5</v>
      </c>
      <c r="H589">
        <v>2655</v>
      </c>
      <c r="I589">
        <v>2250</v>
      </c>
    </row>
    <row r="590" spans="1:9">
      <c r="A590">
        <v>1695</v>
      </c>
      <c r="B590">
        <v>1695</v>
      </c>
      <c r="C590" t="s">
        <v>3551</v>
      </c>
      <c r="E590">
        <v>1</v>
      </c>
      <c r="F590">
        <v>6</v>
      </c>
      <c r="G590">
        <v>920.4</v>
      </c>
      <c r="H590">
        <v>5522.4</v>
      </c>
      <c r="I590">
        <v>4680</v>
      </c>
    </row>
    <row r="591" spans="1:9">
      <c r="A591">
        <v>1705</v>
      </c>
      <c r="B591">
        <v>1705</v>
      </c>
      <c r="C591" t="s">
        <v>3552</v>
      </c>
      <c r="E591">
        <v>1</v>
      </c>
      <c r="F591">
        <v>10</v>
      </c>
      <c r="G591">
        <v>350</v>
      </c>
      <c r="H591">
        <v>3500</v>
      </c>
      <c r="I591">
        <v>2966.1016949152545</v>
      </c>
    </row>
    <row r="592" spans="1:9">
      <c r="A592">
        <v>1706</v>
      </c>
      <c r="B592">
        <v>1706</v>
      </c>
      <c r="C592" t="s">
        <v>3553</v>
      </c>
      <c r="E592">
        <v>1</v>
      </c>
      <c r="F592">
        <v>25</v>
      </c>
      <c r="G592">
        <v>100</v>
      </c>
      <c r="H592">
        <v>2500</v>
      </c>
      <c r="I592">
        <v>2118.6440677966102</v>
      </c>
    </row>
    <row r="593" spans="1:9">
      <c r="A593">
        <v>1707</v>
      </c>
      <c r="B593">
        <v>1707</v>
      </c>
      <c r="C593" t="s">
        <v>3554</v>
      </c>
      <c r="E593">
        <v>1</v>
      </c>
      <c r="F593">
        <v>10</v>
      </c>
      <c r="G593">
        <v>150</v>
      </c>
      <c r="H593">
        <v>1500</v>
      </c>
      <c r="I593">
        <v>1271.1864406779662</v>
      </c>
    </row>
    <row r="594" spans="1:9">
      <c r="A594">
        <v>1708</v>
      </c>
      <c r="B594">
        <v>1708</v>
      </c>
      <c r="C594" t="s">
        <v>3555</v>
      </c>
      <c r="E594">
        <v>1</v>
      </c>
      <c r="F594">
        <v>10</v>
      </c>
      <c r="G594">
        <v>360</v>
      </c>
      <c r="H594">
        <v>3600</v>
      </c>
      <c r="I594">
        <v>3050.8474576271187</v>
      </c>
    </row>
    <row r="595" spans="1:9">
      <c r="A595">
        <v>1709</v>
      </c>
      <c r="B595">
        <v>1709</v>
      </c>
      <c r="C595" t="s">
        <v>3556</v>
      </c>
      <c r="E595">
        <v>1</v>
      </c>
      <c r="F595">
        <v>10</v>
      </c>
      <c r="G595">
        <v>340</v>
      </c>
      <c r="H595">
        <v>3400</v>
      </c>
      <c r="I595">
        <v>2881.3559322033898</v>
      </c>
    </row>
    <row r="596" spans="1:9">
      <c r="A596">
        <v>1710</v>
      </c>
      <c r="B596">
        <v>1710</v>
      </c>
      <c r="C596" t="s">
        <v>3557</v>
      </c>
      <c r="E596">
        <v>1</v>
      </c>
      <c r="F596">
        <v>5</v>
      </c>
      <c r="G596">
        <v>300</v>
      </c>
      <c r="H596">
        <v>1500</v>
      </c>
      <c r="I596">
        <v>1271.1864406779662</v>
      </c>
    </row>
    <row r="597" spans="1:9">
      <c r="A597">
        <v>1711</v>
      </c>
      <c r="B597">
        <v>1711</v>
      </c>
      <c r="C597" t="s">
        <v>3558</v>
      </c>
      <c r="E597">
        <v>1</v>
      </c>
      <c r="F597">
        <v>10</v>
      </c>
      <c r="G597">
        <v>65</v>
      </c>
      <c r="H597">
        <v>650</v>
      </c>
      <c r="I597">
        <v>550.84745762711873</v>
      </c>
    </row>
    <row r="598" spans="1:9">
      <c r="A598">
        <v>1712</v>
      </c>
      <c r="B598">
        <v>1712</v>
      </c>
      <c r="C598" t="s">
        <v>3559</v>
      </c>
      <c r="E598">
        <v>1</v>
      </c>
      <c r="F598">
        <v>2</v>
      </c>
      <c r="G598">
        <v>8000</v>
      </c>
      <c r="H598">
        <v>16000</v>
      </c>
      <c r="I598">
        <v>13559.322033898306</v>
      </c>
    </row>
    <row r="599" spans="1:9">
      <c r="A599">
        <v>1713</v>
      </c>
      <c r="B599">
        <v>1713</v>
      </c>
      <c r="C599" t="s">
        <v>3560</v>
      </c>
      <c r="E599">
        <v>1</v>
      </c>
      <c r="F599">
        <v>6</v>
      </c>
      <c r="G599">
        <v>120</v>
      </c>
      <c r="H599">
        <v>720</v>
      </c>
      <c r="I599">
        <v>610.16949152542372</v>
      </c>
    </row>
    <row r="600" spans="1:9">
      <c r="A600">
        <v>1714</v>
      </c>
      <c r="B600">
        <v>1714</v>
      </c>
      <c r="C600" t="s">
        <v>3561</v>
      </c>
      <c r="E600">
        <v>1</v>
      </c>
      <c r="F600">
        <v>8</v>
      </c>
      <c r="G600">
        <v>85</v>
      </c>
      <c r="H600">
        <v>680</v>
      </c>
      <c r="I600">
        <v>576.27118644067798</v>
      </c>
    </row>
    <row r="601" spans="1:9">
      <c r="A601">
        <v>1715</v>
      </c>
      <c r="B601">
        <v>1715</v>
      </c>
      <c r="C601" t="s">
        <v>3562</v>
      </c>
      <c r="E601">
        <v>1</v>
      </c>
      <c r="F601">
        <v>15</v>
      </c>
      <c r="G601">
        <v>300</v>
      </c>
      <c r="H601">
        <v>4500</v>
      </c>
      <c r="I601">
        <v>3813.5593220338983</v>
      </c>
    </row>
    <row r="602" spans="1:9">
      <c r="A602">
        <v>1716</v>
      </c>
      <c r="B602">
        <v>1716</v>
      </c>
      <c r="C602" t="s">
        <v>3563</v>
      </c>
      <c r="E602">
        <v>1</v>
      </c>
      <c r="F602">
        <v>10</v>
      </c>
      <c r="G602">
        <v>300</v>
      </c>
      <c r="H602">
        <v>3000</v>
      </c>
      <c r="I602">
        <v>2542.3728813559323</v>
      </c>
    </row>
    <row r="603" spans="1:9">
      <c r="A603">
        <v>1717</v>
      </c>
      <c r="B603">
        <v>1717</v>
      </c>
      <c r="C603" t="s">
        <v>3564</v>
      </c>
      <c r="E603">
        <v>1</v>
      </c>
      <c r="F603">
        <v>6</v>
      </c>
      <c r="G603">
        <v>375</v>
      </c>
      <c r="H603">
        <v>2250</v>
      </c>
      <c r="I603">
        <v>1906.7796610169491</v>
      </c>
    </row>
    <row r="604" spans="1:9">
      <c r="A604">
        <v>1718</v>
      </c>
      <c r="B604">
        <v>1718</v>
      </c>
      <c r="C604" t="s">
        <v>3565</v>
      </c>
      <c r="E604">
        <v>1</v>
      </c>
      <c r="F604">
        <v>30</v>
      </c>
      <c r="G604">
        <v>300</v>
      </c>
      <c r="H604">
        <v>9000</v>
      </c>
      <c r="I604">
        <v>7627.1186440677966</v>
      </c>
    </row>
    <row r="605" spans="1:9">
      <c r="A605">
        <v>1719</v>
      </c>
      <c r="B605">
        <v>1719</v>
      </c>
      <c r="C605" t="s">
        <v>3566</v>
      </c>
      <c r="E605">
        <v>1</v>
      </c>
      <c r="F605">
        <v>1</v>
      </c>
      <c r="G605">
        <v>4680</v>
      </c>
      <c r="H605">
        <v>4680</v>
      </c>
      <c r="I605">
        <v>3966.1016949152545</v>
      </c>
    </row>
    <row r="606" spans="1:9">
      <c r="A606">
        <v>1720</v>
      </c>
      <c r="B606">
        <v>1720</v>
      </c>
      <c r="C606" t="s">
        <v>3567</v>
      </c>
      <c r="E606">
        <v>1</v>
      </c>
      <c r="F606">
        <v>16</v>
      </c>
      <c r="G606">
        <v>300</v>
      </c>
      <c r="H606">
        <v>4800</v>
      </c>
      <c r="I606">
        <v>4067.7966101694919</v>
      </c>
    </row>
    <row r="607" spans="1:9">
      <c r="A607">
        <v>1721</v>
      </c>
      <c r="B607">
        <v>1721</v>
      </c>
      <c r="C607" t="s">
        <v>3568</v>
      </c>
      <c r="E607">
        <v>1</v>
      </c>
      <c r="F607">
        <v>2</v>
      </c>
      <c r="G607">
        <v>7900</v>
      </c>
      <c r="H607">
        <v>15800</v>
      </c>
      <c r="I607">
        <v>13389.830508474577</v>
      </c>
    </row>
    <row r="608" spans="1:9">
      <c r="A608">
        <v>1722</v>
      </c>
      <c r="B608">
        <v>1722</v>
      </c>
      <c r="C608" t="s">
        <v>3569</v>
      </c>
      <c r="E608">
        <v>1</v>
      </c>
      <c r="F608">
        <v>6</v>
      </c>
      <c r="G608">
        <v>200</v>
      </c>
      <c r="H608">
        <v>1200</v>
      </c>
      <c r="I608">
        <v>1016.949152542373</v>
      </c>
    </row>
    <row r="609" spans="1:9">
      <c r="A609">
        <v>1723</v>
      </c>
      <c r="B609">
        <v>1723</v>
      </c>
      <c r="C609" t="s">
        <v>3570</v>
      </c>
      <c r="E609">
        <v>1</v>
      </c>
      <c r="F609">
        <v>6</v>
      </c>
      <c r="G609">
        <v>75</v>
      </c>
      <c r="H609">
        <v>450</v>
      </c>
      <c r="I609">
        <v>381.35593220338984</v>
      </c>
    </row>
    <row r="610" spans="1:9">
      <c r="A610">
        <v>1730</v>
      </c>
      <c r="B610">
        <v>1730</v>
      </c>
      <c r="C610" t="s">
        <v>3571</v>
      </c>
      <c r="E610">
        <v>1</v>
      </c>
      <c r="F610">
        <v>500</v>
      </c>
      <c r="G610">
        <v>11</v>
      </c>
      <c r="H610">
        <v>5500</v>
      </c>
      <c r="I610">
        <v>4661.016949152543</v>
      </c>
    </row>
    <row r="611" spans="1:9">
      <c r="A611">
        <v>1731</v>
      </c>
      <c r="B611">
        <v>1731</v>
      </c>
      <c r="C611" t="s">
        <v>3572</v>
      </c>
      <c r="E611">
        <v>1</v>
      </c>
      <c r="F611">
        <v>700</v>
      </c>
      <c r="G611">
        <v>10</v>
      </c>
      <c r="H611">
        <v>7000</v>
      </c>
      <c r="I611">
        <v>5932.203389830509</v>
      </c>
    </row>
    <row r="612" spans="1:9">
      <c r="A612">
        <v>1732</v>
      </c>
      <c r="B612">
        <v>1732</v>
      </c>
      <c r="C612" t="s">
        <v>3573</v>
      </c>
      <c r="E612">
        <v>1</v>
      </c>
      <c r="F612">
        <v>1200</v>
      </c>
      <c r="G612">
        <v>8</v>
      </c>
      <c r="H612">
        <v>9600</v>
      </c>
      <c r="I612">
        <v>8135.5932203389839</v>
      </c>
    </row>
    <row r="613" spans="1:9">
      <c r="A613">
        <v>1733</v>
      </c>
      <c r="B613">
        <v>1733</v>
      </c>
      <c r="C613" t="s">
        <v>3574</v>
      </c>
      <c r="E613">
        <v>1</v>
      </c>
      <c r="F613">
        <v>70</v>
      </c>
      <c r="G613">
        <v>6</v>
      </c>
      <c r="H613">
        <v>420</v>
      </c>
      <c r="I613">
        <v>355.93220338983053</v>
      </c>
    </row>
    <row r="614" spans="1:9">
      <c r="A614">
        <v>1734</v>
      </c>
      <c r="B614">
        <v>1734</v>
      </c>
      <c r="C614" t="s">
        <v>3575</v>
      </c>
      <c r="E614">
        <v>1</v>
      </c>
      <c r="F614">
        <v>1500</v>
      </c>
      <c r="G614">
        <v>4</v>
      </c>
      <c r="H614">
        <v>6000</v>
      </c>
      <c r="I614">
        <v>5084.7457627118647</v>
      </c>
    </row>
    <row r="615" spans="1:9">
      <c r="A615">
        <v>1735</v>
      </c>
      <c r="B615">
        <v>1735</v>
      </c>
      <c r="C615" t="s">
        <v>3576</v>
      </c>
      <c r="E615">
        <v>1</v>
      </c>
      <c r="F615">
        <v>180</v>
      </c>
      <c r="G615">
        <v>1</v>
      </c>
      <c r="H615">
        <v>180</v>
      </c>
      <c r="I615">
        <v>152.54237288135593</v>
      </c>
    </row>
    <row r="616" spans="1:9">
      <c r="A616">
        <v>1736</v>
      </c>
      <c r="B616">
        <v>1736</v>
      </c>
      <c r="C616" t="s">
        <v>3577</v>
      </c>
      <c r="E616">
        <v>1</v>
      </c>
      <c r="F616">
        <v>40</v>
      </c>
      <c r="G616">
        <v>1</v>
      </c>
      <c r="H616">
        <v>40</v>
      </c>
      <c r="I616">
        <v>33.898305084745765</v>
      </c>
    </row>
    <row r="617" spans="1:9">
      <c r="I617">
        <f>SUM(I13:I616)</f>
        <v>11211777.700847464</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2"/>
  <sheetViews>
    <sheetView topLeftCell="A4" workbookViewId="0">
      <selection activeCell="N36" sqref="N36"/>
    </sheetView>
  </sheetViews>
  <sheetFormatPr baseColWidth="10" defaultRowHeight="15"/>
  <cols>
    <col min="1" max="1" width="2.85546875" customWidth="1"/>
    <col min="2" max="2" width="25" customWidth="1"/>
    <col min="3" max="3" width="2.85546875" customWidth="1"/>
    <col min="4" max="4" width="5.42578125" hidden="1" customWidth="1"/>
    <col min="5" max="5" width="13.28515625" bestFit="1" customWidth="1"/>
    <col min="6" max="6" width="2.140625" customWidth="1"/>
    <col min="7" max="7" width="12.28515625" bestFit="1" customWidth="1"/>
    <col min="8" max="8" width="1.7109375" customWidth="1"/>
    <col min="9" max="9" width="13.28515625" bestFit="1" customWidth="1"/>
    <col min="10" max="10" width="1.7109375" customWidth="1"/>
    <col min="11" max="11" width="12.85546875" bestFit="1" customWidth="1"/>
    <col min="12" max="12" width="1.7109375" customWidth="1"/>
    <col min="13" max="13" width="13.28515625" bestFit="1" customWidth="1"/>
    <col min="14" max="14" width="7.28515625" bestFit="1" customWidth="1"/>
    <col min="15" max="15" width="13.140625" bestFit="1" customWidth="1"/>
    <col min="16" max="16" width="13.28515625" bestFit="1" customWidth="1"/>
    <col min="18" max="18" width="13.7109375" customWidth="1"/>
    <col min="19" max="19" width="15" customWidth="1"/>
    <col min="20" max="20" width="12.7109375" bestFit="1" customWidth="1"/>
  </cols>
  <sheetData>
    <row r="2" spans="1:16">
      <c r="A2" s="1865" t="str">
        <f>+BALANZA!B1</f>
        <v>CORPORACION DEL ACUEDUCTO Y ALCANTARILLADO DE MOCA</v>
      </c>
      <c r="B2" s="1865"/>
      <c r="C2" s="1865"/>
      <c r="D2" s="1865"/>
      <c r="E2" s="1865"/>
      <c r="F2" s="1865"/>
      <c r="G2" s="1865"/>
      <c r="H2" s="1865"/>
      <c r="I2" s="1865"/>
      <c r="J2" s="1865"/>
      <c r="K2" s="1865"/>
      <c r="L2" s="1865"/>
      <c r="M2" s="1865"/>
      <c r="N2" s="1865"/>
      <c r="O2" s="1865"/>
      <c r="P2" s="1865"/>
    </row>
    <row r="3" spans="1:16">
      <c r="A3" s="1863" t="s">
        <v>1636</v>
      </c>
      <c r="B3" s="1863"/>
      <c r="C3" s="1863"/>
      <c r="D3" s="1863"/>
      <c r="E3" s="1863"/>
      <c r="F3" s="1863"/>
      <c r="G3" s="1863"/>
      <c r="H3" s="1863"/>
      <c r="I3" s="1863"/>
      <c r="J3" s="1863"/>
      <c r="K3" s="1863"/>
      <c r="L3" s="1863"/>
      <c r="M3" s="1863"/>
      <c r="N3" s="1863"/>
      <c r="O3" s="1863"/>
      <c r="P3" s="1863"/>
    </row>
    <row r="4" spans="1:16">
      <c r="A4" s="1863" t="str">
        <f>+ELAI!A3</f>
        <v xml:space="preserve">Del Ejercicio terminado el  31 de marzo de 2026 </v>
      </c>
      <c r="B4" s="1863"/>
      <c r="C4" s="1863"/>
      <c r="D4" s="1863"/>
      <c r="E4" s="1863"/>
      <c r="F4" s="1863"/>
      <c r="G4" s="1863"/>
      <c r="H4" s="1863"/>
      <c r="I4" s="1863"/>
      <c r="J4" s="1863"/>
      <c r="K4" s="1863"/>
      <c r="L4" s="1863"/>
      <c r="M4" s="1863"/>
      <c r="N4" s="1863"/>
      <c r="O4" s="1863"/>
      <c r="P4" s="1863"/>
    </row>
    <row r="5" spans="1:16">
      <c r="A5" s="1863" t="s">
        <v>926</v>
      </c>
      <c r="B5" s="1863"/>
      <c r="C5" s="1863"/>
      <c r="D5" s="1863"/>
      <c r="E5" s="1863"/>
      <c r="F5" s="1863"/>
      <c r="G5" s="1863"/>
      <c r="H5" s="1863"/>
      <c r="I5" s="1863"/>
      <c r="J5" s="1863"/>
      <c r="K5" s="1863"/>
      <c r="L5" s="1863"/>
      <c r="M5" s="1863"/>
      <c r="N5" s="1863"/>
      <c r="O5" s="1863"/>
      <c r="P5" s="1863"/>
    </row>
    <row r="6" spans="1:16" ht="5.25" customHeight="1">
      <c r="A6" s="334"/>
      <c r="B6" s="334"/>
      <c r="C6" s="334"/>
      <c r="D6" s="334"/>
      <c r="E6" s="334"/>
      <c r="F6" s="334"/>
      <c r="G6" s="334"/>
      <c r="H6" s="334"/>
      <c r="I6" s="334"/>
      <c r="J6" s="334"/>
      <c r="K6" s="334"/>
      <c r="L6" s="334"/>
      <c r="M6" s="334"/>
      <c r="N6" s="334"/>
      <c r="O6" s="334"/>
      <c r="P6" s="334"/>
    </row>
    <row r="7" spans="1:16" s="333" customFormat="1" ht="25.5">
      <c r="A7" s="1210"/>
      <c r="B7" s="1210" t="s">
        <v>1645</v>
      </c>
      <c r="C7" s="1210"/>
      <c r="D7" s="1210" t="s">
        <v>1638</v>
      </c>
      <c r="E7" s="1210" t="s">
        <v>1639</v>
      </c>
      <c r="F7" s="1210"/>
      <c r="G7" s="1211" t="s">
        <v>2774</v>
      </c>
      <c r="H7" s="1211"/>
      <c r="I7" s="1211" t="s">
        <v>2775</v>
      </c>
      <c r="J7" s="1211"/>
      <c r="K7" s="1211" t="s">
        <v>2776</v>
      </c>
      <c r="L7" s="1210"/>
      <c r="M7" s="1211" t="s">
        <v>2802</v>
      </c>
      <c r="N7" s="1210"/>
      <c r="O7" s="1211" t="s">
        <v>2803</v>
      </c>
      <c r="P7" s="1211" t="s">
        <v>1641</v>
      </c>
    </row>
    <row r="8" spans="1:16">
      <c r="A8" s="672" t="s">
        <v>1392</v>
      </c>
      <c r="B8" s="672"/>
      <c r="C8" s="672"/>
      <c r="D8" s="672"/>
      <c r="E8" s="1195"/>
      <c r="F8" s="676"/>
      <c r="G8" s="676"/>
      <c r="H8" s="676"/>
      <c r="I8" s="676"/>
      <c r="J8" s="676"/>
      <c r="K8" s="676"/>
      <c r="L8" s="676"/>
      <c r="M8" s="1238"/>
      <c r="N8" s="676"/>
      <c r="O8" s="1195"/>
      <c r="P8" s="676"/>
    </row>
    <row r="9" spans="1:16">
      <c r="A9" s="672"/>
      <c r="B9" s="672" t="s">
        <v>1642</v>
      </c>
      <c r="C9" s="672"/>
      <c r="D9" s="672"/>
      <c r="E9" s="1196"/>
      <c r="F9" s="677"/>
      <c r="G9" s="677"/>
      <c r="H9" s="677"/>
      <c r="I9" s="677"/>
      <c r="J9" s="677"/>
      <c r="K9" s="677"/>
      <c r="L9" s="677"/>
      <c r="M9" s="1239"/>
      <c r="N9" s="677"/>
      <c r="O9" s="1196"/>
      <c r="P9" s="677"/>
    </row>
    <row r="10" spans="1:16">
      <c r="A10" s="334"/>
      <c r="B10" s="334" t="s">
        <v>1643</v>
      </c>
      <c r="C10" s="334"/>
      <c r="D10" s="334"/>
      <c r="E10" s="1197">
        <v>26917726</v>
      </c>
      <c r="F10" s="678"/>
      <c r="G10" s="678">
        <f>+DE!D18+DE!E18+DE!F18</f>
        <v>11979501</v>
      </c>
      <c r="H10" s="678"/>
      <c r="I10" s="678">
        <f>+DE!G18+DE!H18+DE!I18-DE!I18</f>
        <v>0</v>
      </c>
      <c r="J10" s="678"/>
      <c r="K10" s="678">
        <f>+DE!J18+DE!K18+DE!L18</f>
        <v>0</v>
      </c>
      <c r="L10" s="678"/>
      <c r="M10" s="1240">
        <f>+DE!M18+DE!N18+DE!O18</f>
        <v>0</v>
      </c>
      <c r="N10" s="1194">
        <f>+O10/$O$28</f>
        <v>0.19434544988844688</v>
      </c>
      <c r="O10" s="1243">
        <f>+G10+I10+K10+M10</f>
        <v>11979501</v>
      </c>
      <c r="P10" s="678">
        <f>+E10-O10</f>
        <v>14938225</v>
      </c>
    </row>
    <row r="11" spans="1:16">
      <c r="A11" s="334"/>
      <c r="B11" s="334" t="s">
        <v>1643</v>
      </c>
      <c r="C11" s="334" t="s">
        <v>2238</v>
      </c>
      <c r="D11" s="334"/>
      <c r="E11" s="1197">
        <v>39677834</v>
      </c>
      <c r="F11" s="678"/>
      <c r="G11" s="678"/>
      <c r="H11" s="678"/>
      <c r="I11" s="678"/>
      <c r="J11" s="678"/>
      <c r="K11" s="678"/>
      <c r="L11" s="678"/>
      <c r="M11" s="1240"/>
      <c r="N11" s="1194">
        <f t="shared" ref="N11:N28" si="0">+O11/$O$28</f>
        <v>0</v>
      </c>
      <c r="O11" s="1243"/>
      <c r="P11" s="678">
        <f>+E11-O11</f>
        <v>39677834</v>
      </c>
    </row>
    <row r="12" spans="1:16">
      <c r="A12" s="334"/>
      <c r="B12" s="334" t="s">
        <v>2777</v>
      </c>
      <c r="C12" s="334"/>
      <c r="D12" s="334"/>
      <c r="E12" s="1197"/>
      <c r="F12" s="678"/>
      <c r="G12" s="678">
        <f>+DE!E20</f>
        <v>4628652</v>
      </c>
      <c r="H12" s="678"/>
      <c r="I12" s="678">
        <f>+DE!G20+DE!H20+DE!I20+DE!I18</f>
        <v>0</v>
      </c>
      <c r="J12" s="678"/>
      <c r="K12" s="678">
        <f>+DE!J20+DE!K20+DE!L20</f>
        <v>0</v>
      </c>
      <c r="L12" s="678"/>
      <c r="M12" s="1240">
        <f>+DE!M20+DE!N20+DE!O20</f>
        <v>0</v>
      </c>
      <c r="N12" s="1194">
        <f t="shared" si="0"/>
        <v>7.5091396153901521E-2</v>
      </c>
      <c r="O12" s="1243">
        <f t="shared" ref="O12:O35" si="1">+G12+I12+K12+M12</f>
        <v>4628652</v>
      </c>
      <c r="P12" s="678">
        <f>+E12-O12</f>
        <v>-4628652</v>
      </c>
    </row>
    <row r="13" spans="1:16">
      <c r="A13" s="334"/>
      <c r="B13" s="334" t="s">
        <v>1644</v>
      </c>
      <c r="C13" s="334"/>
      <c r="D13" s="334"/>
      <c r="E13" s="1198">
        <v>80000000</v>
      </c>
      <c r="F13" s="678"/>
      <c r="G13" s="679">
        <f>+DE!D19+DE!E19+DE!F19</f>
        <v>0</v>
      </c>
      <c r="H13" s="678"/>
      <c r="I13" s="679">
        <f>+DE!G19+DE!H19+DE!I19</f>
        <v>0</v>
      </c>
      <c r="J13" s="678"/>
      <c r="K13" s="679">
        <f>+DE!J19+DE!K19+DE!L19</f>
        <v>0</v>
      </c>
      <c r="L13" s="1193"/>
      <c r="M13" s="1241">
        <f>+DE!M19+DE!N19+DE!O19</f>
        <v>0</v>
      </c>
      <c r="N13" s="1194">
        <f t="shared" si="0"/>
        <v>0</v>
      </c>
      <c r="O13" s="1243">
        <f t="shared" si="1"/>
        <v>0</v>
      </c>
      <c r="P13" s="679">
        <f>+E13-M13</f>
        <v>80000000</v>
      </c>
    </row>
    <row r="14" spans="1:16">
      <c r="A14" s="334"/>
      <c r="B14" s="672" t="s">
        <v>1647</v>
      </c>
      <c r="C14" s="672"/>
      <c r="D14" s="672"/>
      <c r="E14" s="1196">
        <f>SUM(E10:E13)</f>
        <v>146595560</v>
      </c>
      <c r="F14" s="677"/>
      <c r="G14" s="677">
        <f>SUM(G10:G13)</f>
        <v>16608153</v>
      </c>
      <c r="H14" s="677"/>
      <c r="I14" s="677">
        <f>SUM(I10:I13)</f>
        <v>0</v>
      </c>
      <c r="J14" s="677"/>
      <c r="K14" s="677">
        <f>SUM(K10:K13)</f>
        <v>0</v>
      </c>
      <c r="L14" s="748"/>
      <c r="M14" s="1239">
        <f>SUM(M10:M13)</f>
        <v>0</v>
      </c>
      <c r="N14" s="1194">
        <f t="shared" si="0"/>
        <v>0.26943684604234835</v>
      </c>
      <c r="O14" s="1196">
        <f>SUM(O10:O13)</f>
        <v>16608153</v>
      </c>
      <c r="P14" s="677">
        <f>SUM(P10:P13)</f>
        <v>129987407</v>
      </c>
    </row>
    <row r="15" spans="1:16" ht="7.5" customHeight="1">
      <c r="A15" s="334"/>
      <c r="B15" s="334"/>
      <c r="C15" s="334"/>
      <c r="D15" s="334"/>
      <c r="E15" s="1197"/>
      <c r="F15" s="678"/>
      <c r="G15" s="678"/>
      <c r="H15" s="678"/>
      <c r="I15" s="678"/>
      <c r="J15" s="678"/>
      <c r="K15" s="678"/>
      <c r="L15" s="678"/>
      <c r="M15" s="1240"/>
      <c r="N15" s="1194"/>
      <c r="O15" s="1243"/>
      <c r="P15" s="678"/>
    </row>
    <row r="16" spans="1:16">
      <c r="A16" s="672" t="s">
        <v>957</v>
      </c>
      <c r="B16" s="672"/>
      <c r="C16" s="672"/>
      <c r="D16" s="672"/>
      <c r="E16" s="1196"/>
      <c r="F16" s="677"/>
      <c r="G16" s="677"/>
      <c r="H16" s="677"/>
      <c r="I16" s="677"/>
      <c r="J16" s="677"/>
      <c r="K16" s="677"/>
      <c r="L16" s="677"/>
      <c r="M16" s="1240"/>
      <c r="N16" s="1194"/>
      <c r="O16" s="1243"/>
      <c r="P16" s="677"/>
    </row>
    <row r="17" spans="1:20">
      <c r="A17" s="334"/>
      <c r="B17" s="1864" t="s">
        <v>1646</v>
      </c>
      <c r="C17" s="1864"/>
      <c r="D17" s="1864"/>
      <c r="E17" s="1198">
        <v>222000000</v>
      </c>
      <c r="F17" s="678"/>
      <c r="G17" s="679">
        <f>+DE!D21+DE!E21+DE!F21</f>
        <v>45032091.25</v>
      </c>
      <c r="H17" s="678"/>
      <c r="I17" s="679">
        <f>+DE!G21+DE!H21+DE!I21</f>
        <v>0</v>
      </c>
      <c r="J17" s="678"/>
      <c r="K17" s="679">
        <f>+DE!J21+DE!K21+DE!L21</f>
        <v>0</v>
      </c>
      <c r="L17" s="678"/>
      <c r="M17" s="1241">
        <f>+DE!M21+DE!N21+DE!O21</f>
        <v>0</v>
      </c>
      <c r="N17" s="1194">
        <f t="shared" si="0"/>
        <v>0.73056315395765159</v>
      </c>
      <c r="O17" s="1243">
        <f t="shared" si="1"/>
        <v>45032091.25</v>
      </c>
      <c r="P17" s="679">
        <f>+E17-O17</f>
        <v>176967908.75</v>
      </c>
    </row>
    <row r="18" spans="1:20">
      <c r="A18" s="334"/>
      <c r="B18" s="672" t="s">
        <v>1648</v>
      </c>
      <c r="C18" s="672"/>
      <c r="D18" s="672"/>
      <c r="E18" s="1196">
        <f>SUM(E17)</f>
        <v>222000000</v>
      </c>
      <c r="F18" s="677"/>
      <c r="G18" s="677">
        <f>SUM(G17)</f>
        <v>45032091.25</v>
      </c>
      <c r="H18" s="677"/>
      <c r="I18" s="677">
        <f>SUM(I17)</f>
        <v>0</v>
      </c>
      <c r="J18" s="677"/>
      <c r="K18" s="677">
        <f>SUM(K17)</f>
        <v>0</v>
      </c>
      <c r="L18" s="677"/>
      <c r="M18" s="1239">
        <f>SUM(M17)</f>
        <v>0</v>
      </c>
      <c r="N18" s="1194">
        <f t="shared" si="0"/>
        <v>0.73056315395765159</v>
      </c>
      <c r="O18" s="1243">
        <f t="shared" si="1"/>
        <v>45032091.25</v>
      </c>
      <c r="P18" s="677">
        <f>SUM(P17)</f>
        <v>176967908.75</v>
      </c>
    </row>
    <row r="19" spans="1:20" ht="6" customHeight="1">
      <c r="A19" s="334"/>
      <c r="B19" s="334"/>
      <c r="C19" s="334"/>
      <c r="D19" s="334"/>
      <c r="E19" s="1197"/>
      <c r="F19" s="678"/>
      <c r="G19" s="678"/>
      <c r="H19" s="678"/>
      <c r="I19" s="678"/>
      <c r="J19" s="678"/>
      <c r="K19" s="678"/>
      <c r="L19" s="678"/>
      <c r="M19" s="1240"/>
      <c r="N19" s="1194"/>
      <c r="O19" s="1243"/>
      <c r="P19" s="678"/>
    </row>
    <row r="20" spans="1:20" hidden="1">
      <c r="A20" s="672" t="s">
        <v>1649</v>
      </c>
      <c r="B20" s="334"/>
      <c r="C20" s="334"/>
      <c r="D20" s="334"/>
      <c r="E20" s="1197"/>
      <c r="F20" s="678"/>
      <c r="G20" s="678"/>
      <c r="H20" s="678"/>
      <c r="I20" s="678"/>
      <c r="J20" s="678"/>
      <c r="K20" s="678"/>
      <c r="L20" s="678"/>
      <c r="M20" s="1202">
        <f>+G20+I20+K20</f>
        <v>0</v>
      </c>
      <c r="N20" s="1194">
        <f t="shared" si="0"/>
        <v>0</v>
      </c>
      <c r="O20" s="1243">
        <f t="shared" si="1"/>
        <v>0</v>
      </c>
      <c r="P20" s="678"/>
    </row>
    <row r="21" spans="1:20" hidden="1">
      <c r="A21" s="334"/>
      <c r="B21" s="334" t="s">
        <v>1650</v>
      </c>
      <c r="C21" s="334"/>
      <c r="D21" s="334"/>
      <c r="E21" s="1198"/>
      <c r="F21" s="678"/>
      <c r="G21" s="679"/>
      <c r="H21" s="1193"/>
      <c r="I21" s="679"/>
      <c r="J21" s="1193"/>
      <c r="K21" s="679"/>
      <c r="L21" s="1193"/>
      <c r="M21" s="1203"/>
      <c r="N21" s="1194">
        <f t="shared" si="0"/>
        <v>0</v>
      </c>
      <c r="O21" s="1243">
        <f t="shared" si="1"/>
        <v>0</v>
      </c>
      <c r="P21" s="679"/>
    </row>
    <row r="22" spans="1:20" hidden="1">
      <c r="A22" s="672"/>
      <c r="B22" s="672" t="s">
        <v>1651</v>
      </c>
      <c r="C22" s="672"/>
      <c r="D22" s="672"/>
      <c r="E22" s="1196">
        <f>SUM(E21)</f>
        <v>0</v>
      </c>
      <c r="F22" s="677"/>
      <c r="G22" s="677">
        <f>SUM(G21)</f>
        <v>0</v>
      </c>
      <c r="H22" s="748"/>
      <c r="I22" s="677">
        <f t="shared" ref="I22:P22" si="2">SUM(I21)</f>
        <v>0</v>
      </c>
      <c r="J22" s="748"/>
      <c r="K22" s="677">
        <f t="shared" si="2"/>
        <v>0</v>
      </c>
      <c r="L22" s="748"/>
      <c r="M22" s="1201">
        <f t="shared" si="2"/>
        <v>0</v>
      </c>
      <c r="N22" s="1194">
        <f t="shared" si="0"/>
        <v>0</v>
      </c>
      <c r="O22" s="1243">
        <f t="shared" si="1"/>
        <v>0</v>
      </c>
      <c r="P22" s="677">
        <f t="shared" si="2"/>
        <v>0</v>
      </c>
    </row>
    <row r="23" spans="1:20" hidden="1">
      <c r="A23" s="334"/>
      <c r="B23" s="334"/>
      <c r="C23" s="334"/>
      <c r="D23" s="334"/>
      <c r="E23" s="1197"/>
      <c r="F23" s="678"/>
      <c r="G23" s="678"/>
      <c r="H23" s="1193"/>
      <c r="I23" s="678"/>
      <c r="J23" s="1193"/>
      <c r="K23" s="678"/>
      <c r="L23" s="1193"/>
      <c r="M23" s="1202"/>
      <c r="N23" s="1194">
        <f t="shared" si="0"/>
        <v>0</v>
      </c>
      <c r="O23" s="1243">
        <f t="shared" si="1"/>
        <v>0</v>
      </c>
      <c r="P23" s="678"/>
    </row>
    <row r="24" spans="1:20" hidden="1">
      <c r="A24" s="672" t="s">
        <v>1652</v>
      </c>
      <c r="B24" s="334"/>
      <c r="C24" s="334"/>
      <c r="D24" s="334"/>
      <c r="E24" s="1197"/>
      <c r="F24" s="678"/>
      <c r="G24" s="678"/>
      <c r="H24" s="1193"/>
      <c r="I24" s="678"/>
      <c r="J24" s="1193"/>
      <c r="K24" s="678"/>
      <c r="L24" s="1193"/>
      <c r="M24" s="1202"/>
      <c r="N24" s="1194">
        <f t="shared" si="0"/>
        <v>0</v>
      </c>
      <c r="O24" s="1243">
        <f t="shared" si="1"/>
        <v>0</v>
      </c>
      <c r="P24" s="678"/>
    </row>
    <row r="25" spans="1:20" hidden="1">
      <c r="A25" s="334"/>
      <c r="B25" s="1864" t="s">
        <v>1653</v>
      </c>
      <c r="C25" s="1864"/>
      <c r="D25" s="1864"/>
      <c r="E25" s="1198"/>
      <c r="F25" s="678"/>
      <c r="G25" s="679"/>
      <c r="H25" s="1193"/>
      <c r="I25" s="679"/>
      <c r="J25" s="1193"/>
      <c r="K25" s="679"/>
      <c r="L25" s="1193"/>
      <c r="M25" s="1203"/>
      <c r="N25" s="1194">
        <f t="shared" si="0"/>
        <v>0</v>
      </c>
      <c r="O25" s="1243">
        <f t="shared" si="1"/>
        <v>0</v>
      </c>
      <c r="P25" s="679"/>
    </row>
    <row r="26" spans="1:20" hidden="1">
      <c r="A26" s="672"/>
      <c r="B26" s="672" t="s">
        <v>1651</v>
      </c>
      <c r="C26" s="334"/>
      <c r="D26" s="334"/>
      <c r="E26" s="1196">
        <f>SUM(E25)</f>
        <v>0</v>
      </c>
      <c r="F26" s="677"/>
      <c r="G26" s="677">
        <f>SUM(G25)</f>
        <v>0</v>
      </c>
      <c r="H26" s="748"/>
      <c r="I26" s="677">
        <f t="shared" ref="I26:P26" si="3">SUM(I25)</f>
        <v>0</v>
      </c>
      <c r="J26" s="748"/>
      <c r="K26" s="677">
        <f t="shared" si="3"/>
        <v>0</v>
      </c>
      <c r="L26" s="748"/>
      <c r="M26" s="1201">
        <f t="shared" si="3"/>
        <v>0</v>
      </c>
      <c r="N26" s="1194">
        <f t="shared" si="0"/>
        <v>0</v>
      </c>
      <c r="O26" s="1243">
        <f t="shared" si="1"/>
        <v>0</v>
      </c>
      <c r="P26" s="677">
        <f t="shared" si="3"/>
        <v>0</v>
      </c>
    </row>
    <row r="27" spans="1:20" hidden="1">
      <c r="A27" s="334"/>
      <c r="B27" s="334"/>
      <c r="C27" s="334"/>
      <c r="D27" s="334"/>
      <c r="E27" s="1197"/>
      <c r="F27" s="678"/>
      <c r="G27" s="678"/>
      <c r="H27" s="1193"/>
      <c r="I27" s="678"/>
      <c r="J27" s="1193"/>
      <c r="K27" s="678"/>
      <c r="L27" s="678"/>
      <c r="M27" s="1202">
        <f>+G27+I27+K27</f>
        <v>0</v>
      </c>
      <c r="N27" s="1194">
        <f t="shared" si="0"/>
        <v>0</v>
      </c>
      <c r="O27" s="1243">
        <f t="shared" si="1"/>
        <v>0</v>
      </c>
      <c r="P27" s="678"/>
    </row>
    <row r="28" spans="1:20" ht="15.75" thickBot="1">
      <c r="A28" s="672"/>
      <c r="B28" s="1207" t="s">
        <v>1654</v>
      </c>
      <c r="C28" s="1207"/>
      <c r="D28" s="1207"/>
      <c r="E28" s="1199">
        <f>+E26+E22+E18+E14</f>
        <v>368595560</v>
      </c>
      <c r="F28" s="1196"/>
      <c r="G28" s="1199">
        <f>+G18+G14</f>
        <v>61640244.25</v>
      </c>
      <c r="H28" s="1196"/>
      <c r="I28" s="1199">
        <f>+I18+I14</f>
        <v>0</v>
      </c>
      <c r="J28" s="1196"/>
      <c r="K28" s="1199">
        <f>+K18+K14</f>
        <v>0</v>
      </c>
      <c r="L28" s="1196"/>
      <c r="M28" s="1199">
        <f>+M18+M14</f>
        <v>0</v>
      </c>
      <c r="N28" s="1208">
        <f t="shared" si="0"/>
        <v>1</v>
      </c>
      <c r="O28" s="1199">
        <f>+O14+O18</f>
        <v>61640244.25</v>
      </c>
      <c r="P28" s="1199">
        <f>+P14+P18</f>
        <v>306955315.75</v>
      </c>
      <c r="R28" s="11"/>
      <c r="S28" s="11"/>
    </row>
    <row r="29" spans="1:20" ht="7.5" customHeight="1" thickTop="1">
      <c r="A29" s="334"/>
      <c r="B29" s="334"/>
      <c r="C29" s="824"/>
      <c r="D29" s="334"/>
      <c r="E29" s="1197"/>
      <c r="F29" s="678"/>
      <c r="G29" s="678"/>
      <c r="H29" s="678"/>
      <c r="I29" s="678"/>
      <c r="J29" s="678"/>
      <c r="K29" s="678"/>
      <c r="L29" s="678"/>
      <c r="M29" s="1240"/>
      <c r="N29" s="678"/>
      <c r="O29" s="1243"/>
      <c r="P29" s="678"/>
    </row>
    <row r="30" spans="1:20">
      <c r="A30" s="672" t="s">
        <v>1655</v>
      </c>
      <c r="B30" s="334"/>
      <c r="C30" s="334"/>
      <c r="D30" s="334"/>
      <c r="E30" s="1197"/>
      <c r="F30" s="678"/>
      <c r="G30" s="678"/>
      <c r="H30" s="678"/>
      <c r="I30" s="678"/>
      <c r="J30" s="678"/>
      <c r="K30" s="678"/>
      <c r="L30" s="678"/>
      <c r="M30" s="1240"/>
      <c r="N30" s="678"/>
      <c r="O30" s="1243"/>
      <c r="P30" s="678"/>
    </row>
    <row r="31" spans="1:20">
      <c r="A31" s="334"/>
      <c r="B31" s="334" t="s">
        <v>1656</v>
      </c>
      <c r="C31" s="808"/>
      <c r="D31" s="1192">
        <v>2.1</v>
      </c>
      <c r="E31" s="1197">
        <v>172299525.995</v>
      </c>
      <c r="F31" s="678"/>
      <c r="G31" s="678">
        <f ca="1">+'25A'!D53+'25A'!E53+'25A'!F53</f>
        <v>8987697.2899999991</v>
      </c>
      <c r="H31" s="678"/>
      <c r="I31" s="678">
        <f ca="1">+'25A'!G53+'25A'!H53+'25A'!I53</f>
        <v>0</v>
      </c>
      <c r="J31" s="678"/>
      <c r="K31" s="678">
        <f ca="1">+'25A'!J53+'25A'!K53+'25A'!L53</f>
        <v>0</v>
      </c>
      <c r="L31" s="678"/>
      <c r="M31" s="1240">
        <f ca="1">+'25A'!M53+'25A'!N53+'25A'!O53</f>
        <v>0</v>
      </c>
      <c r="N31" s="1194">
        <f t="shared" ref="N31:N36" ca="1" si="4">+O31/$O$36</f>
        <v>0.24708564895041746</v>
      </c>
      <c r="O31" s="1243">
        <f t="shared" ca="1" si="1"/>
        <v>8987697.2899999991</v>
      </c>
      <c r="P31" s="678">
        <f ca="1">+E31-O31</f>
        <v>163311828.70500001</v>
      </c>
      <c r="R31" s="11"/>
      <c r="S31" s="11"/>
      <c r="T31" s="11"/>
    </row>
    <row r="32" spans="1:20">
      <c r="A32" s="334"/>
      <c r="B32" s="334" t="s">
        <v>1657</v>
      </c>
      <c r="C32" s="808"/>
      <c r="D32" s="1192">
        <v>2.2000000000000002</v>
      </c>
      <c r="E32" s="1197">
        <v>71159834</v>
      </c>
      <c r="F32" s="678"/>
      <c r="G32" s="678">
        <f ca="1">+'25A'!D54+'25A'!E54+'25A'!F54</f>
        <v>18887716.690000001</v>
      </c>
      <c r="H32" s="678"/>
      <c r="I32" s="678">
        <f ca="1">+'25A'!G54+'25A'!H54+'25A'!I54</f>
        <v>0</v>
      </c>
      <c r="J32" s="678"/>
      <c r="K32" s="678">
        <f ca="1">+'25A'!J54+'25A'!K54+'25A'!L54</f>
        <v>0</v>
      </c>
      <c r="L32" s="678"/>
      <c r="M32" s="1240">
        <f ca="1">+'25A'!M54+'25A'!N54+'25A'!O54</f>
        <v>0</v>
      </c>
      <c r="N32" s="1194">
        <f t="shared" ca="1" si="4"/>
        <v>0.51925243863439929</v>
      </c>
      <c r="O32" s="1243">
        <f t="shared" ca="1" si="1"/>
        <v>18887716.690000001</v>
      </c>
      <c r="P32" s="678">
        <f ca="1">+E32-O32</f>
        <v>52272117.310000002</v>
      </c>
      <c r="R32" s="11"/>
      <c r="S32" s="11"/>
      <c r="T32" s="11"/>
    </row>
    <row r="33" spans="1:20">
      <c r="A33" s="334"/>
      <c r="B33" s="334" t="s">
        <v>1658</v>
      </c>
      <c r="C33" s="808"/>
      <c r="D33" s="1192">
        <v>2.2999999999999998</v>
      </c>
      <c r="E33" s="1197">
        <v>26401200</v>
      </c>
      <c r="F33" s="678"/>
      <c r="G33" s="678">
        <f ca="1">+'25A'!D55+'25A'!E55+'25A'!F55</f>
        <v>2958100.0399999996</v>
      </c>
      <c r="H33" s="678"/>
      <c r="I33" s="678">
        <f ca="1">+'25A'!G55+'25A'!H55+'25A'!I55</f>
        <v>0</v>
      </c>
      <c r="J33" s="678"/>
      <c r="K33" s="678">
        <f ca="1">+'25A'!J55+'25A'!K55+'25A'!L55</f>
        <v>0</v>
      </c>
      <c r="L33" s="678"/>
      <c r="M33" s="1240">
        <f ca="1">+'25A'!M55+'25A'!N55+'25A'!O55</f>
        <v>0</v>
      </c>
      <c r="N33" s="1194">
        <f t="shared" ca="1" si="4"/>
        <v>8.1322728665648658E-2</v>
      </c>
      <c r="O33" s="1243">
        <f t="shared" ca="1" si="1"/>
        <v>2958100.0399999996</v>
      </c>
      <c r="P33" s="678">
        <f ca="1">+E33-O33</f>
        <v>23443099.960000001</v>
      </c>
      <c r="R33" s="11"/>
      <c r="S33" s="11"/>
      <c r="T33" s="11"/>
    </row>
    <row r="34" spans="1:20">
      <c r="A34" s="334"/>
      <c r="B34" s="334" t="s">
        <v>1659</v>
      </c>
      <c r="C34" s="808"/>
      <c r="D34" s="1192">
        <v>2.4</v>
      </c>
      <c r="E34" s="1197">
        <v>16550000</v>
      </c>
      <c r="F34" s="678"/>
      <c r="G34" s="678">
        <f ca="1">+'25A'!D56+'25A'!E56+'25A'!F56</f>
        <v>0</v>
      </c>
      <c r="H34" s="678"/>
      <c r="I34" s="678">
        <f ca="1">+'25A'!G56+'25A'!H56+'25A'!I56</f>
        <v>0</v>
      </c>
      <c r="J34" s="678"/>
      <c r="K34" s="678">
        <f ca="1">+'25A'!J56+'25A'!K56+'25A'!L56</f>
        <v>0</v>
      </c>
      <c r="L34" s="678"/>
      <c r="M34" s="1240">
        <f ca="1">+'25A'!M56+'25A'!N56+'25A'!O56</f>
        <v>0</v>
      </c>
      <c r="N34" s="1194">
        <f t="shared" ca="1" si="4"/>
        <v>0</v>
      </c>
      <c r="O34" s="1243">
        <f t="shared" ca="1" si="1"/>
        <v>0</v>
      </c>
      <c r="P34" s="678">
        <f ca="1">+E34-O34</f>
        <v>16550000</v>
      </c>
      <c r="R34" s="11"/>
      <c r="S34" s="11"/>
      <c r="T34" s="11"/>
    </row>
    <row r="35" spans="1:20">
      <c r="A35" s="334"/>
      <c r="B35" s="334" t="s">
        <v>1660</v>
      </c>
      <c r="C35" s="808"/>
      <c r="D35" s="1192">
        <v>2.5</v>
      </c>
      <c r="E35" s="1197">
        <v>82185000</v>
      </c>
      <c r="F35" s="678"/>
      <c r="G35" s="678">
        <f ca="1">+'25A'!D57+'25A'!E57+'25A'!F57</f>
        <v>5541311.1799999997</v>
      </c>
      <c r="H35" s="678"/>
      <c r="I35" s="678">
        <f ca="1">+'25A'!G57+'25A'!H57+'25A'!I57</f>
        <v>0</v>
      </c>
      <c r="J35" s="678"/>
      <c r="K35" s="678">
        <f ca="1">+'25A'!J57+'25A'!K57+'25A'!L57</f>
        <v>0</v>
      </c>
      <c r="L35" s="678"/>
      <c r="M35" s="1240">
        <f ca="1">+'25A'!M57+'25A'!N57+'25A'!O57</f>
        <v>0</v>
      </c>
      <c r="N35" s="1194">
        <f t="shared" ca="1" si="4"/>
        <v>0.15233918374953453</v>
      </c>
      <c r="O35" s="1243">
        <f t="shared" ca="1" si="1"/>
        <v>5541311.1799999997</v>
      </c>
      <c r="P35" s="678">
        <f ca="1">+E35-O35</f>
        <v>76643688.819999993</v>
      </c>
      <c r="R35" s="11"/>
      <c r="S35" s="11"/>
      <c r="T35" s="11"/>
    </row>
    <row r="36" spans="1:20">
      <c r="A36" s="334"/>
      <c r="B36" s="1209" t="s">
        <v>1661</v>
      </c>
      <c r="C36" s="1209"/>
      <c r="D36" s="1209"/>
      <c r="E36" s="1200">
        <f>SUM(E31:E35)</f>
        <v>368595559.995</v>
      </c>
      <c r="F36" s="1197"/>
      <c r="G36" s="1200">
        <f ca="1">SUM(G31:G35)</f>
        <v>36374825.200000003</v>
      </c>
      <c r="H36" s="1197"/>
      <c r="I36" s="1200">
        <f ca="1">SUM(I31:I35)</f>
        <v>0</v>
      </c>
      <c r="J36" s="1197"/>
      <c r="K36" s="1200">
        <f ca="1">SUM(K31:K35)</f>
        <v>0</v>
      </c>
      <c r="L36" s="1197"/>
      <c r="M36" s="1200">
        <f ca="1">SUM(M31:M35)</f>
        <v>0</v>
      </c>
      <c r="N36" s="1208">
        <f t="shared" ca="1" si="4"/>
        <v>1</v>
      </c>
      <c r="O36" s="1200">
        <f ca="1">SUM(O31:O35)</f>
        <v>36374825.200000003</v>
      </c>
      <c r="P36" s="1200">
        <f ca="1">SUM(P31:P35)</f>
        <v>332220734.79500002</v>
      </c>
      <c r="R36" s="11"/>
      <c r="S36" s="11"/>
      <c r="T36" s="11"/>
    </row>
    <row r="37" spans="1:20" ht="6.75" customHeight="1">
      <c r="A37" s="334"/>
      <c r="B37" s="334"/>
      <c r="C37" s="334"/>
      <c r="D37" s="334"/>
      <c r="E37" s="1242"/>
      <c r="F37" s="678"/>
      <c r="G37" s="748"/>
      <c r="H37" s="678"/>
      <c r="I37" s="748"/>
      <c r="J37" s="678"/>
      <c r="K37" s="748"/>
      <c r="L37" s="678"/>
      <c r="M37" s="1242"/>
      <c r="N37" s="1194"/>
      <c r="O37" s="1282"/>
      <c r="P37" s="748"/>
      <c r="R37" s="11"/>
    </row>
    <row r="38" spans="1:20" ht="15.75" thickBot="1">
      <c r="A38" s="672"/>
      <c r="B38" s="1204" t="s">
        <v>1662</v>
      </c>
      <c r="C38" s="1204"/>
      <c r="D38" s="1204"/>
      <c r="E38" s="1205">
        <f>+E28-E36</f>
        <v>4.999995231628418E-3</v>
      </c>
      <c r="F38" s="1206"/>
      <c r="G38" s="1205">
        <f ca="1">+G28-G36</f>
        <v>25265419.049999997</v>
      </c>
      <c r="H38" s="1206"/>
      <c r="I38" s="1205">
        <f ca="1">+I28-I36</f>
        <v>0</v>
      </c>
      <c r="J38" s="1206"/>
      <c r="K38" s="1205">
        <f ca="1">+K28-K36</f>
        <v>0</v>
      </c>
      <c r="L38" s="1206"/>
      <c r="M38" s="1205">
        <f ca="1">+M28-M36</f>
        <v>0</v>
      </c>
      <c r="N38" s="1281"/>
      <c r="O38" s="1205">
        <f ca="1">+O28-O36</f>
        <v>25265419.049999997</v>
      </c>
      <c r="P38" s="1205">
        <f ca="1">+P28-P36</f>
        <v>-25265419.045000017</v>
      </c>
      <c r="R38" s="11"/>
    </row>
    <row r="39" spans="1:20" ht="15.75" thickTop="1">
      <c r="A39" s="334"/>
      <c r="B39" s="334"/>
      <c r="C39" s="334"/>
      <c r="D39" s="334"/>
      <c r="E39" s="678"/>
      <c r="F39" s="678"/>
      <c r="G39" s="678"/>
      <c r="H39" s="678"/>
      <c r="I39" s="678"/>
      <c r="J39" s="678"/>
      <c r="K39" s="678"/>
      <c r="L39" s="678"/>
      <c r="M39" s="678"/>
      <c r="N39" s="678"/>
      <c r="O39" s="678"/>
      <c r="P39" s="678"/>
    </row>
    <row r="40" spans="1:20">
      <c r="A40" s="672" t="s">
        <v>2819</v>
      </c>
      <c r="C40" s="334"/>
      <c r="D40" s="334"/>
      <c r="E40" s="678"/>
      <c r="F40" s="678"/>
      <c r="G40" s="678"/>
      <c r="H40" s="678"/>
      <c r="I40" s="678"/>
      <c r="J40" s="678"/>
      <c r="K40" s="678"/>
      <c r="L40" s="678"/>
      <c r="M40" s="678"/>
      <c r="N40" s="678"/>
      <c r="O40" s="678"/>
      <c r="P40" s="678"/>
    </row>
    <row r="41" spans="1:20" s="1250" customFormat="1" ht="15.6" customHeight="1">
      <c r="A41" s="1250" t="str">
        <f t="shared" ref="A41:A51" si="5">MID(B41,1,5)</f>
        <v xml:space="preserve"> INCR</v>
      </c>
      <c r="B41" s="1253" t="s">
        <v>2831</v>
      </c>
      <c r="C41" s="1254"/>
      <c r="D41" s="1254"/>
      <c r="E41" s="1254"/>
      <c r="F41" s="1254"/>
      <c r="G41" s="1255">
        <f>+G42+G43</f>
        <v>606013.57000000123</v>
      </c>
      <c r="H41" s="1254"/>
      <c r="I41" s="1255">
        <f>+I42+I43</f>
        <v>606013.57000000123</v>
      </c>
      <c r="J41" s="1254"/>
      <c r="K41" s="1255">
        <f>+K42+K43</f>
        <v>606013.57000000123</v>
      </c>
      <c r="L41" s="1254"/>
      <c r="M41" s="1255">
        <f>+M42+M43</f>
        <v>606013.57000000123</v>
      </c>
      <c r="N41" s="1254"/>
      <c r="O41" s="1243">
        <f t="shared" ref="O41:O49" si="6">+G41+I41+K41+M41</f>
        <v>2424054.2800000049</v>
      </c>
      <c r="P41" s="678">
        <f t="shared" ref="P41:P49" si="7">+E41-M41</f>
        <v>-606013.57000000123</v>
      </c>
    </row>
    <row r="42" spans="1:20" s="1250" customFormat="1" ht="15.6" customHeight="1">
      <c r="A42" s="1250" t="str">
        <f t="shared" si="5"/>
        <v xml:space="preserve"> INCR</v>
      </c>
      <c r="B42" s="1256" t="s">
        <v>2832</v>
      </c>
      <c r="C42" s="1254"/>
      <c r="D42" s="1254"/>
      <c r="E42" s="1254"/>
      <c r="F42" s="1254"/>
      <c r="G42" s="1257">
        <f>IF(G54&gt;0,G54,0)</f>
        <v>606013.57000000123</v>
      </c>
      <c r="H42" s="1254"/>
      <c r="I42" s="1257">
        <f>IF(I54&gt;0,I54,0)</f>
        <v>606013.57000000123</v>
      </c>
      <c r="J42" s="1254"/>
      <c r="K42" s="1257">
        <f>IF(K54&gt;0,K54,0)</f>
        <v>606013.57000000123</v>
      </c>
      <c r="L42" s="1254"/>
      <c r="M42" s="1257">
        <f>IF(M54&gt;0,M54,0)</f>
        <v>606013.57000000123</v>
      </c>
      <c r="N42" s="1254"/>
      <c r="O42" s="1243">
        <f t="shared" si="6"/>
        <v>2424054.2800000049</v>
      </c>
      <c r="P42" s="678">
        <f t="shared" si="7"/>
        <v>-606013.57000000123</v>
      </c>
    </row>
    <row r="43" spans="1:20" s="1250" customFormat="1" ht="15.6" customHeight="1">
      <c r="A43" s="1250" t="str">
        <f t="shared" si="5"/>
        <v xml:space="preserve"> INCR</v>
      </c>
      <c r="B43" s="1256" t="s">
        <v>2833</v>
      </c>
      <c r="C43" s="1254"/>
      <c r="D43" s="1254"/>
      <c r="E43" s="1254"/>
      <c r="F43" s="1254"/>
      <c r="G43" s="1257">
        <v>0</v>
      </c>
      <c r="H43" s="1254"/>
      <c r="I43" s="1257">
        <v>0</v>
      </c>
      <c r="J43" s="1254"/>
      <c r="K43" s="1257">
        <v>0</v>
      </c>
      <c r="L43" s="1254"/>
      <c r="M43" s="1257">
        <v>0</v>
      </c>
      <c r="N43" s="1254"/>
      <c r="O43" s="1243">
        <f t="shared" si="6"/>
        <v>0</v>
      </c>
      <c r="P43" s="678">
        <f t="shared" si="7"/>
        <v>0</v>
      </c>
    </row>
    <row r="44" spans="1:20" s="1250" customFormat="1" ht="15.6" customHeight="1">
      <c r="A44" s="1250" t="str">
        <f t="shared" si="5"/>
        <v xml:space="preserve"> DISM</v>
      </c>
      <c r="B44" s="1253" t="s">
        <v>2834</v>
      </c>
      <c r="C44" s="1254"/>
      <c r="D44" s="1254"/>
      <c r="E44" s="1254"/>
      <c r="F44" s="1254"/>
      <c r="G44" s="1255">
        <f>+G45+G46</f>
        <v>0</v>
      </c>
      <c r="H44" s="1254"/>
      <c r="I44" s="1255">
        <f>+I45+I46</f>
        <v>0</v>
      </c>
      <c r="J44" s="1254"/>
      <c r="K44" s="1255">
        <f>+K45+K46</f>
        <v>0</v>
      </c>
      <c r="L44" s="1254"/>
      <c r="M44" s="1255">
        <f>+M45+M46</f>
        <v>0</v>
      </c>
      <c r="N44" s="1254"/>
      <c r="O44" s="1243">
        <f t="shared" si="6"/>
        <v>0</v>
      </c>
      <c r="P44" s="678">
        <f t="shared" si="7"/>
        <v>0</v>
      </c>
    </row>
    <row r="45" spans="1:20" s="1250" customFormat="1" ht="15.6" customHeight="1">
      <c r="A45" s="1250" t="str">
        <f t="shared" si="5"/>
        <v xml:space="preserve"> DISM</v>
      </c>
      <c r="B45" s="1256" t="s">
        <v>2837</v>
      </c>
      <c r="C45" s="1254"/>
      <c r="D45" s="1254"/>
      <c r="E45" s="1254"/>
      <c r="F45" s="1254"/>
      <c r="G45" s="1257">
        <f>IF(G55&lt;0,-G55,0)</f>
        <v>0</v>
      </c>
      <c r="H45" s="1254"/>
      <c r="I45" s="1257">
        <f>IF(I55&lt;0,-I55,0)</f>
        <v>0</v>
      </c>
      <c r="J45" s="1254"/>
      <c r="K45" s="1257">
        <f>IF(K55&lt;0,-K55,0)</f>
        <v>0</v>
      </c>
      <c r="L45" s="1254"/>
      <c r="M45" s="1257">
        <f>IF(M55&lt;0,-M55,0)</f>
        <v>0</v>
      </c>
      <c r="N45" s="1254"/>
      <c r="O45" s="1243">
        <f t="shared" si="6"/>
        <v>0</v>
      </c>
      <c r="P45" s="678">
        <f t="shared" si="7"/>
        <v>0</v>
      </c>
    </row>
    <row r="46" spans="1:20" s="1250" customFormat="1" ht="15.6" customHeight="1">
      <c r="A46" s="1250" t="str">
        <f t="shared" si="5"/>
        <v xml:space="preserve"> DISM</v>
      </c>
      <c r="B46" s="1256" t="s">
        <v>2838</v>
      </c>
      <c r="C46" s="1254"/>
      <c r="D46" s="1254"/>
      <c r="E46" s="1254"/>
      <c r="F46" s="1254"/>
      <c r="G46" s="1257">
        <v>0</v>
      </c>
      <c r="H46" s="1254"/>
      <c r="I46" s="1257">
        <v>0</v>
      </c>
      <c r="J46" s="1254"/>
      <c r="K46" s="1257">
        <v>0</v>
      </c>
      <c r="L46" s="1254"/>
      <c r="M46" s="1257">
        <v>0</v>
      </c>
      <c r="N46" s="1254"/>
      <c r="O46" s="1243">
        <f t="shared" si="6"/>
        <v>0</v>
      </c>
      <c r="P46" s="678">
        <f t="shared" si="7"/>
        <v>0</v>
      </c>
    </row>
    <row r="47" spans="1:20" s="1250" customFormat="1" ht="15.6" customHeight="1">
      <c r="A47" s="1250" t="str">
        <f t="shared" si="5"/>
        <v xml:space="preserve"> DISM</v>
      </c>
      <c r="B47" s="1253" t="s">
        <v>2835</v>
      </c>
      <c r="C47" s="1254"/>
      <c r="D47" s="1254"/>
      <c r="E47" s="1254"/>
      <c r="F47" s="1254"/>
      <c r="G47" s="1255">
        <f>+G48</f>
        <v>0</v>
      </c>
      <c r="H47" s="1254"/>
      <c r="I47" s="1255">
        <f>+I48</f>
        <v>0</v>
      </c>
      <c r="J47" s="1254"/>
      <c r="K47" s="1255">
        <f>+K48</f>
        <v>0</v>
      </c>
      <c r="L47" s="1254"/>
      <c r="M47" s="1255">
        <f>+M48</f>
        <v>0</v>
      </c>
      <c r="N47" s="1254"/>
      <c r="O47" s="1243">
        <f t="shared" si="6"/>
        <v>0</v>
      </c>
      <c r="P47" s="678">
        <f t="shared" si="7"/>
        <v>0</v>
      </c>
    </row>
    <row r="48" spans="1:20" s="1250" customFormat="1" ht="15.6" customHeight="1">
      <c r="A48" s="1250" t="str">
        <f t="shared" si="5"/>
        <v xml:space="preserve"> DISM</v>
      </c>
      <c r="B48" s="1256" t="s">
        <v>2836</v>
      </c>
      <c r="C48" s="1254"/>
      <c r="D48" s="1254"/>
      <c r="E48" s="1254"/>
      <c r="F48" s="1254"/>
      <c r="G48" s="1257">
        <v>0</v>
      </c>
      <c r="H48" s="1254"/>
      <c r="I48" s="1257">
        <v>0</v>
      </c>
      <c r="J48" s="1254"/>
      <c r="K48" s="1257">
        <v>0</v>
      </c>
      <c r="L48" s="1254"/>
      <c r="M48" s="1257">
        <v>0</v>
      </c>
      <c r="N48" s="1254"/>
      <c r="O48" s="1243">
        <f t="shared" si="6"/>
        <v>0</v>
      </c>
      <c r="P48" s="678">
        <f t="shared" si="7"/>
        <v>0</v>
      </c>
    </row>
    <row r="49" spans="1:16" s="1250" customFormat="1" ht="15.6" customHeight="1">
      <c r="A49" s="1250" t="str">
        <f t="shared" si="5"/>
        <v>TOTAL</v>
      </c>
      <c r="B49" s="1258" t="s">
        <v>2820</v>
      </c>
      <c r="C49" s="1254"/>
      <c r="D49" s="1254"/>
      <c r="E49" s="1254"/>
      <c r="F49" s="1254"/>
      <c r="G49" s="1259">
        <f>G47+G44+G41</f>
        <v>606013.57000000123</v>
      </c>
      <c r="H49" s="1254"/>
      <c r="I49" s="1259">
        <f>I47+I44+I41</f>
        <v>606013.57000000123</v>
      </c>
      <c r="J49" s="1254"/>
      <c r="K49" s="1259">
        <f>K47+K44+K41</f>
        <v>606013.57000000123</v>
      </c>
      <c r="L49" s="1254"/>
      <c r="M49" s="1259">
        <f>M47+M44+M41</f>
        <v>606013.57000000123</v>
      </c>
      <c r="N49" s="1254"/>
      <c r="O49" s="1243">
        <f t="shared" si="6"/>
        <v>2424054.2800000049</v>
      </c>
      <c r="P49" s="678">
        <f t="shared" si="7"/>
        <v>-606013.57000000123</v>
      </c>
    </row>
    <row r="50" spans="1:16" s="1250" customFormat="1" ht="15.6" customHeight="1">
      <c r="A50" s="1250" t="str">
        <f t="shared" si="5"/>
        <v/>
      </c>
      <c r="B50" s="1253"/>
      <c r="C50" s="1254"/>
      <c r="D50" s="1254"/>
      <c r="E50" s="1254"/>
      <c r="F50" s="1254"/>
      <c r="G50" s="1260"/>
      <c r="H50" s="1254"/>
      <c r="I50" s="1260"/>
      <c r="J50" s="1254"/>
      <c r="K50" s="1260"/>
      <c r="L50" s="1254"/>
      <c r="M50" s="1260"/>
      <c r="N50" s="1254"/>
      <c r="O50" s="1243"/>
      <c r="P50" s="678"/>
    </row>
    <row r="51" spans="1:16" s="1250" customFormat="1" ht="15.6" customHeight="1">
      <c r="A51" s="1250" t="str">
        <f t="shared" si="5"/>
        <v>TOTAL</v>
      </c>
      <c r="B51" s="1261" t="s">
        <v>2821</v>
      </c>
      <c r="C51" s="1254"/>
      <c r="D51" s="1254"/>
      <c r="E51" s="1254"/>
      <c r="F51" s="1254"/>
      <c r="G51" s="1262">
        <f>+G49+C38</f>
        <v>606013.57000000123</v>
      </c>
      <c r="H51" s="1263"/>
      <c r="I51" s="1262">
        <f>+I49+E38</f>
        <v>606013.57499999646</v>
      </c>
      <c r="J51" s="1263"/>
      <c r="K51" s="1262">
        <f ca="1">+K49+G38</f>
        <v>25871432.619999997</v>
      </c>
      <c r="L51" s="1263"/>
      <c r="M51" s="1262">
        <f ca="1">+M49+I38</f>
        <v>606013.57000000123</v>
      </c>
      <c r="N51" s="1263"/>
      <c r="O51" s="1262">
        <f ca="1">+O49+K38</f>
        <v>2424054.2800000049</v>
      </c>
      <c r="P51" s="1262">
        <f>+P49+L38</f>
        <v>-606013.57000000123</v>
      </c>
    </row>
    <row r="52" spans="1:16">
      <c r="A52" s="334"/>
      <c r="B52" s="334"/>
      <c r="C52" s="334"/>
      <c r="D52" s="334"/>
      <c r="E52" s="678"/>
      <c r="F52" s="678"/>
      <c r="G52" s="678"/>
      <c r="H52" s="678"/>
      <c r="I52" s="678"/>
      <c r="J52" s="678"/>
      <c r="K52" s="678"/>
      <c r="L52" s="678"/>
      <c r="M52" s="678"/>
      <c r="N52" s="678"/>
      <c r="O52" s="678"/>
      <c r="P52" s="678"/>
    </row>
    <row r="53" spans="1:16">
      <c r="A53" s="334"/>
      <c r="B53" s="334"/>
      <c r="C53" s="334"/>
      <c r="D53" s="334"/>
      <c r="E53" s="678"/>
      <c r="F53" s="678"/>
      <c r="G53" s="678"/>
      <c r="H53" s="678"/>
      <c r="I53" s="678"/>
      <c r="J53" s="678"/>
      <c r="K53" s="678"/>
      <c r="L53" s="678"/>
      <c r="M53" s="678"/>
      <c r="N53" s="678"/>
      <c r="O53" s="678"/>
      <c r="P53" s="678"/>
    </row>
    <row r="54" spans="1:16">
      <c r="A54" s="334"/>
      <c r="B54" s="334" t="s">
        <v>2827</v>
      </c>
      <c r="C54" s="334"/>
      <c r="D54" s="334"/>
      <c r="E54" s="678"/>
      <c r="F54" s="678"/>
      <c r="G54" s="678">
        <f>+'1'!I19</f>
        <v>606013.57000000123</v>
      </c>
      <c r="H54" s="678"/>
      <c r="I54" s="678">
        <f>+'1'!J19</f>
        <v>606013.57000000123</v>
      </c>
      <c r="J54" s="678"/>
      <c r="K54" s="678">
        <f>+'1'!K19</f>
        <v>606013.57000000123</v>
      </c>
      <c r="L54" s="678"/>
      <c r="M54" s="678">
        <f>+'1'!L19</f>
        <v>606013.57000000123</v>
      </c>
      <c r="N54" s="678"/>
      <c r="O54" s="678"/>
      <c r="P54" s="678"/>
    </row>
    <row r="55" spans="1:16">
      <c r="A55" s="334"/>
      <c r="B55" s="334" t="s">
        <v>2828</v>
      </c>
      <c r="C55" s="334"/>
      <c r="D55" s="334"/>
      <c r="E55" s="678"/>
      <c r="F55" s="678"/>
      <c r="G55" s="678">
        <f>+'10'!K16</f>
        <v>2985078.6799999978</v>
      </c>
      <c r="H55" s="678"/>
      <c r="I55" s="678">
        <f>+'10'!L16</f>
        <v>2985078.6799999978</v>
      </c>
      <c r="J55" s="678"/>
      <c r="K55" s="678">
        <f>+'10'!M16</f>
        <v>2985078.6799999978</v>
      </c>
      <c r="L55" s="678"/>
      <c r="M55" s="678">
        <f>+'10'!N16</f>
        <v>2985078.6799999978</v>
      </c>
      <c r="N55" s="678"/>
      <c r="O55" s="678"/>
      <c r="P55" s="678"/>
    </row>
    <row r="56" spans="1:16">
      <c r="A56" s="334"/>
      <c r="B56" s="334"/>
      <c r="C56" s="334"/>
      <c r="D56" s="334"/>
      <c r="E56" s="678"/>
      <c r="F56" s="678"/>
      <c r="G56" s="678"/>
      <c r="H56" s="678"/>
      <c r="I56" s="678"/>
      <c r="J56" s="678"/>
      <c r="K56" s="678"/>
      <c r="L56" s="678"/>
      <c r="M56" s="678"/>
      <c r="N56" s="678"/>
      <c r="O56" s="678"/>
      <c r="P56" s="678"/>
    </row>
    <row r="57" spans="1:16">
      <c r="M57" s="949">
        <f ca="1">+M38-'EEP2'!D30</f>
        <v>3528729.0399999917</v>
      </c>
    </row>
    <row r="58" spans="1:16">
      <c r="H58" t="s">
        <v>1392</v>
      </c>
      <c r="I58" t="s">
        <v>1655</v>
      </c>
    </row>
    <row r="59" spans="1:16">
      <c r="G59" t="s">
        <v>2778</v>
      </c>
      <c r="H59" s="11">
        <f>+G28/1000000</f>
        <v>61.640244250000002</v>
      </c>
      <c r="I59" s="11">
        <f ca="1">+G36/1000000</f>
        <v>36.374825200000004</v>
      </c>
    </row>
    <row r="60" spans="1:16">
      <c r="G60" t="s">
        <v>2779</v>
      </c>
      <c r="H60" s="11">
        <f>+I28/1000000</f>
        <v>0</v>
      </c>
      <c r="I60" s="11">
        <f ca="1">+I36/1000000</f>
        <v>0</v>
      </c>
    </row>
    <row r="61" spans="1:16">
      <c r="G61" t="s">
        <v>2780</v>
      </c>
      <c r="H61" s="11">
        <f>+K28/1000000</f>
        <v>0</v>
      </c>
      <c r="I61" s="11">
        <f ca="1">+K36/1000000</f>
        <v>0</v>
      </c>
    </row>
    <row r="62" spans="1:16">
      <c r="G62" t="s">
        <v>2804</v>
      </c>
      <c r="H62" s="11">
        <f>+M28/1000000</f>
        <v>0</v>
      </c>
      <c r="I62" s="11">
        <f ca="1">+M36/1000000</f>
        <v>0</v>
      </c>
    </row>
  </sheetData>
  <mergeCells count="6">
    <mergeCell ref="A2:P2"/>
    <mergeCell ref="A3:P3"/>
    <mergeCell ref="A4:P4"/>
    <mergeCell ref="A5:P5"/>
    <mergeCell ref="B17:D17"/>
    <mergeCell ref="B25:D25"/>
  </mergeCells>
  <phoneticPr fontId="61" type="noConversion"/>
  <pageMargins left="0.70866141732283472" right="0.70866141732283472" top="0.74803149606299213" bottom="0.74803149606299213" header="0.31496062992125984" footer="0.31496062992125984"/>
  <pageSetup scale="9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workbookViewId="0">
      <selection activeCell="G41" sqref="G41"/>
    </sheetView>
  </sheetViews>
  <sheetFormatPr baseColWidth="10" defaultRowHeight="15"/>
  <cols>
    <col min="1" max="1" width="4.7109375" customWidth="1"/>
    <col min="2" max="2" width="33.42578125" bestFit="1" customWidth="1"/>
    <col min="3" max="3" width="19.140625" bestFit="1" customWidth="1"/>
    <col min="4" max="8" width="14.140625" bestFit="1" customWidth="1"/>
    <col min="9" max="9" width="15.28515625" bestFit="1" customWidth="1"/>
    <col min="10" max="15" width="14.140625" bestFit="1" customWidth="1"/>
  </cols>
  <sheetData>
    <row r="1" spans="1:16">
      <c r="A1" s="669"/>
      <c r="B1" s="669"/>
      <c r="C1" s="669"/>
      <c r="D1" s="669"/>
      <c r="E1" s="669"/>
      <c r="F1" s="669"/>
      <c r="G1" s="669"/>
      <c r="H1" s="669"/>
      <c r="I1" s="669"/>
      <c r="J1" s="669"/>
      <c r="K1" s="669"/>
      <c r="L1" s="669"/>
      <c r="M1" s="669"/>
      <c r="N1" s="669"/>
      <c r="O1" s="669"/>
      <c r="P1" s="669"/>
    </row>
    <row r="2" spans="1:16">
      <c r="A2" s="669"/>
      <c r="B2" s="669"/>
      <c r="C2" s="669"/>
      <c r="D2" s="669"/>
      <c r="E2" s="669"/>
      <c r="F2" s="669"/>
      <c r="G2" s="669"/>
      <c r="H2" s="669"/>
      <c r="I2" s="669"/>
      <c r="J2" s="669"/>
      <c r="K2" s="669"/>
      <c r="L2" s="669"/>
      <c r="M2" s="669"/>
      <c r="N2" s="669"/>
      <c r="O2" s="669"/>
      <c r="P2" s="669"/>
    </row>
    <row r="3" spans="1:16">
      <c r="A3" s="669"/>
      <c r="B3" s="669"/>
      <c r="C3" s="669"/>
      <c r="D3" s="669"/>
      <c r="E3" s="669"/>
      <c r="F3" s="669"/>
      <c r="G3" s="669"/>
      <c r="H3" s="669"/>
      <c r="I3" s="669"/>
      <c r="J3" s="669"/>
      <c r="K3" s="669"/>
      <c r="L3" s="669"/>
      <c r="M3" s="669"/>
      <c r="N3" s="669"/>
      <c r="O3" s="669"/>
      <c r="P3" s="669"/>
    </row>
    <row r="4" spans="1:16" ht="18.75" customHeight="1">
      <c r="A4" s="669"/>
      <c r="B4" s="669"/>
      <c r="C4" s="669"/>
      <c r="D4" s="1938" t="s">
        <v>3657</v>
      </c>
      <c r="E4" s="1938"/>
      <c r="F4" s="1938"/>
      <c r="G4" s="1938"/>
      <c r="H4" s="1938"/>
      <c r="I4" s="1938"/>
      <c r="J4" s="1938"/>
      <c r="K4" s="1938"/>
      <c r="L4" s="1938"/>
      <c r="M4" s="1938"/>
      <c r="N4" s="1938"/>
      <c r="O4" s="669"/>
      <c r="P4" s="669"/>
    </row>
    <row r="5" spans="1:16">
      <c r="A5" s="669"/>
      <c r="B5" s="669"/>
      <c r="C5" s="669"/>
      <c r="D5" s="1926" t="s">
        <v>3738</v>
      </c>
      <c r="E5" s="1926"/>
      <c r="F5" s="1926"/>
      <c r="G5" s="1926"/>
      <c r="H5" s="1926"/>
      <c r="I5" s="1926"/>
      <c r="J5" s="1926"/>
      <c r="K5" s="1926"/>
      <c r="L5" s="1926"/>
      <c r="M5" s="1926"/>
      <c r="N5" s="1926"/>
      <c r="O5" s="1926"/>
      <c r="P5" s="669"/>
    </row>
    <row r="6" spans="1:16">
      <c r="A6" s="1517" t="s">
        <v>3739</v>
      </c>
      <c r="B6" s="1517" t="s">
        <v>3740</v>
      </c>
      <c r="C6" s="1517" t="s">
        <v>3741</v>
      </c>
      <c r="D6" s="1517" t="s">
        <v>1418</v>
      </c>
      <c r="E6" s="1517" t="s">
        <v>1434</v>
      </c>
      <c r="F6" s="1517" t="s">
        <v>1435</v>
      </c>
      <c r="G6" s="1517" t="s">
        <v>1436</v>
      </c>
      <c r="H6" s="1517" t="s">
        <v>1437</v>
      </c>
      <c r="I6" s="1517" t="s">
        <v>1438</v>
      </c>
      <c r="J6" s="1517" t="s">
        <v>1439</v>
      </c>
      <c r="K6" s="1517" t="s">
        <v>1440</v>
      </c>
      <c r="L6" s="1517" t="s">
        <v>1441</v>
      </c>
      <c r="M6" s="1517" t="s">
        <v>1410</v>
      </c>
      <c r="N6" s="1517" t="s">
        <v>1411</v>
      </c>
      <c r="O6" s="1517" t="s">
        <v>1412</v>
      </c>
      <c r="P6" s="669"/>
    </row>
    <row r="7" spans="1:16">
      <c r="A7" s="1516" t="s">
        <v>3742</v>
      </c>
      <c r="B7" s="1516" t="s">
        <v>3743</v>
      </c>
      <c r="C7" s="1516" t="s">
        <v>3744</v>
      </c>
      <c r="D7" s="320">
        <v>1598764</v>
      </c>
      <c r="E7" s="320">
        <v>1598764</v>
      </c>
      <c r="F7" s="320">
        <f>1598764+10296372.36</f>
        <v>11895136.359999999</v>
      </c>
      <c r="G7" s="320">
        <v>1598764</v>
      </c>
      <c r="H7" s="320">
        <f>1598764+13618335.6</f>
        <v>15217099.6</v>
      </c>
      <c r="I7" s="320">
        <v>1598764</v>
      </c>
      <c r="J7" s="320">
        <f>1598764+3106590.67+3106590.67</f>
        <v>7811945.3399999999</v>
      </c>
      <c r="K7" s="320">
        <f>1598764+3106590.67</f>
        <v>4705354.67</v>
      </c>
      <c r="L7" s="320">
        <f>1598764+3106590.67+17848207.26</f>
        <v>22553561.93</v>
      </c>
      <c r="M7" s="320">
        <v>4705354.67</v>
      </c>
      <c r="N7" s="320">
        <v>4705354.67</v>
      </c>
      <c r="O7" s="320">
        <v>5754046.5999999996</v>
      </c>
      <c r="P7" s="669"/>
    </row>
    <row r="8" spans="1:16">
      <c r="A8" s="1516" t="s">
        <v>3742</v>
      </c>
      <c r="B8" s="1516" t="s">
        <v>3745</v>
      </c>
      <c r="C8" s="1516" t="s">
        <v>3744</v>
      </c>
      <c r="D8" s="320"/>
      <c r="E8" s="320"/>
      <c r="F8" s="320">
        <f>4666666+4666666+4666666</f>
        <v>13999998</v>
      </c>
      <c r="G8" s="320"/>
      <c r="H8" s="320"/>
      <c r="I8" s="320">
        <f>6222222+6222222+6222222+70000000</f>
        <v>88666666</v>
      </c>
      <c r="J8" s="320"/>
      <c r="K8" s="320">
        <v>6222222</v>
      </c>
      <c r="L8" s="320">
        <v>6222223</v>
      </c>
      <c r="M8" s="320">
        <v>12444444.560000001</v>
      </c>
      <c r="N8" s="320">
        <v>6222221.5599999996</v>
      </c>
      <c r="O8" s="320">
        <v>6222221.5999999996</v>
      </c>
      <c r="P8" s="669"/>
    </row>
    <row r="9" spans="1:16">
      <c r="A9" s="1516" t="s">
        <v>3742</v>
      </c>
      <c r="B9" s="1516" t="s">
        <v>3746</v>
      </c>
      <c r="C9" s="1516" t="s">
        <v>3747</v>
      </c>
      <c r="D9" s="320">
        <v>14818819.09</v>
      </c>
      <c r="E9" s="320">
        <v>18635502.359999999</v>
      </c>
      <c r="F9" s="320">
        <v>17265327.620000001</v>
      </c>
      <c r="G9" s="320">
        <v>15376451.029999999</v>
      </c>
      <c r="H9" s="320">
        <v>15983595.380000001</v>
      </c>
      <c r="I9" s="320">
        <v>16290113.85</v>
      </c>
      <c r="J9" s="320">
        <v>16249044.25</v>
      </c>
      <c r="K9" s="320">
        <v>15790081.300000001</v>
      </c>
      <c r="L9" s="320">
        <v>15589023.77</v>
      </c>
      <c r="M9" s="320">
        <v>15894220.25</v>
      </c>
      <c r="N9" s="320">
        <v>14900006.41</v>
      </c>
      <c r="O9" s="320">
        <v>16916192.300000001</v>
      </c>
      <c r="P9" s="669"/>
    </row>
    <row r="10" spans="1:16">
      <c r="A10" s="1516" t="s">
        <v>3742</v>
      </c>
      <c r="B10" s="1516" t="s">
        <v>3748</v>
      </c>
      <c r="C10" s="1516"/>
      <c r="D10" s="320">
        <v>10140867.140000001</v>
      </c>
      <c r="E10" s="320">
        <v>9306645.4000000097</v>
      </c>
      <c r="F10" s="320"/>
      <c r="G10" s="320">
        <v>16399404.359999999</v>
      </c>
      <c r="H10" s="320"/>
      <c r="I10" s="320"/>
      <c r="J10" s="320">
        <v>4471443.5099999905</v>
      </c>
      <c r="K10" s="320">
        <v>4391948.4000000097</v>
      </c>
      <c r="L10" s="320"/>
      <c r="M10" s="320"/>
      <c r="N10" s="320"/>
      <c r="O10" s="320">
        <v>25821877.929999977</v>
      </c>
      <c r="P10" s="669"/>
    </row>
    <row r="11" spans="1:16">
      <c r="A11" s="1516"/>
      <c r="B11" s="1516" t="s">
        <v>3749</v>
      </c>
      <c r="C11" s="1516"/>
      <c r="D11" s="320">
        <v>1388263.42</v>
      </c>
      <c r="E11" s="320">
        <v>23244.569999992847</v>
      </c>
      <c r="F11" s="320"/>
      <c r="G11" s="320">
        <v>1428063.67</v>
      </c>
      <c r="H11" s="320"/>
      <c r="I11" s="320">
        <v>1514890.5400000028</v>
      </c>
      <c r="J11" s="320">
        <v>1579877.0600000098</v>
      </c>
      <c r="K11" s="320">
        <v>2132103.3099999987</v>
      </c>
      <c r="L11" s="320">
        <v>309668.59999996051</v>
      </c>
      <c r="M11" s="320"/>
      <c r="N11" s="320">
        <v>4347871.8099999996</v>
      </c>
      <c r="O11" s="320"/>
      <c r="P11" s="669"/>
    </row>
    <row r="12" spans="1:16">
      <c r="A12" s="1516"/>
      <c r="B12" s="1516"/>
      <c r="C12" s="1516"/>
      <c r="D12" s="320"/>
      <c r="E12" s="320"/>
      <c r="F12" s="320"/>
      <c r="G12" s="320"/>
      <c r="H12" s="320"/>
      <c r="I12" s="320"/>
      <c r="J12" s="320"/>
      <c r="K12" s="320"/>
      <c r="L12" s="320"/>
      <c r="M12" s="320"/>
      <c r="N12" s="320"/>
      <c r="O12" s="320"/>
      <c r="P12" s="669"/>
    </row>
    <row r="13" spans="1:16">
      <c r="A13" s="1516"/>
      <c r="B13" s="1516"/>
      <c r="C13" s="1516"/>
      <c r="D13" s="1524">
        <f t="shared" ref="D13:O13" si="0">SUM(D7:D12)</f>
        <v>27946713.649999999</v>
      </c>
      <c r="E13" s="1524">
        <f t="shared" si="0"/>
        <v>29564156.330000002</v>
      </c>
      <c r="F13" s="1524">
        <f t="shared" si="0"/>
        <v>43160461.980000004</v>
      </c>
      <c r="G13" s="1524">
        <f t="shared" si="0"/>
        <v>34802683.060000002</v>
      </c>
      <c r="H13" s="1524">
        <f t="shared" si="0"/>
        <v>31200694.98</v>
      </c>
      <c r="I13" s="1524">
        <f t="shared" si="0"/>
        <v>108070434.39</v>
      </c>
      <c r="J13" s="1524">
        <f t="shared" si="0"/>
        <v>30112310.16</v>
      </c>
      <c r="K13" s="1524">
        <f t="shared" si="0"/>
        <v>33241709.680000007</v>
      </c>
      <c r="L13" s="1524">
        <f t="shared" si="0"/>
        <v>44674477.299999967</v>
      </c>
      <c r="M13" s="1524">
        <f t="shared" si="0"/>
        <v>33044019.48</v>
      </c>
      <c r="N13" s="1524">
        <f t="shared" si="0"/>
        <v>30175454.449999999</v>
      </c>
      <c r="O13" s="1524">
        <f t="shared" si="0"/>
        <v>54714338.429999977</v>
      </c>
      <c r="P13" s="669"/>
    </row>
    <row r="14" spans="1:16">
      <c r="A14" s="1525"/>
      <c r="B14" s="1525"/>
      <c r="C14" s="1525"/>
      <c r="D14" s="748"/>
      <c r="E14" s="748"/>
      <c r="F14" s="748"/>
      <c r="G14" s="748"/>
      <c r="H14" s="748"/>
      <c r="I14" s="748"/>
      <c r="J14" s="748"/>
      <c r="K14" s="748"/>
      <c r="L14" s="748"/>
      <c r="M14" s="748"/>
      <c r="N14" s="748"/>
      <c r="O14" s="748"/>
      <c r="P14" s="669"/>
    </row>
    <row r="15" spans="1:16">
      <c r="A15" s="1525"/>
      <c r="B15" s="1525"/>
      <c r="C15" s="1525"/>
      <c r="D15" s="748"/>
      <c r="E15" s="748"/>
      <c r="F15" s="748"/>
      <c r="G15" s="748"/>
      <c r="H15" s="748"/>
      <c r="I15" s="748"/>
      <c r="J15" s="748"/>
      <c r="K15" s="748"/>
      <c r="L15" s="748"/>
      <c r="M15" s="748"/>
      <c r="N15" s="748"/>
      <c r="O15" s="748"/>
      <c r="P15" s="669"/>
    </row>
    <row r="16" spans="1:16">
      <c r="A16" s="1525"/>
      <c r="B16" s="1525"/>
      <c r="C16" s="1525"/>
      <c r="D16" s="748"/>
      <c r="E16" s="748"/>
      <c r="F16" s="748"/>
      <c r="G16" s="748"/>
      <c r="H16" s="748"/>
      <c r="I16" s="748"/>
      <c r="J16" s="748"/>
      <c r="K16" s="748"/>
      <c r="L16" s="748"/>
      <c r="M16" s="748"/>
      <c r="N16" s="748"/>
      <c r="O16" s="748"/>
      <c r="P16" s="669"/>
    </row>
    <row r="17" spans="1:16">
      <c r="A17" s="1525"/>
      <c r="B17" s="1525"/>
      <c r="C17" s="1525"/>
      <c r="D17" s="748"/>
      <c r="E17" s="748"/>
      <c r="F17" s="748"/>
      <c r="G17" s="748"/>
      <c r="H17" s="748"/>
      <c r="I17" s="748"/>
      <c r="J17" s="748"/>
      <c r="K17" s="748"/>
      <c r="L17" s="748"/>
      <c r="M17" s="748"/>
      <c r="N17" s="748"/>
      <c r="O17" s="748"/>
      <c r="P17" s="669"/>
    </row>
    <row r="18" spans="1:16">
      <c r="A18" s="1525"/>
      <c r="B18" s="1525"/>
      <c r="C18" s="1525"/>
      <c r="D18" s="748"/>
      <c r="E18" s="748"/>
      <c r="F18" s="748"/>
      <c r="G18" s="748"/>
      <c r="H18" s="748"/>
      <c r="I18" s="748"/>
      <c r="J18" s="748"/>
      <c r="K18" s="748"/>
      <c r="L18" s="748"/>
      <c r="M18" s="748"/>
      <c r="N18" s="748"/>
      <c r="O18" s="748"/>
      <c r="P18" s="669"/>
    </row>
    <row r="19" spans="1:16" ht="15.75">
      <c r="A19" s="1525"/>
      <c r="B19" s="1939" t="s">
        <v>3733</v>
      </c>
      <c r="C19" s="1939"/>
      <c r="D19" s="748"/>
      <c r="E19" s="1936" t="s">
        <v>3734</v>
      </c>
      <c r="F19" s="1936"/>
      <c r="G19" s="1936"/>
      <c r="H19" s="748"/>
      <c r="I19" s="748"/>
      <c r="J19" s="1936" t="s">
        <v>3735</v>
      </c>
      <c r="K19" s="1936"/>
      <c r="L19" s="1936"/>
      <c r="M19" s="748"/>
      <c r="N19" s="748"/>
      <c r="O19" s="748"/>
      <c r="P19" s="669"/>
    </row>
    <row r="20" spans="1:16" ht="15.75">
      <c r="A20" s="1525"/>
      <c r="B20" s="1935" t="s">
        <v>3750</v>
      </c>
      <c r="C20" s="1935"/>
      <c r="D20" s="748"/>
      <c r="E20" s="1936" t="s">
        <v>1023</v>
      </c>
      <c r="F20" s="1936"/>
      <c r="G20" s="1936"/>
      <c r="H20" s="748"/>
      <c r="I20" s="748"/>
      <c r="J20" s="1936" t="s">
        <v>3737</v>
      </c>
      <c r="K20" s="1936"/>
      <c r="L20" s="1936"/>
      <c r="M20" s="748"/>
      <c r="N20" s="748"/>
      <c r="O20" s="748"/>
      <c r="P20" s="669"/>
    </row>
    <row r="21" spans="1:16">
      <c r="A21" s="1525"/>
      <c r="B21" s="1525"/>
      <c r="C21" s="1525"/>
      <c r="D21" s="748"/>
      <c r="E21" s="748"/>
      <c r="F21" s="748"/>
      <c r="G21" s="748"/>
      <c r="H21" s="748"/>
      <c r="I21" s="748"/>
      <c r="J21" s="748"/>
      <c r="K21" s="748"/>
      <c r="L21" s="748"/>
      <c r="M21" s="748"/>
      <c r="N21" s="748"/>
      <c r="O21" s="748"/>
      <c r="P21" s="669"/>
    </row>
    <row r="22" spans="1:16">
      <c r="A22" s="1525"/>
      <c r="B22" s="1525"/>
      <c r="C22" s="1525"/>
      <c r="D22" s="748"/>
      <c r="E22" s="748"/>
      <c r="F22" s="748"/>
      <c r="G22" s="748"/>
      <c r="H22" s="748"/>
      <c r="I22" s="748"/>
      <c r="J22" s="748"/>
      <c r="K22" s="748"/>
      <c r="L22" s="748"/>
      <c r="M22" s="748"/>
      <c r="N22" s="748"/>
      <c r="O22" s="748"/>
      <c r="P22" s="669"/>
    </row>
    <row r="23" spans="1:16">
      <c r="A23" s="669"/>
      <c r="B23" s="669"/>
      <c r="C23" s="669"/>
      <c r="D23" s="669"/>
      <c r="E23" s="669"/>
      <c r="F23" s="669"/>
      <c r="G23" s="669"/>
      <c r="H23" s="669"/>
      <c r="I23" s="669"/>
      <c r="J23" s="669"/>
      <c r="K23" s="669"/>
      <c r="L23" s="669"/>
      <c r="M23" s="669"/>
      <c r="N23" s="669"/>
      <c r="O23" s="669"/>
      <c r="P23" s="669"/>
    </row>
    <row r="24" spans="1:16" ht="15.75" customHeight="1">
      <c r="A24" s="334"/>
      <c r="B24" s="1937"/>
      <c r="C24" s="1937"/>
      <c r="D24" s="1937"/>
      <c r="E24" s="1937"/>
      <c r="F24" s="1865"/>
      <c r="G24" s="1865"/>
      <c r="H24" s="1865"/>
      <c r="I24" s="1865"/>
      <c r="J24" s="334"/>
      <c r="K24" s="1865"/>
      <c r="L24" s="1865"/>
      <c r="M24" s="1865"/>
      <c r="N24" s="334"/>
      <c r="O24" s="334"/>
      <c r="P24" s="669"/>
    </row>
    <row r="25" spans="1:16" hidden="1">
      <c r="A25" s="334"/>
      <c r="B25" s="334"/>
      <c r="C25" s="334"/>
      <c r="D25" s="334"/>
      <c r="E25" s="334"/>
      <c r="F25" s="334"/>
      <c r="G25" s="334"/>
      <c r="H25" s="334"/>
      <c r="I25" s="334"/>
      <c r="J25" s="334"/>
      <c r="K25" s="334"/>
      <c r="L25" s="334"/>
      <c r="M25" s="334"/>
      <c r="N25" s="334"/>
      <c r="O25" s="334"/>
      <c r="P25" s="669"/>
    </row>
    <row r="26" spans="1:16" hidden="1">
      <c r="A26" s="334"/>
      <c r="B26" s="334"/>
      <c r="C26" s="334"/>
      <c r="D26" s="334"/>
      <c r="E26" s="334"/>
      <c r="F26" s="334"/>
      <c r="G26" s="334"/>
      <c r="H26" s="334"/>
      <c r="I26" s="334"/>
      <c r="J26" s="334"/>
      <c r="K26" s="334"/>
      <c r="L26" s="334"/>
      <c r="M26" s="334"/>
      <c r="N26" s="334"/>
      <c r="O26" s="334"/>
      <c r="P26" s="669"/>
    </row>
    <row r="27" spans="1:16" hidden="1">
      <c r="A27" s="334"/>
      <c r="B27" s="334"/>
      <c r="C27" s="334"/>
      <c r="D27" s="334"/>
      <c r="E27" s="334"/>
      <c r="F27" s="334"/>
      <c r="G27" s="334"/>
      <c r="H27" s="334"/>
      <c r="I27" s="334"/>
      <c r="J27" s="334"/>
      <c r="K27" s="334"/>
      <c r="L27" s="334"/>
      <c r="M27" s="334"/>
      <c r="N27" s="334"/>
      <c r="O27" s="334"/>
      <c r="P27" s="669"/>
    </row>
    <row r="28" spans="1:16" hidden="1">
      <c r="A28" s="334"/>
      <c r="B28" s="334"/>
      <c r="C28" s="334"/>
      <c r="D28" s="334"/>
      <c r="E28" s="334"/>
      <c r="F28" s="334"/>
      <c r="G28" s="334"/>
      <c r="H28" s="334"/>
      <c r="I28" s="334"/>
      <c r="J28" s="334"/>
      <c r="K28" s="334"/>
      <c r="L28" s="334"/>
      <c r="M28" s="334"/>
      <c r="N28" s="334"/>
      <c r="O28" s="334"/>
      <c r="P28" s="669"/>
    </row>
    <row r="29" spans="1:16" hidden="1">
      <c r="A29" s="334"/>
      <c r="B29" s="334"/>
      <c r="C29" s="334"/>
      <c r="D29" s="334"/>
      <c r="E29" s="334"/>
      <c r="F29" s="334"/>
      <c r="G29" s="334"/>
      <c r="H29" s="334"/>
      <c r="I29" s="334"/>
      <c r="J29" s="334"/>
      <c r="K29" s="334"/>
      <c r="L29" s="334"/>
      <c r="M29" s="334"/>
      <c r="N29" s="334"/>
      <c r="O29" s="334"/>
      <c r="P29" s="669"/>
    </row>
    <row r="30" spans="1:16" hidden="1">
      <c r="A30" s="334"/>
      <c r="B30" s="334"/>
      <c r="C30" s="334"/>
      <c r="D30" s="334"/>
      <c r="E30" s="334"/>
      <c r="F30" s="334"/>
      <c r="G30" s="334"/>
      <c r="H30" s="334"/>
      <c r="I30" s="334"/>
      <c r="J30" s="334"/>
      <c r="K30" s="334"/>
      <c r="L30" s="334"/>
      <c r="M30" s="334"/>
      <c r="N30" s="334"/>
      <c r="O30" s="334"/>
      <c r="P30" s="669"/>
    </row>
    <row r="31" spans="1:16" hidden="1">
      <c r="A31" s="334"/>
      <c r="B31" s="334"/>
      <c r="C31" s="334"/>
      <c r="D31" s="334"/>
      <c r="E31" s="334"/>
      <c r="F31" s="334"/>
      <c r="G31" s="334"/>
      <c r="H31" s="334"/>
      <c r="I31" s="334"/>
      <c r="J31" s="334"/>
      <c r="K31" s="334"/>
      <c r="L31" s="334"/>
      <c r="M31" s="334"/>
      <c r="N31" s="334"/>
      <c r="O31" s="334"/>
      <c r="P31" s="669"/>
    </row>
    <row r="32" spans="1:16" hidden="1">
      <c r="A32" s="334"/>
      <c r="B32" s="334"/>
      <c r="C32" s="334"/>
      <c r="D32" s="334"/>
      <c r="E32" s="334"/>
      <c r="F32" s="334"/>
      <c r="G32" s="334"/>
      <c r="H32" s="334"/>
      <c r="I32" s="334"/>
      <c r="J32" s="334"/>
      <c r="K32" s="334"/>
      <c r="L32" s="334"/>
      <c r="M32" s="334"/>
      <c r="N32" s="334"/>
      <c r="O32" s="334"/>
      <c r="P32" s="669"/>
    </row>
    <row r="33" spans="1:16" hidden="1">
      <c r="A33" s="334"/>
      <c r="B33" s="334"/>
      <c r="C33" s="334"/>
      <c r="D33" s="334"/>
      <c r="E33" s="334"/>
      <c r="F33" s="334"/>
      <c r="G33" s="334"/>
      <c r="H33" s="334"/>
      <c r="I33" s="334"/>
      <c r="J33" s="334"/>
      <c r="K33" s="334"/>
      <c r="L33" s="334"/>
      <c r="M33" s="334"/>
      <c r="N33" s="334"/>
      <c r="O33" s="334"/>
      <c r="P33" s="669"/>
    </row>
    <row r="34" spans="1:16" hidden="1">
      <c r="A34" s="334"/>
      <c r="B34" s="334"/>
      <c r="C34" s="334"/>
      <c r="D34" s="334"/>
      <c r="E34" s="334"/>
      <c r="F34" s="334"/>
      <c r="G34" s="334"/>
      <c r="H34" s="334"/>
      <c r="I34" s="334"/>
      <c r="J34" s="334"/>
      <c r="K34" s="334"/>
      <c r="L34" s="334"/>
      <c r="M34" s="334"/>
      <c r="N34" s="334"/>
      <c r="O34" s="334"/>
      <c r="P34" s="669"/>
    </row>
    <row r="35" spans="1:16">
      <c r="A35" s="334"/>
      <c r="B35" s="334"/>
      <c r="C35" s="334"/>
      <c r="D35" s="334"/>
      <c r="E35" s="334"/>
      <c r="F35" s="334"/>
      <c r="G35" s="334"/>
      <c r="H35" s="334"/>
      <c r="I35" s="334"/>
      <c r="J35" s="334"/>
      <c r="K35" s="334"/>
      <c r="L35" s="334"/>
      <c r="M35" s="334"/>
      <c r="N35" s="334"/>
      <c r="O35" s="334"/>
      <c r="P35" s="669"/>
    </row>
    <row r="36" spans="1:16">
      <c r="A36" s="669"/>
      <c r="B36" s="669"/>
      <c r="C36" s="669"/>
      <c r="D36" s="669"/>
      <c r="E36" s="669"/>
      <c r="F36" s="669"/>
      <c r="G36" s="669"/>
      <c r="H36" s="669"/>
      <c r="I36" s="669"/>
      <c r="J36" s="669"/>
      <c r="K36" s="669"/>
      <c r="L36" s="669"/>
      <c r="M36" s="669"/>
      <c r="N36" s="669"/>
      <c r="O36" s="669"/>
      <c r="P36" s="669"/>
    </row>
    <row r="41" spans="1:16">
      <c r="G41" s="134"/>
    </row>
  </sheetData>
  <mergeCells count="11">
    <mergeCell ref="D4:N4"/>
    <mergeCell ref="D5:O5"/>
    <mergeCell ref="B19:C19"/>
    <mergeCell ref="E19:G19"/>
    <mergeCell ref="J19:L19"/>
    <mergeCell ref="B20:C20"/>
    <mergeCell ref="E20:G20"/>
    <mergeCell ref="J20:L20"/>
    <mergeCell ref="B24:E24"/>
    <mergeCell ref="F24:I24"/>
    <mergeCell ref="K24:M2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40"/>
  <sheetViews>
    <sheetView workbookViewId="0">
      <selection activeCell="B3" sqref="B3:O3"/>
    </sheetView>
  </sheetViews>
  <sheetFormatPr baseColWidth="10" defaultRowHeight="15"/>
  <cols>
    <col min="1" max="1" width="6.85546875" customWidth="1"/>
    <col min="2" max="2" width="84" style="334" bestFit="1" customWidth="1"/>
    <col min="3" max="3" width="0.140625" style="334" customWidth="1"/>
    <col min="4" max="8" width="14.140625" style="334" bestFit="1" customWidth="1"/>
    <col min="9" max="9" width="15.28515625" style="334" bestFit="1" customWidth="1"/>
    <col min="10" max="11" width="14.140625" style="334" bestFit="1" customWidth="1"/>
    <col min="12" max="12" width="16" style="334" customWidth="1"/>
    <col min="13" max="15" width="14.140625" style="334" bestFit="1" customWidth="1"/>
    <col min="16" max="16" width="11.42578125" style="334" customWidth="1"/>
    <col min="17" max="17" width="13" customWidth="1"/>
  </cols>
  <sheetData>
    <row r="1" spans="2:17" ht="18.75">
      <c r="B1" s="1871" t="s">
        <v>3657</v>
      </c>
      <c r="C1" s="1871"/>
      <c r="D1" s="1871"/>
      <c r="E1" s="1871"/>
      <c r="F1" s="1871"/>
      <c r="G1" s="1871"/>
      <c r="H1" s="1871"/>
      <c r="I1" s="1871"/>
      <c r="J1" s="1871"/>
      <c r="K1" s="1871"/>
      <c r="L1" s="1871"/>
      <c r="M1" s="1871"/>
      <c r="N1" s="1871"/>
      <c r="O1" s="1871"/>
      <c r="Q1" s="334"/>
    </row>
    <row r="2" spans="2:17" ht="24.75" customHeight="1">
      <c r="B2" s="1871" t="s">
        <v>3658</v>
      </c>
      <c r="C2" s="1871"/>
      <c r="D2" s="1871"/>
      <c r="E2" s="1871"/>
      <c r="F2" s="1871"/>
      <c r="G2" s="1871"/>
      <c r="H2" s="1871"/>
      <c r="I2" s="1871"/>
      <c r="J2" s="1871"/>
      <c r="K2" s="1871"/>
      <c r="L2" s="1871"/>
      <c r="M2" s="1871"/>
      <c r="N2" s="1871"/>
      <c r="O2" s="1871"/>
      <c r="Q2" s="334"/>
    </row>
    <row r="3" spans="2:17" ht="18.75">
      <c r="B3" s="1871" t="s">
        <v>2714</v>
      </c>
      <c r="C3" s="1871"/>
      <c r="D3" s="1871"/>
      <c r="E3" s="1871"/>
      <c r="F3" s="1871"/>
      <c r="G3" s="1871"/>
      <c r="H3" s="1871"/>
      <c r="I3" s="1871"/>
      <c r="J3" s="1871"/>
      <c r="K3" s="1871"/>
      <c r="L3" s="1871"/>
      <c r="M3" s="1871"/>
      <c r="N3" s="1871"/>
      <c r="O3" s="1871"/>
      <c r="Q3" s="334"/>
    </row>
    <row r="4" spans="2:17" ht="18.75">
      <c r="B4" s="1507"/>
      <c r="C4" s="1507"/>
      <c r="D4" s="1507"/>
      <c r="E4" s="1507"/>
      <c r="F4" s="1507"/>
      <c r="G4" s="1507"/>
      <c r="H4" s="1507"/>
      <c r="I4" s="1507"/>
      <c r="J4" s="1507"/>
      <c r="K4" s="1507"/>
      <c r="L4" s="1507"/>
      <c r="M4" s="1507"/>
      <c r="N4" s="1507"/>
      <c r="O4" s="1507"/>
      <c r="Q4" s="334"/>
    </row>
    <row r="5" spans="2:17">
      <c r="B5" s="806"/>
      <c r="Q5" s="334"/>
    </row>
    <row r="6" spans="2:17" ht="18.75">
      <c r="B6" s="1510" t="s">
        <v>1282</v>
      </c>
      <c r="C6" s="1510"/>
      <c r="D6" s="1511" t="s">
        <v>1418</v>
      </c>
      <c r="E6" s="1511" t="s">
        <v>1434</v>
      </c>
      <c r="F6" s="1511" t="s">
        <v>1435</v>
      </c>
      <c r="G6" s="1511" t="s">
        <v>1436</v>
      </c>
      <c r="H6" s="1511" t="s">
        <v>1437</v>
      </c>
      <c r="I6" s="1511" t="s">
        <v>1438</v>
      </c>
      <c r="J6" s="1511" t="s">
        <v>1439</v>
      </c>
      <c r="K6" s="1511" t="s">
        <v>1440</v>
      </c>
      <c r="L6" s="1511" t="s">
        <v>1441</v>
      </c>
      <c r="M6" s="1511" t="s">
        <v>1410</v>
      </c>
      <c r="N6" s="1511" t="s">
        <v>1411</v>
      </c>
      <c r="O6" s="1511" t="s">
        <v>1412</v>
      </c>
      <c r="Q6" s="334"/>
    </row>
    <row r="7" spans="2:17" ht="11.25" customHeight="1">
      <c r="B7" s="1512"/>
      <c r="C7" s="1512"/>
      <c r="D7" s="1513"/>
      <c r="E7" s="1513"/>
      <c r="F7" s="1513"/>
      <c r="G7" s="1513"/>
      <c r="H7" s="1513"/>
      <c r="I7" s="1513"/>
      <c r="J7" s="1513"/>
      <c r="K7" s="1513"/>
      <c r="L7" s="1513"/>
      <c r="M7" s="1513"/>
      <c r="N7" s="1513"/>
      <c r="O7" s="1513"/>
      <c r="Q7" s="334"/>
    </row>
    <row r="8" spans="2:17" s="23" customFormat="1">
      <c r="B8" s="1514" t="s">
        <v>3659</v>
      </c>
      <c r="C8" s="1515"/>
      <c r="D8" s="1453">
        <f>+D96</f>
        <v>27946713.649999999</v>
      </c>
      <c r="E8" s="1453">
        <f t="shared" ref="E8:O8" si="0">+E96</f>
        <v>29564156.329999998</v>
      </c>
      <c r="F8" s="1453">
        <f t="shared" si="0"/>
        <v>20242884.469999999</v>
      </c>
      <c r="G8" s="1453">
        <f t="shared" si="0"/>
        <v>34802683.060000002</v>
      </c>
      <c r="H8" s="1453">
        <f t="shared" si="0"/>
        <v>19922149.780000001</v>
      </c>
      <c r="I8" s="1453">
        <f t="shared" si="0"/>
        <v>41214199.32</v>
      </c>
      <c r="J8" s="1453">
        <f t="shared" si="0"/>
        <v>30112310.16</v>
      </c>
      <c r="K8" s="1453">
        <f t="shared" si="0"/>
        <v>33241709.68</v>
      </c>
      <c r="L8" s="1453">
        <f t="shared" si="0"/>
        <v>38492386.090000004</v>
      </c>
      <c r="M8" s="1453">
        <f t="shared" si="0"/>
        <v>29787380.32</v>
      </c>
      <c r="N8" s="1453">
        <f t="shared" si="0"/>
        <v>29868862.719999999</v>
      </c>
      <c r="O8" s="1453">
        <f t="shared" si="0"/>
        <v>39090803.640000001</v>
      </c>
      <c r="P8" s="672"/>
      <c r="Q8" s="672"/>
    </row>
    <row r="9" spans="2:17" s="23" customFormat="1">
      <c r="B9" s="1514"/>
      <c r="C9" s="1515"/>
      <c r="D9" s="1453"/>
      <c r="E9" s="1453"/>
      <c r="F9" s="1453"/>
      <c r="G9" s="1453"/>
      <c r="H9" s="1453"/>
      <c r="I9" s="1453"/>
      <c r="J9" s="1453"/>
      <c r="K9" s="1453"/>
      <c r="L9" s="1453"/>
      <c r="M9" s="1453"/>
      <c r="N9" s="1453"/>
      <c r="O9" s="1453"/>
      <c r="P9" s="672"/>
      <c r="Q9" s="672"/>
    </row>
    <row r="10" spans="2:17" s="23" customFormat="1">
      <c r="B10" s="1514" t="s">
        <v>3660</v>
      </c>
      <c r="C10" s="1515"/>
      <c r="D10" s="1453">
        <f>+D11+D12+D13+D14+D15</f>
        <v>13827877.68</v>
      </c>
      <c r="E10" s="1453">
        <f t="shared" ref="E10:O10" si="1">+E11+E12+E13+E14+E15</f>
        <v>14789148.84</v>
      </c>
      <c r="F10" s="1453">
        <f t="shared" si="1"/>
        <v>15087397.42</v>
      </c>
      <c r="G10" s="1453">
        <f t="shared" si="1"/>
        <v>14604123.789999999</v>
      </c>
      <c r="H10" s="1453">
        <f t="shared" si="1"/>
        <v>15191184.210000001</v>
      </c>
      <c r="I10" s="1453">
        <f t="shared" si="1"/>
        <v>15273059.200000001</v>
      </c>
      <c r="J10" s="1453">
        <f t="shared" si="1"/>
        <v>14609763.77</v>
      </c>
      <c r="K10" s="1453">
        <f t="shared" si="1"/>
        <v>14753048.159999998</v>
      </c>
      <c r="L10" s="1453">
        <f t="shared" si="1"/>
        <v>15233427.310000001</v>
      </c>
      <c r="M10" s="1453">
        <f t="shared" si="1"/>
        <v>15331007.34</v>
      </c>
      <c r="N10" s="1453">
        <f t="shared" si="1"/>
        <v>15574594.439999999</v>
      </c>
      <c r="O10" s="1453">
        <f t="shared" si="1"/>
        <v>27758454.879999999</v>
      </c>
      <c r="P10" s="672"/>
      <c r="Q10" s="672"/>
    </row>
    <row r="11" spans="2:17">
      <c r="B11" s="1516" t="s">
        <v>3661</v>
      </c>
      <c r="C11" s="1450"/>
      <c r="D11" s="1385">
        <v>11523402.57</v>
      </c>
      <c r="E11" s="1385">
        <v>12214103.699999999</v>
      </c>
      <c r="F11" s="1385">
        <v>12013951.65</v>
      </c>
      <c r="G11" s="1385">
        <v>12116902.369999999</v>
      </c>
      <c r="H11" s="1385">
        <v>12150711.58</v>
      </c>
      <c r="I11" s="1385">
        <v>12284335.17</v>
      </c>
      <c r="J11" s="1385">
        <v>12178292.09</v>
      </c>
      <c r="K11" s="1385">
        <v>12218634.479999999</v>
      </c>
      <c r="L11" s="1385">
        <v>12253660.939999999</v>
      </c>
      <c r="M11" s="1385">
        <v>12696580.639999999</v>
      </c>
      <c r="N11" s="1385">
        <v>12881640.82</v>
      </c>
      <c r="O11" s="1385">
        <v>25105316.77</v>
      </c>
      <c r="Q11" s="334"/>
    </row>
    <row r="12" spans="2:17">
      <c r="B12" s="1516" t="s">
        <v>3662</v>
      </c>
      <c r="C12" s="1450"/>
      <c r="D12" s="1385">
        <v>486645.33</v>
      </c>
      <c r="E12" s="1385">
        <v>542179</v>
      </c>
      <c r="F12" s="1385">
        <v>1219725.5</v>
      </c>
      <c r="G12" s="1385">
        <v>441880.86000000004</v>
      </c>
      <c r="H12" s="1385">
        <v>1080694.04</v>
      </c>
      <c r="I12" s="1385">
        <v>960158.56</v>
      </c>
      <c r="J12" s="1385">
        <v>521615</v>
      </c>
      <c r="K12" s="1385">
        <v>549543.9</v>
      </c>
      <c r="L12" s="1385">
        <v>912101.48</v>
      </c>
      <c r="M12" s="1385">
        <v>588026.57000000007</v>
      </c>
      <c r="N12" s="1385">
        <v>628011.77</v>
      </c>
      <c r="O12" s="1385">
        <v>609740.99</v>
      </c>
      <c r="Q12" s="334"/>
    </row>
    <row r="13" spans="2:17">
      <c r="B13" s="1516" t="s">
        <v>3663</v>
      </c>
      <c r="C13" s="1450"/>
      <c r="D13" s="1385">
        <v>0</v>
      </c>
      <c r="E13" s="1385">
        <v>105000</v>
      </c>
      <c r="F13" s="1385">
        <v>0</v>
      </c>
      <c r="G13" s="1385">
        <v>105000</v>
      </c>
      <c r="H13" s="1385">
        <v>0</v>
      </c>
      <c r="I13" s="1385">
        <v>105000</v>
      </c>
      <c r="J13" s="1385">
        <v>0</v>
      </c>
      <c r="K13" s="1385">
        <v>85000</v>
      </c>
      <c r="L13" s="1385">
        <v>105000</v>
      </c>
      <c r="M13" s="1385">
        <v>105000</v>
      </c>
      <c r="N13" s="1385">
        <v>105000</v>
      </c>
      <c r="O13" s="1385">
        <v>105000</v>
      </c>
      <c r="Q13" s="334"/>
    </row>
    <row r="14" spans="2:17">
      <c r="B14" s="1516" t="s">
        <v>3664</v>
      </c>
      <c r="C14" s="1450"/>
      <c r="D14" s="1385">
        <v>0</v>
      </c>
      <c r="E14" s="1385">
        <v>0</v>
      </c>
      <c r="F14" s="1385">
        <v>20000</v>
      </c>
      <c r="G14" s="1385">
        <v>0</v>
      </c>
      <c r="H14" s="1385">
        <v>0</v>
      </c>
      <c r="I14" s="1385">
        <v>0</v>
      </c>
      <c r="J14" s="1385">
        <v>0</v>
      </c>
      <c r="K14" s="1385">
        <v>0</v>
      </c>
      <c r="L14" s="1385">
        <v>0</v>
      </c>
      <c r="M14" s="1385">
        <v>0</v>
      </c>
      <c r="N14" s="1385">
        <v>0</v>
      </c>
      <c r="O14" s="1385">
        <v>0</v>
      </c>
      <c r="Q14" s="334"/>
    </row>
    <row r="15" spans="2:17">
      <c r="B15" s="1516" t="s">
        <v>3665</v>
      </c>
      <c r="C15" s="1450"/>
      <c r="D15" s="1385">
        <v>1817829.78</v>
      </c>
      <c r="E15" s="1385">
        <v>1927866.14</v>
      </c>
      <c r="F15" s="1385">
        <v>1833720.27</v>
      </c>
      <c r="G15" s="1385">
        <v>1940340.56</v>
      </c>
      <c r="H15" s="1385">
        <v>1959778.59</v>
      </c>
      <c r="I15" s="1385">
        <v>1923565.4700000002</v>
      </c>
      <c r="J15" s="1385">
        <v>1909856.68</v>
      </c>
      <c r="K15" s="1385">
        <v>1899869.78</v>
      </c>
      <c r="L15" s="1385">
        <v>1962664.89</v>
      </c>
      <c r="M15" s="1385">
        <v>1941400.1300000001</v>
      </c>
      <c r="N15" s="1385">
        <v>1959941.8499999999</v>
      </c>
      <c r="O15" s="1385">
        <v>1938397.1199999999</v>
      </c>
      <c r="Q15" s="334"/>
    </row>
    <row r="16" spans="2:17">
      <c r="B16" s="1516"/>
      <c r="C16" s="1450"/>
      <c r="D16" s="1385"/>
      <c r="E16" s="1385"/>
      <c r="F16" s="1385"/>
      <c r="G16" s="1385"/>
      <c r="H16" s="1385"/>
      <c r="I16" s="1385"/>
      <c r="J16" s="1385"/>
      <c r="K16" s="1385"/>
      <c r="L16" s="1385"/>
      <c r="M16" s="1385"/>
      <c r="N16" s="1385"/>
      <c r="O16" s="1385"/>
      <c r="Q16" s="334"/>
    </row>
    <row r="17" spans="2:17" s="23" customFormat="1">
      <c r="B17" s="1514" t="s">
        <v>3666</v>
      </c>
      <c r="C17" s="1515"/>
      <c r="D17" s="1453">
        <f>+D18+D19+D20+D21+D22+D23+D24+D25+D26</f>
        <v>7037215.5799999991</v>
      </c>
      <c r="E17" s="1453">
        <f t="shared" ref="E17:O17" si="2">+E18+E19+E20+E21+E22+E23+E24+E25+E26</f>
        <v>5047358.5199999996</v>
      </c>
      <c r="F17" s="1453">
        <f t="shared" si="2"/>
        <v>3390796.98</v>
      </c>
      <c r="G17" s="1453">
        <f t="shared" si="2"/>
        <v>1685771.9000000001</v>
      </c>
      <c r="H17" s="1453">
        <f t="shared" si="2"/>
        <v>1869646.7199999997</v>
      </c>
      <c r="I17" s="1453">
        <f t="shared" si="2"/>
        <v>5438844.71</v>
      </c>
      <c r="J17" s="1453">
        <f t="shared" si="2"/>
        <v>9222142.7000000011</v>
      </c>
      <c r="K17" s="1453">
        <f t="shared" si="2"/>
        <v>10661529.580000002</v>
      </c>
      <c r="L17" s="1453">
        <f t="shared" si="2"/>
        <v>5820399.3499999996</v>
      </c>
      <c r="M17" s="1453">
        <f t="shared" si="2"/>
        <v>6442973.9999999991</v>
      </c>
      <c r="N17" s="1453">
        <f t="shared" si="2"/>
        <v>7125658.1299999999</v>
      </c>
      <c r="O17" s="1453">
        <f t="shared" si="2"/>
        <v>5828756.8500000015</v>
      </c>
      <c r="P17" s="672"/>
      <c r="Q17" s="672"/>
    </row>
    <row r="18" spans="2:17">
      <c r="B18" s="1516" t="s">
        <v>3667</v>
      </c>
      <c r="C18" s="1450"/>
      <c r="D18" s="1385">
        <v>441772.79000000004</v>
      </c>
      <c r="E18" s="1385">
        <v>23947.75</v>
      </c>
      <c r="F18" s="1385">
        <v>458037.01999999996</v>
      </c>
      <c r="G18" s="1385">
        <v>164578.28</v>
      </c>
      <c r="H18" s="1385">
        <v>495878.34</v>
      </c>
      <c r="I18" s="1385">
        <v>3745487</v>
      </c>
      <c r="J18" s="1385">
        <v>7502750.6100000003</v>
      </c>
      <c r="K18" s="1385">
        <v>3578316.12</v>
      </c>
      <c r="L18" s="1385">
        <v>3784715.11</v>
      </c>
      <c r="M18" s="1385">
        <v>3654559.7100000004</v>
      </c>
      <c r="N18" s="1385">
        <v>3820526.52</v>
      </c>
      <c r="O18" s="1385">
        <v>3590784.22</v>
      </c>
      <c r="Q18" s="334"/>
    </row>
    <row r="19" spans="2:17">
      <c r="B19" s="1516" t="s">
        <v>3668</v>
      </c>
      <c r="C19" s="1450"/>
      <c r="D19" s="1385">
        <v>1631</v>
      </c>
      <c r="E19" s="1385">
        <v>106000</v>
      </c>
      <c r="F19" s="1385">
        <v>87435</v>
      </c>
      <c r="G19" s="1385">
        <v>165090</v>
      </c>
      <c r="H19" s="1385">
        <v>94000</v>
      </c>
      <c r="I19" s="1385">
        <v>43900</v>
      </c>
      <c r="J19" s="1385">
        <v>44000</v>
      </c>
      <c r="K19" s="1385">
        <v>32000</v>
      </c>
      <c r="L19" s="1385">
        <v>531860</v>
      </c>
      <c r="M19" s="1385">
        <v>45400</v>
      </c>
      <c r="N19" s="1385">
        <v>114947.5</v>
      </c>
      <c r="O19" s="1385">
        <v>156448.07999999999</v>
      </c>
      <c r="Q19" s="334"/>
    </row>
    <row r="20" spans="2:17">
      <c r="B20" s="1516" t="s">
        <v>3669</v>
      </c>
      <c r="C20" s="1450"/>
      <c r="D20" s="1385">
        <v>82900</v>
      </c>
      <c r="E20" s="1385">
        <v>63300</v>
      </c>
      <c r="F20" s="1385">
        <v>84200</v>
      </c>
      <c r="G20" s="1385">
        <v>98350</v>
      </c>
      <c r="H20" s="1385">
        <v>59700</v>
      </c>
      <c r="I20" s="1385">
        <v>82300</v>
      </c>
      <c r="J20" s="1385">
        <v>71000</v>
      </c>
      <c r="K20" s="1385">
        <v>117600</v>
      </c>
      <c r="L20" s="1385">
        <v>60700</v>
      </c>
      <c r="M20" s="1385">
        <v>93950</v>
      </c>
      <c r="N20" s="1385">
        <v>53500</v>
      </c>
      <c r="O20" s="1385">
        <v>93800</v>
      </c>
      <c r="Q20" s="334"/>
    </row>
    <row r="21" spans="2:17">
      <c r="B21" s="1516" t="s">
        <v>3670</v>
      </c>
      <c r="C21" s="1450"/>
      <c r="D21" s="1385">
        <v>133127</v>
      </c>
      <c r="E21" s="1385">
        <v>15265</v>
      </c>
      <c r="F21" s="1385">
        <v>255909</v>
      </c>
      <c r="G21" s="1385">
        <v>170407</v>
      </c>
      <c r="H21" s="1385">
        <v>106360</v>
      </c>
      <c r="I21" s="1385">
        <v>93630</v>
      </c>
      <c r="J21" s="1385">
        <v>93630</v>
      </c>
      <c r="K21" s="1385">
        <v>93630</v>
      </c>
      <c r="L21" s="1385">
        <v>94730</v>
      </c>
      <c r="M21" s="1385">
        <v>89952.62</v>
      </c>
      <c r="N21" s="1385">
        <v>77295</v>
      </c>
      <c r="O21" s="1385">
        <v>76395</v>
      </c>
      <c r="Q21" s="334"/>
    </row>
    <row r="22" spans="2:17">
      <c r="B22" s="1516" t="s">
        <v>3671</v>
      </c>
      <c r="C22" s="1450"/>
      <c r="D22" s="1385">
        <v>99146</v>
      </c>
      <c r="E22" s="1385">
        <v>366712</v>
      </c>
      <c r="F22" s="1385">
        <v>935536.5</v>
      </c>
      <c r="G22" s="1385">
        <v>40000</v>
      </c>
      <c r="H22" s="1385">
        <v>390600</v>
      </c>
      <c r="I22" s="1385">
        <v>102300</v>
      </c>
      <c r="J22" s="1385">
        <v>349050</v>
      </c>
      <c r="K22" s="1385">
        <v>414110</v>
      </c>
      <c r="L22" s="1385">
        <v>375150</v>
      </c>
      <c r="M22" s="1385">
        <v>535250</v>
      </c>
      <c r="N22" s="1385">
        <v>55555.56</v>
      </c>
      <c r="O22" s="1385">
        <v>402621.71</v>
      </c>
      <c r="Q22" s="334"/>
    </row>
    <row r="23" spans="2:17">
      <c r="B23" s="1516" t="s">
        <v>3672</v>
      </c>
      <c r="C23" s="1450"/>
      <c r="D23" s="1385">
        <v>0</v>
      </c>
      <c r="E23" s="1385">
        <v>0</v>
      </c>
      <c r="F23" s="1385">
        <v>0</v>
      </c>
      <c r="G23" s="1385">
        <v>0</v>
      </c>
      <c r="H23" s="1385">
        <v>0</v>
      </c>
      <c r="I23" s="1385">
        <v>0</v>
      </c>
      <c r="J23" s="1385">
        <v>0</v>
      </c>
      <c r="K23" s="1385">
        <v>0</v>
      </c>
      <c r="L23" s="1385">
        <v>0</v>
      </c>
      <c r="M23" s="1385">
        <v>230007.39</v>
      </c>
      <c r="N23" s="1385">
        <v>7890.119999999999</v>
      </c>
      <c r="O23" s="1385">
        <v>0</v>
      </c>
      <c r="Q23" s="334"/>
    </row>
    <row r="24" spans="2:17">
      <c r="B24" s="1516" t="s">
        <v>3673</v>
      </c>
      <c r="C24" s="1450"/>
      <c r="D24" s="1385">
        <v>4397243.7799999993</v>
      </c>
      <c r="E24" s="1385">
        <v>2490870.23</v>
      </c>
      <c r="F24" s="1385">
        <v>843926.41999999993</v>
      </c>
      <c r="G24" s="1385">
        <v>112526.07</v>
      </c>
      <c r="H24" s="1385">
        <v>182710.4399999998</v>
      </c>
      <c r="I24" s="1385">
        <v>119016.14999999997</v>
      </c>
      <c r="J24" s="1385">
        <v>135101.53999999998</v>
      </c>
      <c r="K24" s="1385">
        <v>4262949.41</v>
      </c>
      <c r="L24" s="1385">
        <v>407198.91999999993</v>
      </c>
      <c r="M24" s="1385">
        <v>504741.08</v>
      </c>
      <c r="N24" s="1385">
        <v>1371004.67</v>
      </c>
      <c r="O24" s="1385">
        <v>806069.73000000021</v>
      </c>
      <c r="Q24" s="334"/>
    </row>
    <row r="25" spans="2:17">
      <c r="B25" s="1516" t="s">
        <v>3674</v>
      </c>
      <c r="C25" s="1450"/>
      <c r="D25" s="1385">
        <v>1821233.01</v>
      </c>
      <c r="E25" s="1385">
        <v>1972863.54</v>
      </c>
      <c r="F25" s="1385">
        <v>654839.02</v>
      </c>
      <c r="G25" s="1385">
        <v>888348.02</v>
      </c>
      <c r="H25" s="1385">
        <v>540397.94000000006</v>
      </c>
      <c r="I25" s="1385">
        <v>1216941.56</v>
      </c>
      <c r="J25" s="1385">
        <v>1016559.3800000001</v>
      </c>
      <c r="K25" s="1385">
        <v>2093939.0499999998</v>
      </c>
      <c r="L25" s="1385">
        <v>563345.31999999995</v>
      </c>
      <c r="M25" s="1385">
        <v>1207509.6399999999</v>
      </c>
      <c r="N25" s="1385">
        <v>1469240.59</v>
      </c>
      <c r="O25" s="1385">
        <v>611512.13</v>
      </c>
      <c r="Q25" s="334"/>
    </row>
    <row r="26" spans="2:17">
      <c r="B26" s="1516" t="s">
        <v>3675</v>
      </c>
      <c r="C26" s="1450"/>
      <c r="D26" s="1385">
        <v>60162</v>
      </c>
      <c r="E26" s="1385">
        <v>8400</v>
      </c>
      <c r="F26" s="1385">
        <v>70914.02</v>
      </c>
      <c r="G26" s="1385">
        <v>46472.53</v>
      </c>
      <c r="H26" s="1385">
        <v>0</v>
      </c>
      <c r="I26" s="1385">
        <v>35270</v>
      </c>
      <c r="J26" s="1385">
        <v>10051.17</v>
      </c>
      <c r="K26" s="1385">
        <v>68985</v>
      </c>
      <c r="L26" s="1385">
        <v>2700</v>
      </c>
      <c r="M26" s="1385">
        <v>81603.56</v>
      </c>
      <c r="N26" s="1385">
        <v>155698.17000000001</v>
      </c>
      <c r="O26" s="1385">
        <v>91125.98</v>
      </c>
      <c r="Q26" s="334"/>
    </row>
    <row r="27" spans="2:17">
      <c r="B27" s="1516"/>
      <c r="C27" s="1450"/>
      <c r="D27" s="1385"/>
      <c r="E27" s="1385"/>
      <c r="F27" s="1385"/>
      <c r="G27" s="1385"/>
      <c r="H27" s="1385"/>
      <c r="I27" s="1385"/>
      <c r="J27" s="1385"/>
      <c r="K27" s="1385"/>
      <c r="L27" s="1385"/>
      <c r="M27" s="1385"/>
      <c r="N27" s="1385"/>
      <c r="O27" s="1385"/>
      <c r="Q27" s="334"/>
    </row>
    <row r="28" spans="2:17" s="23" customFormat="1">
      <c r="B28" s="1514" t="s">
        <v>3676</v>
      </c>
      <c r="C28" s="1515"/>
      <c r="D28" s="1453">
        <f>+D29+D30+D31+D32+D33+D34+D35+D36+D37</f>
        <v>505803.76</v>
      </c>
      <c r="E28" s="1453">
        <f t="shared" ref="E28:O28" si="3">+E29+E30+E31+E32+E33+E34+E35+E36+E37</f>
        <v>2650008.8499999996</v>
      </c>
      <c r="F28" s="1453">
        <f t="shared" si="3"/>
        <v>1165614.98</v>
      </c>
      <c r="G28" s="1453">
        <f t="shared" si="3"/>
        <v>530642.53</v>
      </c>
      <c r="H28" s="1453">
        <f t="shared" si="3"/>
        <v>502109.85000000003</v>
      </c>
      <c r="I28" s="1453">
        <f t="shared" si="3"/>
        <v>1835005.84</v>
      </c>
      <c r="J28" s="1453">
        <f t="shared" si="3"/>
        <v>911824.26</v>
      </c>
      <c r="K28" s="1453">
        <f t="shared" si="3"/>
        <v>1303131.9500000002</v>
      </c>
      <c r="L28" s="1453">
        <f t="shared" si="3"/>
        <v>1797179.43</v>
      </c>
      <c r="M28" s="1453">
        <f t="shared" si="3"/>
        <v>1657306.9</v>
      </c>
      <c r="N28" s="1453">
        <f t="shared" si="3"/>
        <v>1226117.27</v>
      </c>
      <c r="O28" s="1453">
        <f t="shared" si="3"/>
        <v>1261646.78</v>
      </c>
      <c r="P28" s="672"/>
      <c r="Q28" s="672"/>
    </row>
    <row r="29" spans="2:17">
      <c r="B29" s="1516" t="s">
        <v>3677</v>
      </c>
      <c r="C29" s="1450"/>
      <c r="D29" s="1385">
        <v>7230.09</v>
      </c>
      <c r="E29" s="1385">
        <v>75511.67</v>
      </c>
      <c r="F29" s="1385">
        <v>24845.73</v>
      </c>
      <c r="G29" s="1385">
        <v>14670.58</v>
      </c>
      <c r="H29" s="1385">
        <v>46605.65</v>
      </c>
      <c r="I29" s="1385">
        <v>68980.95</v>
      </c>
      <c r="J29" s="1385">
        <v>21602.46</v>
      </c>
      <c r="K29" s="1385">
        <v>42502.64</v>
      </c>
      <c r="L29" s="1385">
        <v>34947.78</v>
      </c>
      <c r="M29" s="1385">
        <v>23273.29</v>
      </c>
      <c r="N29" s="1385">
        <v>76628.75</v>
      </c>
      <c r="O29" s="1385">
        <v>8605.6499999999942</v>
      </c>
      <c r="Q29" s="334"/>
    </row>
    <row r="30" spans="2:17">
      <c r="B30" s="1516" t="s">
        <v>3678</v>
      </c>
      <c r="C30" s="1450"/>
      <c r="D30" s="1385">
        <v>0</v>
      </c>
      <c r="E30" s="1385">
        <v>950</v>
      </c>
      <c r="F30" s="1385">
        <v>0</v>
      </c>
      <c r="G30" s="1385">
        <v>0</v>
      </c>
      <c r="H30" s="1385">
        <v>0</v>
      </c>
      <c r="I30" s="1385">
        <v>131508.6</v>
      </c>
      <c r="J30" s="1385">
        <v>1615</v>
      </c>
      <c r="K30" s="1385">
        <v>526076.18000000005</v>
      </c>
      <c r="L30" s="1385">
        <v>0</v>
      </c>
      <c r="M30" s="1385">
        <v>0</v>
      </c>
      <c r="N30" s="1385">
        <v>0</v>
      </c>
      <c r="O30" s="1385">
        <v>0</v>
      </c>
      <c r="Q30" s="334"/>
    </row>
    <row r="31" spans="2:17">
      <c r="B31" s="1516" t="s">
        <v>3679</v>
      </c>
      <c r="C31" s="1450"/>
      <c r="D31" s="1385">
        <v>2300</v>
      </c>
      <c r="E31" s="1385">
        <v>3500</v>
      </c>
      <c r="F31" s="1385">
        <v>266471</v>
      </c>
      <c r="G31" s="1385">
        <v>30600</v>
      </c>
      <c r="H31" s="1385">
        <v>0</v>
      </c>
      <c r="I31" s="1385">
        <v>0</v>
      </c>
      <c r="J31" s="1385">
        <v>0</v>
      </c>
      <c r="K31" s="1385">
        <v>0</v>
      </c>
      <c r="L31" s="1385">
        <v>0</v>
      </c>
      <c r="M31" s="1385">
        <v>0</v>
      </c>
      <c r="N31" s="1385">
        <v>0</v>
      </c>
      <c r="O31" s="1385">
        <v>0</v>
      </c>
      <c r="Q31" s="334"/>
    </row>
    <row r="32" spans="2:17">
      <c r="B32" s="1516" t="s">
        <v>3680</v>
      </c>
      <c r="C32" s="1450"/>
      <c r="D32" s="1385">
        <v>0</v>
      </c>
      <c r="E32" s="1385">
        <v>0</v>
      </c>
      <c r="F32" s="1385">
        <v>0</v>
      </c>
      <c r="G32" s="1385">
        <v>0</v>
      </c>
      <c r="H32" s="1385">
        <v>0</v>
      </c>
      <c r="I32" s="1385">
        <v>0</v>
      </c>
      <c r="J32" s="1385">
        <v>0</v>
      </c>
      <c r="K32" s="1385">
        <v>0</v>
      </c>
      <c r="L32" s="1385">
        <v>0</v>
      </c>
      <c r="M32" s="1385">
        <v>0</v>
      </c>
      <c r="N32" s="1385">
        <v>0</v>
      </c>
      <c r="O32" s="1385">
        <v>0</v>
      </c>
      <c r="Q32" s="334"/>
    </row>
    <row r="33" spans="2:17">
      <c r="B33" s="1516" t="s">
        <v>3681</v>
      </c>
      <c r="C33" s="1450"/>
      <c r="D33" s="1385">
        <v>30360</v>
      </c>
      <c r="E33" s="1385">
        <v>55780</v>
      </c>
      <c r="F33" s="1385">
        <v>0</v>
      </c>
      <c r="G33" s="1385">
        <v>0</v>
      </c>
      <c r="H33" s="1385">
        <v>0</v>
      </c>
      <c r="I33" s="1385">
        <v>0</v>
      </c>
      <c r="J33" s="1385">
        <v>0</v>
      </c>
      <c r="K33" s="1385">
        <v>0</v>
      </c>
      <c r="L33" s="1385">
        <v>0</v>
      </c>
      <c r="M33" s="1385">
        <v>0</v>
      </c>
      <c r="N33" s="1385">
        <v>0</v>
      </c>
      <c r="O33" s="1385">
        <v>0</v>
      </c>
      <c r="Q33" s="334"/>
    </row>
    <row r="34" spans="2:17">
      <c r="B34" s="1516" t="s">
        <v>3682</v>
      </c>
      <c r="C34" s="1450"/>
      <c r="D34" s="1385">
        <v>0</v>
      </c>
      <c r="E34" s="1385">
        <v>0</v>
      </c>
      <c r="F34" s="1385">
        <v>0</v>
      </c>
      <c r="G34" s="1385">
        <v>0</v>
      </c>
      <c r="H34" s="1385">
        <v>0</v>
      </c>
      <c r="I34" s="1385">
        <v>0</v>
      </c>
      <c r="J34" s="1385">
        <v>0</v>
      </c>
      <c r="K34" s="1385">
        <v>0</v>
      </c>
      <c r="L34" s="1385">
        <v>0</v>
      </c>
      <c r="M34" s="1385">
        <v>0</v>
      </c>
      <c r="N34" s="1385">
        <v>0</v>
      </c>
      <c r="O34" s="1385">
        <v>0</v>
      </c>
      <c r="Q34" s="334"/>
    </row>
    <row r="35" spans="2:17">
      <c r="B35" s="1516" t="s">
        <v>3683</v>
      </c>
      <c r="C35" s="1450"/>
      <c r="D35" s="1385">
        <v>333830.27</v>
      </c>
      <c r="E35" s="1385">
        <v>1912585.88</v>
      </c>
      <c r="F35" s="1385">
        <v>835055</v>
      </c>
      <c r="G35" s="1385">
        <v>420400</v>
      </c>
      <c r="H35" s="1385">
        <v>455504.2</v>
      </c>
      <c r="I35" s="1385">
        <v>1374026.02</v>
      </c>
      <c r="J35" s="1385">
        <v>791350</v>
      </c>
      <c r="K35" s="1385">
        <v>712858.76</v>
      </c>
      <c r="L35" s="1385">
        <v>1731215.15</v>
      </c>
      <c r="M35" s="1385">
        <v>1544915.13</v>
      </c>
      <c r="N35" s="1385">
        <v>1073753.52</v>
      </c>
      <c r="O35" s="1385">
        <v>863804.48</v>
      </c>
      <c r="Q35" s="334"/>
    </row>
    <row r="36" spans="2:17">
      <c r="B36" s="1516" t="s">
        <v>3684</v>
      </c>
      <c r="C36" s="1450"/>
      <c r="D36" s="1385">
        <v>0</v>
      </c>
      <c r="E36" s="1385">
        <v>0</v>
      </c>
      <c r="F36" s="1385">
        <v>0</v>
      </c>
      <c r="G36" s="1385">
        <v>0</v>
      </c>
      <c r="H36" s="1385">
        <v>0</v>
      </c>
      <c r="I36" s="1385">
        <v>0</v>
      </c>
      <c r="J36" s="1385">
        <v>0</v>
      </c>
      <c r="K36" s="1385">
        <v>0</v>
      </c>
      <c r="L36" s="1385">
        <v>0</v>
      </c>
      <c r="M36" s="1385">
        <v>0</v>
      </c>
      <c r="N36" s="1385">
        <v>0</v>
      </c>
      <c r="O36" s="1385">
        <v>0</v>
      </c>
      <c r="Q36" s="334"/>
    </row>
    <row r="37" spans="2:17">
      <c r="B37" s="1516" t="s">
        <v>3685</v>
      </c>
      <c r="C37" s="1450"/>
      <c r="D37" s="1385">
        <v>132083.4</v>
      </c>
      <c r="E37" s="1385">
        <v>601681.29999999981</v>
      </c>
      <c r="F37" s="1385">
        <v>39243.25</v>
      </c>
      <c r="G37" s="1385">
        <v>64971.95</v>
      </c>
      <c r="H37" s="1385">
        <v>0</v>
      </c>
      <c r="I37" s="1385">
        <v>260490.27</v>
      </c>
      <c r="J37" s="1385">
        <v>97256.800000000047</v>
      </c>
      <c r="K37" s="1385">
        <v>21694.37</v>
      </c>
      <c r="L37" s="1385">
        <v>31016.5</v>
      </c>
      <c r="M37" s="1385">
        <v>89118.48</v>
      </c>
      <c r="N37" s="1385">
        <v>75735</v>
      </c>
      <c r="O37" s="1385">
        <v>389236.64999999997</v>
      </c>
      <c r="Q37" s="334"/>
    </row>
    <row r="38" spans="2:17">
      <c r="B38" s="1516"/>
      <c r="C38" s="1450"/>
      <c r="D38" s="1385"/>
      <c r="E38" s="1385"/>
      <c r="F38" s="1385"/>
      <c r="G38" s="1385"/>
      <c r="H38" s="1385"/>
      <c r="I38" s="1385"/>
      <c r="J38" s="1385"/>
      <c r="K38" s="1385"/>
      <c r="L38" s="1385"/>
      <c r="M38" s="1385"/>
      <c r="N38" s="1385"/>
      <c r="O38" s="1385"/>
      <c r="Q38" s="334"/>
    </row>
    <row r="39" spans="2:17" s="23" customFormat="1">
      <c r="B39" s="1514" t="s">
        <v>3686</v>
      </c>
      <c r="C39" s="1515"/>
      <c r="D39" s="1453">
        <f>+D40+D55+D56+D57+D58+D59+D60</f>
        <v>6575816.6300000008</v>
      </c>
      <c r="E39" s="1453">
        <f t="shared" ref="E39:O39" si="4">+E40+E55+E56+E57+E58+E59+E60</f>
        <v>4552101.2699999996</v>
      </c>
      <c r="F39" s="1453">
        <f t="shared" si="4"/>
        <v>287334.08999999997</v>
      </c>
      <c r="G39" s="1453">
        <f t="shared" si="4"/>
        <v>12199441</v>
      </c>
      <c r="H39" s="1453">
        <f t="shared" si="4"/>
        <v>256580.95</v>
      </c>
      <c r="I39" s="1453">
        <f t="shared" si="4"/>
        <v>13475598.02</v>
      </c>
      <c r="J39" s="1453">
        <f t="shared" si="4"/>
        <v>377522.07999999996</v>
      </c>
      <c r="K39" s="1453">
        <f t="shared" si="4"/>
        <v>493549.31</v>
      </c>
      <c r="L39" s="1453">
        <f t="shared" si="4"/>
        <v>14986221.859999999</v>
      </c>
      <c r="M39" s="1453">
        <f t="shared" si="4"/>
        <v>96612.83</v>
      </c>
      <c r="N39" s="1453">
        <f t="shared" si="4"/>
        <v>2127967.35</v>
      </c>
      <c r="O39" s="1453">
        <f t="shared" si="4"/>
        <v>3341155.32</v>
      </c>
      <c r="P39" s="672"/>
      <c r="Q39" s="672"/>
    </row>
    <row r="40" spans="2:17">
      <c r="B40" s="1516" t="s">
        <v>3687</v>
      </c>
      <c r="C40" s="1450"/>
      <c r="D40" s="1385">
        <v>6575816.6300000008</v>
      </c>
      <c r="E40" s="1385">
        <v>4552101.2699999996</v>
      </c>
      <c r="F40" s="1385">
        <v>287334.08999999997</v>
      </c>
      <c r="G40" s="1385">
        <v>12199441</v>
      </c>
      <c r="H40" s="1385">
        <v>256580.95</v>
      </c>
      <c r="I40" s="1385">
        <v>13475598.02</v>
      </c>
      <c r="J40" s="1385">
        <v>377522.07999999996</v>
      </c>
      <c r="K40" s="1385">
        <v>493549.31</v>
      </c>
      <c r="L40" s="1385">
        <v>14986221.859999999</v>
      </c>
      <c r="M40" s="1385">
        <v>96612.83</v>
      </c>
      <c r="N40" s="1385">
        <v>2127967.35</v>
      </c>
      <c r="O40" s="1385">
        <v>3341155.32</v>
      </c>
      <c r="Q40" s="334"/>
    </row>
    <row r="41" spans="2:17" hidden="1">
      <c r="B41" s="1516" t="s">
        <v>3688</v>
      </c>
      <c r="C41" s="1450"/>
      <c r="D41" s="1385">
        <v>0</v>
      </c>
      <c r="E41" s="1385"/>
      <c r="F41" s="1385"/>
      <c r="G41" s="1385"/>
      <c r="H41" s="1385"/>
      <c r="I41" s="1385">
        <v>0</v>
      </c>
      <c r="J41" s="1385">
        <v>0</v>
      </c>
      <c r="K41" s="1385">
        <v>0</v>
      </c>
      <c r="L41" s="1385"/>
      <c r="M41" s="1385">
        <v>0</v>
      </c>
      <c r="N41" s="1385"/>
      <c r="O41" s="1385"/>
      <c r="Q41" s="334"/>
    </row>
    <row r="42" spans="2:17" hidden="1">
      <c r="B42" s="1516" t="s">
        <v>3689</v>
      </c>
      <c r="C42" s="1450"/>
      <c r="D42" s="1385">
        <v>0</v>
      </c>
      <c r="E42" s="1385"/>
      <c r="F42" s="1385"/>
      <c r="G42" s="1385"/>
      <c r="H42" s="1385"/>
      <c r="I42" s="1385">
        <v>0</v>
      </c>
      <c r="J42" s="1385">
        <v>0</v>
      </c>
      <c r="K42" s="1385">
        <v>0</v>
      </c>
      <c r="L42" s="1385"/>
      <c r="M42" s="1385">
        <v>0</v>
      </c>
      <c r="N42" s="1385"/>
      <c r="O42" s="1385"/>
      <c r="Q42" s="334"/>
    </row>
    <row r="43" spans="2:17" hidden="1">
      <c r="B43" s="1516" t="s">
        <v>3690</v>
      </c>
      <c r="C43" s="1450"/>
      <c r="D43" s="1385">
        <v>0</v>
      </c>
      <c r="E43" s="1385"/>
      <c r="F43" s="1385"/>
      <c r="G43" s="1385"/>
      <c r="H43" s="1385"/>
      <c r="I43" s="1385">
        <v>0</v>
      </c>
      <c r="J43" s="1385">
        <v>0</v>
      </c>
      <c r="K43" s="1385">
        <v>0</v>
      </c>
      <c r="L43" s="1385"/>
      <c r="M43" s="1385">
        <v>0</v>
      </c>
      <c r="N43" s="1385"/>
      <c r="O43" s="1385"/>
      <c r="Q43" s="334"/>
    </row>
    <row r="44" spans="2:17" hidden="1">
      <c r="B44" s="1516" t="s">
        <v>3691</v>
      </c>
      <c r="C44" s="1450"/>
      <c r="D44" s="1385">
        <v>0</v>
      </c>
      <c r="E44" s="1385"/>
      <c r="F44" s="1385"/>
      <c r="G44" s="1385"/>
      <c r="H44" s="1385"/>
      <c r="I44" s="1385">
        <v>0</v>
      </c>
      <c r="J44" s="1385">
        <v>0</v>
      </c>
      <c r="K44" s="1385">
        <v>0</v>
      </c>
      <c r="L44" s="1385"/>
      <c r="M44" s="1385">
        <v>0</v>
      </c>
      <c r="N44" s="1385"/>
      <c r="O44" s="1385"/>
      <c r="Q44" s="334"/>
    </row>
    <row r="45" spans="2:17" hidden="1">
      <c r="B45" s="1516" t="s">
        <v>3692</v>
      </c>
      <c r="C45" s="1450"/>
      <c r="D45" s="1385">
        <v>0</v>
      </c>
      <c r="E45" s="1385"/>
      <c r="F45" s="1385"/>
      <c r="G45" s="1385"/>
      <c r="H45" s="1385"/>
      <c r="I45" s="1385">
        <v>0</v>
      </c>
      <c r="J45" s="1385">
        <v>0</v>
      </c>
      <c r="K45" s="1385">
        <v>0</v>
      </c>
      <c r="L45" s="1385"/>
      <c r="M45" s="1385">
        <v>0</v>
      </c>
      <c r="N45" s="1385"/>
      <c r="O45" s="1385"/>
      <c r="Q45" s="334"/>
    </row>
    <row r="46" spans="2:17" hidden="1">
      <c r="B46" s="1516" t="s">
        <v>3693</v>
      </c>
      <c r="C46" s="1450"/>
      <c r="D46" s="1385">
        <v>0</v>
      </c>
      <c r="E46" s="1385"/>
      <c r="F46" s="1385"/>
      <c r="G46" s="1385"/>
      <c r="H46" s="1385"/>
      <c r="I46" s="1385">
        <v>0</v>
      </c>
      <c r="J46" s="1385">
        <v>0</v>
      </c>
      <c r="K46" s="1385">
        <v>0</v>
      </c>
      <c r="L46" s="1385"/>
      <c r="M46" s="1385">
        <v>0</v>
      </c>
      <c r="N46" s="1385"/>
      <c r="O46" s="1385"/>
      <c r="Q46" s="334"/>
    </row>
    <row r="47" spans="2:17" hidden="1">
      <c r="B47" s="1516" t="s">
        <v>3694</v>
      </c>
      <c r="C47" s="1450"/>
      <c r="D47" s="1385"/>
      <c r="E47" s="1385"/>
      <c r="F47" s="1385"/>
      <c r="G47" s="1385"/>
      <c r="H47" s="1385"/>
      <c r="I47" s="1385"/>
      <c r="J47" s="1385"/>
      <c r="K47" s="1385"/>
      <c r="L47" s="1385"/>
      <c r="M47" s="1385"/>
      <c r="N47" s="1385"/>
      <c r="O47" s="1385"/>
      <c r="Q47" s="334"/>
    </row>
    <row r="48" spans="2:17" hidden="1">
      <c r="B48" s="1516" t="s">
        <v>3695</v>
      </c>
      <c r="C48" s="1450"/>
      <c r="D48" s="1385"/>
      <c r="E48" s="1385"/>
      <c r="F48" s="1385"/>
      <c r="G48" s="1385"/>
      <c r="H48" s="1385"/>
      <c r="I48" s="1385"/>
      <c r="J48" s="1385"/>
      <c r="K48" s="1385"/>
      <c r="L48" s="1385"/>
      <c r="M48" s="1385"/>
      <c r="N48" s="1385"/>
      <c r="O48" s="1385"/>
      <c r="Q48" s="334"/>
    </row>
    <row r="49" spans="2:17" hidden="1">
      <c r="B49" s="1516" t="s">
        <v>3696</v>
      </c>
      <c r="C49" s="1450"/>
      <c r="D49" s="1385"/>
      <c r="E49" s="1385"/>
      <c r="F49" s="1385"/>
      <c r="G49" s="1385"/>
      <c r="H49" s="1385"/>
      <c r="I49" s="1385"/>
      <c r="J49" s="1385"/>
      <c r="K49" s="1385"/>
      <c r="L49" s="1385"/>
      <c r="M49" s="1385"/>
      <c r="N49" s="1385"/>
      <c r="O49" s="1385"/>
      <c r="Q49" s="334"/>
    </row>
    <row r="50" spans="2:17" hidden="1">
      <c r="B50" s="1516" t="s">
        <v>3697</v>
      </c>
      <c r="C50" s="1450"/>
      <c r="D50" s="1385"/>
      <c r="E50" s="1385"/>
      <c r="F50" s="1385"/>
      <c r="G50" s="1385"/>
      <c r="H50" s="1385"/>
      <c r="I50" s="1385"/>
      <c r="J50" s="1385"/>
      <c r="K50" s="1385"/>
      <c r="L50" s="1385"/>
      <c r="M50" s="1385"/>
      <c r="N50" s="1385"/>
      <c r="O50" s="1385"/>
      <c r="Q50" s="334"/>
    </row>
    <row r="51" spans="2:17" hidden="1">
      <c r="B51" s="1516" t="s">
        <v>3698</v>
      </c>
      <c r="C51" s="1450"/>
      <c r="D51" s="1385"/>
      <c r="E51" s="1385"/>
      <c r="F51" s="1385"/>
      <c r="G51" s="1385"/>
      <c r="H51" s="1385"/>
      <c r="I51" s="1385"/>
      <c r="J51" s="1385"/>
      <c r="K51" s="1385"/>
      <c r="L51" s="1385"/>
      <c r="M51" s="1385"/>
      <c r="N51" s="1385"/>
      <c r="O51" s="1385"/>
      <c r="Q51" s="334"/>
    </row>
    <row r="52" spans="2:17" hidden="1">
      <c r="B52" s="1516" t="s">
        <v>3699</v>
      </c>
      <c r="C52" s="1450"/>
      <c r="D52" s="1385"/>
      <c r="E52" s="1385"/>
      <c r="F52" s="1385"/>
      <c r="G52" s="1385"/>
      <c r="H52" s="1385"/>
      <c r="I52" s="1385"/>
      <c r="J52" s="1385"/>
      <c r="K52" s="1385"/>
      <c r="L52" s="1385"/>
      <c r="M52" s="1385"/>
      <c r="N52" s="1385"/>
      <c r="O52" s="1385"/>
      <c r="Q52" s="334"/>
    </row>
    <row r="53" spans="2:17" hidden="1">
      <c r="B53" s="1516" t="s">
        <v>3700</v>
      </c>
      <c r="C53" s="1450"/>
      <c r="D53" s="1385"/>
      <c r="E53" s="1385"/>
      <c r="F53" s="1385"/>
      <c r="G53" s="1385"/>
      <c r="H53" s="1385"/>
      <c r="I53" s="1385"/>
      <c r="J53" s="1385"/>
      <c r="K53" s="1385"/>
      <c r="L53" s="1385"/>
      <c r="M53" s="1385"/>
      <c r="N53" s="1385"/>
      <c r="O53" s="1385"/>
      <c r="Q53" s="334"/>
    </row>
    <row r="54" spans="2:17" hidden="1">
      <c r="B54" s="1516" t="s">
        <v>3701</v>
      </c>
      <c r="C54" s="1450"/>
      <c r="D54" s="1385"/>
      <c r="E54" s="1385"/>
      <c r="F54" s="1385"/>
      <c r="G54" s="1385"/>
      <c r="H54" s="1385"/>
      <c r="I54" s="1385"/>
      <c r="J54" s="1385"/>
      <c r="K54" s="1385"/>
      <c r="L54" s="1385"/>
      <c r="M54" s="1385"/>
      <c r="N54" s="1385"/>
      <c r="O54" s="1385"/>
      <c r="Q54" s="334"/>
    </row>
    <row r="55" spans="2:17">
      <c r="B55" s="1516" t="s">
        <v>3688</v>
      </c>
      <c r="C55" s="1450"/>
      <c r="D55" s="1385">
        <v>0</v>
      </c>
      <c r="E55" s="1385">
        <v>0</v>
      </c>
      <c r="F55" s="1385">
        <v>0</v>
      </c>
      <c r="G55" s="1385">
        <v>0</v>
      </c>
      <c r="H55" s="1385">
        <v>0</v>
      </c>
      <c r="I55" s="1385">
        <v>0</v>
      </c>
      <c r="J55" s="1385">
        <v>0</v>
      </c>
      <c r="K55" s="1385">
        <v>0</v>
      </c>
      <c r="L55" s="1385">
        <v>0</v>
      </c>
      <c r="M55" s="1385">
        <v>0</v>
      </c>
      <c r="N55" s="1385">
        <v>0</v>
      </c>
      <c r="O55" s="1385">
        <v>0</v>
      </c>
      <c r="Q55" s="334"/>
    </row>
    <row r="56" spans="2:17">
      <c r="B56" s="1516" t="s">
        <v>3689</v>
      </c>
      <c r="C56" s="1450"/>
      <c r="D56" s="1385">
        <v>0</v>
      </c>
      <c r="E56" s="1385">
        <v>0</v>
      </c>
      <c r="F56" s="1385">
        <v>0</v>
      </c>
      <c r="G56" s="1385">
        <v>0</v>
      </c>
      <c r="H56" s="1385">
        <v>0</v>
      </c>
      <c r="I56" s="1385">
        <v>0</v>
      </c>
      <c r="J56" s="1385">
        <v>0</v>
      </c>
      <c r="K56" s="1385">
        <v>0</v>
      </c>
      <c r="L56" s="1385">
        <v>0</v>
      </c>
      <c r="M56" s="1385">
        <v>0</v>
      </c>
      <c r="N56" s="1385">
        <v>0</v>
      </c>
      <c r="O56" s="1385">
        <v>0</v>
      </c>
      <c r="Q56" s="334"/>
    </row>
    <row r="57" spans="2:17">
      <c r="B57" s="1516" t="s">
        <v>3690</v>
      </c>
      <c r="C57" s="1450"/>
      <c r="D57" s="1385">
        <v>0</v>
      </c>
      <c r="E57" s="1385">
        <v>0</v>
      </c>
      <c r="F57" s="1385">
        <v>0</v>
      </c>
      <c r="G57" s="1385">
        <v>0</v>
      </c>
      <c r="H57" s="1385">
        <v>0</v>
      </c>
      <c r="I57" s="1385">
        <v>0</v>
      </c>
      <c r="J57" s="1385">
        <v>0</v>
      </c>
      <c r="K57" s="1385">
        <v>0</v>
      </c>
      <c r="L57" s="1385">
        <v>0</v>
      </c>
      <c r="M57" s="1385">
        <v>0</v>
      </c>
      <c r="N57" s="1385">
        <v>0</v>
      </c>
      <c r="O57" s="1385">
        <v>0</v>
      </c>
      <c r="Q57" s="334"/>
    </row>
    <row r="58" spans="2:17">
      <c r="B58" s="1516" t="s">
        <v>3691</v>
      </c>
      <c r="C58" s="1450"/>
      <c r="D58" s="1385">
        <v>0</v>
      </c>
      <c r="E58" s="1385">
        <v>0</v>
      </c>
      <c r="F58" s="1385">
        <v>0</v>
      </c>
      <c r="G58" s="1385">
        <v>0</v>
      </c>
      <c r="H58" s="1385">
        <v>0</v>
      </c>
      <c r="I58" s="1385">
        <v>0</v>
      </c>
      <c r="J58" s="1385">
        <v>0</v>
      </c>
      <c r="K58" s="1385">
        <v>0</v>
      </c>
      <c r="L58" s="1385">
        <v>0</v>
      </c>
      <c r="M58" s="1385">
        <v>0</v>
      </c>
      <c r="N58" s="1385">
        <v>0</v>
      </c>
      <c r="O58" s="1385">
        <v>0</v>
      </c>
      <c r="Q58" s="334"/>
    </row>
    <row r="59" spans="2:17">
      <c r="B59" s="1516" t="s">
        <v>3692</v>
      </c>
      <c r="C59" s="1450"/>
      <c r="D59" s="1385">
        <v>0</v>
      </c>
      <c r="E59" s="1385">
        <v>0</v>
      </c>
      <c r="F59" s="1385">
        <v>0</v>
      </c>
      <c r="G59" s="1385">
        <v>0</v>
      </c>
      <c r="H59" s="1385">
        <v>0</v>
      </c>
      <c r="I59" s="1385">
        <v>0</v>
      </c>
      <c r="J59" s="1385">
        <v>0</v>
      </c>
      <c r="K59" s="1385">
        <v>0</v>
      </c>
      <c r="L59" s="1385">
        <v>0</v>
      </c>
      <c r="M59" s="1385">
        <v>0</v>
      </c>
      <c r="N59" s="1385">
        <v>0</v>
      </c>
      <c r="O59" s="1385">
        <v>0</v>
      </c>
      <c r="Q59" s="334"/>
    </row>
    <row r="60" spans="2:17">
      <c r="B60" s="1516" t="s">
        <v>3693</v>
      </c>
      <c r="C60" s="1450"/>
      <c r="D60" s="1385">
        <v>0</v>
      </c>
      <c r="E60" s="1385">
        <v>0</v>
      </c>
      <c r="F60" s="1385">
        <v>0</v>
      </c>
      <c r="G60" s="1385">
        <v>0</v>
      </c>
      <c r="H60" s="1385">
        <v>0</v>
      </c>
      <c r="I60" s="1385">
        <v>0</v>
      </c>
      <c r="J60" s="1385">
        <v>0</v>
      </c>
      <c r="K60" s="1385">
        <v>0</v>
      </c>
      <c r="L60" s="1385">
        <v>0</v>
      </c>
      <c r="M60" s="1385">
        <v>0</v>
      </c>
      <c r="N60" s="1385">
        <v>0</v>
      </c>
      <c r="O60" s="1385">
        <v>0</v>
      </c>
      <c r="Q60" s="334"/>
    </row>
    <row r="61" spans="2:17">
      <c r="B61" s="1516"/>
      <c r="C61" s="1450"/>
      <c r="D61" s="1385"/>
      <c r="E61" s="1385"/>
      <c r="F61" s="1385"/>
      <c r="G61" s="1385"/>
      <c r="H61" s="1385"/>
      <c r="I61" s="1385"/>
      <c r="J61" s="1385"/>
      <c r="K61" s="1385"/>
      <c r="L61" s="1385"/>
      <c r="M61" s="1385"/>
      <c r="N61" s="1385"/>
      <c r="O61" s="1385"/>
      <c r="Q61" s="334"/>
    </row>
    <row r="62" spans="2:17">
      <c r="B62" s="1514" t="s">
        <v>3694</v>
      </c>
      <c r="C62" s="1450"/>
      <c r="D62" s="1453">
        <f>+D63+D64+D65+D66+D67+D68+D69</f>
        <v>0</v>
      </c>
      <c r="E62" s="1453">
        <f>+E63+E64+E65+E66+E67+E68+E69</f>
        <v>0</v>
      </c>
      <c r="F62" s="1453">
        <f>+F63+F64+F65+F66+F67+F68+F69</f>
        <v>0</v>
      </c>
      <c r="G62" s="1453">
        <f t="shared" ref="G62:O62" si="5">+G63+G64+G65+G66+G67+G68+G69</f>
        <v>0</v>
      </c>
      <c r="H62" s="1453">
        <f t="shared" si="5"/>
        <v>0</v>
      </c>
      <c r="I62" s="1453">
        <f t="shared" si="5"/>
        <v>0</v>
      </c>
      <c r="J62" s="1453">
        <f t="shared" si="5"/>
        <v>0</v>
      </c>
      <c r="K62" s="1453">
        <f t="shared" si="5"/>
        <v>0</v>
      </c>
      <c r="L62" s="1453">
        <f>+L63+L64+L65+L66+L67+L68+L69</f>
        <v>0</v>
      </c>
      <c r="M62" s="1453">
        <f>+M63+M64+M65+M66+M67+M68+M69</f>
        <v>0</v>
      </c>
      <c r="N62" s="1453">
        <f>+N63+N64+N65+N66+N67+N68+N69</f>
        <v>0</v>
      </c>
      <c r="O62" s="1453">
        <f t="shared" si="5"/>
        <v>0</v>
      </c>
      <c r="Q62" s="334"/>
    </row>
    <row r="63" spans="2:17">
      <c r="B63" s="1516" t="s">
        <v>3695</v>
      </c>
      <c r="C63" s="1450"/>
      <c r="D63" s="1385">
        <v>0</v>
      </c>
      <c r="E63" s="1385">
        <v>0</v>
      </c>
      <c r="F63" s="1385">
        <v>0</v>
      </c>
      <c r="G63" s="1385">
        <v>0</v>
      </c>
      <c r="H63" s="1385">
        <v>0</v>
      </c>
      <c r="I63" s="1385">
        <v>0</v>
      </c>
      <c r="J63" s="1385">
        <v>0</v>
      </c>
      <c r="K63" s="1385">
        <v>0</v>
      </c>
      <c r="L63" s="1385">
        <v>0</v>
      </c>
      <c r="M63" s="1385">
        <v>0</v>
      </c>
      <c r="N63" s="1385">
        <v>0</v>
      </c>
      <c r="O63" s="1385"/>
      <c r="Q63" s="334"/>
    </row>
    <row r="64" spans="2:17">
      <c r="B64" s="1516" t="s">
        <v>3696</v>
      </c>
      <c r="C64" s="1450"/>
      <c r="D64" s="1385">
        <v>0</v>
      </c>
      <c r="E64" s="1385">
        <v>0</v>
      </c>
      <c r="F64" s="1385">
        <v>0</v>
      </c>
      <c r="G64" s="1385">
        <v>0</v>
      </c>
      <c r="H64" s="1385">
        <v>0</v>
      </c>
      <c r="I64" s="1385">
        <v>0</v>
      </c>
      <c r="J64" s="1385">
        <v>0</v>
      </c>
      <c r="K64" s="1385">
        <v>0</v>
      </c>
      <c r="L64" s="1385">
        <v>0</v>
      </c>
      <c r="M64" s="1385">
        <v>0</v>
      </c>
      <c r="N64" s="1385">
        <v>0</v>
      </c>
      <c r="O64" s="1385"/>
      <c r="Q64" s="334"/>
    </row>
    <row r="65" spans="2:17">
      <c r="B65" s="1516" t="s">
        <v>3697</v>
      </c>
      <c r="C65" s="1450"/>
      <c r="D65" s="1385">
        <v>0</v>
      </c>
      <c r="E65" s="1385">
        <v>0</v>
      </c>
      <c r="F65" s="1385">
        <v>0</v>
      </c>
      <c r="G65" s="1385">
        <v>0</v>
      </c>
      <c r="H65" s="1385">
        <v>0</v>
      </c>
      <c r="I65" s="1385">
        <v>0</v>
      </c>
      <c r="J65" s="1385">
        <v>0</v>
      </c>
      <c r="K65" s="1385">
        <v>0</v>
      </c>
      <c r="L65" s="1385">
        <v>0</v>
      </c>
      <c r="M65" s="1385">
        <v>0</v>
      </c>
      <c r="N65" s="1385">
        <v>0</v>
      </c>
      <c r="O65" s="1385"/>
      <c r="Q65" s="334"/>
    </row>
    <row r="66" spans="2:17">
      <c r="B66" s="1516" t="s">
        <v>3698</v>
      </c>
      <c r="C66" s="1450"/>
      <c r="D66" s="1385">
        <v>0</v>
      </c>
      <c r="E66" s="1385">
        <v>0</v>
      </c>
      <c r="F66" s="1385">
        <v>0</v>
      </c>
      <c r="G66" s="1385">
        <v>0</v>
      </c>
      <c r="H66" s="1385">
        <v>0</v>
      </c>
      <c r="I66" s="1385">
        <v>0</v>
      </c>
      <c r="J66" s="1385">
        <v>0</v>
      </c>
      <c r="K66" s="1385">
        <v>0</v>
      </c>
      <c r="L66" s="1385">
        <v>0</v>
      </c>
      <c r="M66" s="1385">
        <v>0</v>
      </c>
      <c r="N66" s="1385">
        <v>0</v>
      </c>
      <c r="O66" s="1385"/>
      <c r="Q66" s="334"/>
    </row>
    <row r="67" spans="2:17">
      <c r="B67" s="1516" t="s">
        <v>3699</v>
      </c>
      <c r="C67" s="1450"/>
      <c r="D67" s="1385">
        <v>0</v>
      </c>
      <c r="E67" s="1385">
        <v>0</v>
      </c>
      <c r="F67" s="1385">
        <v>0</v>
      </c>
      <c r="G67" s="1385">
        <v>0</v>
      </c>
      <c r="H67" s="1385">
        <v>0</v>
      </c>
      <c r="I67" s="1385">
        <v>0</v>
      </c>
      <c r="J67" s="1385">
        <v>0</v>
      </c>
      <c r="K67" s="1385">
        <v>0</v>
      </c>
      <c r="L67" s="1385">
        <v>0</v>
      </c>
      <c r="M67" s="1385">
        <v>0</v>
      </c>
      <c r="N67" s="1385">
        <v>0</v>
      </c>
      <c r="O67" s="1385"/>
      <c r="Q67" s="334"/>
    </row>
    <row r="68" spans="2:17">
      <c r="B68" s="1516" t="s">
        <v>3700</v>
      </c>
      <c r="C68" s="1450"/>
      <c r="D68" s="1385">
        <v>0</v>
      </c>
      <c r="E68" s="1385">
        <v>0</v>
      </c>
      <c r="F68" s="1385">
        <v>0</v>
      </c>
      <c r="G68" s="1385">
        <v>0</v>
      </c>
      <c r="H68" s="1385">
        <v>0</v>
      </c>
      <c r="I68" s="1385">
        <v>0</v>
      </c>
      <c r="J68" s="1385">
        <v>0</v>
      </c>
      <c r="K68" s="1385">
        <v>0</v>
      </c>
      <c r="L68" s="1385">
        <v>0</v>
      </c>
      <c r="M68" s="1385">
        <v>0</v>
      </c>
      <c r="N68" s="1385">
        <v>0</v>
      </c>
      <c r="O68" s="1385"/>
      <c r="Q68" s="334"/>
    </row>
    <row r="69" spans="2:17">
      <c r="B69" s="1516" t="s">
        <v>3701</v>
      </c>
      <c r="C69" s="1450"/>
      <c r="D69" s="1385">
        <v>0</v>
      </c>
      <c r="E69" s="1385">
        <v>0</v>
      </c>
      <c r="F69" s="1385">
        <v>0</v>
      </c>
      <c r="G69" s="1385">
        <v>0</v>
      </c>
      <c r="H69" s="1385">
        <v>0</v>
      </c>
      <c r="I69" s="1385">
        <v>0</v>
      </c>
      <c r="J69" s="1385">
        <v>0</v>
      </c>
      <c r="K69" s="1385">
        <v>0</v>
      </c>
      <c r="L69" s="1385">
        <v>0</v>
      </c>
      <c r="M69" s="1385">
        <v>0</v>
      </c>
      <c r="N69" s="1385">
        <v>0</v>
      </c>
      <c r="O69" s="1385"/>
      <c r="Q69" s="334"/>
    </row>
    <row r="70" spans="2:17">
      <c r="B70" s="1516"/>
      <c r="C70" s="1450"/>
      <c r="D70" s="1385"/>
      <c r="E70" s="1385"/>
      <c r="F70" s="1385"/>
      <c r="G70" s="1385"/>
      <c r="H70" s="1385"/>
      <c r="I70" s="1385"/>
      <c r="J70" s="1385"/>
      <c r="K70" s="1385"/>
      <c r="L70" s="1385"/>
      <c r="M70" s="1385"/>
      <c r="N70" s="1385"/>
      <c r="O70" s="1385"/>
      <c r="Q70" s="334"/>
    </row>
    <row r="71" spans="2:17" s="23" customFormat="1">
      <c r="B71" s="1514" t="s">
        <v>3702</v>
      </c>
      <c r="C71" s="1515"/>
      <c r="D71" s="1453">
        <f>+D72+D73+D74+D75+D76+D77+D78+D79+D80</f>
        <v>0</v>
      </c>
      <c r="E71" s="1453">
        <f t="shared" ref="E71:O71" si="6">+E72+E73+E74+E75+E76+E77+E78+E79+E80</f>
        <v>2525538.85</v>
      </c>
      <c r="F71" s="1453">
        <f t="shared" si="6"/>
        <v>119855</v>
      </c>
      <c r="G71" s="1453">
        <f t="shared" si="6"/>
        <v>1011205.17</v>
      </c>
      <c r="H71" s="1453">
        <f t="shared" si="6"/>
        <v>0</v>
      </c>
      <c r="I71" s="1453">
        <f t="shared" si="6"/>
        <v>2359050</v>
      </c>
      <c r="J71" s="1453">
        <f t="shared" si="6"/>
        <v>433780</v>
      </c>
      <c r="K71" s="1453">
        <f t="shared" si="6"/>
        <v>4720266.0199999996</v>
      </c>
      <c r="L71" s="1453">
        <f t="shared" si="6"/>
        <v>0</v>
      </c>
      <c r="M71" s="1453">
        <f t="shared" si="6"/>
        <v>4129504.16</v>
      </c>
      <c r="N71" s="1453">
        <f t="shared" si="6"/>
        <v>538369</v>
      </c>
      <c r="O71" s="1453">
        <f t="shared" si="6"/>
        <v>40000</v>
      </c>
      <c r="P71" s="672"/>
      <c r="Q71" s="672"/>
    </row>
    <row r="72" spans="2:17">
      <c r="B72" s="1516" t="s">
        <v>3703</v>
      </c>
      <c r="C72" s="1450"/>
      <c r="D72" s="1385">
        <v>0</v>
      </c>
      <c r="E72" s="1385">
        <v>193429.4</v>
      </c>
      <c r="F72" s="1385">
        <v>0</v>
      </c>
      <c r="G72" s="1385">
        <v>1011205.17</v>
      </c>
      <c r="H72" s="1385"/>
      <c r="I72" s="1385">
        <v>294050</v>
      </c>
      <c r="J72" s="1385">
        <v>260000</v>
      </c>
      <c r="K72" s="1385">
        <v>540605</v>
      </c>
      <c r="L72" s="1385">
        <v>0</v>
      </c>
      <c r="M72" s="1385">
        <v>49504.160000000003</v>
      </c>
      <c r="N72" s="1385">
        <v>512580</v>
      </c>
      <c r="O72" s="1385">
        <v>40000</v>
      </c>
      <c r="Q72" s="334"/>
    </row>
    <row r="73" spans="2:17">
      <c r="B73" s="1516" t="s">
        <v>3704</v>
      </c>
      <c r="C73" s="1450"/>
      <c r="D73" s="1385">
        <v>0</v>
      </c>
      <c r="E73" s="1385">
        <v>0</v>
      </c>
      <c r="F73" s="1385">
        <v>0</v>
      </c>
      <c r="G73" s="1385">
        <v>0</v>
      </c>
      <c r="H73" s="1385">
        <v>0</v>
      </c>
      <c r="I73" s="1385">
        <v>0</v>
      </c>
      <c r="J73" s="1385">
        <v>0</v>
      </c>
      <c r="K73" s="1385">
        <v>0</v>
      </c>
      <c r="L73" s="1385">
        <v>0</v>
      </c>
      <c r="M73" s="1385">
        <v>0</v>
      </c>
      <c r="N73" s="1385">
        <v>0</v>
      </c>
      <c r="O73" s="1385">
        <v>0</v>
      </c>
      <c r="Q73" s="334"/>
    </row>
    <row r="74" spans="2:17">
      <c r="B74" s="1516" t="s">
        <v>3705</v>
      </c>
      <c r="C74" s="1450"/>
      <c r="D74" s="1385">
        <v>0</v>
      </c>
      <c r="E74" s="1385">
        <v>0</v>
      </c>
      <c r="F74" s="1385">
        <v>0</v>
      </c>
      <c r="G74" s="1385">
        <v>0</v>
      </c>
      <c r="H74" s="1385">
        <v>0</v>
      </c>
      <c r="I74" s="1385">
        <v>0</v>
      </c>
      <c r="J74" s="1385">
        <v>0</v>
      </c>
      <c r="K74" s="1385">
        <v>0</v>
      </c>
      <c r="L74" s="1385">
        <v>0</v>
      </c>
      <c r="M74" s="1385">
        <v>0</v>
      </c>
      <c r="N74" s="1385">
        <v>25789</v>
      </c>
      <c r="O74" s="1385">
        <v>0</v>
      </c>
      <c r="Q74" s="334"/>
    </row>
    <row r="75" spans="2:17">
      <c r="B75" s="1516" t="s">
        <v>3706</v>
      </c>
      <c r="C75" s="1450"/>
      <c r="D75" s="1385">
        <v>0</v>
      </c>
      <c r="E75" s="1385">
        <v>2316089.4500000002</v>
      </c>
      <c r="F75" s="1385">
        <v>0</v>
      </c>
      <c r="G75" s="1385">
        <v>0</v>
      </c>
      <c r="H75" s="1385">
        <v>0</v>
      </c>
      <c r="I75" s="1385">
        <v>2065000</v>
      </c>
      <c r="J75" s="1385">
        <v>0</v>
      </c>
      <c r="K75" s="1385">
        <v>4179661.02</v>
      </c>
      <c r="L75" s="1385">
        <v>0</v>
      </c>
      <c r="M75" s="1385">
        <v>4080000</v>
      </c>
      <c r="N75" s="1385">
        <v>0</v>
      </c>
      <c r="O75" s="1385">
        <v>0</v>
      </c>
      <c r="Q75" s="334"/>
    </row>
    <row r="76" spans="2:17">
      <c r="B76" s="1516" t="s">
        <v>3707</v>
      </c>
      <c r="C76" s="1450"/>
      <c r="D76" s="1385">
        <v>0</v>
      </c>
      <c r="E76" s="1385">
        <v>0</v>
      </c>
      <c r="F76" s="1385">
        <v>119855</v>
      </c>
      <c r="G76" s="1385">
        <v>0</v>
      </c>
      <c r="H76" s="1385">
        <v>0</v>
      </c>
      <c r="I76" s="1385">
        <v>0</v>
      </c>
      <c r="J76" s="1385">
        <v>173780</v>
      </c>
      <c r="K76" s="1385">
        <v>0</v>
      </c>
      <c r="L76" s="1385">
        <v>0</v>
      </c>
      <c r="M76" s="1385">
        <v>0</v>
      </c>
      <c r="N76" s="1385">
        <v>0</v>
      </c>
      <c r="O76" s="1385">
        <v>0</v>
      </c>
      <c r="Q76" s="334"/>
    </row>
    <row r="77" spans="2:17">
      <c r="B77" s="1516" t="s">
        <v>3708</v>
      </c>
      <c r="C77" s="1450"/>
      <c r="D77" s="1385">
        <v>0</v>
      </c>
      <c r="E77" s="1385">
        <v>0</v>
      </c>
      <c r="F77" s="1385">
        <v>0</v>
      </c>
      <c r="G77" s="1385">
        <v>0</v>
      </c>
      <c r="H77" s="1385">
        <v>0</v>
      </c>
      <c r="I77" s="1385">
        <v>0</v>
      </c>
      <c r="J77" s="1385">
        <v>0</v>
      </c>
      <c r="K77" s="1385">
        <v>0</v>
      </c>
      <c r="L77" s="1385">
        <v>0</v>
      </c>
      <c r="M77" s="1385">
        <v>0</v>
      </c>
      <c r="N77" s="1385">
        <v>0</v>
      </c>
      <c r="O77" s="1385">
        <v>0</v>
      </c>
      <c r="Q77" s="334"/>
    </row>
    <row r="78" spans="2:17">
      <c r="B78" s="1516" t="s">
        <v>3709</v>
      </c>
      <c r="C78" s="1450"/>
      <c r="D78" s="1385">
        <v>0</v>
      </c>
      <c r="E78" s="1385">
        <v>0</v>
      </c>
      <c r="F78" s="1385">
        <v>0</v>
      </c>
      <c r="G78" s="1385">
        <v>0</v>
      </c>
      <c r="H78" s="1385">
        <v>0</v>
      </c>
      <c r="I78" s="1385">
        <v>0</v>
      </c>
      <c r="J78" s="1385">
        <v>0</v>
      </c>
      <c r="K78" s="1385">
        <v>0</v>
      </c>
      <c r="L78" s="1385">
        <v>0</v>
      </c>
      <c r="M78" s="1385">
        <v>0</v>
      </c>
      <c r="N78" s="1385">
        <v>0</v>
      </c>
      <c r="O78" s="1385">
        <v>0</v>
      </c>
      <c r="Q78" s="334"/>
    </row>
    <row r="79" spans="2:17">
      <c r="B79" s="1516" t="s">
        <v>3710</v>
      </c>
      <c r="C79" s="1450"/>
      <c r="D79" s="1385">
        <v>0</v>
      </c>
      <c r="E79" s="1385">
        <v>0</v>
      </c>
      <c r="F79" s="1385">
        <v>0</v>
      </c>
      <c r="G79" s="1385">
        <v>0</v>
      </c>
      <c r="H79" s="1385">
        <v>0</v>
      </c>
      <c r="I79" s="1385">
        <v>0</v>
      </c>
      <c r="J79" s="1385">
        <v>0</v>
      </c>
      <c r="K79" s="1385">
        <v>0</v>
      </c>
      <c r="L79" s="1385">
        <v>0</v>
      </c>
      <c r="M79" s="1385">
        <v>0</v>
      </c>
      <c r="N79" s="1385">
        <v>0</v>
      </c>
      <c r="O79" s="1385">
        <v>0</v>
      </c>
      <c r="Q79" s="334"/>
    </row>
    <row r="80" spans="2:17">
      <c r="B80" s="1516" t="s">
        <v>3711</v>
      </c>
      <c r="C80" s="1450"/>
      <c r="D80" s="1385">
        <v>0</v>
      </c>
      <c r="E80" s="1385">
        <v>16020</v>
      </c>
      <c r="F80" s="1385">
        <v>0</v>
      </c>
      <c r="G80" s="1385">
        <v>0</v>
      </c>
      <c r="H80" s="1385">
        <v>0</v>
      </c>
      <c r="I80" s="1385">
        <v>0</v>
      </c>
      <c r="J80" s="1385">
        <v>0</v>
      </c>
      <c r="K80" s="1385">
        <v>0</v>
      </c>
      <c r="L80" s="1385">
        <v>0</v>
      </c>
      <c r="M80" s="1385">
        <v>0</v>
      </c>
      <c r="N80" s="1385">
        <v>0</v>
      </c>
      <c r="O80" s="1385">
        <v>0</v>
      </c>
      <c r="Q80" s="334"/>
    </row>
    <row r="81" spans="2:17">
      <c r="B81" s="1516"/>
      <c r="C81" s="1450"/>
      <c r="D81" s="1385"/>
      <c r="E81" s="1385"/>
      <c r="F81" s="1385"/>
      <c r="G81" s="1385"/>
      <c r="H81" s="1385"/>
      <c r="I81" s="1385"/>
      <c r="J81" s="1385"/>
      <c r="K81" s="1385"/>
      <c r="L81" s="1385"/>
      <c r="M81" s="1385"/>
      <c r="N81" s="1385"/>
      <c r="O81" s="1385"/>
      <c r="Q81" s="334"/>
    </row>
    <row r="82" spans="2:17" s="23" customFormat="1">
      <c r="B82" s="1514" t="s">
        <v>3712</v>
      </c>
      <c r="C82" s="1515"/>
      <c r="D82" s="1453">
        <f>+D83+D84+D85</f>
        <v>0</v>
      </c>
      <c r="E82" s="1453">
        <f t="shared" ref="E82:O82" si="7">+E83+E84+E85</f>
        <v>0</v>
      </c>
      <c r="F82" s="1453">
        <f t="shared" si="7"/>
        <v>191886</v>
      </c>
      <c r="G82" s="1453">
        <f t="shared" si="7"/>
        <v>4771498.67</v>
      </c>
      <c r="H82" s="1453">
        <f t="shared" si="7"/>
        <v>2102628.0499999998</v>
      </c>
      <c r="I82" s="1453">
        <f t="shared" si="7"/>
        <v>2832641.5500000003</v>
      </c>
      <c r="J82" s="1453">
        <f t="shared" si="7"/>
        <v>4557277.3499999996</v>
      </c>
      <c r="K82" s="1453">
        <f t="shared" si="7"/>
        <v>1310184.6599999999</v>
      </c>
      <c r="L82" s="1453">
        <f t="shared" si="7"/>
        <v>655158.14</v>
      </c>
      <c r="M82" s="1453">
        <f t="shared" si="7"/>
        <v>2129975.09</v>
      </c>
      <c r="N82" s="1453">
        <f t="shared" si="7"/>
        <v>3276156.53</v>
      </c>
      <c r="O82" s="1453">
        <f t="shared" si="7"/>
        <v>860789.81</v>
      </c>
      <c r="P82" s="672"/>
      <c r="Q82" s="672"/>
    </row>
    <row r="83" spans="2:17">
      <c r="B83" s="1516" t="s">
        <v>3713</v>
      </c>
      <c r="C83" s="1450"/>
      <c r="D83" s="1385">
        <v>0</v>
      </c>
      <c r="E83" s="1385">
        <v>0</v>
      </c>
      <c r="F83" s="1385">
        <v>191886</v>
      </c>
      <c r="G83" s="1385">
        <v>2712280.94</v>
      </c>
      <c r="H83" s="1385">
        <v>1278618.05</v>
      </c>
      <c r="I83" s="1385">
        <v>73300.179999999993</v>
      </c>
      <c r="J83" s="1385">
        <v>1081725.1200000001</v>
      </c>
      <c r="K83" s="1385">
        <v>0</v>
      </c>
      <c r="L83" s="1385">
        <v>0</v>
      </c>
      <c r="M83" s="1385">
        <v>0</v>
      </c>
      <c r="N83" s="1385">
        <v>0</v>
      </c>
      <c r="O83" s="1385">
        <v>0</v>
      </c>
      <c r="Q83" s="334"/>
    </row>
    <row r="84" spans="2:17">
      <c r="B84" s="1516" t="s">
        <v>3714</v>
      </c>
      <c r="C84" s="1450"/>
      <c r="D84" s="1385">
        <v>0</v>
      </c>
      <c r="E84" s="1385">
        <v>0</v>
      </c>
      <c r="F84" s="1385">
        <v>0</v>
      </c>
      <c r="G84" s="1385">
        <v>2059217.73</v>
      </c>
      <c r="H84" s="1385">
        <v>824010</v>
      </c>
      <c r="I84" s="1385">
        <v>2759341.37</v>
      </c>
      <c r="J84" s="1385">
        <v>3475552.23</v>
      </c>
      <c r="K84" s="1385">
        <v>1310184.6599999999</v>
      </c>
      <c r="L84" s="1385">
        <v>655158.14</v>
      </c>
      <c r="M84" s="1385">
        <v>2129975.09</v>
      </c>
      <c r="N84" s="1385">
        <v>3276156.53</v>
      </c>
      <c r="O84" s="1385">
        <v>860789.81</v>
      </c>
      <c r="Q84" s="334"/>
    </row>
    <row r="85" spans="2:17">
      <c r="B85" s="1516" t="s">
        <v>3715</v>
      </c>
      <c r="C85" s="1450"/>
      <c r="D85" s="1385">
        <v>0</v>
      </c>
      <c r="E85" s="1385">
        <v>0</v>
      </c>
      <c r="F85" s="1385">
        <v>0</v>
      </c>
      <c r="G85" s="1385">
        <v>0</v>
      </c>
      <c r="H85" s="1385">
        <v>0</v>
      </c>
      <c r="I85" s="1385">
        <v>0</v>
      </c>
      <c r="J85" s="1385">
        <v>0</v>
      </c>
      <c r="K85" s="1385">
        <v>0</v>
      </c>
      <c r="L85" s="1385">
        <v>0</v>
      </c>
      <c r="M85" s="1385">
        <v>0</v>
      </c>
      <c r="N85" s="1385">
        <v>0</v>
      </c>
      <c r="O85" s="1385">
        <v>0</v>
      </c>
      <c r="Q85" s="334"/>
    </row>
    <row r="86" spans="2:17">
      <c r="B86" s="1516"/>
      <c r="C86" s="1450"/>
      <c r="D86" s="1385"/>
      <c r="E86" s="1385"/>
      <c r="F86" s="1385"/>
      <c r="G86" s="1385"/>
      <c r="H86" s="1385"/>
      <c r="I86" s="1385"/>
      <c r="J86" s="1385"/>
      <c r="K86" s="1385"/>
      <c r="L86" s="1385"/>
      <c r="M86" s="1385"/>
      <c r="N86" s="1385"/>
      <c r="O86" s="1385"/>
      <c r="Q86" s="334"/>
    </row>
    <row r="87" spans="2:17" s="23" customFormat="1">
      <c r="B87" s="1514" t="s">
        <v>3716</v>
      </c>
      <c r="C87" s="1515"/>
      <c r="D87" s="1453">
        <f>+D88+D89</f>
        <v>0</v>
      </c>
      <c r="E87" s="1453">
        <f t="shared" ref="E87:O87" si="8">+E88+E89</f>
        <v>0</v>
      </c>
      <c r="F87" s="1453">
        <f t="shared" si="8"/>
        <v>0</v>
      </c>
      <c r="G87" s="1453">
        <f t="shared" si="8"/>
        <v>0</v>
      </c>
      <c r="H87" s="1453">
        <f t="shared" si="8"/>
        <v>0</v>
      </c>
      <c r="I87" s="1453">
        <f t="shared" si="8"/>
        <v>0</v>
      </c>
      <c r="J87" s="1453">
        <f t="shared" si="8"/>
        <v>0</v>
      </c>
      <c r="K87" s="1453">
        <f t="shared" si="8"/>
        <v>0</v>
      </c>
      <c r="L87" s="1453">
        <f t="shared" si="8"/>
        <v>0</v>
      </c>
      <c r="M87" s="1453">
        <f t="shared" si="8"/>
        <v>0</v>
      </c>
      <c r="N87" s="1453">
        <f t="shared" si="8"/>
        <v>0</v>
      </c>
      <c r="O87" s="1453">
        <f t="shared" si="8"/>
        <v>0</v>
      </c>
      <c r="P87" s="672"/>
      <c r="Q87" s="672"/>
    </row>
    <row r="88" spans="2:17">
      <c r="B88" s="1516" t="s">
        <v>3717</v>
      </c>
      <c r="C88" s="1450"/>
      <c r="D88" s="1385">
        <v>0</v>
      </c>
      <c r="E88" s="1385">
        <v>0</v>
      </c>
      <c r="F88" s="1385">
        <v>0</v>
      </c>
      <c r="G88" s="1385">
        <v>0</v>
      </c>
      <c r="H88" s="1385">
        <v>0</v>
      </c>
      <c r="I88" s="1385">
        <v>0</v>
      </c>
      <c r="J88" s="1385">
        <v>0</v>
      </c>
      <c r="K88" s="1385">
        <v>0</v>
      </c>
      <c r="L88" s="1385">
        <v>0</v>
      </c>
      <c r="M88" s="1385">
        <v>0</v>
      </c>
      <c r="N88" s="1385">
        <v>0</v>
      </c>
      <c r="O88" s="1385">
        <v>0</v>
      </c>
      <c r="Q88" s="334"/>
    </row>
    <row r="89" spans="2:17">
      <c r="B89" s="1516" t="s">
        <v>3718</v>
      </c>
      <c r="C89" s="1450"/>
      <c r="D89" s="1385">
        <v>0</v>
      </c>
      <c r="E89" s="1385">
        <v>0</v>
      </c>
      <c r="F89" s="1385">
        <v>0</v>
      </c>
      <c r="G89" s="1385">
        <v>0</v>
      </c>
      <c r="H89" s="1385">
        <v>0</v>
      </c>
      <c r="I89" s="1385">
        <v>0</v>
      </c>
      <c r="J89" s="1385">
        <v>0</v>
      </c>
      <c r="K89" s="1385">
        <v>0</v>
      </c>
      <c r="L89" s="1385">
        <v>0</v>
      </c>
      <c r="M89" s="1385">
        <v>0</v>
      </c>
      <c r="N89" s="1385">
        <v>0</v>
      </c>
      <c r="O89" s="1385">
        <v>0</v>
      </c>
      <c r="Q89" s="334"/>
    </row>
    <row r="90" spans="2:17">
      <c r="B90" s="1516"/>
      <c r="C90" s="1450"/>
      <c r="D90" s="1385"/>
      <c r="E90" s="1385"/>
      <c r="F90" s="1385"/>
      <c r="G90" s="1385"/>
      <c r="H90" s="1385"/>
      <c r="I90" s="1385"/>
      <c r="J90" s="1385"/>
      <c r="K90" s="1385"/>
      <c r="L90" s="1385"/>
      <c r="M90" s="1385"/>
      <c r="N90" s="1385"/>
      <c r="O90" s="1385"/>
      <c r="Q90" s="334"/>
    </row>
    <row r="91" spans="2:17" s="23" customFormat="1">
      <c r="B91" s="1514" t="s">
        <v>3719</v>
      </c>
      <c r="C91" s="1515"/>
      <c r="D91" s="1453">
        <f>+D92+D93+D94</f>
        <v>0</v>
      </c>
      <c r="E91" s="1453">
        <f t="shared" ref="E91:O91" si="9">+E92+E93+E94</f>
        <v>0</v>
      </c>
      <c r="F91" s="1453">
        <f t="shared" si="9"/>
        <v>0</v>
      </c>
      <c r="G91" s="1453">
        <f t="shared" si="9"/>
        <v>0</v>
      </c>
      <c r="H91" s="1453">
        <f t="shared" si="9"/>
        <v>0</v>
      </c>
      <c r="I91" s="1453">
        <f t="shared" si="9"/>
        <v>0</v>
      </c>
      <c r="J91" s="1453">
        <f t="shared" si="9"/>
        <v>0</v>
      </c>
      <c r="K91" s="1453">
        <f t="shared" si="9"/>
        <v>0</v>
      </c>
      <c r="L91" s="1453">
        <f t="shared" si="9"/>
        <v>0</v>
      </c>
      <c r="M91" s="1453">
        <f t="shared" si="9"/>
        <v>0</v>
      </c>
      <c r="N91" s="1453">
        <f t="shared" si="9"/>
        <v>0</v>
      </c>
      <c r="O91" s="1453">
        <f t="shared" si="9"/>
        <v>0</v>
      </c>
      <c r="P91" s="672"/>
      <c r="Q91" s="672"/>
    </row>
    <row r="92" spans="2:17">
      <c r="B92" s="1516" t="s">
        <v>3720</v>
      </c>
      <c r="C92" s="1450"/>
      <c r="D92" s="1385">
        <v>0</v>
      </c>
      <c r="E92" s="1385">
        <v>0</v>
      </c>
      <c r="F92" s="1385">
        <v>0</v>
      </c>
      <c r="G92" s="1385">
        <v>0</v>
      </c>
      <c r="H92" s="1385">
        <v>0</v>
      </c>
      <c r="I92" s="1385">
        <v>0</v>
      </c>
      <c r="J92" s="1385">
        <v>0</v>
      </c>
      <c r="K92" s="1385">
        <v>0</v>
      </c>
      <c r="L92" s="1385">
        <v>0</v>
      </c>
      <c r="M92" s="1385">
        <v>0</v>
      </c>
      <c r="N92" s="1385">
        <v>0</v>
      </c>
      <c r="O92" s="1385"/>
      <c r="Q92" s="334"/>
    </row>
    <row r="93" spans="2:17">
      <c r="B93" s="1516" t="s">
        <v>3721</v>
      </c>
      <c r="C93" s="1450"/>
      <c r="D93" s="1385">
        <v>0</v>
      </c>
      <c r="E93" s="1385">
        <v>0</v>
      </c>
      <c r="F93" s="1385">
        <v>0</v>
      </c>
      <c r="G93" s="1385">
        <v>0</v>
      </c>
      <c r="H93" s="1385">
        <v>0</v>
      </c>
      <c r="I93" s="1385">
        <v>0</v>
      </c>
      <c r="J93" s="1385">
        <v>0</v>
      </c>
      <c r="K93" s="1385">
        <v>0</v>
      </c>
      <c r="L93" s="1385">
        <v>0</v>
      </c>
      <c r="M93" s="1385">
        <v>0</v>
      </c>
      <c r="N93" s="1385">
        <v>0</v>
      </c>
      <c r="O93" s="1385"/>
      <c r="Q93" s="334"/>
    </row>
    <row r="94" spans="2:17">
      <c r="B94" s="1516" t="s">
        <v>3722</v>
      </c>
      <c r="C94" s="1450"/>
      <c r="D94" s="1385">
        <v>0</v>
      </c>
      <c r="E94" s="1385">
        <v>0</v>
      </c>
      <c r="F94" s="1385">
        <v>0</v>
      </c>
      <c r="G94" s="1385">
        <v>0</v>
      </c>
      <c r="H94" s="1385">
        <v>0</v>
      </c>
      <c r="I94" s="1385">
        <v>0</v>
      </c>
      <c r="J94" s="1385">
        <v>0</v>
      </c>
      <c r="K94" s="1385">
        <v>0</v>
      </c>
      <c r="L94" s="1385">
        <v>0</v>
      </c>
      <c r="M94" s="1385">
        <v>0</v>
      </c>
      <c r="N94" s="1385">
        <v>0</v>
      </c>
      <c r="O94" s="1385"/>
      <c r="Q94" s="334"/>
    </row>
    <row r="95" spans="2:17">
      <c r="B95" s="1516"/>
      <c r="C95" s="1450"/>
      <c r="D95" s="1385"/>
      <c r="E95" s="1385"/>
      <c r="F95" s="1385"/>
      <c r="G95" s="1385"/>
      <c r="H95" s="1385"/>
      <c r="I95" s="1385"/>
      <c r="J95" s="1385"/>
      <c r="K95" s="1385"/>
      <c r="L95" s="1385"/>
      <c r="M95" s="1385"/>
      <c r="N95" s="1385"/>
      <c r="O95" s="1385"/>
      <c r="Q95" s="675"/>
    </row>
    <row r="96" spans="2:17" s="23" customFormat="1">
      <c r="B96" s="1514" t="s">
        <v>3723</v>
      </c>
      <c r="C96" s="1515"/>
      <c r="D96" s="1453">
        <f>+D91+D87+D82+D71+D62+D39+D28+D17+D10</f>
        <v>27946713.649999999</v>
      </c>
      <c r="E96" s="1453">
        <f t="shared" ref="E96:O96" si="10">+E91+E87+E82+E71+E62+E39+E28+E17+E10</f>
        <v>29564156.329999998</v>
      </c>
      <c r="F96" s="1453">
        <f t="shared" si="10"/>
        <v>20242884.469999999</v>
      </c>
      <c r="G96" s="1453">
        <f t="shared" si="10"/>
        <v>34802683.060000002</v>
      </c>
      <c r="H96" s="1453">
        <f t="shared" si="10"/>
        <v>19922149.780000001</v>
      </c>
      <c r="I96" s="1453">
        <f t="shared" si="10"/>
        <v>41214199.32</v>
      </c>
      <c r="J96" s="1453">
        <f t="shared" si="10"/>
        <v>30112310.16</v>
      </c>
      <c r="K96" s="1453">
        <f t="shared" si="10"/>
        <v>33241709.68</v>
      </c>
      <c r="L96" s="1453">
        <f t="shared" si="10"/>
        <v>38492386.090000004</v>
      </c>
      <c r="M96" s="1453">
        <f t="shared" si="10"/>
        <v>29787380.32</v>
      </c>
      <c r="N96" s="1453">
        <f t="shared" si="10"/>
        <v>29868862.719999999</v>
      </c>
      <c r="O96" s="1453">
        <f t="shared" si="10"/>
        <v>39090803.640000001</v>
      </c>
      <c r="P96" s="672"/>
      <c r="Q96" s="672"/>
    </row>
    <row r="97" spans="2:17">
      <c r="B97" s="1516"/>
      <c r="C97" s="1450"/>
      <c r="D97" s="1385"/>
      <c r="E97" s="1385"/>
      <c r="F97" s="1385"/>
      <c r="G97" s="1385"/>
      <c r="H97" s="1385"/>
      <c r="I97" s="1385"/>
      <c r="J97" s="1385"/>
      <c r="K97" s="1385"/>
      <c r="L97" s="1385"/>
      <c r="M97" s="1385"/>
      <c r="N97" s="1385"/>
      <c r="O97" s="1385"/>
      <c r="Q97" s="334"/>
    </row>
    <row r="98" spans="2:17" s="23" customFormat="1">
      <c r="B98" s="1514" t="s">
        <v>3724</v>
      </c>
      <c r="C98" s="1515"/>
      <c r="D98" s="1453">
        <f>+D109</f>
        <v>0</v>
      </c>
      <c r="E98" s="1453">
        <f t="shared" ref="E98:O98" si="11">+E109</f>
        <v>0</v>
      </c>
      <c r="F98" s="1453">
        <f t="shared" si="11"/>
        <v>22917577.510000005</v>
      </c>
      <c r="G98" s="1453">
        <f t="shared" si="11"/>
        <v>0</v>
      </c>
      <c r="H98" s="1453">
        <f t="shared" si="11"/>
        <v>11278545.200000001</v>
      </c>
      <c r="I98" s="1453">
        <f t="shared" si="11"/>
        <v>66856235.069999993</v>
      </c>
      <c r="J98" s="1453">
        <f t="shared" si="11"/>
        <v>0</v>
      </c>
      <c r="K98" s="1453">
        <f t="shared" si="11"/>
        <v>0</v>
      </c>
      <c r="L98" s="1453">
        <f t="shared" si="11"/>
        <v>6182091.2099999785</v>
      </c>
      <c r="M98" s="1453">
        <f t="shared" si="11"/>
        <v>3256639.1599999927</v>
      </c>
      <c r="N98" s="1453">
        <f t="shared" si="11"/>
        <v>306591.72999998927</v>
      </c>
      <c r="O98" s="1453">
        <f t="shared" si="11"/>
        <v>15623534.789999995</v>
      </c>
      <c r="P98" s="672"/>
      <c r="Q98" s="672"/>
    </row>
    <row r="99" spans="2:17" s="23" customFormat="1">
      <c r="B99" s="1514" t="s">
        <v>3725</v>
      </c>
      <c r="C99" s="1515"/>
      <c r="D99" s="1453">
        <f t="shared" ref="D99:O99" si="12">+D100+D101</f>
        <v>0</v>
      </c>
      <c r="E99" s="1453">
        <f t="shared" si="12"/>
        <v>0</v>
      </c>
      <c r="F99" s="1453">
        <f t="shared" si="12"/>
        <v>20114493.039999992</v>
      </c>
      <c r="G99" s="1453">
        <f t="shared" si="12"/>
        <v>0</v>
      </c>
      <c r="H99" s="1453">
        <f t="shared" si="12"/>
        <v>10358617.420000002</v>
      </c>
      <c r="I99" s="1453">
        <f t="shared" si="12"/>
        <v>66856235.069999993</v>
      </c>
      <c r="J99" s="1453">
        <f t="shared" si="12"/>
        <v>0</v>
      </c>
      <c r="K99" s="1453">
        <f t="shared" si="12"/>
        <v>0</v>
      </c>
      <c r="L99" s="1453">
        <f t="shared" si="12"/>
        <v>6182091.2099999785</v>
      </c>
      <c r="M99" s="1453">
        <f t="shared" si="12"/>
        <v>399131.9999999702</v>
      </c>
      <c r="N99" s="1453">
        <f t="shared" si="12"/>
        <v>306591.72999998927</v>
      </c>
      <c r="O99" s="1453">
        <f t="shared" si="12"/>
        <v>0</v>
      </c>
      <c r="P99" s="672"/>
      <c r="Q99" s="672"/>
    </row>
    <row r="100" spans="2:17">
      <c r="B100" s="1516" t="s">
        <v>3726</v>
      </c>
      <c r="C100" s="1450"/>
      <c r="D100" s="1385">
        <v>0</v>
      </c>
      <c r="E100" s="1453">
        <f>+E101+E102</f>
        <v>0</v>
      </c>
      <c r="F100" s="1385">
        <v>20114493.039999992</v>
      </c>
      <c r="G100" s="1385"/>
      <c r="H100" s="1385">
        <v>10358617.420000002</v>
      </c>
      <c r="I100" s="1385">
        <v>66856235.069999993</v>
      </c>
      <c r="J100" s="1385"/>
      <c r="K100" s="1385"/>
      <c r="L100" s="1385">
        <v>6182091.2099999785</v>
      </c>
      <c r="M100" s="1385">
        <v>399131.9999999702</v>
      </c>
      <c r="N100" s="1385">
        <v>306591.72999998927</v>
      </c>
      <c r="O100" s="1385"/>
      <c r="Q100" s="334"/>
    </row>
    <row r="101" spans="2:17">
      <c r="B101" s="1516" t="s">
        <v>3727</v>
      </c>
      <c r="C101" s="1450"/>
      <c r="D101" s="1385">
        <v>0</v>
      </c>
      <c r="E101" s="1453">
        <f>+E102+E103</f>
        <v>0</v>
      </c>
      <c r="F101" s="1385"/>
      <c r="G101" s="1385"/>
      <c r="H101" s="1385"/>
      <c r="I101" s="1385"/>
      <c r="J101" s="1385"/>
      <c r="K101" s="1385"/>
      <c r="L101" s="1385"/>
      <c r="M101" s="1385"/>
      <c r="N101" s="1385"/>
      <c r="O101" s="1385"/>
      <c r="Q101" s="334"/>
    </row>
    <row r="102" spans="2:17">
      <c r="B102" s="1516"/>
      <c r="C102" s="1450"/>
      <c r="D102" s="1385"/>
      <c r="E102" s="1385"/>
      <c r="F102" s="1385"/>
      <c r="G102" s="1385"/>
      <c r="H102" s="1385"/>
      <c r="I102" s="1385"/>
      <c r="J102" s="1385"/>
      <c r="K102" s="1385"/>
      <c r="L102" s="1385"/>
      <c r="M102" s="1385"/>
      <c r="N102" s="1385"/>
      <c r="O102" s="1385"/>
      <c r="Q102" s="334"/>
    </row>
    <row r="103" spans="2:17" s="23" customFormat="1">
      <c r="B103" s="1514" t="s">
        <v>3728</v>
      </c>
      <c r="C103" s="1515"/>
      <c r="D103" s="1453">
        <f>+D104+D105</f>
        <v>0</v>
      </c>
      <c r="E103" s="1453">
        <f t="shared" ref="E103:O103" si="13">+E104+E105</f>
        <v>0</v>
      </c>
      <c r="F103" s="1453">
        <f t="shared" si="13"/>
        <v>2803084.4700000137</v>
      </c>
      <c r="G103" s="1453">
        <f t="shared" si="13"/>
        <v>0</v>
      </c>
      <c r="H103" s="1453">
        <f t="shared" si="13"/>
        <v>919927.77999999933</v>
      </c>
      <c r="I103" s="1453">
        <f t="shared" si="13"/>
        <v>0</v>
      </c>
      <c r="J103" s="1453">
        <f t="shared" si="13"/>
        <v>0</v>
      </c>
      <c r="K103" s="1453">
        <f t="shared" si="13"/>
        <v>0</v>
      </c>
      <c r="L103" s="1453">
        <f t="shared" si="13"/>
        <v>0</v>
      </c>
      <c r="M103" s="1453">
        <f t="shared" si="13"/>
        <v>2857507.1600000225</v>
      </c>
      <c r="N103" s="1453">
        <f t="shared" si="13"/>
        <v>0</v>
      </c>
      <c r="O103" s="1453">
        <f t="shared" si="13"/>
        <v>15623534.789999995</v>
      </c>
      <c r="P103" s="672"/>
      <c r="Q103" s="672"/>
    </row>
    <row r="104" spans="2:17">
      <c r="B104" s="1516" t="s">
        <v>3729</v>
      </c>
      <c r="C104" s="1450"/>
      <c r="D104" s="1385">
        <v>0</v>
      </c>
      <c r="E104" s="1385">
        <v>0</v>
      </c>
      <c r="F104" s="1385">
        <v>2803084.4700000137</v>
      </c>
      <c r="G104" s="1385">
        <v>0</v>
      </c>
      <c r="H104" s="1385">
        <v>919927.77999999933</v>
      </c>
      <c r="I104" s="1385">
        <v>0</v>
      </c>
      <c r="J104" s="1385">
        <v>0</v>
      </c>
      <c r="K104" s="1385">
        <v>0</v>
      </c>
      <c r="L104" s="1385">
        <v>0</v>
      </c>
      <c r="M104" s="1385">
        <v>2857507.1600000225</v>
      </c>
      <c r="N104" s="1385">
        <v>0</v>
      </c>
      <c r="O104" s="1385">
        <v>15623534.789999995</v>
      </c>
      <c r="Q104" s="334"/>
    </row>
    <row r="105" spans="2:17">
      <c r="B105" s="1516" t="s">
        <v>3730</v>
      </c>
      <c r="C105" s="1450"/>
      <c r="D105" s="1385">
        <v>0</v>
      </c>
      <c r="E105" s="1385">
        <v>0</v>
      </c>
      <c r="F105" s="1385">
        <v>0</v>
      </c>
      <c r="G105" s="1385">
        <v>0</v>
      </c>
      <c r="H105" s="1385">
        <v>0</v>
      </c>
      <c r="I105" s="1385">
        <v>0</v>
      </c>
      <c r="J105" s="1385">
        <v>0</v>
      </c>
      <c r="K105" s="1385">
        <v>0</v>
      </c>
      <c r="L105" s="1385">
        <v>0</v>
      </c>
      <c r="M105" s="1385">
        <v>0</v>
      </c>
      <c r="N105" s="1385">
        <v>0</v>
      </c>
      <c r="O105" s="1385"/>
      <c r="Q105" s="334"/>
    </row>
    <row r="106" spans="2:17">
      <c r="B106" s="1516"/>
      <c r="C106" s="1450"/>
      <c r="D106" s="1385"/>
      <c r="E106" s="1385"/>
      <c r="F106" s="1385"/>
      <c r="G106" s="1385"/>
      <c r="H106" s="1385"/>
      <c r="I106" s="1385"/>
      <c r="J106" s="1385"/>
      <c r="K106" s="1385"/>
      <c r="L106" s="1385"/>
      <c r="M106" s="1385"/>
      <c r="N106" s="1385"/>
      <c r="O106" s="1385"/>
      <c r="Q106" s="334"/>
    </row>
    <row r="107" spans="2:17" s="23" customFormat="1">
      <c r="B107" s="1514" t="s">
        <v>3731</v>
      </c>
      <c r="C107" s="1515"/>
      <c r="D107" s="1453">
        <f>+D108</f>
        <v>0</v>
      </c>
      <c r="E107" s="1453">
        <f t="shared" ref="E107:O107" si="14">+E108</f>
        <v>0</v>
      </c>
      <c r="F107" s="1453">
        <f t="shared" si="14"/>
        <v>0</v>
      </c>
      <c r="G107" s="1453">
        <f t="shared" si="14"/>
        <v>0</v>
      </c>
      <c r="H107" s="1453">
        <f t="shared" si="14"/>
        <v>0</v>
      </c>
      <c r="I107" s="1453">
        <f t="shared" si="14"/>
        <v>0</v>
      </c>
      <c r="J107" s="1453">
        <f t="shared" si="14"/>
        <v>0</v>
      </c>
      <c r="K107" s="1453">
        <f t="shared" si="14"/>
        <v>0</v>
      </c>
      <c r="L107" s="1453">
        <f t="shared" si="14"/>
        <v>0</v>
      </c>
      <c r="M107" s="1453">
        <f t="shared" si="14"/>
        <v>0</v>
      </c>
      <c r="N107" s="1453">
        <f t="shared" si="14"/>
        <v>0</v>
      </c>
      <c r="O107" s="1453">
        <f t="shared" si="14"/>
        <v>0</v>
      </c>
      <c r="P107" s="672"/>
      <c r="Q107" s="672"/>
    </row>
    <row r="108" spans="2:17">
      <c r="B108" s="1516" t="s">
        <v>3732</v>
      </c>
      <c r="C108" s="1450"/>
      <c r="D108" s="1385">
        <v>0</v>
      </c>
      <c r="E108" s="1385"/>
      <c r="F108" s="1385"/>
      <c r="G108" s="1385"/>
      <c r="H108" s="1385"/>
      <c r="I108" s="1385"/>
      <c r="J108" s="1385"/>
      <c r="K108" s="1385"/>
      <c r="L108" s="1385"/>
      <c r="M108" s="1385"/>
      <c r="N108" s="1385"/>
      <c r="O108" s="1385"/>
      <c r="Q108" s="334"/>
    </row>
    <row r="109" spans="2:17" s="23" customFormat="1">
      <c r="B109" s="1514" t="s">
        <v>2820</v>
      </c>
      <c r="C109" s="1515"/>
      <c r="D109" s="1453">
        <f>+D107+D103+D99</f>
        <v>0</v>
      </c>
      <c r="E109" s="1453">
        <f t="shared" ref="E109:O109" si="15">+E107+E103+E99</f>
        <v>0</v>
      </c>
      <c r="F109" s="1453">
        <f t="shared" si="15"/>
        <v>22917577.510000005</v>
      </c>
      <c r="G109" s="1453">
        <f t="shared" si="15"/>
        <v>0</v>
      </c>
      <c r="H109" s="1453">
        <f t="shared" si="15"/>
        <v>11278545.200000001</v>
      </c>
      <c r="I109" s="1453">
        <f t="shared" si="15"/>
        <v>66856235.069999993</v>
      </c>
      <c r="J109" s="1453">
        <f t="shared" si="15"/>
        <v>0</v>
      </c>
      <c r="K109" s="1453">
        <f t="shared" si="15"/>
        <v>0</v>
      </c>
      <c r="L109" s="1453">
        <f t="shared" si="15"/>
        <v>6182091.2099999785</v>
      </c>
      <c r="M109" s="1453">
        <f t="shared" si="15"/>
        <v>3256639.1599999927</v>
      </c>
      <c r="N109" s="1453">
        <f t="shared" si="15"/>
        <v>306591.72999998927</v>
      </c>
      <c r="O109" s="1453">
        <f t="shared" si="15"/>
        <v>15623534.789999995</v>
      </c>
      <c r="P109" s="672"/>
      <c r="Q109" s="672"/>
    </row>
    <row r="110" spans="2:17" ht="9.75" customHeight="1">
      <c r="B110" s="1516"/>
      <c r="C110" s="1450"/>
      <c r="D110" s="1385"/>
      <c r="E110" s="1385"/>
      <c r="F110" s="1385"/>
      <c r="G110" s="1385"/>
      <c r="H110" s="1385"/>
      <c r="I110" s="1385"/>
      <c r="J110" s="1385"/>
      <c r="K110" s="1385"/>
      <c r="L110" s="1385"/>
      <c r="M110" s="1385"/>
      <c r="N110" s="1385"/>
      <c r="O110" s="1385"/>
      <c r="Q110" s="334"/>
    </row>
    <row r="111" spans="2:17" ht="20.25" customHeight="1">
      <c r="B111" s="1517" t="s">
        <v>2821</v>
      </c>
      <c r="C111" s="1518"/>
      <c r="D111" s="1519">
        <f>+D96+D109</f>
        <v>27946713.649999999</v>
      </c>
      <c r="E111" s="1519">
        <f t="shared" ref="E111:O111" si="16">+E96+E109</f>
        <v>29564156.329999998</v>
      </c>
      <c r="F111" s="1519">
        <f t="shared" si="16"/>
        <v>43160461.980000004</v>
      </c>
      <c r="G111" s="1519">
        <f t="shared" si="16"/>
        <v>34802683.060000002</v>
      </c>
      <c r="H111" s="1519">
        <f t="shared" si="16"/>
        <v>31200694.980000004</v>
      </c>
      <c r="I111" s="1519">
        <f t="shared" si="16"/>
        <v>108070434.38999999</v>
      </c>
      <c r="J111" s="1519">
        <f t="shared" si="16"/>
        <v>30112310.16</v>
      </c>
      <c r="K111" s="1519">
        <f t="shared" si="16"/>
        <v>33241709.68</v>
      </c>
      <c r="L111" s="1519">
        <f t="shared" si="16"/>
        <v>44674477.299999982</v>
      </c>
      <c r="M111" s="1519">
        <f t="shared" si="16"/>
        <v>33044019.479999993</v>
      </c>
      <c r="N111" s="1519">
        <f t="shared" si="16"/>
        <v>30175454.449999988</v>
      </c>
      <c r="O111" s="1519">
        <f t="shared" si="16"/>
        <v>54714338.429999992</v>
      </c>
      <c r="Q111" s="334"/>
    </row>
    <row r="112" spans="2:17">
      <c r="B112" s="1520"/>
      <c r="C112" s="338"/>
      <c r="D112" s="1521"/>
      <c r="E112" s="1521"/>
      <c r="F112" s="1521"/>
      <c r="G112" s="1521"/>
      <c r="H112" s="1521"/>
      <c r="I112" s="1521"/>
      <c r="J112" s="1521"/>
      <c r="K112" s="1521"/>
      <c r="L112" s="1521"/>
      <c r="M112" s="1521"/>
      <c r="N112" s="1521"/>
      <c r="O112" s="1521"/>
      <c r="Q112" s="334"/>
    </row>
    <row r="113" spans="2:17">
      <c r="B113" s="1520"/>
      <c r="C113" s="338"/>
      <c r="D113" s="1521"/>
      <c r="E113" s="1521"/>
      <c r="F113" s="1521"/>
      <c r="G113" s="1521"/>
      <c r="H113" s="1521"/>
      <c r="I113" s="1521"/>
      <c r="J113" s="1521"/>
      <c r="K113" s="1521"/>
      <c r="L113" s="1521"/>
      <c r="M113" s="1521"/>
      <c r="N113" s="1521"/>
      <c r="O113" s="1521"/>
      <c r="Q113" s="334"/>
    </row>
    <row r="114" spans="2:17">
      <c r="B114" s="1520"/>
      <c r="C114" s="338"/>
      <c r="D114" s="1521"/>
      <c r="E114" s="1521"/>
      <c r="F114" s="1521"/>
      <c r="G114" s="1521"/>
      <c r="H114" s="1521"/>
      <c r="I114" s="1521"/>
      <c r="J114" s="1521"/>
      <c r="K114" s="1521"/>
      <c r="L114" s="1521"/>
      <c r="M114" s="1521"/>
      <c r="N114" s="1521"/>
      <c r="O114" s="1521"/>
      <c r="Q114" s="334"/>
    </row>
    <row r="115" spans="2:17">
      <c r="B115" s="1520"/>
      <c r="C115" s="338"/>
      <c r="D115" s="1521"/>
      <c r="E115" s="1521"/>
      <c r="F115" s="1521"/>
      <c r="G115" s="1521"/>
      <c r="H115" s="1521"/>
      <c r="I115" s="1521"/>
      <c r="J115" s="1521"/>
      <c r="K115" s="1521"/>
      <c r="L115" s="1521"/>
      <c r="M115" s="1521"/>
      <c r="N115" s="1521"/>
      <c r="O115" s="1521"/>
      <c r="Q115" s="334"/>
    </row>
    <row r="116" spans="2:17">
      <c r="B116" s="1520"/>
      <c r="C116" s="338"/>
      <c r="D116" s="1521"/>
      <c r="E116" s="1521"/>
      <c r="F116" s="1521"/>
      <c r="G116" s="1521"/>
      <c r="H116" s="1521"/>
      <c r="I116" s="1521"/>
      <c r="J116" s="1521"/>
      <c r="K116" s="1521"/>
      <c r="L116" s="1521"/>
      <c r="M116" s="1521"/>
      <c r="N116" s="1521"/>
      <c r="O116" s="1521"/>
      <c r="Q116" s="334"/>
    </row>
    <row r="117" spans="2:17" ht="15.75">
      <c r="B117" s="1522" t="s">
        <v>3733</v>
      </c>
      <c r="C117" s="338"/>
      <c r="D117" s="1521"/>
      <c r="E117" s="1936" t="s">
        <v>3734</v>
      </c>
      <c r="F117" s="1936"/>
      <c r="G117" s="1936"/>
      <c r="H117" s="1521"/>
      <c r="I117" s="1936" t="s">
        <v>3735</v>
      </c>
      <c r="J117" s="1936"/>
      <c r="K117" s="1936"/>
      <c r="L117" s="1521"/>
      <c r="M117" s="1521"/>
      <c r="N117" s="1521"/>
      <c r="O117" s="1521"/>
      <c r="Q117" s="334"/>
    </row>
    <row r="118" spans="2:17" ht="15.75">
      <c r="B118" s="1522" t="s">
        <v>3736</v>
      </c>
      <c r="C118" s="338"/>
      <c r="D118" s="1521"/>
      <c r="E118" s="1936" t="s">
        <v>1023</v>
      </c>
      <c r="F118" s="1936"/>
      <c r="G118" s="1936"/>
      <c r="H118" s="1521"/>
      <c r="I118" s="1936" t="s">
        <v>3737</v>
      </c>
      <c r="J118" s="1936"/>
      <c r="K118" s="1936"/>
      <c r="L118" s="1521"/>
      <c r="M118" s="1521"/>
      <c r="N118" s="1521"/>
      <c r="O118" s="1521"/>
      <c r="Q118" s="334"/>
    </row>
    <row r="119" spans="2:17">
      <c r="B119" s="1520"/>
      <c r="C119" s="338"/>
      <c r="D119" s="1521"/>
      <c r="E119" s="1521"/>
      <c r="F119" s="1521"/>
      <c r="G119" s="1521"/>
      <c r="H119" s="1521"/>
      <c r="I119" s="1521"/>
      <c r="J119" s="1521"/>
      <c r="K119" s="1521"/>
      <c r="L119" s="1521"/>
      <c r="M119" s="1521"/>
      <c r="N119" s="1521"/>
      <c r="O119" s="1521"/>
      <c r="Q119" s="334"/>
    </row>
    <row r="120" spans="2:17">
      <c r="B120" s="1520"/>
      <c r="C120" s="338"/>
      <c r="D120" s="1521"/>
      <c r="E120" s="1521"/>
      <c r="F120" s="1521"/>
      <c r="G120" s="1521"/>
      <c r="H120" s="1521"/>
      <c r="I120" s="1521"/>
      <c r="J120" s="1521"/>
      <c r="K120" s="1521"/>
      <c r="L120" s="1521"/>
      <c r="M120" s="1521"/>
      <c r="N120" s="1521"/>
      <c r="O120" s="1521"/>
      <c r="Q120" s="334"/>
    </row>
    <row r="121" spans="2:17">
      <c r="B121" s="1520"/>
      <c r="C121" s="338"/>
      <c r="D121" s="1521"/>
      <c r="E121" s="1521"/>
      <c r="F121" s="1521"/>
      <c r="G121" s="1521"/>
      <c r="H121" s="1521"/>
      <c r="I121" s="1521"/>
      <c r="J121" s="1521"/>
      <c r="K121" s="1521"/>
      <c r="L121" s="1521"/>
      <c r="M121" s="1521"/>
      <c r="N121" s="1521"/>
      <c r="O121" s="1521"/>
      <c r="Q121" s="334"/>
    </row>
    <row r="122" spans="2:17">
      <c r="B122" s="1520"/>
      <c r="C122" s="338"/>
      <c r="D122" s="1521"/>
      <c r="E122" s="1521"/>
      <c r="F122" s="1521"/>
      <c r="G122" s="1521"/>
      <c r="H122" s="1521"/>
      <c r="I122" s="1521"/>
      <c r="J122" s="1521"/>
      <c r="K122" s="1521"/>
      <c r="L122" s="1521"/>
      <c r="M122" s="1521"/>
      <c r="N122" s="1521"/>
      <c r="O122" s="1521"/>
      <c r="Q122" s="334"/>
    </row>
    <row r="123" spans="2:17">
      <c r="B123" s="1520"/>
      <c r="C123" s="338"/>
      <c r="D123" s="1521"/>
      <c r="E123" s="1521"/>
      <c r="F123" s="1521"/>
      <c r="G123" s="1521"/>
      <c r="H123" s="1521"/>
      <c r="I123" s="1521"/>
      <c r="J123" s="1521"/>
      <c r="K123" s="1521"/>
      <c r="L123" s="1521"/>
      <c r="M123" s="1521"/>
      <c r="N123" s="1521"/>
      <c r="O123" s="1521"/>
      <c r="Q123" s="334"/>
    </row>
    <row r="124" spans="2:17">
      <c r="B124" s="1520"/>
      <c r="C124" s="338"/>
      <c r="D124" s="1521"/>
      <c r="E124" s="1521"/>
      <c r="F124" s="1521"/>
      <c r="G124" s="1521"/>
      <c r="H124" s="1521"/>
      <c r="I124" s="1521"/>
      <c r="J124" s="1521"/>
      <c r="K124" s="1521"/>
      <c r="L124" s="1521"/>
      <c r="M124" s="1521"/>
      <c r="N124" s="1521"/>
      <c r="O124" s="1521"/>
      <c r="Q124" s="334"/>
    </row>
    <row r="125" spans="2:17">
      <c r="B125" s="1520"/>
      <c r="C125" s="338"/>
      <c r="D125" s="1521"/>
      <c r="E125" s="1521"/>
      <c r="F125" s="1521"/>
      <c r="G125" s="1521"/>
      <c r="H125" s="1521"/>
      <c r="I125" s="1521"/>
      <c r="J125" s="1521"/>
      <c r="K125" s="1521"/>
      <c r="L125" s="1521"/>
      <c r="M125" s="1521"/>
      <c r="N125" s="1521"/>
      <c r="O125" s="1521"/>
      <c r="Q125" s="334"/>
    </row>
    <row r="126" spans="2:17">
      <c r="Q126" s="334"/>
    </row>
    <row r="127" spans="2:17" ht="15.75">
      <c r="F127" s="1942"/>
      <c r="G127" s="1942"/>
      <c r="H127" s="1942"/>
      <c r="I127" s="1942"/>
      <c r="K127" s="1943"/>
      <c r="L127" s="1943"/>
      <c r="M127" s="1943"/>
      <c r="Q127" s="334"/>
    </row>
    <row r="128" spans="2:17">
      <c r="B128" s="1254"/>
      <c r="G128" s="1505"/>
      <c r="H128" s="1505"/>
      <c r="I128" s="1505"/>
    </row>
    <row r="129" spans="2:13" ht="15.75" customHeight="1">
      <c r="B129" s="1944"/>
      <c r="C129" s="1944"/>
      <c r="D129" s="1944"/>
      <c r="E129" s="1944"/>
      <c r="F129" s="1940"/>
      <c r="G129" s="1940"/>
      <c r="H129" s="1940"/>
      <c r="I129" s="1940"/>
      <c r="K129" s="1940"/>
      <c r="L129" s="1940"/>
      <c r="M129" s="1940"/>
    </row>
    <row r="130" spans="2:13" ht="15.75">
      <c r="B130" s="1944"/>
      <c r="C130" s="1944"/>
      <c r="D130" s="1944"/>
      <c r="E130" s="1944"/>
      <c r="G130" s="1505"/>
      <c r="H130" s="1505"/>
      <c r="I130" s="1505"/>
    </row>
    <row r="131" spans="2:13">
      <c r="G131" s="1505"/>
      <c r="H131" s="1505"/>
      <c r="I131" s="1505"/>
    </row>
    <row r="132" spans="2:13" ht="15.75">
      <c r="B132" s="1940"/>
      <c r="C132" s="1940"/>
      <c r="D132" s="1508"/>
      <c r="E132" s="1508"/>
      <c r="F132" s="1508"/>
      <c r="G132" s="1940"/>
      <c r="H132" s="1940"/>
      <c r="I132" s="1940"/>
      <c r="J132" s="1940"/>
      <c r="K132" s="1940"/>
      <c r="L132" s="1940"/>
      <c r="M132" s="1940"/>
    </row>
    <row r="133" spans="2:13" ht="15.75">
      <c r="B133" s="1865"/>
      <c r="C133" s="1865"/>
      <c r="D133" s="1941"/>
      <c r="E133" s="1941"/>
      <c r="F133" s="1941"/>
      <c r="G133" s="1940"/>
      <c r="H133" s="1940"/>
      <c r="I133" s="1940"/>
      <c r="J133" s="1940"/>
      <c r="K133" s="1940"/>
      <c r="L133" s="1940"/>
      <c r="M133" s="1940"/>
    </row>
    <row r="134" spans="2:13">
      <c r="B134" s="1865"/>
      <c r="C134" s="1865"/>
      <c r="F134" s="1504"/>
      <c r="G134" s="1863"/>
      <c r="H134" s="1863"/>
      <c r="I134" s="1863"/>
      <c r="J134" s="1504"/>
      <c r="K134" s="1504"/>
      <c r="L134" s="1504"/>
    </row>
    <row r="135" spans="2:13" ht="15.75" hidden="1">
      <c r="G135" s="1940"/>
      <c r="H135" s="1940"/>
      <c r="I135" s="1940"/>
      <c r="J135" s="1940"/>
    </row>
    <row r="136" spans="2:13" hidden="1">
      <c r="G136" s="1523"/>
      <c r="H136" s="1505"/>
      <c r="I136" s="1505"/>
    </row>
    <row r="137" spans="2:13" hidden="1">
      <c r="F137" s="1505"/>
      <c r="G137" s="675"/>
      <c r="K137" s="1505" t="s">
        <v>1038</v>
      </c>
      <c r="L137" s="1505"/>
    </row>
    <row r="138" spans="2:13">
      <c r="F138" s="1505"/>
      <c r="K138" s="1505" t="s">
        <v>1038</v>
      </c>
      <c r="L138" s="1505"/>
    </row>
    <row r="139" spans="2:13" ht="15.75">
      <c r="G139" s="1940"/>
      <c r="H139" s="1940"/>
      <c r="I139" s="1940"/>
      <c r="J139" s="1940"/>
    </row>
    <row r="140" spans="2:13">
      <c r="G140" s="1865"/>
      <c r="H140" s="1865"/>
      <c r="I140" s="1865"/>
      <c r="J140" s="1865"/>
    </row>
  </sheetData>
  <mergeCells count="25">
    <mergeCell ref="B130:E130"/>
    <mergeCell ref="B1:O1"/>
    <mergeCell ref="B2:O2"/>
    <mergeCell ref="B3:O3"/>
    <mergeCell ref="E117:G117"/>
    <mergeCell ref="I117:K117"/>
    <mergeCell ref="E118:G118"/>
    <mergeCell ref="I118:K118"/>
    <mergeCell ref="K132:M132"/>
    <mergeCell ref="B133:C133"/>
    <mergeCell ref="D133:F133"/>
    <mergeCell ref="G133:J133"/>
    <mergeCell ref="K133:M133"/>
    <mergeCell ref="F127:I127"/>
    <mergeCell ref="K127:M127"/>
    <mergeCell ref="B129:E129"/>
    <mergeCell ref="F129:I129"/>
    <mergeCell ref="K129:M129"/>
    <mergeCell ref="B134:C134"/>
    <mergeCell ref="G134:I134"/>
    <mergeCell ref="G135:J135"/>
    <mergeCell ref="G139:J139"/>
    <mergeCell ref="G140:J140"/>
    <mergeCell ref="B132:C132"/>
    <mergeCell ref="G132:J13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D33" sqref="D33"/>
    </sheetView>
  </sheetViews>
  <sheetFormatPr baseColWidth="10" defaultRowHeight="15"/>
  <cols>
    <col min="1" max="1" width="46.140625" customWidth="1"/>
    <col min="2" max="3" width="11.7109375" bestFit="1" customWidth="1"/>
    <col min="4" max="5" width="13" customWidth="1"/>
    <col min="6" max="6" width="13.140625" customWidth="1"/>
    <col min="7" max="7" width="13.85546875" customWidth="1"/>
    <col min="8" max="8" width="13.5703125" customWidth="1"/>
    <col min="9" max="9" width="13" customWidth="1"/>
    <col min="10" max="10" width="13.5703125" customWidth="1"/>
    <col min="11" max="11" width="13.85546875" bestFit="1" customWidth="1"/>
    <col min="12" max="13" width="11.7109375" bestFit="1" customWidth="1"/>
  </cols>
  <sheetData>
    <row r="1" spans="1:13">
      <c r="A1" s="1947" t="s">
        <v>3657</v>
      </c>
      <c r="B1" s="1947"/>
      <c r="C1" s="1947"/>
      <c r="D1" s="1947"/>
      <c r="E1" s="1947"/>
      <c r="F1" s="1947"/>
      <c r="G1" s="1947"/>
      <c r="H1" s="1947"/>
      <c r="I1" s="1947"/>
      <c r="J1" s="1947"/>
      <c r="K1" s="1947"/>
      <c r="L1" s="1947"/>
      <c r="M1" s="1947"/>
    </row>
    <row r="2" spans="1:13">
      <c r="A2" s="1947" t="s">
        <v>3751</v>
      </c>
      <c r="B2" s="1947"/>
      <c r="C2" s="1947"/>
      <c r="D2" s="1947"/>
      <c r="E2" s="1947"/>
      <c r="F2" s="1947"/>
      <c r="G2" s="1947"/>
      <c r="H2" s="1947"/>
      <c r="I2" s="1947"/>
      <c r="J2" s="1947"/>
      <c r="K2" s="1947"/>
      <c r="L2" s="1947"/>
      <c r="M2" s="1947"/>
    </row>
    <row r="3" spans="1:13">
      <c r="A3" s="1947" t="s">
        <v>3752</v>
      </c>
      <c r="B3" s="1947"/>
      <c r="C3" s="1947"/>
      <c r="D3" s="1947"/>
      <c r="E3" s="1947"/>
      <c r="F3" s="1947"/>
      <c r="G3" s="1947"/>
      <c r="H3" s="1947"/>
      <c r="I3" s="1947"/>
      <c r="J3" s="1947"/>
      <c r="K3" s="1947"/>
      <c r="L3" s="1947"/>
      <c r="M3" s="1947"/>
    </row>
    <row r="4" spans="1:13">
      <c r="A4" s="1947" t="s">
        <v>2714</v>
      </c>
      <c r="B4" s="1947"/>
      <c r="C4" s="1947"/>
      <c r="D4" s="1947"/>
      <c r="E4" s="1947"/>
      <c r="F4" s="1947"/>
      <c r="G4" s="1947"/>
      <c r="H4" s="1947"/>
      <c r="I4" s="1947"/>
      <c r="J4" s="1947"/>
      <c r="K4" s="1947"/>
      <c r="L4" s="1947"/>
      <c r="M4" s="1947"/>
    </row>
    <row r="5" spans="1:13">
      <c r="A5" s="1526"/>
      <c r="B5" s="1526"/>
      <c r="C5" s="1526"/>
      <c r="D5" s="1526"/>
      <c r="E5" s="1526"/>
      <c r="F5" s="1526"/>
      <c r="G5" s="1526"/>
      <c r="H5" s="1526"/>
      <c r="I5" s="1526"/>
      <c r="J5" s="1526"/>
      <c r="K5" s="1526"/>
      <c r="L5" s="1526"/>
      <c r="M5" s="1526"/>
    </row>
    <row r="6" spans="1:13">
      <c r="A6" s="1527" t="s">
        <v>3753</v>
      </c>
      <c r="B6" s="1528"/>
      <c r="C6" s="1528"/>
      <c r="D6" s="1528"/>
      <c r="E6" s="1528"/>
      <c r="F6" s="1528"/>
      <c r="G6" s="1528"/>
      <c r="H6" s="1528"/>
      <c r="I6" s="1528"/>
      <c r="J6" s="1528"/>
      <c r="K6" s="1528"/>
      <c r="L6" s="1528"/>
      <c r="M6" s="1528"/>
    </row>
    <row r="7" spans="1:13">
      <c r="A7" s="1529"/>
      <c r="B7" s="1530" t="s">
        <v>1534</v>
      </c>
      <c r="C7" s="1530" t="s">
        <v>1535</v>
      </c>
      <c r="D7" s="1530" t="s">
        <v>1536</v>
      </c>
      <c r="E7" s="1530" t="s">
        <v>1537</v>
      </c>
      <c r="F7" s="1530" t="s">
        <v>1538</v>
      </c>
      <c r="G7" s="1530" t="s">
        <v>1539</v>
      </c>
      <c r="H7" s="1530" t="s">
        <v>1540</v>
      </c>
      <c r="I7" s="1530" t="s">
        <v>1541</v>
      </c>
      <c r="J7" s="1530" t="s">
        <v>1542</v>
      </c>
      <c r="K7" s="1530" t="s">
        <v>1543</v>
      </c>
      <c r="L7" s="1530" t="s">
        <v>1544</v>
      </c>
      <c r="M7" s="1530" t="s">
        <v>1545</v>
      </c>
    </row>
    <row r="8" spans="1:13">
      <c r="A8" s="1531" t="s">
        <v>3754</v>
      </c>
      <c r="B8" s="1532">
        <v>16522065.34</v>
      </c>
      <c r="C8" s="1532">
        <f>+B13</f>
        <v>17910328.759999994</v>
      </c>
      <c r="D8" s="1532">
        <f t="shared" ref="D8:M8" si="0">+C13</f>
        <v>17933573.329999987</v>
      </c>
      <c r="E8" s="1532">
        <f t="shared" si="0"/>
        <v>15130488.859999981</v>
      </c>
      <c r="F8" s="1532">
        <f t="shared" si="0"/>
        <v>16558552.529999986</v>
      </c>
      <c r="G8" s="1532">
        <f t="shared" si="0"/>
        <v>15638624.749999989</v>
      </c>
      <c r="H8" s="1532">
        <f t="shared" si="0"/>
        <v>17153515.289999992</v>
      </c>
      <c r="I8" s="1532">
        <f t="shared" si="0"/>
        <v>18733392.350000001</v>
      </c>
      <c r="J8" s="1532">
        <f t="shared" si="0"/>
        <v>20865495.66</v>
      </c>
      <c r="K8" s="1532">
        <f t="shared" si="0"/>
        <v>21175164.259999998</v>
      </c>
      <c r="L8" s="1532">
        <f t="shared" si="0"/>
        <v>18317657.099999998</v>
      </c>
      <c r="M8" s="1532">
        <f t="shared" si="0"/>
        <v>22665528.909999993</v>
      </c>
    </row>
    <row r="9" spans="1:13">
      <c r="A9" s="1531"/>
      <c r="B9" s="1532"/>
      <c r="C9" s="1532"/>
      <c r="D9" s="1532"/>
      <c r="E9" s="1532"/>
      <c r="F9" s="1532"/>
      <c r="G9" s="1532"/>
      <c r="H9" s="1532"/>
      <c r="I9" s="1532"/>
      <c r="J9" s="1532"/>
      <c r="K9" s="1532"/>
      <c r="L9" s="1532"/>
      <c r="M9" s="1532"/>
    </row>
    <row r="10" spans="1:13">
      <c r="A10" s="1531" t="s">
        <v>3755</v>
      </c>
      <c r="B10" s="1532">
        <v>27946713.649999999</v>
      </c>
      <c r="C10" s="1532">
        <v>29564156.329999998</v>
      </c>
      <c r="D10" s="1532">
        <v>20242884.469999999</v>
      </c>
      <c r="E10" s="1532">
        <v>34802683.060000002</v>
      </c>
      <c r="F10" s="1532">
        <v>19922149.780000001</v>
      </c>
      <c r="G10" s="1532">
        <v>41214199.32</v>
      </c>
      <c r="H10" s="1532">
        <v>30112310.160000004</v>
      </c>
      <c r="I10" s="1532">
        <v>33241709.68</v>
      </c>
      <c r="J10" s="1532">
        <v>38492386.090000004</v>
      </c>
      <c r="K10" s="1532">
        <v>29787380.32</v>
      </c>
      <c r="L10" s="1532">
        <v>29868862.719999999</v>
      </c>
      <c r="M10" s="1532">
        <v>39090803.639999986</v>
      </c>
    </row>
    <row r="11" spans="1:13">
      <c r="A11" s="1531" t="s">
        <v>3756</v>
      </c>
      <c r="B11" s="1532"/>
      <c r="C11" s="1532"/>
      <c r="D11" s="1532"/>
      <c r="E11" s="1532"/>
      <c r="F11" s="1532"/>
      <c r="G11" s="1532"/>
      <c r="H11" s="1532"/>
      <c r="I11" s="1532"/>
      <c r="J11" s="1532"/>
      <c r="K11" s="1532"/>
      <c r="L11" s="1532"/>
      <c r="M11" s="1532"/>
    </row>
    <row r="12" spans="1:13">
      <c r="A12" s="1531" t="s">
        <v>3757</v>
      </c>
      <c r="B12" s="1532">
        <v>26558450.23</v>
      </c>
      <c r="C12" s="1532">
        <v>29540911.760000002</v>
      </c>
      <c r="D12" s="1532">
        <v>23045968.940000001</v>
      </c>
      <c r="E12" s="1532">
        <v>33374619.390000001</v>
      </c>
      <c r="F12" s="1532">
        <v>20842077.559999999</v>
      </c>
      <c r="G12" s="1532">
        <v>39699308.780000001</v>
      </c>
      <c r="H12" s="1532">
        <v>28532433.099999994</v>
      </c>
      <c r="I12" s="1532">
        <v>31109606.370000001</v>
      </c>
      <c r="J12" s="1532">
        <v>38182717.490000002</v>
      </c>
      <c r="K12" s="1532">
        <v>32644887.48</v>
      </c>
      <c r="L12" s="1532">
        <v>25520990.91</v>
      </c>
      <c r="M12" s="1532">
        <v>54714338.429999977</v>
      </c>
    </row>
    <row r="13" spans="1:13">
      <c r="A13" s="1531" t="s">
        <v>3758</v>
      </c>
      <c r="B13" s="1532">
        <f t="shared" ref="B13:M13" si="1">+B8+B10-B12</f>
        <v>17910328.759999994</v>
      </c>
      <c r="C13" s="1532">
        <f t="shared" si="1"/>
        <v>17933573.329999987</v>
      </c>
      <c r="D13" s="1532">
        <f t="shared" si="1"/>
        <v>15130488.859999981</v>
      </c>
      <c r="E13" s="1532">
        <f t="shared" si="1"/>
        <v>16558552.529999986</v>
      </c>
      <c r="F13" s="1532">
        <f t="shared" si="1"/>
        <v>15638624.749999989</v>
      </c>
      <c r="G13" s="1532">
        <f t="shared" si="1"/>
        <v>17153515.289999992</v>
      </c>
      <c r="H13" s="1532">
        <f t="shared" si="1"/>
        <v>18733392.350000001</v>
      </c>
      <c r="I13" s="1532">
        <f t="shared" si="1"/>
        <v>20865495.66</v>
      </c>
      <c r="J13" s="1532">
        <f t="shared" si="1"/>
        <v>21175164.259999998</v>
      </c>
      <c r="K13" s="1532">
        <f t="shared" si="1"/>
        <v>18317657.099999998</v>
      </c>
      <c r="L13" s="1532">
        <f t="shared" si="1"/>
        <v>22665528.909999993</v>
      </c>
      <c r="M13" s="1532">
        <f t="shared" si="1"/>
        <v>7041994.1200000048</v>
      </c>
    </row>
    <row r="14" spans="1:13">
      <c r="A14" s="1531"/>
      <c r="B14" s="1532"/>
      <c r="C14" s="1532"/>
      <c r="D14" s="1532"/>
      <c r="E14" s="1532"/>
      <c r="F14" s="1532"/>
      <c r="G14" s="1532"/>
      <c r="H14" s="1532"/>
      <c r="I14" s="1532"/>
      <c r="J14" s="1532"/>
      <c r="K14" s="1532"/>
      <c r="L14" s="1532"/>
      <c r="M14" s="1532"/>
    </row>
    <row r="15" spans="1:13">
      <c r="A15" s="1531" t="s">
        <v>3759</v>
      </c>
      <c r="B15" s="1532">
        <f>+B13-B8</f>
        <v>1388263.4199999943</v>
      </c>
      <c r="C15" s="1532">
        <f t="shared" ref="C15:M15" si="2">+C13-C8</f>
        <v>23244.569999992847</v>
      </c>
      <c r="D15" s="1532">
        <f t="shared" si="2"/>
        <v>-2803084.4700000063</v>
      </c>
      <c r="E15" s="1532">
        <f t="shared" si="2"/>
        <v>1428063.6700000055</v>
      </c>
      <c r="F15" s="1532">
        <f t="shared" si="2"/>
        <v>-919927.77999999747</v>
      </c>
      <c r="G15" s="1532">
        <f t="shared" si="2"/>
        <v>1514890.5400000028</v>
      </c>
      <c r="H15" s="1532">
        <f t="shared" si="2"/>
        <v>1579877.0600000098</v>
      </c>
      <c r="I15" s="1532">
        <f t="shared" si="2"/>
        <v>2132103.3099999987</v>
      </c>
      <c r="J15" s="1532">
        <f t="shared" si="2"/>
        <v>309668.59999999776</v>
      </c>
      <c r="K15" s="1532">
        <f t="shared" si="2"/>
        <v>-2857507.16</v>
      </c>
      <c r="L15" s="1532">
        <f t="shared" si="2"/>
        <v>4347871.8099999949</v>
      </c>
      <c r="M15" s="1532">
        <f t="shared" si="2"/>
        <v>-15623534.789999988</v>
      </c>
    </row>
    <row r="16" spans="1:13" hidden="1">
      <c r="A16" s="1528" t="s">
        <v>3760</v>
      </c>
      <c r="B16" s="1480"/>
      <c r="C16" s="1480"/>
      <c r="D16" s="1480"/>
      <c r="E16" s="1480"/>
      <c r="F16" s="1480"/>
      <c r="G16" s="1480"/>
      <c r="H16" s="1480"/>
      <c r="I16" s="1480"/>
      <c r="J16" s="1480"/>
      <c r="K16" s="1480"/>
      <c r="L16" s="1480"/>
      <c r="M16" s="1480"/>
    </row>
    <row r="17" spans="1:13" hidden="1">
      <c r="A17" s="1528" t="s">
        <v>3761</v>
      </c>
      <c r="B17" s="1480"/>
      <c r="C17" s="1480"/>
      <c r="D17" s="1480"/>
      <c r="E17" s="1480"/>
      <c r="F17" s="1480"/>
      <c r="G17" s="1480"/>
      <c r="H17" s="1480"/>
      <c r="I17" s="1480"/>
      <c r="J17" s="1480"/>
      <c r="K17" s="1480"/>
      <c r="L17" s="1480"/>
      <c r="M17" s="1480"/>
    </row>
    <row r="18" spans="1:13" hidden="1">
      <c r="A18" s="1528"/>
      <c r="B18" s="1480"/>
      <c r="C18" s="1480"/>
      <c r="D18" s="1480"/>
      <c r="E18" s="1480"/>
      <c r="F18" s="1480"/>
      <c r="G18" s="1480"/>
      <c r="H18" s="1480"/>
      <c r="I18" s="1480"/>
      <c r="J18" s="1480"/>
      <c r="K18" s="1480"/>
      <c r="L18" s="1480"/>
      <c r="M18" s="1480"/>
    </row>
    <row r="19" spans="1:13">
      <c r="A19" s="1528"/>
      <c r="B19" s="1480"/>
      <c r="C19" s="1480"/>
      <c r="D19" s="1480"/>
      <c r="E19" s="1480"/>
      <c r="F19" s="1480"/>
      <c r="G19" s="1480"/>
      <c r="H19" s="1480"/>
      <c r="I19" s="1480"/>
      <c r="J19" s="1480"/>
      <c r="K19" s="1480"/>
      <c r="L19" s="1480"/>
      <c r="M19" s="1480"/>
    </row>
    <row r="20" spans="1:13">
      <c r="A20" s="1527" t="s">
        <v>3762</v>
      </c>
      <c r="B20" s="1533"/>
      <c r="C20" s="1533"/>
      <c r="D20" s="1533"/>
      <c r="E20" s="1533"/>
      <c r="F20" s="1533"/>
      <c r="G20" s="1533"/>
      <c r="H20" s="1533"/>
      <c r="I20" s="1533"/>
      <c r="J20" s="1533"/>
      <c r="K20" s="1533"/>
      <c r="L20" s="1533"/>
      <c r="M20" s="1533"/>
    </row>
    <row r="21" spans="1:13">
      <c r="A21" s="1529"/>
      <c r="B21" s="1534" t="s">
        <v>1534</v>
      </c>
      <c r="C21" s="1534" t="s">
        <v>1535</v>
      </c>
      <c r="D21" s="1534" t="s">
        <v>1536</v>
      </c>
      <c r="E21" s="1534" t="s">
        <v>1537</v>
      </c>
      <c r="F21" s="1534" t="s">
        <v>1538</v>
      </c>
      <c r="G21" s="1534" t="s">
        <v>1539</v>
      </c>
      <c r="H21" s="1534" t="s">
        <v>1540</v>
      </c>
      <c r="I21" s="1534" t="s">
        <v>1541</v>
      </c>
      <c r="J21" s="1534" t="s">
        <v>1542</v>
      </c>
      <c r="K21" s="1534" t="s">
        <v>1543</v>
      </c>
      <c r="L21" s="1534" t="s">
        <v>1544</v>
      </c>
      <c r="M21" s="1534" t="s">
        <v>1545</v>
      </c>
    </row>
    <row r="22" spans="1:13">
      <c r="A22" s="1531" t="s">
        <v>3763</v>
      </c>
      <c r="B22" s="1532">
        <v>102985877.38</v>
      </c>
      <c r="C22" s="1532">
        <f>+B26</f>
        <v>92845010.239999995</v>
      </c>
      <c r="D22" s="1532">
        <f t="shared" ref="D22:M22" si="3">+C26</f>
        <v>83538364.839999989</v>
      </c>
      <c r="E22" s="1532">
        <f t="shared" si="3"/>
        <v>103652857.88</v>
      </c>
      <c r="F22" s="1532">
        <f t="shared" si="3"/>
        <v>87253453.519999996</v>
      </c>
      <c r="G22" s="1532">
        <f t="shared" si="3"/>
        <v>97612070.939999998</v>
      </c>
      <c r="H22" s="1532">
        <f t="shared" si="3"/>
        <v>164468306.00999999</v>
      </c>
      <c r="I22" s="1532">
        <f t="shared" si="3"/>
        <v>159996862.5</v>
      </c>
      <c r="J22" s="1532">
        <f t="shared" si="3"/>
        <v>155604914.09999999</v>
      </c>
      <c r="K22" s="1532">
        <f t="shared" si="3"/>
        <v>161787005.31</v>
      </c>
      <c r="L22" s="1532">
        <f t="shared" si="3"/>
        <v>162186137.31</v>
      </c>
      <c r="M22" s="1532">
        <f t="shared" si="3"/>
        <v>162492729.03999999</v>
      </c>
    </row>
    <row r="23" spans="1:13">
      <c r="A23" s="1531" t="s">
        <v>3764</v>
      </c>
      <c r="B23" s="1532">
        <v>16417583.09</v>
      </c>
      <c r="C23" s="1532">
        <v>20234266.359999999</v>
      </c>
      <c r="D23" s="1532">
        <v>43160461.979999997</v>
      </c>
      <c r="E23" s="1532">
        <v>16975215.030000001</v>
      </c>
      <c r="F23" s="1532">
        <v>31200694.98</v>
      </c>
      <c r="G23" s="1532">
        <v>106555543.84999999</v>
      </c>
      <c r="H23" s="1532">
        <v>24060989.59</v>
      </c>
      <c r="I23" s="1532">
        <v>26717657.969999999</v>
      </c>
      <c r="J23" s="1532">
        <v>44364808.700000003</v>
      </c>
      <c r="K23" s="1532">
        <v>33044019.48</v>
      </c>
      <c r="L23" s="1532">
        <v>25827582.640000001</v>
      </c>
      <c r="M23" s="1532">
        <v>28892460.5</v>
      </c>
    </row>
    <row r="24" spans="1:13">
      <c r="A24" s="1531" t="s">
        <v>3765</v>
      </c>
      <c r="B24" s="1532">
        <f>+B22+B23</f>
        <v>119403460.47</v>
      </c>
      <c r="C24" s="1532">
        <f>+C22+C23</f>
        <v>113079276.59999999</v>
      </c>
      <c r="D24" s="1532">
        <f t="shared" ref="D24:M24" si="4">+D22+D23</f>
        <v>126698826.81999999</v>
      </c>
      <c r="E24" s="1532">
        <f t="shared" si="4"/>
        <v>120628072.91</v>
      </c>
      <c r="F24" s="1532">
        <f t="shared" si="4"/>
        <v>118454148.5</v>
      </c>
      <c r="G24" s="1532">
        <f t="shared" si="4"/>
        <v>204167614.78999999</v>
      </c>
      <c r="H24" s="1532">
        <f t="shared" si="4"/>
        <v>188529295.59999999</v>
      </c>
      <c r="I24" s="1532">
        <f t="shared" si="4"/>
        <v>186714520.47</v>
      </c>
      <c r="J24" s="1532">
        <f t="shared" si="4"/>
        <v>199969722.80000001</v>
      </c>
      <c r="K24" s="1532">
        <f t="shared" si="4"/>
        <v>194831024.78999999</v>
      </c>
      <c r="L24" s="1532">
        <f t="shared" si="4"/>
        <v>188013719.94999999</v>
      </c>
      <c r="M24" s="1532">
        <f t="shared" si="4"/>
        <v>191385189.53999999</v>
      </c>
    </row>
    <row r="25" spans="1:13">
      <c r="A25" s="1531" t="s">
        <v>3766</v>
      </c>
      <c r="B25" s="1532">
        <v>26558450.23</v>
      </c>
      <c r="C25" s="1532">
        <v>29540911.760000002</v>
      </c>
      <c r="D25" s="1532">
        <v>23045968.940000001</v>
      </c>
      <c r="E25" s="1532">
        <v>33374619.390000001</v>
      </c>
      <c r="F25" s="1532">
        <v>20842077.559999999</v>
      </c>
      <c r="G25" s="1532">
        <v>39699308.780000001</v>
      </c>
      <c r="H25" s="1532">
        <v>28532433.099999994</v>
      </c>
      <c r="I25" s="1532">
        <v>31109606.370000001</v>
      </c>
      <c r="J25" s="1532">
        <v>38182717.490000002</v>
      </c>
      <c r="K25" s="1532">
        <v>32644887.48</v>
      </c>
      <c r="L25" s="1532">
        <v>25520990.91</v>
      </c>
      <c r="M25" s="1532">
        <v>54714338.429999977</v>
      </c>
    </row>
    <row r="26" spans="1:13">
      <c r="A26" s="1531" t="s">
        <v>3767</v>
      </c>
      <c r="B26" s="1532">
        <f>+B24-B25</f>
        <v>92845010.239999995</v>
      </c>
      <c r="C26" s="1532">
        <f t="shared" ref="C26:M26" si="5">+C24-C25</f>
        <v>83538364.839999989</v>
      </c>
      <c r="D26" s="1532">
        <f t="shared" si="5"/>
        <v>103652857.88</v>
      </c>
      <c r="E26" s="1532">
        <f t="shared" si="5"/>
        <v>87253453.519999996</v>
      </c>
      <c r="F26" s="1532">
        <f t="shared" si="5"/>
        <v>97612070.939999998</v>
      </c>
      <c r="G26" s="1532">
        <f t="shared" si="5"/>
        <v>164468306.00999999</v>
      </c>
      <c r="H26" s="1532">
        <f t="shared" si="5"/>
        <v>159996862.5</v>
      </c>
      <c r="I26" s="1532">
        <f t="shared" si="5"/>
        <v>155604914.09999999</v>
      </c>
      <c r="J26" s="1532">
        <f t="shared" si="5"/>
        <v>161787005.31</v>
      </c>
      <c r="K26" s="1532">
        <f t="shared" si="5"/>
        <v>162186137.31</v>
      </c>
      <c r="L26" s="1532">
        <f t="shared" si="5"/>
        <v>162492729.03999999</v>
      </c>
      <c r="M26" s="1532">
        <f t="shared" si="5"/>
        <v>136670851.11000001</v>
      </c>
    </row>
    <row r="27" spans="1:13">
      <c r="A27" s="1531"/>
      <c r="B27" s="1532"/>
      <c r="C27" s="1532"/>
      <c r="D27" s="1532"/>
      <c r="E27" s="1532"/>
      <c r="F27" s="1532"/>
      <c r="G27" s="1532"/>
      <c r="H27" s="1532"/>
      <c r="I27" s="1532"/>
      <c r="J27" s="1532"/>
      <c r="K27" s="1532"/>
      <c r="L27" s="1532"/>
      <c r="M27" s="1532"/>
    </row>
    <row r="28" spans="1:13">
      <c r="A28" s="1531" t="s">
        <v>3768</v>
      </c>
      <c r="B28" s="1532">
        <f>+B26-B22</f>
        <v>-10140867.140000001</v>
      </c>
      <c r="C28" s="1532">
        <f t="shared" ref="C28:M28" si="6">+C26-C22</f>
        <v>-9306645.400000006</v>
      </c>
      <c r="D28" s="1532">
        <f t="shared" si="6"/>
        <v>20114493.040000007</v>
      </c>
      <c r="E28" s="1532">
        <f t="shared" si="6"/>
        <v>-16399404.359999999</v>
      </c>
      <c r="F28" s="1532">
        <f t="shared" si="6"/>
        <v>10358617.420000002</v>
      </c>
      <c r="G28" s="1532">
        <f t="shared" si="6"/>
        <v>66856235.069999993</v>
      </c>
      <c r="H28" s="1532">
        <f t="shared" si="6"/>
        <v>-4471443.5099999905</v>
      </c>
      <c r="I28" s="1532">
        <f t="shared" si="6"/>
        <v>-4391948.400000006</v>
      </c>
      <c r="J28" s="1532">
        <f t="shared" si="6"/>
        <v>6182091.2100000083</v>
      </c>
      <c r="K28" s="1532">
        <f t="shared" si="6"/>
        <v>399132</v>
      </c>
      <c r="L28" s="1532">
        <f t="shared" si="6"/>
        <v>306591.72999998927</v>
      </c>
      <c r="M28" s="1532">
        <f t="shared" si="6"/>
        <v>-25821877.929999977</v>
      </c>
    </row>
    <row r="29" spans="1:13" hidden="1">
      <c r="A29" s="1528" t="s">
        <v>3769</v>
      </c>
      <c r="B29" s="1528"/>
      <c r="C29" s="1528"/>
      <c r="D29" s="1528"/>
      <c r="E29" s="1528"/>
      <c r="F29" s="1528"/>
      <c r="G29" s="1528"/>
      <c r="H29" s="1528"/>
      <c r="I29" s="1528"/>
      <c r="J29" s="1528"/>
      <c r="K29" s="1528"/>
      <c r="L29" s="1528"/>
      <c r="M29" s="1528"/>
    </row>
    <row r="30" spans="1:13" hidden="1">
      <c r="A30" s="1528" t="s">
        <v>3770</v>
      </c>
      <c r="B30" s="1528"/>
      <c r="C30" s="1528"/>
      <c r="D30" s="1528"/>
      <c r="E30" s="1528"/>
      <c r="F30" s="1528"/>
      <c r="G30" s="1528"/>
      <c r="H30" s="1528"/>
      <c r="I30" s="1528"/>
      <c r="J30" s="1528"/>
      <c r="K30" s="1528"/>
      <c r="L30" s="1528"/>
      <c r="M30" s="1528"/>
    </row>
    <row r="31" spans="1:13">
      <c r="A31" s="1528"/>
      <c r="B31" s="1528"/>
      <c r="C31" s="1528"/>
      <c r="D31" s="1528"/>
      <c r="E31" s="1528"/>
      <c r="F31" s="1528"/>
      <c r="G31" s="1528"/>
      <c r="H31" s="1528"/>
      <c r="I31" s="1528"/>
      <c r="J31" s="1528"/>
      <c r="K31" s="1528"/>
      <c r="L31" s="1528"/>
      <c r="M31" s="1528"/>
    </row>
    <row r="32" spans="1:13">
      <c r="A32" s="1528"/>
      <c r="B32" s="1528"/>
      <c r="C32" s="1528"/>
      <c r="D32" s="1528"/>
      <c r="E32" s="1528"/>
      <c r="F32" s="1528"/>
      <c r="G32" s="1528"/>
      <c r="H32" s="1528"/>
      <c r="I32" s="1528"/>
      <c r="J32" s="1528"/>
      <c r="K32" s="1528"/>
      <c r="L32" s="1528"/>
      <c r="M32" s="1528"/>
    </row>
    <row r="33" spans="1:13">
      <c r="A33" s="669"/>
      <c r="B33" s="669"/>
      <c r="C33" s="669"/>
      <c r="D33" s="669"/>
      <c r="E33" s="669"/>
      <c r="F33" s="669"/>
      <c r="G33" s="669"/>
      <c r="H33" s="669"/>
      <c r="I33" s="669"/>
      <c r="J33" s="669"/>
      <c r="K33" s="669"/>
      <c r="L33" s="669"/>
      <c r="M33" s="669"/>
    </row>
    <row r="34" spans="1:13">
      <c r="A34" s="669"/>
      <c r="B34" s="669"/>
      <c r="C34" s="669"/>
      <c r="D34" s="669"/>
      <c r="E34" s="669"/>
      <c r="F34" s="669"/>
      <c r="G34" s="669"/>
      <c r="H34" s="669"/>
      <c r="I34" s="669"/>
      <c r="J34" s="669"/>
      <c r="K34" s="669"/>
      <c r="L34" s="669"/>
      <c r="M34" s="669"/>
    </row>
    <row r="35" spans="1:13">
      <c r="A35" s="669"/>
      <c r="B35" s="669"/>
      <c r="C35" s="669"/>
      <c r="D35" s="669"/>
      <c r="E35" s="669"/>
      <c r="F35" s="669"/>
      <c r="G35" s="669"/>
      <c r="H35" s="669"/>
      <c r="I35" s="669"/>
      <c r="J35" s="669"/>
      <c r="K35" s="669"/>
      <c r="L35" s="669"/>
      <c r="M35" s="669"/>
    </row>
    <row r="36" spans="1:13" ht="15.75">
      <c r="A36" s="1508" t="s">
        <v>3771</v>
      </c>
      <c r="B36" s="1940"/>
      <c r="C36" s="1940"/>
      <c r="D36" s="1936" t="s">
        <v>3734</v>
      </c>
      <c r="E36" s="1936"/>
      <c r="F36" s="1936"/>
      <c r="G36" s="1936"/>
      <c r="H36" s="669"/>
      <c r="I36" s="1940" t="s">
        <v>3772</v>
      </c>
      <c r="J36" s="1940"/>
      <c r="K36" s="1940"/>
      <c r="L36" s="669"/>
      <c r="M36" s="669"/>
    </row>
    <row r="37" spans="1:13" ht="15.75">
      <c r="A37" s="1508" t="s">
        <v>3773</v>
      </c>
      <c r="B37" s="1940"/>
      <c r="C37" s="1940"/>
      <c r="D37" s="1936" t="s">
        <v>1023</v>
      </c>
      <c r="E37" s="1936"/>
      <c r="F37" s="1936"/>
      <c r="G37" s="1936"/>
      <c r="H37" s="669"/>
      <c r="I37" s="1940" t="s">
        <v>3737</v>
      </c>
      <c r="J37" s="1940"/>
      <c r="K37" s="1940"/>
      <c r="L37" s="669"/>
      <c r="M37" s="669"/>
    </row>
    <row r="38" spans="1:13" ht="15.75">
      <c r="A38" s="206"/>
      <c r="B38" s="206"/>
      <c r="C38" s="669"/>
      <c r="D38" s="669"/>
      <c r="E38" s="669"/>
      <c r="F38" s="669"/>
      <c r="G38" s="669"/>
      <c r="H38" s="669"/>
      <c r="I38" s="669"/>
      <c r="J38" s="669"/>
      <c r="K38" s="669"/>
      <c r="L38" s="669"/>
      <c r="M38" s="669"/>
    </row>
    <row r="39" spans="1:13">
      <c r="A39" s="333"/>
      <c r="B39" s="333"/>
      <c r="C39" s="333"/>
      <c r="D39" s="333"/>
      <c r="E39" s="333"/>
      <c r="F39" s="333"/>
      <c r="G39" s="333"/>
      <c r="H39" s="333"/>
      <c r="I39" s="333"/>
      <c r="J39" s="333"/>
      <c r="K39" s="333"/>
      <c r="L39" s="333"/>
      <c r="M39" s="333"/>
    </row>
    <row r="40" spans="1:13">
      <c r="C40" t="s">
        <v>1038</v>
      </c>
    </row>
    <row r="43" spans="1:13" ht="15.75" customHeight="1"/>
    <row r="45" spans="1:13" ht="15.75">
      <c r="B45" s="1944"/>
      <c r="C45" s="1944"/>
      <c r="D45" s="1944"/>
      <c r="E45" s="1944"/>
      <c r="F45" s="1945"/>
      <c r="G45" s="1945"/>
      <c r="H45" s="1945"/>
      <c r="I45" s="1945"/>
      <c r="K45" s="1945"/>
      <c r="L45" s="1945"/>
      <c r="M45" s="1945"/>
    </row>
    <row r="46" spans="1:13" ht="15.75" hidden="1">
      <c r="B46" s="1944"/>
      <c r="C46" s="1944"/>
      <c r="D46" s="1944"/>
      <c r="E46" s="1944"/>
      <c r="G46" s="1506"/>
      <c r="H46" s="1506"/>
      <c r="I46" s="1506"/>
    </row>
    <row r="47" spans="1:13" hidden="1">
      <c r="G47" s="1506"/>
      <c r="H47" s="1506"/>
      <c r="I47" s="1506"/>
    </row>
    <row r="48" spans="1:13" ht="15.75" hidden="1">
      <c r="B48" s="1945"/>
      <c r="C48" s="1945"/>
      <c r="D48" s="1535" t="s">
        <v>3774</v>
      </c>
      <c r="E48" s="1535"/>
      <c r="F48" s="1535"/>
      <c r="G48" s="1945"/>
      <c r="H48" s="1945"/>
      <c r="I48" s="1945"/>
      <c r="J48" s="1945"/>
      <c r="K48" s="1945"/>
      <c r="L48" s="1945"/>
      <c r="M48" s="1945"/>
    </row>
    <row r="49" spans="2:13" ht="15.75" hidden="1">
      <c r="B49" s="1825"/>
      <c r="C49" s="1825"/>
      <c r="D49" s="1946"/>
      <c r="E49" s="1946"/>
      <c r="F49" s="1946"/>
      <c r="G49" s="1945"/>
      <c r="H49" s="1945"/>
      <c r="I49" s="1945"/>
      <c r="J49" s="1945"/>
      <c r="K49" s="1945"/>
      <c r="L49" s="1945"/>
      <c r="M49" s="1945"/>
    </row>
    <row r="50" spans="2:13" hidden="1"/>
    <row r="51" spans="2:13" hidden="1"/>
    <row r="52" spans="2:13" hidden="1"/>
    <row r="53" spans="2:13" hidden="1"/>
    <row r="54" spans="2:13" hidden="1"/>
    <row r="55" spans="2:13" hidden="1"/>
  </sheetData>
  <mergeCells count="21">
    <mergeCell ref="A1:M1"/>
    <mergeCell ref="A2:M2"/>
    <mergeCell ref="A3:M3"/>
    <mergeCell ref="A4:M4"/>
    <mergeCell ref="B36:C36"/>
    <mergeCell ref="D36:G36"/>
    <mergeCell ref="I36:K36"/>
    <mergeCell ref="B37:C37"/>
    <mergeCell ref="D37:G37"/>
    <mergeCell ref="I37:K37"/>
    <mergeCell ref="B45:E45"/>
    <mergeCell ref="F45:I45"/>
    <mergeCell ref="K45:M45"/>
    <mergeCell ref="B46:E46"/>
    <mergeCell ref="B48:C48"/>
    <mergeCell ref="G48:J48"/>
    <mergeCell ref="K48:M48"/>
    <mergeCell ref="B49:C49"/>
    <mergeCell ref="D49:F49"/>
    <mergeCell ref="G49:J49"/>
    <mergeCell ref="K49:M49"/>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6"/>
  <sheetViews>
    <sheetView zoomScale="90" zoomScaleNormal="90" workbookViewId="0">
      <selection activeCell="E14" sqref="E14"/>
    </sheetView>
  </sheetViews>
  <sheetFormatPr baseColWidth="10" defaultRowHeight="18.75"/>
  <cols>
    <col min="1" max="1" width="57.5703125" style="867" customWidth="1"/>
    <col min="2" max="2" width="23" style="867" customWidth="1"/>
    <col min="3" max="3" width="15.85546875" style="867" bestFit="1" customWidth="1"/>
    <col min="4" max="4" width="11.42578125" style="867"/>
    <col min="5" max="5" width="21.28515625" style="867" bestFit="1" customWidth="1"/>
    <col min="6" max="6" width="16.140625" style="867" bestFit="1" customWidth="1"/>
    <col min="7" max="16384" width="11.42578125" style="867"/>
  </cols>
  <sheetData>
    <row r="1" spans="1:2">
      <c r="A1" s="1940" t="str">
        <f>BALANZA!B1</f>
        <v>CORPORACION DEL ACUEDUCTO Y ALCANTARILLADO DE MOCA</v>
      </c>
      <c r="B1" s="1940"/>
    </row>
    <row r="2" spans="1:2">
      <c r="A2" s="1835" t="s">
        <v>2713</v>
      </c>
      <c r="B2" s="1835"/>
    </row>
    <row r="3" spans="1:2">
      <c r="A3" s="1835" t="str">
        <f>MID(BALANZA!B2,1,48)</f>
        <v xml:space="preserve">Del Ejercicio terminado el  31 de marzo de 2026 </v>
      </c>
      <c r="B3" s="1835"/>
    </row>
    <row r="4" spans="1:2">
      <c r="A4" s="1835" t="s">
        <v>2714</v>
      </c>
      <c r="B4" s="1835"/>
    </row>
    <row r="5" spans="1:2">
      <c r="A5" s="1168" t="s">
        <v>2028</v>
      </c>
    </row>
    <row r="6" spans="1:2">
      <c r="A6" s="1168" t="s">
        <v>2769</v>
      </c>
      <c r="B6" s="1169">
        <f>+BALANZA!B4</f>
        <v>2026</v>
      </c>
    </row>
    <row r="7" spans="1:2">
      <c r="A7" s="1170" t="s">
        <v>2715</v>
      </c>
      <c r="B7" s="1171">
        <f>'ES F '!B11</f>
        <v>422177643.19</v>
      </c>
    </row>
    <row r="8" spans="1:2">
      <c r="A8" s="1170" t="s">
        <v>2716</v>
      </c>
      <c r="B8" s="1171">
        <f>'ES F '!B12</f>
        <v>0</v>
      </c>
    </row>
    <row r="9" spans="1:2">
      <c r="A9" s="1170" t="s">
        <v>2717</v>
      </c>
      <c r="B9" s="1171">
        <f>'ES F '!B15</f>
        <v>14233314.59</v>
      </c>
    </row>
    <row r="10" spans="1:2" hidden="1">
      <c r="A10" s="1170" t="s">
        <v>2718</v>
      </c>
      <c r="B10" s="1171">
        <f>'ES F '!B14</f>
        <v>0</v>
      </c>
    </row>
    <row r="11" spans="1:2">
      <c r="A11" s="1170" t="s">
        <v>2719</v>
      </c>
      <c r="B11" s="1171">
        <f>'ES F '!B16</f>
        <v>325699.31</v>
      </c>
    </row>
    <row r="12" spans="1:2">
      <c r="A12" s="1172" t="s">
        <v>2720</v>
      </c>
      <c r="B12" s="1173">
        <f>SUM(B7:B11)</f>
        <v>436736657.08999997</v>
      </c>
    </row>
    <row r="13" spans="1:2">
      <c r="A13" s="1172"/>
      <c r="B13" s="1173"/>
    </row>
    <row r="14" spans="1:2">
      <c r="A14" s="1168" t="s">
        <v>2770</v>
      </c>
      <c r="B14" s="1173"/>
    </row>
    <row r="15" spans="1:2">
      <c r="A15" s="1168" t="s">
        <v>2771</v>
      </c>
      <c r="B15" s="1151"/>
    </row>
    <row r="16" spans="1:2">
      <c r="A16" s="1174" t="s">
        <v>2721</v>
      </c>
      <c r="B16" s="1175"/>
    </row>
    <row r="17" spans="1:6">
      <c r="A17" s="1170" t="s">
        <v>2722</v>
      </c>
      <c r="B17" s="1171">
        <f>+nota12!F32</f>
        <v>12012953.859999996</v>
      </c>
      <c r="F17" s="1176"/>
    </row>
    <row r="18" spans="1:6">
      <c r="A18" s="1170" t="s">
        <v>2723</v>
      </c>
      <c r="B18" s="1171">
        <f>+nota12!I32</f>
        <v>18334621.670000002</v>
      </c>
      <c r="F18" s="1176"/>
    </row>
    <row r="19" spans="1:6">
      <c r="A19" s="1170" t="s">
        <v>2724</v>
      </c>
      <c r="B19" s="1171">
        <f>+nota12!H32-ELAI!B21</f>
        <v>1087961.8600000031</v>
      </c>
      <c r="F19" s="1176"/>
    </row>
    <row r="20" spans="1:6">
      <c r="A20" s="1170" t="s">
        <v>2725</v>
      </c>
      <c r="B20" s="1171">
        <f>+nota12!G32</f>
        <v>424665.05999999994</v>
      </c>
      <c r="F20" s="1176"/>
    </row>
    <row r="21" spans="1:6">
      <c r="A21" s="1170" t="s">
        <v>2726</v>
      </c>
      <c r="B21" s="1171">
        <f>+'BALANZA G'!C71-'BALANZA G'!C87</f>
        <v>4809040.8800000008</v>
      </c>
      <c r="F21" s="1176"/>
    </row>
    <row r="22" spans="1:6">
      <c r="A22" s="1170" t="s">
        <v>3918</v>
      </c>
      <c r="B22" s="1171">
        <f>+'ES F '!B25</f>
        <v>69520</v>
      </c>
      <c r="F22" s="1176"/>
    </row>
    <row r="23" spans="1:6">
      <c r="A23" s="1168" t="s">
        <v>2727</v>
      </c>
      <c r="B23" s="1171"/>
      <c r="F23" s="1176"/>
    </row>
    <row r="24" spans="1:6">
      <c r="A24" s="1177" t="s">
        <v>2728</v>
      </c>
      <c r="B24" s="1178">
        <f>nota12!C32</f>
        <v>1623675</v>
      </c>
      <c r="F24" s="1176"/>
    </row>
    <row r="25" spans="1:6">
      <c r="A25" s="1170" t="s">
        <v>2729</v>
      </c>
      <c r="B25" s="1171">
        <f>nota12!E32</f>
        <v>745635831.91999984</v>
      </c>
      <c r="C25" s="1176"/>
      <c r="F25" s="1176"/>
    </row>
    <row r="26" spans="1:6">
      <c r="A26" s="1170" t="s">
        <v>2730</v>
      </c>
      <c r="B26" s="1171">
        <f>'ES F '!B17</f>
        <v>0</v>
      </c>
      <c r="C26" s="1176"/>
      <c r="F26" s="1176"/>
    </row>
    <row r="27" spans="1:6">
      <c r="A27" s="1179" t="s">
        <v>2731</v>
      </c>
      <c r="B27" s="1173">
        <f>SUM(B17:B26)</f>
        <v>783998270.24999988</v>
      </c>
      <c r="C27" s="1176"/>
    </row>
    <row r="28" spans="1:6">
      <c r="A28" s="1180" t="s">
        <v>2732</v>
      </c>
      <c r="B28" s="1181">
        <f>+B27+B12</f>
        <v>1220734927.3399999</v>
      </c>
      <c r="C28" s="1176"/>
    </row>
    <row r="29" spans="1:6">
      <c r="A29" s="1180"/>
      <c r="B29" s="1181"/>
      <c r="C29" s="1176"/>
    </row>
    <row r="30" spans="1:6">
      <c r="A30" s="1168" t="s">
        <v>2772</v>
      </c>
      <c r="B30" s="1181"/>
    </row>
    <row r="31" spans="1:6" ht="20.25" customHeight="1">
      <c r="A31" s="1168" t="s">
        <v>2773</v>
      </c>
      <c r="B31" s="1151"/>
    </row>
    <row r="32" spans="1:6">
      <c r="A32" s="1170" t="s">
        <v>2733</v>
      </c>
      <c r="B32" s="1171">
        <f>'ES F '!B33+'ES F '!B32</f>
        <v>11936643.77</v>
      </c>
    </row>
    <row r="33" spans="1:6">
      <c r="A33" s="1170" t="s">
        <v>2734</v>
      </c>
      <c r="B33" s="1171">
        <f>+'Notas NF'!C447</f>
        <v>139610.85</v>
      </c>
      <c r="F33" s="1176"/>
    </row>
    <row r="34" spans="1:6" ht="15.75" customHeight="1">
      <c r="A34" s="1170" t="s">
        <v>2735</v>
      </c>
      <c r="B34" s="1171">
        <f>'Notas NF'!C430</f>
        <v>0</v>
      </c>
    </row>
    <row r="35" spans="1:6" hidden="1">
      <c r="A35" s="1170" t="s">
        <v>2736</v>
      </c>
      <c r="B35" s="1171">
        <f>'ES F '!B34</f>
        <v>0</v>
      </c>
    </row>
    <row r="36" spans="1:6" ht="17.25" customHeight="1">
      <c r="A36" s="1172" t="s">
        <v>2737</v>
      </c>
      <c r="B36" s="1173">
        <f>SUM(B32:B35)</f>
        <v>12076254.619999999</v>
      </c>
      <c r="C36" s="1176"/>
    </row>
    <row r="37" spans="1:6" hidden="1">
      <c r="A37" s="1174" t="s">
        <v>2745</v>
      </c>
      <c r="B37" s="1173"/>
    </row>
    <row r="38" spans="1:6" hidden="1">
      <c r="A38" s="1170" t="s">
        <v>2746</v>
      </c>
      <c r="B38" s="1182">
        <f>+[3]BG!B53</f>
        <v>0</v>
      </c>
    </row>
    <row r="39" spans="1:6" ht="17.25" hidden="1" customHeight="1">
      <c r="A39" s="1179" t="s">
        <v>2738</v>
      </c>
      <c r="B39" s="1183">
        <f>SUM(B38)</f>
        <v>0</v>
      </c>
    </row>
    <row r="40" spans="1:6">
      <c r="A40" s="1179"/>
      <c r="B40" s="1183"/>
    </row>
    <row r="41" spans="1:6">
      <c r="A41" s="866" t="s">
        <v>2739</v>
      </c>
    </row>
    <row r="42" spans="1:6">
      <c r="A42" s="867" t="s">
        <v>2740</v>
      </c>
      <c r="B42" s="1176">
        <f>'ES F '!B55</f>
        <v>808793054.60000002</v>
      </c>
    </row>
    <row r="43" spans="1:6">
      <c r="A43" s="867" t="s">
        <v>2741</v>
      </c>
      <c r="B43" s="1176">
        <f>'Notas NF'!C460+'Notas NF'!C461</f>
        <v>399663227.34979999</v>
      </c>
    </row>
    <row r="44" spans="1:6">
      <c r="A44" s="867" t="s">
        <v>2742</v>
      </c>
      <c r="B44" s="1176">
        <f>'Notas NF'!C462</f>
        <v>202390.76999999583</v>
      </c>
      <c r="E44" s="1176"/>
    </row>
    <row r="45" spans="1:6">
      <c r="A45" s="1150" t="s">
        <v>2743</v>
      </c>
      <c r="B45" s="1184">
        <f>SUM(B42:B44)</f>
        <v>1208658672.7198</v>
      </c>
      <c r="E45" s="1176"/>
    </row>
    <row r="46" spans="1:6" ht="15" customHeight="1">
      <c r="A46" s="1150" t="s">
        <v>2744</v>
      </c>
      <c r="B46" s="1184">
        <f>+B45+B39+B36</f>
        <v>1220734927.3397999</v>
      </c>
    </row>
    <row r="47" spans="1:6" ht="18" customHeight="1">
      <c r="A47" s="1150"/>
      <c r="B47" s="1184"/>
      <c r="D47" s="1588"/>
    </row>
    <row r="48" spans="1:6" ht="2.25" customHeight="1">
      <c r="B48" s="1185">
        <f>+B28-B46</f>
        <v>2.0003318786621094E-4</v>
      </c>
    </row>
    <row r="51" spans="1:2">
      <c r="A51" s="1835" t="s">
        <v>3912</v>
      </c>
      <c r="B51" s="1835"/>
    </row>
    <row r="52" spans="1:2">
      <c r="A52" s="1835" t="s">
        <v>2930</v>
      </c>
      <c r="B52" s="1835"/>
    </row>
    <row r="53" spans="1:2">
      <c r="A53" s="1620"/>
      <c r="B53" s="1620"/>
    </row>
    <row r="54" spans="1:2">
      <c r="A54" s="1620"/>
      <c r="B54" s="1620"/>
    </row>
    <row r="55" spans="1:2">
      <c r="A55" s="1835"/>
      <c r="B55" s="1835"/>
    </row>
    <row r="56" spans="1:2">
      <c r="A56" s="1835" t="s">
        <v>3780</v>
      </c>
      <c r="B56" s="1835"/>
    </row>
    <row r="57" spans="1:2">
      <c r="A57" s="1835" t="s">
        <v>2931</v>
      </c>
      <c r="B57" s="1835"/>
    </row>
    <row r="58" spans="1:2">
      <c r="A58" s="1835"/>
      <c r="B58" s="1835"/>
    </row>
    <row r="59" spans="1:2">
      <c r="A59" s="1835"/>
      <c r="B59" s="1835"/>
    </row>
    <row r="60" spans="1:2">
      <c r="A60" s="1835"/>
      <c r="B60" s="1835"/>
    </row>
    <row r="61" spans="1:2">
      <c r="A61" s="1835" t="s">
        <v>3914</v>
      </c>
      <c r="B61" s="1835"/>
    </row>
    <row r="62" spans="1:2">
      <c r="A62" s="1835" t="s">
        <v>1023</v>
      </c>
      <c r="B62" s="1835"/>
    </row>
    <row r="63" spans="1:2">
      <c r="A63" s="1835"/>
      <c r="B63" s="1835"/>
    </row>
    <row r="64" spans="1:2">
      <c r="A64" s="1835"/>
      <c r="B64" s="1835"/>
    </row>
    <row r="65" spans="1:2">
      <c r="A65" s="1835"/>
      <c r="B65" s="1835"/>
    </row>
    <row r="66" spans="1:2">
      <c r="A66" s="1835"/>
      <c r="B66" s="1835"/>
    </row>
  </sheetData>
  <mergeCells count="18">
    <mergeCell ref="A61:B61"/>
    <mergeCell ref="A62:B62"/>
    <mergeCell ref="A63:B63"/>
    <mergeCell ref="A64:B64"/>
    <mergeCell ref="A65:B65"/>
    <mergeCell ref="A66:B66"/>
    <mergeCell ref="A55:B55"/>
    <mergeCell ref="A56:B56"/>
    <mergeCell ref="A57:B57"/>
    <mergeCell ref="A58:B58"/>
    <mergeCell ref="A59:B59"/>
    <mergeCell ref="A60:B60"/>
    <mergeCell ref="A1:B1"/>
    <mergeCell ref="A2:B2"/>
    <mergeCell ref="A3:B3"/>
    <mergeCell ref="A4:B4"/>
    <mergeCell ref="A52:B52"/>
    <mergeCell ref="A51:B5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5"/>
  <sheetViews>
    <sheetView topLeftCell="A13" workbookViewId="0">
      <selection activeCell="H36" sqref="H36"/>
    </sheetView>
  </sheetViews>
  <sheetFormatPr baseColWidth="10" defaultColWidth="9.140625" defaultRowHeight="15"/>
  <cols>
    <col min="1" max="1" width="11.85546875" style="179" customWidth="1"/>
    <col min="2" max="2" width="5.5703125" style="179" customWidth="1"/>
    <col min="3" max="3" width="7" style="381" customWidth="1"/>
    <col min="4" max="4" width="44.85546875" style="179" customWidth="1"/>
    <col min="5" max="5" width="8.140625" style="179" customWidth="1"/>
    <col min="6" max="6" width="11.28515625" style="179" customWidth="1"/>
    <col min="7" max="7" width="9.42578125" style="179" customWidth="1"/>
    <col min="8" max="8" width="9.140625" style="179" customWidth="1"/>
    <col min="9" max="9" width="6.42578125" style="179" hidden="1" customWidth="1"/>
    <col min="10" max="10" width="11.42578125" style="179" hidden="1" customWidth="1"/>
    <col min="11" max="16384" width="9.140625" style="179"/>
  </cols>
  <sheetData>
    <row r="1" spans="1:10" s="492" customFormat="1" ht="18.75">
      <c r="B1" s="1948" t="s">
        <v>899</v>
      </c>
      <c r="C1" s="1948"/>
      <c r="D1" s="1948"/>
      <c r="E1" s="1948"/>
      <c r="F1" s="1948"/>
    </row>
    <row r="2" spans="1:10" s="492" customFormat="1">
      <c r="B2" s="1949" t="s">
        <v>1558</v>
      </c>
      <c r="C2" s="1949"/>
      <c r="D2" s="1949"/>
      <c r="E2" s="1949"/>
      <c r="F2" s="1949"/>
    </row>
    <row r="3" spans="1:10" ht="15" customHeight="1">
      <c r="A3" s="376"/>
      <c r="B3" s="1950" t="s">
        <v>1359</v>
      </c>
      <c r="C3" s="1950"/>
      <c r="D3" s="1950"/>
      <c r="E3" s="1950"/>
      <c r="F3" s="1950"/>
      <c r="G3" s="377"/>
      <c r="H3" s="377"/>
      <c r="I3" s="377"/>
    </row>
    <row r="4" spans="1:10" ht="15" customHeight="1" thickBot="1">
      <c r="A4" s="376"/>
      <c r="B4" s="1950" t="s">
        <v>1355</v>
      </c>
      <c r="C4" s="1950"/>
      <c r="D4" s="1950"/>
      <c r="E4" s="1950"/>
      <c r="F4" s="1950"/>
      <c r="G4" s="377"/>
      <c r="H4" s="377"/>
      <c r="I4" s="377"/>
    </row>
    <row r="5" spans="1:10" ht="15" customHeight="1" thickTop="1" thickBot="1">
      <c r="A5" s="377"/>
      <c r="B5" s="1951" t="s">
        <v>1559</v>
      </c>
      <c r="C5" s="1951"/>
      <c r="D5" s="377"/>
      <c r="E5" s="377"/>
      <c r="F5" s="1268" t="s">
        <v>1574</v>
      </c>
      <c r="G5" s="377"/>
      <c r="H5" s="377"/>
      <c r="I5" s="377" t="s">
        <v>1429</v>
      </c>
      <c r="J5" s="469" t="s">
        <v>1532</v>
      </c>
    </row>
    <row r="6" spans="1:10" ht="15" customHeight="1" thickTop="1" thickBot="1">
      <c r="A6" s="377"/>
      <c r="B6" s="1264" t="s">
        <v>1360</v>
      </c>
      <c r="C6" s="1264"/>
      <c r="D6" s="1264"/>
      <c r="E6" s="1266"/>
      <c r="F6" s="1266"/>
      <c r="G6" s="377"/>
      <c r="H6" s="377"/>
      <c r="I6" s="377" t="s">
        <v>1430</v>
      </c>
      <c r="J6" s="469" t="s">
        <v>1533</v>
      </c>
    </row>
    <row r="7" spans="1:10" ht="15" customHeight="1" thickTop="1" thickBot="1">
      <c r="A7" s="377"/>
      <c r="B7" s="385">
        <v>1</v>
      </c>
      <c r="C7" s="389" t="s">
        <v>18</v>
      </c>
      <c r="D7" s="386" t="s">
        <v>1361</v>
      </c>
      <c r="E7" s="411" t="s">
        <v>1429</v>
      </c>
      <c r="F7" s="411" t="str">
        <f>'1'!G9</f>
        <v>Verificado</v>
      </c>
      <c r="G7" s="377"/>
      <c r="H7" s="377"/>
      <c r="I7" s="380" t="s">
        <v>1306</v>
      </c>
      <c r="J7" s="469" t="s">
        <v>1531</v>
      </c>
    </row>
    <row r="8" spans="1:10" ht="15" customHeight="1" thickTop="1" thickBot="1">
      <c r="A8" s="377"/>
      <c r="B8" s="385">
        <v>2</v>
      </c>
      <c r="C8" s="389" t="s">
        <v>1362</v>
      </c>
      <c r="D8" s="386" t="s">
        <v>1363</v>
      </c>
      <c r="E8" s="411" t="s">
        <v>1429</v>
      </c>
      <c r="F8" s="411" t="str">
        <f>'2'!G10</f>
        <v>Verificado</v>
      </c>
      <c r="G8" s="377"/>
      <c r="H8" s="377"/>
      <c r="I8" s="377"/>
    </row>
    <row r="9" spans="1:10" ht="15" customHeight="1" thickTop="1" thickBot="1">
      <c r="A9" s="377"/>
      <c r="B9" s="385">
        <v>3</v>
      </c>
      <c r="C9" s="389" t="s">
        <v>1364</v>
      </c>
      <c r="D9" s="386" t="s">
        <v>1414</v>
      </c>
      <c r="E9" s="411" t="s">
        <v>1429</v>
      </c>
      <c r="F9" s="411" t="str">
        <f>'3'!I11</f>
        <v>Verificado</v>
      </c>
      <c r="G9" s="377"/>
      <c r="H9" s="377"/>
      <c r="I9" s="377"/>
    </row>
    <row r="10" spans="1:10" ht="15" customHeight="1" thickTop="1" thickBot="1">
      <c r="A10" s="377"/>
      <c r="B10" s="385">
        <v>4</v>
      </c>
      <c r="C10" s="389" t="s">
        <v>12</v>
      </c>
      <c r="D10" s="386" t="s">
        <v>1365</v>
      </c>
      <c r="E10" s="411" t="s">
        <v>1429</v>
      </c>
      <c r="F10" s="411" t="str">
        <f>'4'!G10</f>
        <v>Verificado</v>
      </c>
      <c r="G10" s="377"/>
      <c r="H10" s="377"/>
      <c r="I10" s="377"/>
    </row>
    <row r="11" spans="1:10" ht="15" customHeight="1" thickTop="1" thickBot="1">
      <c r="A11" s="377"/>
      <c r="B11" s="385">
        <v>5</v>
      </c>
      <c r="C11" s="389" t="s">
        <v>16</v>
      </c>
      <c r="D11" s="386" t="s">
        <v>1366</v>
      </c>
      <c r="E11" s="411" t="s">
        <v>1429</v>
      </c>
      <c r="F11" s="411" t="str">
        <f>'5'!G10</f>
        <v>Verificado</v>
      </c>
      <c r="G11" s="377"/>
      <c r="H11" s="377"/>
      <c r="I11" s="377"/>
    </row>
    <row r="12" spans="1:10" ht="15" customHeight="1" thickTop="1" thickBot="1">
      <c r="A12" s="377"/>
      <c r="B12" s="385">
        <v>6</v>
      </c>
      <c r="C12" s="389" t="s">
        <v>1367</v>
      </c>
      <c r="D12" s="386" t="s">
        <v>1216</v>
      </c>
      <c r="E12" s="411" t="s">
        <v>1429</v>
      </c>
      <c r="F12" s="411" t="str">
        <f>'6'!G10</f>
        <v>Verificado</v>
      </c>
      <c r="G12" s="377"/>
      <c r="H12" s="377"/>
      <c r="I12" s="377"/>
    </row>
    <row r="13" spans="1:10" ht="15" customHeight="1" thickTop="1" thickBot="1">
      <c r="A13" s="377"/>
      <c r="B13" s="385">
        <v>7</v>
      </c>
      <c r="C13" s="389" t="s">
        <v>1368</v>
      </c>
      <c r="D13" s="386" t="s">
        <v>1369</v>
      </c>
      <c r="E13" s="411" t="s">
        <v>1429</v>
      </c>
      <c r="F13" s="411" t="str">
        <f>'7'!I10</f>
        <v>Verificado</v>
      </c>
      <c r="G13" s="377"/>
      <c r="H13" s="377"/>
      <c r="I13" s="377"/>
    </row>
    <row r="14" spans="1:10" ht="15" customHeight="1" thickTop="1" thickBot="1">
      <c r="A14" s="377"/>
      <c r="B14" s="385">
        <v>8</v>
      </c>
      <c r="C14" s="389" t="s">
        <v>14</v>
      </c>
      <c r="D14" s="386" t="s">
        <v>1431</v>
      </c>
      <c r="E14" s="411" t="s">
        <v>1429</v>
      </c>
      <c r="F14" s="411" t="str">
        <f>'8'!G10</f>
        <v>Verificado</v>
      </c>
      <c r="G14" s="377"/>
      <c r="H14" s="377"/>
      <c r="I14" s="377"/>
    </row>
    <row r="15" spans="1:10" ht="15" customHeight="1" thickTop="1" thickBot="1">
      <c r="A15" s="377"/>
      <c r="B15" s="385">
        <v>9</v>
      </c>
      <c r="C15" s="389" t="s">
        <v>1370</v>
      </c>
      <c r="D15" s="386" t="s">
        <v>1555</v>
      </c>
      <c r="E15" s="411" t="s">
        <v>1306</v>
      </c>
      <c r="F15" s="386"/>
      <c r="G15" s="377"/>
      <c r="H15" s="377"/>
      <c r="I15" s="377"/>
    </row>
    <row r="16" spans="1:10" ht="15" customHeight="1" thickTop="1" thickBot="1">
      <c r="A16" s="377"/>
      <c r="B16" s="385"/>
      <c r="C16" s="389"/>
      <c r="D16" s="386"/>
      <c r="E16" s="411"/>
      <c r="F16" s="411"/>
      <c r="G16" s="377"/>
      <c r="H16" s="377"/>
      <c r="I16" s="377"/>
    </row>
    <row r="17" spans="1:16" ht="15" customHeight="1" thickTop="1" thickBot="1">
      <c r="A17" s="377"/>
      <c r="B17" s="385"/>
      <c r="C17" s="390"/>
      <c r="D17" s="387"/>
      <c r="E17" s="411"/>
      <c r="F17" s="411"/>
      <c r="G17" s="377"/>
      <c r="H17" s="377"/>
      <c r="I17" s="377"/>
    </row>
    <row r="18" spans="1:16" ht="15" customHeight="1" thickTop="1" thickBot="1">
      <c r="A18" s="377"/>
      <c r="B18" s="1264" t="s">
        <v>1371</v>
      </c>
      <c r="C18" s="1265"/>
      <c r="D18" s="1267"/>
      <c r="E18" s="1266"/>
      <c r="F18" s="1266"/>
      <c r="G18" s="377"/>
      <c r="H18" s="377"/>
      <c r="I18" s="377"/>
    </row>
    <row r="19" spans="1:16" ht="15" customHeight="1" thickTop="1" thickBot="1">
      <c r="A19" s="377"/>
      <c r="B19" s="385">
        <v>10</v>
      </c>
      <c r="C19" s="389" t="s">
        <v>1372</v>
      </c>
      <c r="D19" s="386" t="s">
        <v>1373</v>
      </c>
      <c r="E19" s="411" t="s">
        <v>1429</v>
      </c>
      <c r="F19" s="411" t="str">
        <f>'10'!G11</f>
        <v>Verificado</v>
      </c>
      <c r="G19" s="377"/>
      <c r="H19" s="377"/>
      <c r="I19" s="377"/>
    </row>
    <row r="20" spans="1:16" ht="15" customHeight="1" thickTop="1" thickBot="1">
      <c r="A20" s="377"/>
      <c r="B20" s="385">
        <v>11</v>
      </c>
      <c r="C20" s="389" t="s">
        <v>1374</v>
      </c>
      <c r="D20" s="386" t="s">
        <v>1375</v>
      </c>
      <c r="E20" s="411" t="s">
        <v>1429</v>
      </c>
      <c r="F20" s="411" t="str">
        <f>'11'!I10</f>
        <v>Verificado</v>
      </c>
      <c r="G20" s="377"/>
      <c r="H20" s="377"/>
      <c r="I20" s="377"/>
    </row>
    <row r="21" spans="1:16" ht="15" customHeight="1" thickTop="1" thickBot="1">
      <c r="A21" s="377"/>
      <c r="B21" s="385">
        <v>12</v>
      </c>
      <c r="C21" s="389" t="s">
        <v>1376</v>
      </c>
      <c r="D21" s="386" t="s">
        <v>1377</v>
      </c>
      <c r="E21" s="411" t="s">
        <v>1429</v>
      </c>
      <c r="F21" s="411" t="str">
        <f>'12'!G10</f>
        <v>Verificado</v>
      </c>
      <c r="G21" s="377"/>
      <c r="H21" s="377"/>
      <c r="I21" s="377"/>
    </row>
    <row r="22" spans="1:16" ht="16.5" thickTop="1" thickBot="1">
      <c r="A22" s="377"/>
      <c r="B22" s="385">
        <v>13</v>
      </c>
      <c r="C22" s="391" t="s">
        <v>1378</v>
      </c>
      <c r="D22" s="386" t="s">
        <v>1379</v>
      </c>
      <c r="E22" s="411" t="s">
        <v>1306</v>
      </c>
      <c r="F22" s="411"/>
      <c r="G22" s="377"/>
      <c r="H22" s="377"/>
      <c r="I22" s="377"/>
    </row>
    <row r="23" spans="1:16" ht="16.5" thickTop="1" thickBot="1">
      <c r="A23" s="377"/>
      <c r="B23" s="385">
        <v>14</v>
      </c>
      <c r="C23" s="391" t="s">
        <v>1380</v>
      </c>
      <c r="D23" s="386" t="s">
        <v>1381</v>
      </c>
      <c r="E23" s="411" t="s">
        <v>1429</v>
      </c>
      <c r="F23" s="411" t="str">
        <f>'14'!G10</f>
        <v>Verificado</v>
      </c>
      <c r="G23" s="377"/>
      <c r="H23" s="377"/>
      <c r="I23" s="377"/>
    </row>
    <row r="24" spans="1:16" ht="16.5" thickTop="1" thickBot="1">
      <c r="A24" s="377"/>
      <c r="B24" s="385">
        <v>15</v>
      </c>
      <c r="C24" s="391" t="s">
        <v>1382</v>
      </c>
      <c r="D24" s="386" t="s">
        <v>1383</v>
      </c>
      <c r="E24" s="411" t="s">
        <v>1306</v>
      </c>
      <c r="F24" s="411"/>
      <c r="G24" s="377"/>
      <c r="H24" s="377"/>
      <c r="I24" s="377"/>
      <c r="P24" s="179" t="s">
        <v>1038</v>
      </c>
    </row>
    <row r="25" spans="1:16" ht="16.5" thickTop="1" thickBot="1">
      <c r="A25" s="377"/>
      <c r="B25" s="387"/>
      <c r="C25" s="391"/>
      <c r="D25" s="386"/>
      <c r="E25" s="411"/>
      <c r="F25" s="411"/>
      <c r="G25" s="377"/>
      <c r="H25" s="377"/>
      <c r="I25" s="377"/>
    </row>
    <row r="26" spans="1:16" ht="15" customHeight="1" thickTop="1" thickBot="1">
      <c r="A26" s="377"/>
      <c r="B26" s="1264" t="s">
        <v>1384</v>
      </c>
      <c r="C26" s="1265"/>
      <c r="D26" s="1264"/>
      <c r="E26" s="1266"/>
      <c r="F26" s="1266"/>
      <c r="G26" s="377"/>
      <c r="H26" s="377"/>
      <c r="I26" s="377"/>
    </row>
    <row r="27" spans="1:16" ht="15" customHeight="1" thickTop="1" thickBot="1">
      <c r="A27" s="377"/>
      <c r="B27" s="385">
        <v>16</v>
      </c>
      <c r="C27" s="389" t="s">
        <v>1385</v>
      </c>
      <c r="D27" s="386" t="s">
        <v>1386</v>
      </c>
      <c r="E27" s="411" t="s">
        <v>1429</v>
      </c>
      <c r="F27" s="411" t="str">
        <f>'16'!G11</f>
        <v>Verificado</v>
      </c>
      <c r="G27" s="377"/>
      <c r="H27" s="377"/>
      <c r="I27" s="377"/>
    </row>
    <row r="28" spans="1:16" ht="15" customHeight="1" thickTop="1" thickBot="1">
      <c r="A28" s="377"/>
      <c r="B28" s="385">
        <v>17</v>
      </c>
      <c r="C28" s="391" t="s">
        <v>1387</v>
      </c>
      <c r="D28" s="386" t="s">
        <v>1388</v>
      </c>
      <c r="E28" s="411" t="s">
        <v>1429</v>
      </c>
      <c r="F28" s="411" t="str">
        <f>'17'!G10</f>
        <v>Verificado</v>
      </c>
      <c r="G28" s="377"/>
      <c r="H28" s="377"/>
      <c r="I28" s="377"/>
    </row>
    <row r="29" spans="1:16" ht="15" customHeight="1" thickTop="1" thickBot="1">
      <c r="A29" s="377"/>
      <c r="B29" s="385">
        <v>18</v>
      </c>
      <c r="C29" s="391" t="s">
        <v>1404</v>
      </c>
      <c r="D29" s="388" t="s">
        <v>1389</v>
      </c>
      <c r="E29" s="411" t="s">
        <v>1306</v>
      </c>
      <c r="F29" s="411"/>
      <c r="G29" s="377"/>
      <c r="H29" s="377"/>
      <c r="I29" s="377"/>
    </row>
    <row r="30" spans="1:16" ht="15" customHeight="1" thickTop="1" thickBot="1">
      <c r="A30" s="377"/>
      <c r="B30" s="384"/>
      <c r="C30" s="391"/>
      <c r="D30" s="388"/>
      <c r="E30" s="411"/>
      <c r="F30" s="411"/>
      <c r="G30" s="377"/>
      <c r="H30" s="377"/>
      <c r="I30" s="377"/>
    </row>
    <row r="31" spans="1:16" ht="15" customHeight="1" thickTop="1" thickBot="1">
      <c r="A31" s="377"/>
      <c r="B31" s="385"/>
      <c r="C31" s="389"/>
      <c r="D31" s="387"/>
      <c r="E31" s="411"/>
      <c r="F31" s="411"/>
      <c r="G31" s="377"/>
      <c r="H31" s="377"/>
      <c r="I31" s="377"/>
    </row>
    <row r="32" spans="1:16" ht="15" customHeight="1" thickTop="1" thickBot="1">
      <c r="A32" s="377"/>
      <c r="B32" s="1267" t="s">
        <v>1390</v>
      </c>
      <c r="C32" s="1265"/>
      <c r="D32" s="1264"/>
      <c r="E32" s="1266"/>
      <c r="F32" s="1266"/>
      <c r="G32" s="377"/>
      <c r="H32" s="377"/>
      <c r="I32" s="377"/>
      <c r="M32" s="492"/>
    </row>
    <row r="33" spans="1:13" ht="15" customHeight="1" thickTop="1" thickBot="1">
      <c r="A33" s="377"/>
      <c r="B33" s="385">
        <v>19</v>
      </c>
      <c r="C33" s="390" t="s">
        <v>1391</v>
      </c>
      <c r="D33" s="386" t="s">
        <v>1392</v>
      </c>
      <c r="E33" s="411" t="s">
        <v>1429</v>
      </c>
      <c r="F33" s="411" t="str">
        <f>'19'!G9</f>
        <v>Verificado</v>
      </c>
      <c r="G33" s="377"/>
      <c r="H33" s="377"/>
      <c r="I33" s="377"/>
      <c r="M33" s="492"/>
    </row>
    <row r="34" spans="1:13" ht="15" customHeight="1" thickTop="1" thickBot="1">
      <c r="A34" s="377"/>
      <c r="B34" s="385">
        <v>20</v>
      </c>
      <c r="C34" s="390" t="s">
        <v>1393</v>
      </c>
      <c r="D34" s="386" t="s">
        <v>1471</v>
      </c>
      <c r="E34" s="411" t="s">
        <v>1429</v>
      </c>
      <c r="F34" s="411" t="str">
        <f>'20'!G10</f>
        <v>Verificado</v>
      </c>
      <c r="G34" s="377"/>
      <c r="H34" s="377"/>
      <c r="I34" s="377"/>
      <c r="M34" s="492"/>
    </row>
    <row r="35" spans="1:13" ht="15" customHeight="1" thickTop="1" thickBot="1">
      <c r="A35" s="377"/>
      <c r="B35" s="385">
        <v>21</v>
      </c>
      <c r="C35" s="390" t="s">
        <v>1394</v>
      </c>
      <c r="D35" s="386" t="s">
        <v>1472</v>
      </c>
      <c r="E35" s="411" t="s">
        <v>1429</v>
      </c>
      <c r="F35" s="411" t="str">
        <f>'21'!G8</f>
        <v>Verificado</v>
      </c>
      <c r="G35" s="377"/>
      <c r="H35" s="377"/>
      <c r="I35" s="377"/>
    </row>
    <row r="36" spans="1:13" ht="15" customHeight="1" thickTop="1" thickBot="1">
      <c r="A36" s="377"/>
      <c r="B36" s="385">
        <v>22</v>
      </c>
      <c r="C36" s="390" t="s">
        <v>1395</v>
      </c>
      <c r="D36" s="386" t="s">
        <v>1473</v>
      </c>
      <c r="E36" s="411" t="s">
        <v>1429</v>
      </c>
      <c r="F36" s="411" t="str">
        <f>'22'!G8</f>
        <v>Verificado</v>
      </c>
      <c r="G36" s="377"/>
      <c r="H36" s="377"/>
      <c r="I36" s="377"/>
    </row>
    <row r="37" spans="1:13" ht="15" customHeight="1" thickTop="1" thickBot="1">
      <c r="A37" s="377"/>
      <c r="B37" s="385">
        <v>23</v>
      </c>
      <c r="C37" s="390" t="s">
        <v>1396</v>
      </c>
      <c r="D37" s="386" t="s">
        <v>1474</v>
      </c>
      <c r="E37" s="411" t="s">
        <v>1429</v>
      </c>
      <c r="F37" s="411" t="str">
        <f>'23'!G8</f>
        <v>Verificado</v>
      </c>
      <c r="G37" s="377"/>
      <c r="H37" s="377"/>
      <c r="I37" s="377"/>
    </row>
    <row r="38" spans="1:13" ht="15" customHeight="1" thickTop="1" thickBot="1">
      <c r="A38" s="377"/>
      <c r="B38" s="385">
        <v>24</v>
      </c>
      <c r="C38" s="390" t="s">
        <v>1397</v>
      </c>
      <c r="D38" s="386" t="s">
        <v>2074</v>
      </c>
      <c r="E38" s="411" t="s">
        <v>1429</v>
      </c>
      <c r="F38" s="411" t="str">
        <f>+'24'!G10</f>
        <v>Verificado</v>
      </c>
      <c r="G38" s="377"/>
      <c r="H38" s="377"/>
      <c r="I38" s="377"/>
    </row>
    <row r="39" spans="1:13" ht="15" customHeight="1" thickTop="1" thickBot="1">
      <c r="A39" s="377"/>
      <c r="B39" s="1161" t="s">
        <v>2706</v>
      </c>
      <c r="C39" s="390" t="s">
        <v>2711</v>
      </c>
      <c r="D39" s="386" t="s">
        <v>2710</v>
      </c>
      <c r="E39" s="411" t="s">
        <v>1429</v>
      </c>
      <c r="F39" s="411" t="str">
        <f>+'25A'!G9</f>
        <v>Verificado</v>
      </c>
      <c r="G39" s="377"/>
      <c r="H39" s="377"/>
      <c r="I39" s="377"/>
    </row>
    <row r="40" spans="1:13" ht="15" customHeight="1" thickTop="1" thickBot="1">
      <c r="A40" s="377"/>
      <c r="B40" s="1161" t="s">
        <v>2706</v>
      </c>
      <c r="C40" s="390" t="s">
        <v>2712</v>
      </c>
      <c r="D40" s="386" t="s">
        <v>1038</v>
      </c>
      <c r="E40" s="411" t="s">
        <v>1429</v>
      </c>
      <c r="F40" s="411" t="str">
        <f ca="1">+'25A'!G38</f>
        <v>Verificado</v>
      </c>
      <c r="G40" s="377"/>
      <c r="H40" s="377"/>
      <c r="I40" s="377"/>
    </row>
    <row r="41" spans="1:13" ht="15" customHeight="1" thickTop="1" thickBot="1">
      <c r="A41" s="377"/>
      <c r="B41" s="385"/>
      <c r="C41" s="390"/>
      <c r="D41" s="387"/>
      <c r="E41" s="411"/>
      <c r="F41" s="411"/>
      <c r="G41" s="377"/>
      <c r="H41" s="377"/>
      <c r="I41" s="377"/>
    </row>
    <row r="42" spans="1:13" ht="15" customHeight="1" thickTop="1" thickBot="1">
      <c r="B42" s="385">
        <v>26</v>
      </c>
      <c r="C42" s="389" t="s">
        <v>1398</v>
      </c>
      <c r="D42" s="387" t="s">
        <v>1399</v>
      </c>
      <c r="E42" s="411" t="s">
        <v>1429</v>
      </c>
      <c r="F42" s="524" t="str">
        <f>'26'!K8</f>
        <v>Revisando</v>
      </c>
    </row>
    <row r="43" spans="1:13" ht="15" customHeight="1" thickTop="1" thickBot="1">
      <c r="B43" s="385">
        <v>27</v>
      </c>
      <c r="C43" s="389" t="s">
        <v>1400</v>
      </c>
      <c r="D43" s="387" t="s">
        <v>1401</v>
      </c>
      <c r="E43" s="411" t="s">
        <v>1429</v>
      </c>
      <c r="F43" s="643" t="str">
        <f>'27'!K8</f>
        <v>Revisando</v>
      </c>
    </row>
    <row r="44" spans="1:13" ht="15" customHeight="1" thickTop="1" thickBot="1">
      <c r="B44" s="385">
        <v>28</v>
      </c>
      <c r="C44" s="390" t="s">
        <v>1402</v>
      </c>
      <c r="D44" s="387" t="s">
        <v>1403</v>
      </c>
      <c r="E44" s="411" t="s">
        <v>1429</v>
      </c>
      <c r="F44" s="411" t="str">
        <f>'28'!K6</f>
        <v>Verificado</v>
      </c>
    </row>
    <row r="45" spans="1:13" ht="15" customHeight="1" thickTop="1"/>
  </sheetData>
  <mergeCells count="5">
    <mergeCell ref="B1:F1"/>
    <mergeCell ref="B2:F2"/>
    <mergeCell ref="B3:F3"/>
    <mergeCell ref="B4:F4"/>
    <mergeCell ref="B5:C5"/>
  </mergeCells>
  <conditionalFormatting sqref="F7:F44">
    <cfRule type="containsText" dxfId="27" priority="9" stopIfTrue="1" operator="containsText" text="Verificado">
      <formula>NOT(ISERROR(SEARCH("Verificado",F7)))</formula>
    </cfRule>
    <cfRule type="containsText" dxfId="26" priority="10" stopIfTrue="1" operator="containsText" text="Verificado">
      <formula>NOT(ISERROR(SEARCH("Verificado",F7)))</formula>
    </cfRule>
    <cfRule type="containsText" dxfId="25" priority="11" stopIfTrue="1" operator="containsText" text="Revisando">
      <formula>NOT(ISERROR(SEARCH("Revisando",F7)))</formula>
    </cfRule>
    <cfRule type="containsText" dxfId="21" priority="12" stopIfTrue="1" operator="containsText" text="Pendiente">
      <formula>NOT(ISERROR(SEARCH("Pendiente",F7)))</formula>
    </cfRule>
  </conditionalFormatting>
  <conditionalFormatting sqref="F6">
    <cfRule type="containsText" dxfId="24" priority="1" stopIfTrue="1" operator="containsText" text="Verificado">
      <formula>NOT(ISERROR(SEARCH("Verificado",F6)))</formula>
    </cfRule>
    <cfRule type="containsText" dxfId="23" priority="2" stopIfTrue="1" operator="containsText" text="Verificado">
      <formula>NOT(ISERROR(SEARCH("Verificado",F6)))</formula>
    </cfRule>
    <cfRule type="containsText" dxfId="22" priority="3" stopIfTrue="1" operator="containsText" text="Revisando">
      <formula>NOT(ISERROR(SEARCH("Revisando",F6)))</formula>
    </cfRule>
    <cfRule type="containsText" dxfId="20" priority="4" stopIfTrue="1" operator="containsText" text="Pendiente">
      <formula>NOT(ISERROR(SEARCH("Pendiente",F6)))</formula>
    </cfRule>
  </conditionalFormatting>
  <dataValidations count="2">
    <dataValidation type="list" allowBlank="1" showInputMessage="1" showErrorMessage="1" sqref="E6:E44">
      <formula1>$I$5:$I$7</formula1>
    </dataValidation>
    <dataValidation type="list" allowBlank="1" showInputMessage="1" showErrorMessage="1" sqref="F16:F44 F6:F14">
      <formula1>$J$5:$J$7</formula1>
    </dataValidation>
  </dataValidations>
  <hyperlinks>
    <hyperlink ref="C9" location="'3'!A1" display="B-1"/>
    <hyperlink ref="C7" location="'1'!A1" display="A"/>
    <hyperlink ref="C8" location="'2'!A1" display="B"/>
    <hyperlink ref="C10" location="'4'!A1" display="C"/>
    <hyperlink ref="C11" location="'5'!A1" display="D"/>
    <hyperlink ref="C19" location="'10'!A1" display="AA"/>
    <hyperlink ref="C20" location="'11'!A1" display="AA-1"/>
    <hyperlink ref="C21" location="'12'!A1" display="AA-2"/>
    <hyperlink ref="C22" location="'13'!A1" display="AA-3"/>
    <hyperlink ref="C23" location="'14'!A1" display="AA-4"/>
    <hyperlink ref="C27" location="'16'!A1" display="CC"/>
    <hyperlink ref="C28" location="'17'!A1" display="RR"/>
    <hyperlink ref="C33" location="'19'!A1" display="AA-10"/>
    <hyperlink ref="C34" location="'20'!A1" display="AA-20"/>
    <hyperlink ref="C35" location="'21'!A1" display="AA-30"/>
    <hyperlink ref="C36" location="'22'!A1" display="AA-40"/>
    <hyperlink ref="C37" location="'23'!A1" display="AA-50"/>
    <hyperlink ref="C38" location="'24'!A1" display="AA-60"/>
    <hyperlink ref="C42" location="'26'!A1" display="A/A"/>
    <hyperlink ref="C43" location="'27'!A1" display="A/R"/>
    <hyperlink ref="C44" location="'28'!A1" display="C/O"/>
    <hyperlink ref="C12" location="'6'!A1" display="D-1"/>
    <hyperlink ref="C13" location="'7'!A1" display="D-2"/>
    <hyperlink ref="C14" location="'8'!A1" display="E"/>
    <hyperlink ref="C15" location="'9'!A1" display="F"/>
    <hyperlink ref="C24" location="'15'!A1" display="AA-5"/>
    <hyperlink ref="C29" location="'18'!A1" display="SS"/>
    <hyperlink ref="B5:C5" location="BALANZA!A1" display="Datos"/>
    <hyperlink ref="C39" location="'25A'!A1" display="EPI"/>
    <hyperlink ref="C40" location="'25A'!A1" display="EPG"/>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H41"/>
  <sheetViews>
    <sheetView topLeftCell="A19" workbookViewId="0">
      <selection activeCell="C32" sqref="C32"/>
    </sheetView>
  </sheetViews>
  <sheetFormatPr baseColWidth="10" defaultRowHeight="15"/>
  <cols>
    <col min="1" max="1" width="2.42578125" customWidth="1"/>
    <col min="2" max="2" width="15.5703125" bestFit="1" customWidth="1"/>
    <col min="3" max="3" width="49.28515625" customWidth="1"/>
    <col min="4" max="5" width="14.5703125" customWidth="1"/>
    <col min="6" max="6" width="2.28515625" customWidth="1"/>
    <col min="8" max="8" width="18.5703125" customWidth="1"/>
  </cols>
  <sheetData>
    <row r="1" spans="1:8">
      <c r="B1" s="1825" t="s">
        <v>899</v>
      </c>
      <c r="C1" s="1825"/>
      <c r="D1" s="1825"/>
      <c r="E1" s="1825"/>
    </row>
    <row r="2" spans="1:8">
      <c r="B2" s="1823" t="s">
        <v>4043</v>
      </c>
      <c r="C2" s="1823"/>
      <c r="D2" s="1823"/>
      <c r="E2" s="1823"/>
    </row>
    <row r="3" spans="1:8" ht="9" customHeight="1">
      <c r="B3" s="1751"/>
      <c r="C3" s="1751"/>
      <c r="D3" s="1751"/>
      <c r="E3" s="1751"/>
    </row>
    <row r="4" spans="1:8">
      <c r="B4" s="1757" t="s">
        <v>4047</v>
      </c>
      <c r="C4" s="1757" t="s">
        <v>892</v>
      </c>
      <c r="D4" s="1757" t="s">
        <v>4045</v>
      </c>
      <c r="E4" s="1757" t="s">
        <v>4046</v>
      </c>
    </row>
    <row r="5" spans="1:8" s="1753" customFormat="1" ht="19.5" customHeight="1">
      <c r="A5" s="1830"/>
      <c r="B5" s="1755" t="s">
        <v>32</v>
      </c>
      <c r="C5" s="1755" t="s">
        <v>33</v>
      </c>
      <c r="D5" s="1756">
        <v>5000</v>
      </c>
      <c r="E5" s="1756"/>
    </row>
    <row r="6" spans="1:8" s="1753" customFormat="1" ht="19.5" customHeight="1">
      <c r="A6" s="1830"/>
      <c r="B6" s="1755" t="s">
        <v>38</v>
      </c>
      <c r="C6" s="1755" t="s">
        <v>39</v>
      </c>
      <c r="D6" s="1756">
        <v>5000</v>
      </c>
      <c r="E6" s="1756"/>
    </row>
    <row r="7" spans="1:8" s="1753" customFormat="1" ht="19.5" customHeight="1">
      <c r="A7" s="1830"/>
      <c r="B7" s="1755" t="s">
        <v>40</v>
      </c>
      <c r="C7" s="1755" t="s">
        <v>41</v>
      </c>
      <c r="D7" s="1756">
        <v>5000</v>
      </c>
      <c r="E7" s="1756"/>
    </row>
    <row r="8" spans="1:8" s="1753" customFormat="1" ht="40.5" customHeight="1">
      <c r="A8" s="1830"/>
      <c r="B8" s="1827" t="s">
        <v>4048</v>
      </c>
      <c r="C8" s="1828"/>
      <c r="D8" s="1828"/>
      <c r="E8" s="1829"/>
    </row>
    <row r="9" spans="1:8" s="1753" customFormat="1" ht="19.5" customHeight="1">
      <c r="A9" s="1830"/>
      <c r="B9" s="1758" t="s">
        <v>86</v>
      </c>
      <c r="C9" s="1755" t="s">
        <v>87</v>
      </c>
      <c r="D9" s="1756">
        <v>1350.12</v>
      </c>
      <c r="E9" s="1756"/>
    </row>
    <row r="10" spans="1:8" s="1753" customFormat="1" ht="30.75" customHeight="1">
      <c r="A10" s="1830"/>
      <c r="B10" s="1827" t="s">
        <v>4049</v>
      </c>
      <c r="C10" s="1828"/>
      <c r="D10" s="1828"/>
      <c r="E10" s="1829"/>
    </row>
    <row r="11" spans="1:8" s="1753" customFormat="1" ht="19.5" customHeight="1">
      <c r="A11" s="1830"/>
      <c r="B11" s="1755" t="s">
        <v>217</v>
      </c>
      <c r="C11" s="1755" t="s">
        <v>4052</v>
      </c>
      <c r="D11" s="1756">
        <v>193172</v>
      </c>
      <c r="E11" s="1756"/>
    </row>
    <row r="12" spans="1:8" s="1753" customFormat="1" ht="29.25" customHeight="1">
      <c r="A12" s="1830"/>
      <c r="B12" s="1827" t="s">
        <v>4050</v>
      </c>
      <c r="C12" s="1828"/>
      <c r="D12" s="1828"/>
      <c r="E12" s="1829"/>
    </row>
    <row r="13" spans="1:8" s="1753" customFormat="1" ht="19.5" customHeight="1">
      <c r="A13" s="1830"/>
      <c r="B13" s="1755">
        <v>2103040005</v>
      </c>
      <c r="C13" s="1755" t="s">
        <v>277</v>
      </c>
      <c r="D13" s="1755"/>
      <c r="E13" s="1756">
        <v>1436011.51</v>
      </c>
    </row>
    <row r="14" spans="1:8" s="1753" customFormat="1" ht="36.75" customHeight="1">
      <c r="A14" s="1830"/>
      <c r="B14" s="1827" t="s">
        <v>4053</v>
      </c>
      <c r="C14" s="1828"/>
      <c r="D14" s="1828"/>
      <c r="E14" s="1829"/>
    </row>
    <row r="15" spans="1:8" s="1753" customFormat="1" ht="36.75" customHeight="1">
      <c r="A15" s="1780"/>
      <c r="B15" s="1755">
        <v>2103020998</v>
      </c>
      <c r="C15" s="1755" t="s">
        <v>265</v>
      </c>
      <c r="D15" s="1755"/>
      <c r="E15" s="1756">
        <v>7106.65</v>
      </c>
      <c r="H15" s="1753" t="s">
        <v>265</v>
      </c>
    </row>
    <row r="16" spans="1:8" s="1753" customFormat="1" ht="36.75" customHeight="1">
      <c r="A16" s="1780"/>
      <c r="B16" s="1827" t="s">
        <v>4073</v>
      </c>
      <c r="C16" s="1828"/>
      <c r="D16" s="1828"/>
      <c r="E16" s="1829"/>
      <c r="H16" s="1753" t="s">
        <v>289</v>
      </c>
    </row>
    <row r="17" spans="1:8" s="1753" customFormat="1" ht="36.75" customHeight="1">
      <c r="A17" s="1780"/>
      <c r="B17" s="1783">
        <v>210306000103</v>
      </c>
      <c r="C17" s="1755" t="s">
        <v>289</v>
      </c>
      <c r="D17" s="1755"/>
      <c r="E17" s="1756">
        <v>3605.1</v>
      </c>
    </row>
    <row r="18" spans="1:8" s="1753" customFormat="1" ht="36.75" customHeight="1">
      <c r="A18" s="1780"/>
      <c r="B18" s="1827" t="s">
        <v>4075</v>
      </c>
      <c r="C18" s="1828"/>
      <c r="D18" s="1828"/>
      <c r="E18" s="1829"/>
      <c r="H18" s="1781"/>
    </row>
    <row r="19" spans="1:8" s="1753" customFormat="1" ht="19.5" customHeight="1">
      <c r="A19" s="1830"/>
      <c r="B19" s="1755" t="s">
        <v>298</v>
      </c>
      <c r="C19" s="1755" t="s">
        <v>299</v>
      </c>
      <c r="D19" s="1755"/>
      <c r="E19" s="1756">
        <v>252299.3</v>
      </c>
    </row>
    <row r="20" spans="1:8" s="1753" customFormat="1" ht="39" customHeight="1">
      <c r="A20" s="1830"/>
      <c r="B20" s="1827" t="s">
        <v>4054</v>
      </c>
      <c r="C20" s="1828"/>
      <c r="D20" s="1828"/>
      <c r="E20" s="1829"/>
    </row>
    <row r="22" spans="1:8" s="1753" customFormat="1" ht="19.5" customHeight="1">
      <c r="B22" s="1826" t="s">
        <v>4044</v>
      </c>
      <c r="C22" s="1826"/>
      <c r="D22" s="1826"/>
      <c r="E22" s="1826"/>
    </row>
    <row r="23" spans="1:8" s="1753" customFormat="1" ht="6.75" customHeight="1">
      <c r="B23" s="1764"/>
      <c r="C23" s="1764"/>
      <c r="D23" s="1764"/>
      <c r="E23" s="1764"/>
    </row>
    <row r="24" spans="1:8" s="1753" customFormat="1" ht="19.5" customHeight="1">
      <c r="B24" s="1824" t="s">
        <v>4055</v>
      </c>
      <c r="C24" s="1824"/>
      <c r="D24" s="1759" t="s">
        <v>2416</v>
      </c>
      <c r="E24" s="1765">
        <v>45657</v>
      </c>
    </row>
    <row r="25" spans="1:8" s="1753" customFormat="1" ht="19.5" customHeight="1">
      <c r="B25" s="1759" t="s">
        <v>4047</v>
      </c>
      <c r="C25" s="1759" t="s">
        <v>892</v>
      </c>
      <c r="D25" s="1759" t="s">
        <v>4045</v>
      </c>
      <c r="E25" s="1759" t="s">
        <v>4046</v>
      </c>
    </row>
    <row r="26" spans="1:8" s="1753" customFormat="1" ht="19.5" customHeight="1">
      <c r="B26" s="1760">
        <f>+B13</f>
        <v>2103040005</v>
      </c>
      <c r="C26" s="1761" t="str">
        <f>+C13</f>
        <v>CUENTAS POR PAGAR USO INTERNO</v>
      </c>
      <c r="D26" s="1761">
        <f>+E13</f>
        <v>1436011.51</v>
      </c>
      <c r="E26" s="1761"/>
    </row>
    <row r="27" spans="1:8" s="1753" customFormat="1" ht="19.5" customHeight="1">
      <c r="B27" s="1760">
        <f>+B15</f>
        <v>2103020998</v>
      </c>
      <c r="C27" s="1760" t="str">
        <f>+C15</f>
        <v xml:space="preserve"> OTROS PROVEEDORES DIRECTOS A PAGAR A CORTO PLAZO </v>
      </c>
      <c r="D27" s="1761">
        <f>+E15</f>
        <v>7106.65</v>
      </c>
      <c r="E27" s="1761"/>
    </row>
    <row r="28" spans="1:8" s="1753" customFormat="1" ht="19.5" customHeight="1">
      <c r="B28" s="1760" t="str">
        <f>+B19</f>
        <v>210306000201</v>
      </c>
      <c r="C28" s="1761" t="str">
        <f>+C19</f>
        <v xml:space="preserve"> DEDUCCIONES PERSONALES A PAGAR P.P.</v>
      </c>
      <c r="D28" s="1761">
        <f>+E19</f>
        <v>252299.3</v>
      </c>
      <c r="E28" s="1159"/>
    </row>
    <row r="29" spans="1:8" s="1753" customFormat="1" ht="19.5" customHeight="1">
      <c r="B29" s="1782">
        <f>+B17</f>
        <v>210306000103</v>
      </c>
      <c r="C29" s="1782" t="str">
        <f>+C17</f>
        <v xml:space="preserve"> RET IMPOSIT POR PAGAR SEGURO S.</v>
      </c>
      <c r="D29" s="1761">
        <f>+E17</f>
        <v>3605.1</v>
      </c>
      <c r="E29" s="1159"/>
    </row>
    <row r="30" spans="1:8" s="1753" customFormat="1" ht="19.5" customHeight="1">
      <c r="B30" s="1762" t="str">
        <f t="shared" ref="B30:C32" si="0">+B5</f>
        <v>11010100203</v>
      </c>
      <c r="C30" s="1159" t="str">
        <f t="shared" si="0"/>
        <v xml:space="preserve"> CAJA CHICA GASPAR HERNANDEZ</v>
      </c>
      <c r="D30" s="1159"/>
      <c r="E30" s="1237">
        <f>+D5</f>
        <v>5000</v>
      </c>
    </row>
    <row r="31" spans="1:8" s="1753" customFormat="1" ht="19.5" customHeight="1">
      <c r="B31" s="1762" t="str">
        <f t="shared" si="0"/>
        <v>11010100206</v>
      </c>
      <c r="C31" s="1159" t="str">
        <f t="shared" si="0"/>
        <v xml:space="preserve"> CAJA CHICA CAYETANO GERMOSEN</v>
      </c>
      <c r="D31" s="1159"/>
      <c r="E31" s="1237">
        <f>+D6</f>
        <v>5000</v>
      </c>
    </row>
    <row r="32" spans="1:8" s="1753" customFormat="1" ht="19.5" customHeight="1">
      <c r="B32" s="1762" t="str">
        <f t="shared" si="0"/>
        <v>11010100207</v>
      </c>
      <c r="C32" s="1159" t="str">
        <f t="shared" si="0"/>
        <v xml:space="preserve"> CAJA CHICA VERAGUA</v>
      </c>
      <c r="D32" s="1159"/>
      <c r="E32" s="1237">
        <f>+D7</f>
        <v>5000</v>
      </c>
    </row>
    <row r="33" spans="2:5" s="1753" customFormat="1" ht="19.5" customHeight="1">
      <c r="B33" s="1762" t="str">
        <f>+B9</f>
        <v>110402099801</v>
      </c>
      <c r="C33" s="1159" t="str">
        <f>+C9</f>
        <v xml:space="preserve"> CUENTAS POR COBRAR EMPLEADOS</v>
      </c>
      <c r="D33" s="1159"/>
      <c r="E33" s="1237">
        <f>+D9</f>
        <v>1350.12</v>
      </c>
    </row>
    <row r="34" spans="2:5" s="1753" customFormat="1" ht="19.5" customHeight="1">
      <c r="B34" s="1762" t="str">
        <f>+B11</f>
        <v>129801003</v>
      </c>
      <c r="C34" s="1159" t="str">
        <f>+C11</f>
        <v xml:space="preserve"> Depósitos EN Garantía  </v>
      </c>
      <c r="D34" s="1159"/>
      <c r="E34" s="1237">
        <f>+D11</f>
        <v>193172</v>
      </c>
    </row>
    <row r="35" spans="2:5" s="1753" customFormat="1" ht="19.5" customHeight="1">
      <c r="B35" s="1762" t="s">
        <v>476</v>
      </c>
      <c r="C35" s="1159" t="s">
        <v>477</v>
      </c>
      <c r="D35" s="1159"/>
      <c r="E35" s="1237">
        <f>1478788.69+7106.65+3605.1</f>
        <v>1489500.44</v>
      </c>
    </row>
    <row r="36" spans="2:5" s="1753" customFormat="1" ht="19.5" customHeight="1">
      <c r="B36" s="1831" t="s">
        <v>4051</v>
      </c>
      <c r="C36" s="1832"/>
      <c r="D36" s="1832"/>
      <c r="E36" s="1833"/>
    </row>
    <row r="37" spans="2:5" s="1753" customFormat="1" ht="19.5" customHeight="1">
      <c r="B37" s="1159"/>
      <c r="C37" s="1159"/>
      <c r="D37" s="1763">
        <f>SUM(D26:D36)</f>
        <v>1699022.56</v>
      </c>
      <c r="E37" s="1763">
        <f>SUM(E26:E36)</f>
        <v>1699022.56</v>
      </c>
    </row>
    <row r="38" spans="2:5">
      <c r="E38" s="1290">
        <f>+D37-E37</f>
        <v>0</v>
      </c>
    </row>
    <row r="40" spans="2:5">
      <c r="B40" s="1823" t="s">
        <v>4056</v>
      </c>
      <c r="C40" s="1823"/>
      <c r="D40" s="1823"/>
      <c r="E40" s="1823"/>
    </row>
    <row r="41" spans="2:5">
      <c r="B41" s="1823" t="s">
        <v>4074</v>
      </c>
      <c r="C41" s="1823"/>
      <c r="D41" s="1823"/>
      <c r="E41" s="1823"/>
    </row>
  </sheetData>
  <mergeCells count="19">
    <mergeCell ref="B40:E40"/>
    <mergeCell ref="B41:E41"/>
    <mergeCell ref="B18:E18"/>
    <mergeCell ref="B16:E16"/>
    <mergeCell ref="A5:A8"/>
    <mergeCell ref="A9:A10"/>
    <mergeCell ref="A11:A12"/>
    <mergeCell ref="A13:A14"/>
    <mergeCell ref="A19:A20"/>
    <mergeCell ref="B36:E36"/>
    <mergeCell ref="B24:C24"/>
    <mergeCell ref="B1:E1"/>
    <mergeCell ref="B2:E2"/>
    <mergeCell ref="B22:E22"/>
    <mergeCell ref="B8:E8"/>
    <mergeCell ref="B10:E10"/>
    <mergeCell ref="B12:E12"/>
    <mergeCell ref="B14:E14"/>
    <mergeCell ref="B20:E20"/>
  </mergeCells>
  <dataValidations count="1">
    <dataValidation type="list" allowBlank="1" showInputMessage="1" showErrorMessage="1" sqref="C19:D19 C17:D17 C15:D15 C13:D13 C11 C9 C5:C7">
      <formula1>$AG$11:$AG$302</formula1>
    </dataValidation>
  </dataValidations>
  <pageMargins left="0.70866141732283472" right="0.70866141732283472" top="0.74803149606299213" bottom="0.74803149606299213" header="0.31496062992125984" footer="0.31496062992125984"/>
  <pageSetup paperSize="9"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E37"/>
  <sheetViews>
    <sheetView workbookViewId="0">
      <selection activeCell="I29" sqref="I29"/>
    </sheetView>
  </sheetViews>
  <sheetFormatPr baseColWidth="10" defaultRowHeight="15"/>
  <sheetData>
    <row r="13" spans="2:5">
      <c r="B13" s="672"/>
      <c r="C13" s="672"/>
      <c r="D13" s="672"/>
      <c r="E13" s="672"/>
    </row>
    <row r="14" spans="2:5">
      <c r="B14" s="672"/>
      <c r="C14" s="672"/>
      <c r="D14" s="672"/>
      <c r="E14" s="672"/>
    </row>
    <row r="15" spans="2:5">
      <c r="B15" s="672"/>
      <c r="C15" s="672"/>
      <c r="D15" s="672"/>
      <c r="E15" s="672"/>
    </row>
    <row r="16" spans="2:5">
      <c r="B16" s="672"/>
      <c r="C16" s="672"/>
      <c r="D16" s="672"/>
      <c r="E16" s="672"/>
    </row>
    <row r="17" spans="2:5">
      <c r="B17" s="672"/>
      <c r="C17" s="672" t="s">
        <v>3654</v>
      </c>
      <c r="D17" s="672"/>
      <c r="E17" s="672"/>
    </row>
    <row r="18" spans="2:5">
      <c r="B18" s="672"/>
      <c r="C18" s="672"/>
      <c r="D18" s="672"/>
      <c r="E18" s="672"/>
    </row>
    <row r="19" spans="2:5">
      <c r="B19" s="672"/>
      <c r="C19" s="672"/>
      <c r="D19" s="672"/>
      <c r="E19" s="672"/>
    </row>
    <row r="20" spans="2:5">
      <c r="B20" s="672"/>
      <c r="C20" s="672"/>
      <c r="D20" s="672"/>
      <c r="E20" s="672"/>
    </row>
    <row r="21" spans="2:5">
      <c r="B21" s="672"/>
      <c r="C21" s="672" t="s">
        <v>3655</v>
      </c>
      <c r="D21" s="672"/>
      <c r="E21" s="672"/>
    </row>
    <row r="22" spans="2:5">
      <c r="B22" s="672"/>
      <c r="C22" s="672"/>
      <c r="D22" s="672"/>
      <c r="E22" s="672"/>
    </row>
    <row r="23" spans="2:5">
      <c r="B23" s="672"/>
      <c r="C23" s="672"/>
      <c r="D23" s="672"/>
      <c r="E23" s="672"/>
    </row>
    <row r="24" spans="2:5">
      <c r="B24" s="672"/>
      <c r="C24" s="672"/>
      <c r="D24" s="672"/>
      <c r="E24" s="672"/>
    </row>
    <row r="25" spans="2:5">
      <c r="B25" s="672"/>
      <c r="C25" s="672" t="s">
        <v>3656</v>
      </c>
      <c r="D25" s="672"/>
      <c r="E25" s="672"/>
    </row>
    <row r="26" spans="2:5">
      <c r="B26" s="672"/>
      <c r="C26" s="672"/>
      <c r="D26" s="672"/>
      <c r="E26" s="672"/>
    </row>
    <row r="27" spans="2:5">
      <c r="B27" s="672"/>
      <c r="C27" s="672"/>
      <c r="D27" s="672"/>
      <c r="E27" s="672"/>
    </row>
    <row r="28" spans="2:5">
      <c r="B28" s="672"/>
      <c r="C28" s="672"/>
      <c r="D28" s="672"/>
      <c r="E28" s="672"/>
    </row>
    <row r="29" spans="2:5">
      <c r="B29" s="672"/>
      <c r="C29" s="672"/>
      <c r="D29" s="672"/>
      <c r="E29" s="672"/>
    </row>
    <row r="30" spans="2:5">
      <c r="B30" s="672"/>
      <c r="C30" s="672"/>
      <c r="D30" s="672"/>
      <c r="E30" s="672"/>
    </row>
    <row r="31" spans="2:5">
      <c r="B31" s="672"/>
      <c r="C31" s="672"/>
      <c r="D31" s="672"/>
      <c r="E31" s="672"/>
    </row>
    <row r="32" spans="2:5">
      <c r="B32" s="672"/>
      <c r="C32" s="672"/>
      <c r="D32" s="672"/>
      <c r="E32" s="672"/>
    </row>
    <row r="33" spans="2:5">
      <c r="B33" s="672"/>
      <c r="C33" s="672"/>
      <c r="D33" s="672"/>
      <c r="E33" s="672"/>
    </row>
    <row r="34" spans="2:5">
      <c r="B34" s="672"/>
      <c r="C34" s="672"/>
      <c r="D34" s="672"/>
      <c r="E34" s="672"/>
    </row>
    <row r="35" spans="2:5">
      <c r="B35" s="672"/>
      <c r="C35" s="672"/>
      <c r="D35" s="672"/>
      <c r="E35" s="672"/>
    </row>
    <row r="36" spans="2:5">
      <c r="B36" s="672"/>
      <c r="C36" s="672"/>
      <c r="D36" s="672"/>
      <c r="E36" s="672"/>
    </row>
    <row r="37" spans="2:5">
      <c r="B37" s="672"/>
      <c r="C37" s="672"/>
      <c r="D37" s="672"/>
      <c r="E37" s="672"/>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61"/>
  <sheetViews>
    <sheetView topLeftCell="A160" workbookViewId="0">
      <pane xSplit="12090" ySplit="9030" topLeftCell="I413"/>
      <selection activeCell="C164" sqref="C164"/>
      <selection pane="topRight" activeCell="J226" sqref="J226"/>
      <selection pane="bottomLeft" activeCell="C416" sqref="C416"/>
      <selection pane="bottomRight" activeCell="I362" sqref="I362"/>
    </sheetView>
  </sheetViews>
  <sheetFormatPr baseColWidth="10" defaultColWidth="9.140625" defaultRowHeight="15.75"/>
  <cols>
    <col min="1" max="1" width="1.28515625" customWidth="1"/>
    <col min="2" max="2" width="44.28515625" style="154" customWidth="1"/>
    <col min="3" max="3" width="17.140625" bestFit="1" customWidth="1"/>
    <col min="4" max="4" width="15.28515625" bestFit="1" customWidth="1"/>
    <col min="5" max="5" width="20.42578125" style="206" customWidth="1"/>
    <col min="6" max="6" width="1.5703125" customWidth="1"/>
    <col min="7" max="7" width="11.42578125" customWidth="1"/>
    <col min="8" max="8" width="21.7109375" hidden="1" customWidth="1"/>
  </cols>
  <sheetData>
    <row r="1" spans="1:5">
      <c r="A1" s="1940" t="str">
        <f>+BALANZA!B1</f>
        <v>CORPORACION DEL ACUEDUCTO Y ALCANTARILLADO DE MOCA</v>
      </c>
      <c r="B1" s="1940"/>
      <c r="C1" s="1940"/>
      <c r="D1" s="1940"/>
      <c r="E1" s="1940"/>
    </row>
    <row r="2" spans="1:5">
      <c r="A2" s="254"/>
      <c r="B2" s="254"/>
      <c r="C2" s="254"/>
      <c r="D2" s="254"/>
      <c r="E2" s="254"/>
    </row>
    <row r="3" spans="1:5" ht="31.5" customHeight="1">
      <c r="B3" s="1952" t="s">
        <v>1032</v>
      </c>
      <c r="C3" s="1952"/>
      <c r="D3" s="1952"/>
      <c r="E3" s="1952"/>
    </row>
    <row r="4" spans="1:5">
      <c r="B4" s="142"/>
    </row>
    <row r="5" spans="1:5" ht="18.75">
      <c r="B5" s="143" t="s">
        <v>1033</v>
      </c>
    </row>
    <row r="6" spans="1:5" ht="18.75">
      <c r="B6" s="143"/>
    </row>
    <row r="7" spans="1:5" ht="18.75">
      <c r="B7" s="1959" t="s">
        <v>1034</v>
      </c>
      <c r="C7" s="1959"/>
      <c r="D7" s="1959"/>
      <c r="E7" s="1959"/>
    </row>
    <row r="8" spans="1:5" ht="18.75">
      <c r="B8" s="144"/>
    </row>
    <row r="9" spans="1:5" ht="258" customHeight="1">
      <c r="B9" s="1957" t="s">
        <v>1250</v>
      </c>
      <c r="C9" s="1957"/>
      <c r="D9" s="1957"/>
      <c r="E9" s="1957"/>
    </row>
    <row r="10" spans="1:5" ht="18.75">
      <c r="B10" s="144"/>
    </row>
    <row r="11" spans="1:5" ht="37.5" customHeight="1">
      <c r="B11" s="1953" t="s">
        <v>1035</v>
      </c>
      <c r="C11" s="1953"/>
      <c r="D11" s="1953"/>
      <c r="E11" s="1953"/>
    </row>
    <row r="12" spans="1:5" ht="112.5" customHeight="1">
      <c r="B12" s="1957" t="s">
        <v>1251</v>
      </c>
      <c r="C12" s="1957"/>
      <c r="D12" s="1957"/>
      <c r="E12" s="1957"/>
    </row>
    <row r="13" spans="1:5" ht="19.5">
      <c r="B13" s="145"/>
    </row>
    <row r="14" spans="1:5" ht="90" customHeight="1">
      <c r="B14" s="1957" t="s">
        <v>1252</v>
      </c>
      <c r="C14" s="1957"/>
      <c r="D14" s="1957"/>
      <c r="E14" s="1957"/>
    </row>
    <row r="15" spans="1:5" ht="18.75">
      <c r="B15" s="144"/>
    </row>
    <row r="16" spans="1:5" ht="76.5" customHeight="1">
      <c r="B16" s="1956" t="s">
        <v>1253</v>
      </c>
      <c r="C16" s="1956"/>
      <c r="D16" s="1956"/>
      <c r="E16" s="1956"/>
    </row>
    <row r="17" spans="2:5" ht="18.75">
      <c r="B17" s="144"/>
    </row>
    <row r="18" spans="2:5" ht="18.75">
      <c r="B18" s="143" t="s">
        <v>1036</v>
      </c>
    </row>
    <row r="19" spans="2:5" ht="18.75">
      <c r="B19" s="143"/>
    </row>
    <row r="20" spans="2:5" ht="70.5" customHeight="1">
      <c r="B20" s="1957" t="s">
        <v>1254</v>
      </c>
      <c r="C20" s="1957"/>
      <c r="D20" s="1957"/>
      <c r="E20" s="1957"/>
    </row>
    <row r="21" spans="2:5" ht="18.75">
      <c r="B21" s="147"/>
    </row>
    <row r="22" spans="2:5" ht="18.75">
      <c r="B22" s="147"/>
    </row>
    <row r="23" spans="2:5" ht="37.5" customHeight="1">
      <c r="B23" s="1953" t="s">
        <v>1037</v>
      </c>
      <c r="C23" s="1953"/>
      <c r="D23" s="1953"/>
      <c r="E23" s="1953"/>
    </row>
    <row r="24" spans="2:5" ht="18.75">
      <c r="B24" s="143"/>
    </row>
    <row r="25" spans="2:5" ht="105.75" customHeight="1">
      <c r="B25" s="1957" t="s">
        <v>1255</v>
      </c>
      <c r="C25" s="1957"/>
      <c r="D25" s="1957"/>
      <c r="E25" s="1957"/>
    </row>
    <row r="26" spans="2:5" ht="18.75">
      <c r="B26" s="148"/>
    </row>
    <row r="27" spans="2:5" ht="18.75">
      <c r="B27" s="144" t="s">
        <v>1038</v>
      </c>
    </row>
    <row r="28" spans="2:5" ht="37.5" customHeight="1">
      <c r="B28" s="1953" t="s">
        <v>1039</v>
      </c>
      <c r="C28" s="1953"/>
      <c r="D28" s="1953"/>
      <c r="E28" s="1953"/>
    </row>
    <row r="29" spans="2:5" ht="18.75">
      <c r="B29" s="147"/>
    </row>
    <row r="30" spans="2:5" ht="123.75" customHeight="1">
      <c r="B30" s="1957" t="s">
        <v>1256</v>
      </c>
      <c r="C30" s="1957"/>
      <c r="D30" s="1957"/>
      <c r="E30" s="1957"/>
    </row>
    <row r="31" spans="2:5" ht="18.75">
      <c r="B31" s="144"/>
    </row>
    <row r="32" spans="2:5" ht="100.5" customHeight="1">
      <c r="B32" s="1957" t="s">
        <v>1257</v>
      </c>
      <c r="C32" s="1957"/>
      <c r="D32" s="1957"/>
      <c r="E32" s="1957"/>
    </row>
    <row r="33" spans="2:5" ht="18.75">
      <c r="B33" s="143"/>
    </row>
    <row r="34" spans="2:5" ht="18.75">
      <c r="B34" s="147"/>
    </row>
    <row r="35" spans="2:5" ht="18.75">
      <c r="B35" s="143" t="s">
        <v>1040</v>
      </c>
    </row>
    <row r="36" spans="2:5" ht="101.25" customHeight="1">
      <c r="B36" s="1957" t="s">
        <v>1258</v>
      </c>
      <c r="C36" s="1957"/>
      <c r="D36" s="1957"/>
      <c r="E36" s="1957"/>
    </row>
    <row r="37" spans="2:5" ht="18.75">
      <c r="B37" s="144"/>
    </row>
    <row r="38" spans="2:5" ht="18.75">
      <c r="B38" s="144"/>
    </row>
    <row r="39" spans="2:5" ht="18.75">
      <c r="B39" s="143" t="s">
        <v>1041</v>
      </c>
    </row>
    <row r="40" spans="2:5" ht="75.75" customHeight="1">
      <c r="B40" s="1957" t="s">
        <v>1259</v>
      </c>
      <c r="C40" s="1957"/>
      <c r="D40" s="1957"/>
      <c r="E40" s="1957"/>
    </row>
    <row r="41" spans="2:5" ht="18.75">
      <c r="B41" s="144"/>
    </row>
    <row r="42" spans="2:5" ht="18.75">
      <c r="B42" s="144"/>
    </row>
    <row r="43" spans="2:5" ht="18.75">
      <c r="B43" s="143" t="s">
        <v>1042</v>
      </c>
    </row>
    <row r="44" spans="2:5" ht="132" customHeight="1">
      <c r="B44" s="1957" t="s">
        <v>1260</v>
      </c>
      <c r="C44" s="1957"/>
      <c r="D44" s="1957"/>
      <c r="E44" s="1957"/>
    </row>
    <row r="45" spans="2:5" ht="18.75">
      <c r="B45" s="144"/>
    </row>
    <row r="46" spans="2:5" ht="80.25" customHeight="1">
      <c r="B46" s="1957" t="s">
        <v>1043</v>
      </c>
      <c r="C46" s="1957"/>
      <c r="D46" s="1957"/>
      <c r="E46" s="1957"/>
    </row>
    <row r="47" spans="2:5" ht="18.75">
      <c r="B47" s="144"/>
    </row>
    <row r="48" spans="2:5" ht="18.75">
      <c r="B48" s="144" t="s">
        <v>1022</v>
      </c>
    </row>
    <row r="49" spans="2:5" ht="18.75">
      <c r="B49" s="143" t="s">
        <v>1044</v>
      </c>
    </row>
    <row r="50" spans="2:5" ht="77.25" customHeight="1">
      <c r="B50" s="1957" t="s">
        <v>1045</v>
      </c>
      <c r="C50" s="1957"/>
      <c r="D50" s="1957"/>
      <c r="E50" s="1957"/>
    </row>
    <row r="51" spans="2:5" ht="54" customHeight="1">
      <c r="B51" s="161"/>
      <c r="C51" s="161"/>
      <c r="D51" s="161"/>
      <c r="E51" s="182"/>
    </row>
    <row r="52" spans="2:5" ht="30" customHeight="1">
      <c r="B52" s="148"/>
    </row>
    <row r="53" spans="2:5" ht="18.75">
      <c r="B53" s="143" t="s">
        <v>1046</v>
      </c>
    </row>
    <row r="54" spans="2:5" ht="112.5" customHeight="1">
      <c r="B54" s="1957" t="s">
        <v>1261</v>
      </c>
      <c r="C54" s="1957"/>
      <c r="D54" s="1957"/>
      <c r="E54" s="1957"/>
    </row>
    <row r="55" spans="2:5" ht="18.75">
      <c r="B55" s="144"/>
    </row>
    <row r="56" spans="2:5" ht="18.75">
      <c r="B56" s="143" t="s">
        <v>1047</v>
      </c>
    </row>
    <row r="57" spans="2:5" ht="67.5" customHeight="1">
      <c r="B57" s="1956" t="s">
        <v>1262</v>
      </c>
      <c r="C57" s="1956"/>
      <c r="D57" s="1956"/>
      <c r="E57" s="1956"/>
    </row>
    <row r="58" spans="2:5" ht="18.75">
      <c r="B58" s="146"/>
    </row>
    <row r="59" spans="2:5" ht="18.75">
      <c r="B59" s="143" t="s">
        <v>1048</v>
      </c>
    </row>
    <row r="60" spans="2:5" ht="70.5" customHeight="1">
      <c r="B60" s="1956" t="s">
        <v>1049</v>
      </c>
      <c r="C60" s="1956"/>
      <c r="D60" s="1956"/>
      <c r="E60" s="1956"/>
    </row>
    <row r="61" spans="2:5" ht="18.75">
      <c r="B61" s="146"/>
    </row>
    <row r="62" spans="2:5" ht="18.75">
      <c r="B62" s="143" t="s">
        <v>1050</v>
      </c>
    </row>
    <row r="63" spans="2:5" ht="119.25" customHeight="1">
      <c r="B63" s="1956" t="s">
        <v>1263</v>
      </c>
      <c r="C63" s="1956"/>
      <c r="D63" s="1956"/>
      <c r="E63" s="1956"/>
    </row>
    <row r="64" spans="2:5" ht="18.75">
      <c r="B64" s="143"/>
    </row>
    <row r="65" spans="2:5" ht="18.75">
      <c r="B65" s="143" t="s">
        <v>1051</v>
      </c>
    </row>
    <row r="66" spans="2:5" ht="108.75" customHeight="1">
      <c r="B66" s="1956" t="s">
        <v>1052</v>
      </c>
      <c r="C66" s="1956"/>
      <c r="D66" s="1956"/>
      <c r="E66" s="1956"/>
    </row>
    <row r="67" spans="2:5" ht="79.5" customHeight="1">
      <c r="B67" s="227"/>
      <c r="C67" s="227"/>
      <c r="D67" s="227"/>
      <c r="E67" s="227"/>
    </row>
    <row r="68" spans="2:5" ht="45.75" customHeight="1">
      <c r="B68" s="147"/>
    </row>
    <row r="69" spans="2:5" ht="18.75">
      <c r="B69" s="143" t="s">
        <v>1053</v>
      </c>
    </row>
    <row r="70" spans="2:5" ht="93" customHeight="1">
      <c r="B70" s="1956" t="s">
        <v>1265</v>
      </c>
      <c r="C70" s="1956"/>
      <c r="D70" s="1956"/>
      <c r="E70" s="1956"/>
    </row>
    <row r="71" spans="2:5" ht="18.75">
      <c r="B71" s="143"/>
    </row>
    <row r="72" spans="2:5" ht="18.75">
      <c r="B72" s="143" t="s">
        <v>1054</v>
      </c>
    </row>
    <row r="73" spans="2:5" ht="75.75" customHeight="1">
      <c r="B73" s="1957" t="s">
        <v>1264</v>
      </c>
      <c r="C73" s="1957"/>
      <c r="D73" s="1957"/>
      <c r="E73" s="1957"/>
    </row>
    <row r="74" spans="2:5" ht="18.75">
      <c r="B74" s="144"/>
    </row>
    <row r="75" spans="2:5" ht="18.75">
      <c r="B75" s="143" t="s">
        <v>1055</v>
      </c>
    </row>
    <row r="76" spans="2:5" ht="9" customHeight="1">
      <c r="B76" s="143" t="s">
        <v>1056</v>
      </c>
    </row>
    <row r="77" spans="2:5" ht="18.75">
      <c r="B77" s="143" t="s">
        <v>1057</v>
      </c>
    </row>
    <row r="78" spans="2:5" ht="10.5" customHeight="1">
      <c r="B78" s="143"/>
    </row>
    <row r="79" spans="2:5" ht="18.75">
      <c r="B79" s="146" t="s">
        <v>1058</v>
      </c>
    </row>
    <row r="80" spans="2:5" ht="18.75">
      <c r="B80" s="143"/>
    </row>
    <row r="81" spans="2:5" ht="46.5" customHeight="1">
      <c r="B81" s="1957" t="s">
        <v>1059</v>
      </c>
      <c r="C81" s="1957"/>
      <c r="D81" s="1957"/>
      <c r="E81" s="1957"/>
    </row>
    <row r="82" spans="2:5" ht="18.75">
      <c r="B82" s="144"/>
    </row>
    <row r="83" spans="2:5" ht="18.75">
      <c r="B83" s="146" t="s">
        <v>1060</v>
      </c>
    </row>
    <row r="84" spans="2:5" ht="18.75">
      <c r="B84" s="143"/>
    </row>
    <row r="85" spans="2:5" ht="101.25" customHeight="1">
      <c r="B85" s="1957" t="s">
        <v>1061</v>
      </c>
      <c r="C85" s="1957"/>
      <c r="D85" s="1957"/>
      <c r="E85" s="1957"/>
    </row>
    <row r="86" spans="2:5" ht="18.75">
      <c r="B86" s="144"/>
    </row>
    <row r="87" spans="2:5" ht="65.25" customHeight="1">
      <c r="B87" s="1957" t="s">
        <v>1266</v>
      </c>
      <c r="C87" s="1957"/>
      <c r="D87" s="1957"/>
      <c r="E87" s="1957"/>
    </row>
    <row r="88" spans="2:5" ht="18.75">
      <c r="B88" s="144"/>
    </row>
    <row r="89" spans="2:5" ht="72.75" customHeight="1">
      <c r="B89" s="1957" t="s">
        <v>1267</v>
      </c>
      <c r="C89" s="1957"/>
      <c r="D89" s="1957"/>
      <c r="E89" s="1957"/>
    </row>
    <row r="90" spans="2:5" ht="18.75">
      <c r="B90" s="144"/>
    </row>
    <row r="91" spans="2:5" ht="87.75" customHeight="1">
      <c r="B91" s="1957" t="s">
        <v>1268</v>
      </c>
      <c r="C91" s="1957"/>
      <c r="D91" s="1957"/>
      <c r="E91" s="1957"/>
    </row>
    <row r="92" spans="2:5" ht="18.75">
      <c r="B92" s="144"/>
    </row>
    <row r="93" spans="2:5" ht="61.5" customHeight="1">
      <c r="B93" s="1957" t="s">
        <v>1269</v>
      </c>
      <c r="C93" s="1957"/>
      <c r="D93" s="1957"/>
      <c r="E93" s="1957"/>
    </row>
    <row r="94" spans="2:5" ht="18.75">
      <c r="B94" s="144"/>
    </row>
    <row r="95" spans="2:5" ht="132.75" customHeight="1">
      <c r="B95" s="1957" t="s">
        <v>1237</v>
      </c>
      <c r="C95" s="1957"/>
      <c r="D95" s="1957"/>
      <c r="E95" s="1957"/>
    </row>
    <row r="96" spans="2:5" ht="18.75">
      <c r="B96" s="144"/>
    </row>
    <row r="97" spans="2:5" ht="18.75">
      <c r="B97" s="146" t="s">
        <v>1062</v>
      </c>
    </row>
    <row r="98" spans="2:5" ht="18.75">
      <c r="B98" s="143"/>
    </row>
    <row r="99" spans="2:5" ht="38.25" customHeight="1">
      <c r="B99" s="1957" t="s">
        <v>1063</v>
      </c>
      <c r="C99" s="1957"/>
      <c r="D99" s="1957"/>
      <c r="E99" s="1957"/>
    </row>
    <row r="100" spans="2:5" ht="18.75">
      <c r="B100" s="144" t="s">
        <v>1022</v>
      </c>
    </row>
    <row r="101" spans="2:5" ht="48" customHeight="1">
      <c r="B101" s="1957" t="s">
        <v>1064</v>
      </c>
      <c r="C101" s="1957"/>
      <c r="D101" s="1957"/>
      <c r="E101" s="1957"/>
    </row>
    <row r="102" spans="2:5" ht="18.75">
      <c r="B102" s="147"/>
    </row>
    <row r="103" spans="2:5" ht="37.5" customHeight="1">
      <c r="B103" s="1956" t="s">
        <v>1065</v>
      </c>
      <c r="C103" s="1956"/>
      <c r="D103" s="1956"/>
      <c r="E103" s="1956"/>
    </row>
    <row r="104" spans="2:5" ht="18.75">
      <c r="B104" s="143"/>
    </row>
    <row r="105" spans="2:5" ht="79.5" customHeight="1">
      <c r="B105" s="1957" t="s">
        <v>1238</v>
      </c>
      <c r="C105" s="1957"/>
      <c r="D105" s="1957"/>
      <c r="E105" s="1957"/>
    </row>
    <row r="106" spans="2:5" ht="18.75">
      <c r="B106" s="144"/>
    </row>
    <row r="107" spans="2:5" ht="55.5" customHeight="1">
      <c r="B107" s="1957" t="s">
        <v>1066</v>
      </c>
      <c r="C107" s="1957"/>
      <c r="D107" s="1957"/>
      <c r="E107" s="1957"/>
    </row>
    <row r="108" spans="2:5" ht="18.75">
      <c r="B108" s="148"/>
    </row>
    <row r="109" spans="2:5" ht="83.25" customHeight="1">
      <c r="B109" s="1957" t="s">
        <v>1239</v>
      </c>
      <c r="C109" s="1957"/>
      <c r="D109" s="1957"/>
      <c r="E109" s="1957"/>
    </row>
    <row r="110" spans="2:5" ht="18.75">
      <c r="B110" s="143"/>
    </row>
    <row r="111" spans="2:5" ht="37.5" customHeight="1">
      <c r="B111" s="1953" t="s">
        <v>1067</v>
      </c>
      <c r="C111" s="1953"/>
      <c r="D111" s="1953"/>
      <c r="E111" s="1953"/>
    </row>
    <row r="112" spans="2:5" ht="18.75">
      <c r="B112" s="143"/>
    </row>
    <row r="113" spans="2:5" ht="18.75">
      <c r="B113" s="146" t="s">
        <v>1068</v>
      </c>
    </row>
    <row r="114" spans="2:5" ht="18.75">
      <c r="B114" s="143"/>
    </row>
    <row r="115" spans="2:5" ht="60.75" customHeight="1">
      <c r="B115" s="1957" t="s">
        <v>1240</v>
      </c>
      <c r="C115" s="1957"/>
      <c r="D115" s="1957"/>
      <c r="E115" s="1957"/>
    </row>
    <row r="116" spans="2:5" ht="18.75">
      <c r="B116" s="144"/>
    </row>
    <row r="117" spans="2:5" ht="107.25" customHeight="1">
      <c r="B117" s="1957" t="s">
        <v>1241</v>
      </c>
      <c r="C117" s="1957"/>
      <c r="D117" s="1957"/>
      <c r="E117" s="1957"/>
    </row>
    <row r="118" spans="2:5" ht="18.75">
      <c r="B118" s="144"/>
    </row>
    <row r="119" spans="2:5" ht="88.5" customHeight="1">
      <c r="B119" s="1957" t="s">
        <v>1242</v>
      </c>
      <c r="C119" s="1957"/>
      <c r="D119" s="1957"/>
      <c r="E119" s="1957"/>
    </row>
    <row r="120" spans="2:5" ht="18.75">
      <c r="B120" s="147"/>
    </row>
    <row r="121" spans="2:5" ht="18.75">
      <c r="B121" s="147"/>
    </row>
    <row r="122" spans="2:5" ht="18.75">
      <c r="B122" s="146" t="s">
        <v>1069</v>
      </c>
    </row>
    <row r="123" spans="2:5" ht="54.75" customHeight="1">
      <c r="B123" s="1957" t="s">
        <v>1219</v>
      </c>
      <c r="C123" s="1957"/>
      <c r="D123" s="1957"/>
      <c r="E123" s="1957"/>
    </row>
    <row r="124" spans="2:5" ht="18.75">
      <c r="B124" s="144"/>
    </row>
    <row r="125" spans="2:5" ht="18.75">
      <c r="B125" s="146" t="s">
        <v>1070</v>
      </c>
    </row>
    <row r="126" spans="2:5" ht="51.75" customHeight="1">
      <c r="B126" s="1957" t="s">
        <v>1243</v>
      </c>
      <c r="C126" s="1957"/>
      <c r="D126" s="1957"/>
      <c r="E126" s="1957"/>
    </row>
    <row r="127" spans="2:5" ht="43.5" customHeight="1">
      <c r="B127" s="144"/>
    </row>
    <row r="128" spans="2:5" ht="40.5" customHeight="1">
      <c r="B128" s="146"/>
    </row>
    <row r="129" spans="2:5" ht="18.75">
      <c r="B129" s="146" t="s">
        <v>1071</v>
      </c>
    </row>
    <row r="130" spans="2:5" ht="107.25" customHeight="1">
      <c r="B130" s="1957" t="s">
        <v>1244</v>
      </c>
      <c r="C130" s="1957"/>
      <c r="D130" s="1957"/>
      <c r="E130" s="1957"/>
    </row>
    <row r="131" spans="2:5" ht="18.75">
      <c r="B131" s="144"/>
    </row>
    <row r="132" spans="2:5" ht="67.5" customHeight="1">
      <c r="B132" s="1957" t="s">
        <v>1245</v>
      </c>
      <c r="C132" s="1957"/>
      <c r="D132" s="1957"/>
      <c r="E132" s="1957"/>
    </row>
    <row r="133" spans="2:5" ht="18.75">
      <c r="B133" s="144"/>
    </row>
    <row r="134" spans="2:5" ht="62.25" customHeight="1">
      <c r="B134" s="1957" t="s">
        <v>1246</v>
      </c>
      <c r="C134" s="1957"/>
      <c r="D134" s="1957"/>
      <c r="E134" s="1957"/>
    </row>
    <row r="135" spans="2:5" ht="18.75">
      <c r="B135" s="144"/>
    </row>
    <row r="136" spans="2:5" ht="27.75" customHeight="1">
      <c r="B136" s="1956" t="s">
        <v>1072</v>
      </c>
      <c r="C136" s="1956"/>
      <c r="D136" s="1956"/>
      <c r="E136" s="1956"/>
    </row>
    <row r="137" spans="2:5" ht="86.25" customHeight="1">
      <c r="B137" s="1957" t="s">
        <v>1247</v>
      </c>
      <c r="C137" s="1957"/>
      <c r="D137" s="1957"/>
      <c r="E137" s="1957"/>
    </row>
    <row r="138" spans="2:5" ht="18.75">
      <c r="B138" s="144"/>
    </row>
    <row r="139" spans="2:5" ht="35.25" customHeight="1">
      <c r="B139" s="1956" t="s">
        <v>1073</v>
      </c>
      <c r="C139" s="1956"/>
      <c r="D139" s="1956"/>
      <c r="E139" s="1956"/>
    </row>
    <row r="140" spans="2:5" ht="98.25" customHeight="1">
      <c r="B140" s="1957" t="s">
        <v>1248</v>
      </c>
      <c r="C140" s="1957"/>
      <c r="D140" s="1957"/>
      <c r="E140" s="1957"/>
    </row>
    <row r="141" spans="2:5" ht="21" customHeight="1">
      <c r="B141" s="226"/>
      <c r="C141" s="226"/>
      <c r="D141" s="226"/>
      <c r="E141" s="226"/>
    </row>
    <row r="142" spans="2:5" ht="12.75" customHeight="1">
      <c r="B142" s="226"/>
      <c r="C142" s="226"/>
      <c r="D142" s="226"/>
      <c r="E142" s="226"/>
    </row>
    <row r="143" spans="2:5" ht="18.75">
      <c r="B143" s="147"/>
    </row>
    <row r="144" spans="2:5" ht="34.5" customHeight="1">
      <c r="B144" s="1953" t="s">
        <v>1074</v>
      </c>
      <c r="C144" s="1953"/>
      <c r="D144" s="1953"/>
      <c r="E144" s="1953"/>
    </row>
    <row r="145" spans="2:5" ht="102" customHeight="1">
      <c r="B145" s="1957" t="s">
        <v>1249</v>
      </c>
      <c r="C145" s="1957"/>
      <c r="D145" s="1957"/>
      <c r="E145" s="1957"/>
    </row>
    <row r="146" spans="2:5" ht="14.25" customHeight="1">
      <c r="B146" s="161"/>
      <c r="C146" s="161"/>
      <c r="D146" s="161"/>
      <c r="E146" s="182"/>
    </row>
    <row r="147" spans="2:5" ht="14.25" customHeight="1">
      <c r="B147" s="226"/>
      <c r="C147" s="226"/>
      <c r="D147" s="226"/>
      <c r="E147" s="225"/>
    </row>
    <row r="148" spans="2:5">
      <c r="B148" s="141" t="s">
        <v>925</v>
      </c>
    </row>
    <row r="149" spans="2:5">
      <c r="B149" s="150"/>
    </row>
    <row r="150" spans="2:5">
      <c r="B150" s="141" t="s">
        <v>15</v>
      </c>
    </row>
    <row r="151" spans="2:5">
      <c r="B151" s="140"/>
    </row>
    <row r="152" spans="2:5">
      <c r="B152" s="141" t="s">
        <v>1075</v>
      </c>
      <c r="C152" s="322"/>
      <c r="D152" s="322"/>
    </row>
    <row r="153" spans="2:5" ht="31.5" customHeight="1">
      <c r="B153" s="1868" t="str">
        <f>+BALANZA!B2</f>
        <v>Del Ejercicio terminado el  31 de marzo de 2026  y  2025</v>
      </c>
      <c r="C153" s="1868"/>
      <c r="D153" s="1868"/>
      <c r="E153" s="1868"/>
    </row>
    <row r="154" spans="2:5" ht="41.25" customHeight="1">
      <c r="B154" s="1868" t="str">
        <f>("El efectivo disponible en caja y cuentas bancarias presenta los siguientes balance para el 2016 RD$"&amp;D161&amp;" y para el 2017 RD$"&amp;C161&amp;", el cual se detalla a continuación:")</f>
        <v>El efectivo disponible en caja y cuentas bancarias presenta los siguientes balance para el 2016 RD$911230.76 y para el 2017 RD$812555.3, el cual se detalla a continuación:</v>
      </c>
      <c r="C154" s="1868"/>
      <c r="D154" s="1868"/>
      <c r="E154" s="1868"/>
    </row>
    <row r="155" spans="2:5">
      <c r="B155" s="150"/>
    </row>
    <row r="156" spans="2:5">
      <c r="B156" s="162" t="s">
        <v>1076</v>
      </c>
      <c r="C156" s="163">
        <f>+BALANZA!B4</f>
        <v>2026</v>
      </c>
      <c r="D156" s="258">
        <f>+BALANZA!C4</f>
        <v>2025</v>
      </c>
      <c r="E156" s="184" t="s">
        <v>1220</v>
      </c>
    </row>
    <row r="157" spans="2:5">
      <c r="B157" s="165" t="s">
        <v>1187</v>
      </c>
      <c r="C157" s="167">
        <f>+'BALANZA G'!C11</f>
        <v>95000</v>
      </c>
      <c r="D157" s="207">
        <f>+'BALANZA G'!D11</f>
        <v>95000</v>
      </c>
      <c r="E157" s="260">
        <f>+C157-D157</f>
        <v>0</v>
      </c>
    </row>
    <row r="158" spans="2:5">
      <c r="B158" s="165" t="str">
        <f>+'BALANZA G'!A23</f>
        <v xml:space="preserve"> RESERVAS CTA. 100011701025466</v>
      </c>
      <c r="C158" s="167">
        <f>+'BALANZA G'!C23</f>
        <v>0</v>
      </c>
      <c r="D158" s="207">
        <f>+'BALANZA G'!D23</f>
        <v>1391.2</v>
      </c>
      <c r="E158" s="260">
        <f>+C158-D158</f>
        <v>-1391.2</v>
      </c>
    </row>
    <row r="159" spans="2:5">
      <c r="B159" s="165" t="str">
        <f>+'BALANZA G'!A25</f>
        <v xml:space="preserve"> RESERVAS CTA. 100011701027264</v>
      </c>
      <c r="C159" s="166">
        <f>+'BALANZA G'!C25</f>
        <v>717555.3</v>
      </c>
      <c r="D159" s="263">
        <f>+'BALANZA G'!D25</f>
        <v>814839.56</v>
      </c>
      <c r="E159" s="264">
        <f>+C159-D159</f>
        <v>-97284.260000000009</v>
      </c>
    </row>
    <row r="160" spans="2:5">
      <c r="B160" s="165" t="str">
        <f>+'BALANZA G'!A24</f>
        <v xml:space="preserve"> RESERVAS CTA. 100011701024303</v>
      </c>
      <c r="C160" s="167">
        <f>+'BALANZA G'!C24</f>
        <v>0</v>
      </c>
      <c r="D160" s="207">
        <f>+'BALANZA G'!D24</f>
        <v>0</v>
      </c>
      <c r="E160" s="260">
        <f>+C160-D160</f>
        <v>0</v>
      </c>
    </row>
    <row r="161" spans="2:5" s="5" customFormat="1">
      <c r="B161" s="261" t="s">
        <v>1077</v>
      </c>
      <c r="C161" s="170">
        <f>SUM(C157:C160)</f>
        <v>812555.3</v>
      </c>
      <c r="D161" s="210">
        <f>SUM(D157:D160)</f>
        <v>911230.76</v>
      </c>
      <c r="E161" s="210">
        <f>SUM(E157:E160)</f>
        <v>-98675.46</v>
      </c>
    </row>
    <row r="162" spans="2:5" s="5" customFormat="1">
      <c r="B162" s="255"/>
      <c r="C162" s="812" t="e">
        <f>+C161-'BALANZA G'!#REF!</f>
        <v>#REF!</v>
      </c>
      <c r="D162" s="256"/>
      <c r="E162" s="257"/>
    </row>
    <row r="163" spans="2:5" s="5" customFormat="1">
      <c r="B163" s="1881" t="s">
        <v>2001</v>
      </c>
      <c r="C163" s="1882"/>
      <c r="D163" s="304" t="str">
        <f>IF(E163&gt;=0,"Aumento","Disminución")</f>
        <v>Disminución</v>
      </c>
      <c r="E163" s="228">
        <f>+E161/D161</f>
        <v>-0.10828811353997753</v>
      </c>
    </row>
    <row r="164" spans="2:5" s="5" customFormat="1">
      <c r="B164" s="262"/>
      <c r="C164" s="262"/>
      <c r="D164" s="262"/>
      <c r="E164" s="235"/>
    </row>
    <row r="165" spans="2:5">
      <c r="B165" s="162" t="s">
        <v>1076</v>
      </c>
      <c r="C165" s="163">
        <f>+C156</f>
        <v>2026</v>
      </c>
      <c r="D165" s="258">
        <f>+D156</f>
        <v>2025</v>
      </c>
      <c r="E165" s="184" t="s">
        <v>1220</v>
      </c>
    </row>
    <row r="166" spans="2:5">
      <c r="B166" s="261" t="s">
        <v>1227</v>
      </c>
      <c r="C166" s="265">
        <v>0</v>
      </c>
      <c r="D166" s="266">
        <v>0</v>
      </c>
      <c r="E166" s="266">
        <v>0</v>
      </c>
    </row>
    <row r="167" spans="2:5">
      <c r="B167" s="272" t="s">
        <v>1228</v>
      </c>
      <c r="C167" s="255"/>
      <c r="D167" s="256"/>
      <c r="E167" s="257"/>
    </row>
    <row r="168" spans="2:5" s="5" customFormat="1">
      <c r="B168" s="1881" t="s">
        <v>2001</v>
      </c>
      <c r="C168" s="1882"/>
      <c r="D168" s="304">
        <v>0</v>
      </c>
      <c r="E168" s="228">
        <v>0</v>
      </c>
    </row>
    <row r="169" spans="2:5">
      <c r="B169" s="150"/>
    </row>
    <row r="170" spans="2:5">
      <c r="B170" s="150"/>
    </row>
    <row r="171" spans="2:5">
      <c r="B171" s="141" t="s">
        <v>1274</v>
      </c>
    </row>
    <row r="172" spans="2:5" ht="24" customHeight="1">
      <c r="B172" s="1868" t="str">
        <f>+BALANZA!B2</f>
        <v>Del Ejercicio terminado el  31 de marzo de 2026  y  2025</v>
      </c>
      <c r="C172" s="1868"/>
      <c r="D172" s="1868"/>
      <c r="E172" s="1868"/>
    </row>
    <row r="173" spans="2:5" ht="51" customHeight="1">
      <c r="B173" s="1868" t="str">
        <f>("Las Centas por cobrar  están representados por las partidas  Cuentas por cobrar Empleados y el documento por Cobrar es de un certificado financiero, Para el 2017 el monto total de estas partidas fue por RD$"&amp;D179&amp;" y para el 2018 el monto era RD$"&amp;C179&amp;",   de Según el siguiente detalle:")</f>
        <v>Las Centas por cobrar  están representados por las partidas  Cuentas por cobrar Empleados y el documento por Cobrar es de un certificado financiero, Para el 2017 el monto total de estas partidas fue por RD$0 y para el 2018 el monto era RD$0,   de Según el siguiente detalle:</v>
      </c>
      <c r="C173" s="1868"/>
      <c r="D173" s="1868"/>
      <c r="E173" s="1868"/>
    </row>
    <row r="174" spans="2:5">
      <c r="B174" s="140"/>
    </row>
    <row r="175" spans="2:5">
      <c r="B175" s="162" t="s">
        <v>1076</v>
      </c>
      <c r="C175" s="162">
        <f>+C165</f>
        <v>2026</v>
      </c>
      <c r="D175" s="268">
        <f>+D165</f>
        <v>2025</v>
      </c>
      <c r="E175" s="184" t="s">
        <v>1220</v>
      </c>
    </row>
    <row r="176" spans="2:5" hidden="1">
      <c r="B176" s="171" t="s">
        <v>1078</v>
      </c>
      <c r="C176" s="327" t="e">
        <f>+'BALANZA G'!#REF!</f>
        <v>#REF!</v>
      </c>
      <c r="D176" s="328" t="e">
        <f>+'BALANZA G'!#REF!</f>
        <v>#REF!</v>
      </c>
      <c r="E176" s="259" t="e">
        <f>+C176-D176</f>
        <v>#REF!</v>
      </c>
    </row>
    <row r="177" spans="2:5">
      <c r="B177" s="171" t="s">
        <v>1277</v>
      </c>
      <c r="C177" s="169">
        <f>+'BALANZA G'!C34</f>
        <v>0</v>
      </c>
      <c r="D177" s="168">
        <f>+'BALANZA G'!D34</f>
        <v>0</v>
      </c>
      <c r="E177" s="191">
        <f>+C177-D177</f>
        <v>0</v>
      </c>
    </row>
    <row r="178" spans="2:5">
      <c r="B178" s="171" t="s">
        <v>1276</v>
      </c>
      <c r="C178" s="169">
        <f>+'BALANZA G'!C30</f>
        <v>0</v>
      </c>
      <c r="D178" s="168">
        <f>+'BALANZA G'!D30</f>
        <v>0</v>
      </c>
      <c r="E178" s="191">
        <f>+C178-D178</f>
        <v>0</v>
      </c>
    </row>
    <row r="179" spans="2:5" ht="15">
      <c r="B179" s="172" t="s">
        <v>1275</v>
      </c>
      <c r="C179" s="170">
        <f>SUM(C177:C178)</f>
        <v>0</v>
      </c>
      <c r="D179" s="170">
        <f>SUM(D177:D178)</f>
        <v>0</v>
      </c>
      <c r="E179" s="170" t="e">
        <f>SUM(E176:E178)</f>
        <v>#REF!</v>
      </c>
    </row>
    <row r="180" spans="2:5" ht="15">
      <c r="B180" s="267"/>
      <c r="C180" s="811" t="e">
        <f>+C179-'BALANZA G'!#REF!</f>
        <v>#REF!</v>
      </c>
      <c r="D180" s="232"/>
      <c r="E180" s="232"/>
    </row>
    <row r="181" spans="2:5" s="5" customFormat="1">
      <c r="B181" s="1881" t="s">
        <v>2001</v>
      </c>
      <c r="C181" s="1882"/>
      <c r="D181" s="304" t="e">
        <f>IF(E181&gt;=0,"Aumento","Disminución")</f>
        <v>#REF!</v>
      </c>
      <c r="E181" s="228" t="e">
        <f>+E179/D179</f>
        <v>#REF!</v>
      </c>
    </row>
    <row r="182" spans="2:5">
      <c r="B182" s="140"/>
    </row>
    <row r="183" spans="2:5" ht="25.5" customHeight="1">
      <c r="B183" s="1868"/>
      <c r="C183" s="1868"/>
      <c r="D183" s="1868"/>
      <c r="E183" s="1868"/>
    </row>
    <row r="184" spans="2:5">
      <c r="B184" s="150"/>
    </row>
    <row r="185" spans="2:5">
      <c r="B185" s="150"/>
    </row>
    <row r="186" spans="2:5">
      <c r="B186" s="150"/>
    </row>
    <row r="187" spans="2:5">
      <c r="B187" s="150"/>
    </row>
    <row r="188" spans="2:5">
      <c r="B188" s="150"/>
    </row>
    <row r="189" spans="2:5">
      <c r="B189" s="150"/>
    </row>
    <row r="190" spans="2:5" ht="37.5">
      <c r="B190" s="143" t="s">
        <v>1278</v>
      </c>
    </row>
    <row r="191" spans="2:5" ht="24" customHeight="1">
      <c r="B191" s="1868" t="str">
        <f>+BALANZA!B2</f>
        <v>Del Ejercicio terminado el  31 de marzo de 2026  y  2025</v>
      </c>
      <c r="C191" s="1868"/>
      <c r="D191" s="1868"/>
      <c r="E191" s="1868"/>
    </row>
    <row r="192" spans="2:5" ht="41.25" customHeight="1">
      <c r="B192" s="1868" t="str">
        <f>("Los  inventarios están representados por las partidas de materiales en existencia, Para el "&amp;BALANZA!C4&amp;" el monto fue por RD$"&amp;D197&amp;" y para el "&amp;BALANZA!B4&amp;" el monto era RD$"&amp;C197&amp;", Según el siguiente detalle:")</f>
        <v>Los  inventarios están representados por las partidas de materiales en existencia, Para el 2025 el monto fue por RD$15776376.33 y para el 2026 el monto era RD$14233314.59, Según el siguiente detalle:</v>
      </c>
      <c r="C192" s="1868"/>
      <c r="D192" s="1868"/>
      <c r="E192" s="1868"/>
    </row>
    <row r="193" spans="2:5">
      <c r="B193" s="140"/>
    </row>
    <row r="194" spans="2:5">
      <c r="B194" s="162" t="s">
        <v>1076</v>
      </c>
      <c r="C194" s="162">
        <f>+C165</f>
        <v>2026</v>
      </c>
      <c r="D194" s="268">
        <f>+D165</f>
        <v>2025</v>
      </c>
      <c r="E194" s="184" t="s">
        <v>1220</v>
      </c>
    </row>
    <row r="195" spans="2:5" hidden="1">
      <c r="B195" s="171" t="s">
        <v>1078</v>
      </c>
      <c r="C195" s="169">
        <f>+'BALANZA G'!C40</f>
        <v>0</v>
      </c>
      <c r="D195" s="168">
        <f>+'BALANZA G'!D40</f>
        <v>0</v>
      </c>
      <c r="E195" s="259">
        <f>+C195-D195</f>
        <v>0</v>
      </c>
    </row>
    <row r="196" spans="2:5">
      <c r="B196" s="171" t="s">
        <v>1188</v>
      </c>
      <c r="C196" s="169">
        <f>+'BALANZA G'!C41</f>
        <v>14233314.59</v>
      </c>
      <c r="D196" s="169">
        <f>+'BALANZA G'!D41</f>
        <v>15776376.33</v>
      </c>
      <c r="E196" s="259">
        <f>+C196-D196</f>
        <v>-1543061.7400000002</v>
      </c>
    </row>
    <row r="197" spans="2:5" ht="15">
      <c r="B197" s="172" t="s">
        <v>1079</v>
      </c>
      <c r="C197" s="170">
        <f>SUM(C195:C196)</f>
        <v>14233314.59</v>
      </c>
      <c r="D197" s="170">
        <f>SUM(D195:D196)</f>
        <v>15776376.33</v>
      </c>
      <c r="E197" s="170">
        <f>SUM(E195:E196)</f>
        <v>-1543061.7400000002</v>
      </c>
    </row>
    <row r="198" spans="2:5" ht="15">
      <c r="B198" s="267"/>
      <c r="C198" s="811" t="e">
        <f>+C197-'BALANZA G'!#REF!</f>
        <v>#REF!</v>
      </c>
      <c r="D198" s="232"/>
      <c r="E198" s="232"/>
    </row>
    <row r="199" spans="2:5" s="5" customFormat="1">
      <c r="B199" s="1881" t="s">
        <v>2001</v>
      </c>
      <c r="C199" s="1882"/>
      <c r="D199" s="304" t="str">
        <f>IF(E199&gt;=0,"Aumento","Disminución")</f>
        <v>Disminución</v>
      </c>
      <c r="E199" s="228">
        <f>IFERROR((+E197/D197),0)</f>
        <v>-9.7808375492777072E-2</v>
      </c>
    </row>
    <row r="200" spans="2:5">
      <c r="B200" s="140"/>
    </row>
    <row r="201" spans="2:5" ht="53.25" customHeight="1">
      <c r="B201" s="1868"/>
      <c r="C201" s="1868"/>
      <c r="D201" s="1868"/>
      <c r="E201" s="1868"/>
    </row>
    <row r="202" spans="2:5" ht="16.5" customHeight="1">
      <c r="B202" s="225"/>
      <c r="C202" s="225"/>
      <c r="D202" s="225"/>
      <c r="E202" s="225"/>
    </row>
    <row r="203" spans="2:5" ht="16.5" customHeight="1">
      <c r="B203" s="306"/>
      <c r="C203" s="306"/>
      <c r="D203" s="306"/>
      <c r="E203" s="306"/>
    </row>
    <row r="204" spans="2:5" ht="14.25" customHeight="1">
      <c r="B204" s="306"/>
      <c r="C204" s="306"/>
      <c r="D204" s="306"/>
      <c r="E204" s="306"/>
    </row>
    <row r="205" spans="2:5" ht="18.75">
      <c r="B205" s="817" t="s">
        <v>1279</v>
      </c>
    </row>
    <row r="206" spans="2:5" ht="28.5" customHeight="1">
      <c r="B206" s="1868" t="str">
        <f>+BALANZA!B2</f>
        <v>Del Ejercicio terminado el  31 de marzo de 2026  y  2025</v>
      </c>
      <c r="C206" s="1868"/>
      <c r="D206" s="1868"/>
      <c r="E206" s="1868"/>
    </row>
    <row r="207" spans="2:5" ht="49.5" customHeight="1">
      <c r="B207" s="1868" t="str">
        <f>("Los depósitos o fianzas por los alquileres de locales de CORAAMOCA, vigentes, están registrado en el Estado de Balance General, dentro  de la partida de otros activos, en  periodos "&amp;BALANZA!B4&amp;" el valor estaba en RD$"&amp;E219&amp;".  Según detalles:")</f>
        <v>Los depósitos o fianzas por los alquileres de locales de CORAAMOCA, vigentes, están registrado en el Estado de Balance General, dentro  de la partida de otros activos, en  periodos 2026 el valor estaba en RD$199172.  Según detalles:</v>
      </c>
      <c r="C207" s="1868"/>
      <c r="D207" s="1868"/>
      <c r="E207" s="1868"/>
    </row>
    <row r="208" spans="2:5">
      <c r="B208" s="151"/>
    </row>
    <row r="209" spans="2:5" s="179" customFormat="1" ht="19.5" customHeight="1">
      <c r="B209" s="162" t="s">
        <v>1203</v>
      </c>
      <c r="C209" s="162" t="s">
        <v>1202</v>
      </c>
      <c r="D209" s="163" t="s">
        <v>1204</v>
      </c>
      <c r="E209" s="185" t="s">
        <v>1205</v>
      </c>
    </row>
    <row r="210" spans="2:5">
      <c r="B210" s="173" t="s">
        <v>1190</v>
      </c>
      <c r="C210" s="174" t="s">
        <v>1191</v>
      </c>
      <c r="D210" s="175">
        <v>12000</v>
      </c>
      <c r="E210" s="204">
        <f>+D210</f>
        <v>12000</v>
      </c>
    </row>
    <row r="211" spans="2:5">
      <c r="B211" s="173" t="s">
        <v>1192</v>
      </c>
      <c r="C211" s="174" t="s">
        <v>1193</v>
      </c>
      <c r="D211" s="175">
        <v>21000</v>
      </c>
      <c r="E211" s="204">
        <f t="shared" ref="E211:E218" si="0">+D211</f>
        <v>21000</v>
      </c>
    </row>
    <row r="212" spans="2:5">
      <c r="B212" s="173" t="s">
        <v>1194</v>
      </c>
      <c r="C212" s="174" t="s">
        <v>1977</v>
      </c>
      <c r="D212" s="175">
        <v>28500</v>
      </c>
      <c r="E212" s="204">
        <f t="shared" si="0"/>
        <v>28500</v>
      </c>
    </row>
    <row r="213" spans="2:5">
      <c r="B213" s="173" t="s">
        <v>1195</v>
      </c>
      <c r="C213" s="174" t="s">
        <v>1978</v>
      </c>
      <c r="D213" s="175">
        <v>33336</v>
      </c>
      <c r="E213" s="204">
        <f t="shared" si="0"/>
        <v>33336</v>
      </c>
    </row>
    <row r="214" spans="2:5">
      <c r="B214" s="176" t="s">
        <v>1196</v>
      </c>
      <c r="C214" s="177" t="s">
        <v>1197</v>
      </c>
      <c r="D214" s="178">
        <v>20000</v>
      </c>
      <c r="E214" s="204">
        <f t="shared" si="0"/>
        <v>20000</v>
      </c>
    </row>
    <row r="215" spans="2:5">
      <c r="B215" s="176" t="s">
        <v>1198</v>
      </c>
      <c r="C215" s="177" t="s">
        <v>1199</v>
      </c>
      <c r="D215" s="178">
        <v>13500</v>
      </c>
      <c r="E215" s="204">
        <f t="shared" si="0"/>
        <v>13500</v>
      </c>
    </row>
    <row r="216" spans="2:5">
      <c r="B216" s="176" t="s">
        <v>2000</v>
      </c>
      <c r="C216" s="177" t="s">
        <v>1201</v>
      </c>
      <c r="D216" s="178">
        <v>10500</v>
      </c>
      <c r="E216" s="204">
        <f t="shared" si="0"/>
        <v>10500</v>
      </c>
    </row>
    <row r="217" spans="2:5">
      <c r="B217" s="301" t="s">
        <v>1200</v>
      </c>
      <c r="C217" s="177" t="s">
        <v>1997</v>
      </c>
      <c r="D217" s="178">
        <v>33336</v>
      </c>
      <c r="E217" s="204">
        <f t="shared" si="0"/>
        <v>33336</v>
      </c>
    </row>
    <row r="218" spans="2:5">
      <c r="B218" s="301" t="s">
        <v>1999</v>
      </c>
      <c r="C218" s="177" t="s">
        <v>1998</v>
      </c>
      <c r="D218" s="178">
        <v>27000</v>
      </c>
      <c r="E218" s="204">
        <f t="shared" si="0"/>
        <v>27000</v>
      </c>
    </row>
    <row r="219" spans="2:5">
      <c r="B219" s="1955" t="s">
        <v>1080</v>
      </c>
      <c r="C219" s="1955"/>
      <c r="D219" s="1955"/>
      <c r="E219" s="199">
        <f>SUM(E210:E218)</f>
        <v>199172</v>
      </c>
    </row>
    <row r="220" spans="2:5" ht="15">
      <c r="B220" s="241"/>
      <c r="C220" s="241"/>
      <c r="D220" s="241"/>
      <c r="E220" s="811" t="e">
        <f>+E219-'BALANZA G'!#REF!</f>
        <v>#REF!</v>
      </c>
    </row>
    <row r="221" spans="2:5">
      <c r="B221" s="141"/>
    </row>
    <row r="222" spans="2:5">
      <c r="B222" s="141"/>
    </row>
    <row r="223" spans="2:5">
      <c r="B223" s="141"/>
    </row>
    <row r="224" spans="2:5">
      <c r="B224" s="141"/>
    </row>
    <row r="225" spans="2:5">
      <c r="B225" s="141"/>
    </row>
    <row r="226" spans="2:5">
      <c r="B226" s="141"/>
    </row>
    <row r="227" spans="2:5">
      <c r="B227" s="141"/>
    </row>
    <row r="228" spans="2:5">
      <c r="B228" s="141"/>
    </row>
    <row r="229" spans="2:5">
      <c r="B229" s="141"/>
    </row>
    <row r="230" spans="2:5">
      <c r="B230" s="141"/>
    </row>
    <row r="231" spans="2:5" ht="31.5" customHeight="1">
      <c r="B231" s="1952" t="s">
        <v>1081</v>
      </c>
      <c r="C231" s="1952"/>
      <c r="D231" s="1952"/>
      <c r="E231" s="1952"/>
    </row>
    <row r="232" spans="2:5" ht="18.75" customHeight="1">
      <c r="B232" s="1868" t="str">
        <f>+BALANZA!B2</f>
        <v>Del Ejercicio terminado el  31 de marzo de 2026  y  2025</v>
      </c>
      <c r="C232" s="1868"/>
      <c r="D232" s="1868"/>
      <c r="E232" s="1868"/>
    </row>
    <row r="233" spans="2:5" ht="42" customHeight="1">
      <c r="B233" s="1868" t="s">
        <v>1233</v>
      </c>
      <c r="C233" s="1868"/>
      <c r="D233" s="1868"/>
      <c r="E233" s="1868"/>
    </row>
    <row r="234" spans="2:5" ht="83.25" customHeight="1">
      <c r="B234" s="1868" t="s">
        <v>2005</v>
      </c>
      <c r="C234" s="1868"/>
      <c r="D234" s="1868"/>
      <c r="E234" s="1868"/>
    </row>
    <row r="235" spans="2:5" ht="21" customHeight="1">
      <c r="B235" s="150"/>
    </row>
    <row r="236" spans="2:5">
      <c r="B236" s="244" t="s">
        <v>1082</v>
      </c>
      <c r="C236" s="244">
        <f>+BALANZA!B4</f>
        <v>2026</v>
      </c>
      <c r="D236" s="247">
        <f>+BALANZA!C4</f>
        <v>2025</v>
      </c>
      <c r="E236" s="307" t="s">
        <v>1220</v>
      </c>
    </row>
    <row r="237" spans="2:5">
      <c r="B237" s="316" t="s">
        <v>1083</v>
      </c>
      <c r="C237" s="821"/>
      <c r="D237" s="822"/>
      <c r="E237" s="823"/>
    </row>
    <row r="238" spans="2:5">
      <c r="B238" s="317" t="s">
        <v>1084</v>
      </c>
      <c r="C238" s="821"/>
      <c r="D238" s="822"/>
      <c r="E238" s="823"/>
    </row>
    <row r="239" spans="2:5" ht="15">
      <c r="B239" s="176" t="s">
        <v>1085</v>
      </c>
      <c r="C239" s="249">
        <f>+'BALANZA G'!C74</f>
        <v>28796945.620000001</v>
      </c>
      <c r="D239" s="250">
        <f>+'BALANZA G'!D74</f>
        <v>28796945.620000001</v>
      </c>
      <c r="E239" s="320">
        <f>+C239-D239</f>
        <v>0</v>
      </c>
    </row>
    <row r="240" spans="2:5" ht="15" hidden="1">
      <c r="B240" s="176" t="s">
        <v>1086</v>
      </c>
      <c r="C240" s="249"/>
      <c r="D240" s="250"/>
      <c r="E240" s="320">
        <f t="shared" ref="E240:E294" si="1">+C240-D240</f>
        <v>0</v>
      </c>
    </row>
    <row r="241" spans="2:5" ht="25.5" hidden="1">
      <c r="B241" s="176" t="s">
        <v>1087</v>
      </c>
      <c r="C241" s="249"/>
      <c r="D241" s="251"/>
      <c r="E241" s="320">
        <f t="shared" si="1"/>
        <v>0</v>
      </c>
    </row>
    <row r="242" spans="2:5" ht="15">
      <c r="B242" s="308" t="s">
        <v>1088</v>
      </c>
      <c r="C242" s="309">
        <f>SUM(C237:C241)</f>
        <v>28796945.620000001</v>
      </c>
      <c r="D242" s="309">
        <f>SUM(D237:D241)</f>
        <v>28796945.620000001</v>
      </c>
      <c r="E242" s="309">
        <f>SUM(E237:E241)</f>
        <v>0</v>
      </c>
    </row>
    <row r="243" spans="2:5" ht="15">
      <c r="B243" s="308" t="s">
        <v>1089</v>
      </c>
      <c r="C243" s="310"/>
      <c r="D243" s="311"/>
      <c r="E243" s="321">
        <f t="shared" si="1"/>
        <v>0</v>
      </c>
    </row>
    <row r="244" spans="2:5" ht="21">
      <c r="B244" s="308" t="s">
        <v>1090</v>
      </c>
      <c r="C244" s="309">
        <f>+C242-C243</f>
        <v>28796945.620000001</v>
      </c>
      <c r="D244" s="309">
        <f>+D242-D243</f>
        <v>28796945.620000001</v>
      </c>
      <c r="E244" s="309">
        <f>+E242-E243</f>
        <v>0</v>
      </c>
    </row>
    <row r="245" spans="2:5" ht="15">
      <c r="B245" s="317" t="s">
        <v>1091</v>
      </c>
      <c r="C245" s="818"/>
      <c r="D245" s="819"/>
      <c r="E245" s="820"/>
    </row>
    <row r="246" spans="2:5" ht="15">
      <c r="B246" s="176" t="s">
        <v>1092</v>
      </c>
      <c r="C246" s="249">
        <f>+'BALANZA G'!C64</f>
        <v>55553258.920000002</v>
      </c>
      <c r="D246" s="250">
        <f>+'BALANZA G'!D64</f>
        <v>55553258.920000002</v>
      </c>
      <c r="E246" s="320">
        <f t="shared" si="1"/>
        <v>0</v>
      </c>
    </row>
    <row r="247" spans="2:5" ht="15" hidden="1">
      <c r="B247" s="176" t="s">
        <v>1093</v>
      </c>
      <c r="C247" s="249"/>
      <c r="D247" s="250"/>
      <c r="E247" s="320">
        <f t="shared" si="1"/>
        <v>0</v>
      </c>
    </row>
    <row r="248" spans="2:5" ht="15" hidden="1">
      <c r="B248" s="176" t="s">
        <v>1094</v>
      </c>
      <c r="C248" s="249"/>
      <c r="D248" s="250"/>
      <c r="E248" s="320">
        <f t="shared" si="1"/>
        <v>0</v>
      </c>
    </row>
    <row r="249" spans="2:5" ht="21">
      <c r="B249" s="315" t="s">
        <v>1095</v>
      </c>
      <c r="C249" s="309">
        <f>SUM(C246:C248)</f>
        <v>55553258.920000002</v>
      </c>
      <c r="D249" s="309">
        <f>SUM(D246:D248)</f>
        <v>55553258.920000002</v>
      </c>
      <c r="E249" s="309">
        <f>SUM(E246:E248)</f>
        <v>0</v>
      </c>
    </row>
    <row r="250" spans="2:5" ht="21">
      <c r="B250" s="308" t="s">
        <v>1096</v>
      </c>
      <c r="C250" s="310"/>
      <c r="D250" s="311"/>
      <c r="E250" s="321">
        <f t="shared" si="1"/>
        <v>0</v>
      </c>
    </row>
    <row r="251" spans="2:5" ht="21">
      <c r="B251" s="308" t="s">
        <v>1097</v>
      </c>
      <c r="C251" s="309">
        <f>+C249-C250</f>
        <v>55553258.920000002</v>
      </c>
      <c r="D251" s="309">
        <f>+D249-D250</f>
        <v>55553258.920000002</v>
      </c>
      <c r="E251" s="309">
        <f>+E249-E250</f>
        <v>0</v>
      </c>
    </row>
    <row r="252" spans="2:5" ht="15">
      <c r="B252" s="318" t="s">
        <v>1098</v>
      </c>
      <c r="C252" s="818"/>
      <c r="D252" s="819"/>
      <c r="E252" s="820"/>
    </row>
    <row r="253" spans="2:5" ht="15">
      <c r="B253" s="176" t="s">
        <v>1099</v>
      </c>
      <c r="C253" s="249">
        <f>+'BALANZA G'!C68</f>
        <v>510150</v>
      </c>
      <c r="D253" s="250">
        <f>+'BALANZA G'!D68</f>
        <v>510150</v>
      </c>
      <c r="E253" s="320">
        <f t="shared" si="1"/>
        <v>0</v>
      </c>
    </row>
    <row r="254" spans="2:5" ht="21">
      <c r="B254" s="308" t="s">
        <v>1100</v>
      </c>
      <c r="C254" s="309">
        <f>SUM(C253)</f>
        <v>510150</v>
      </c>
      <c r="D254" s="309">
        <f>SUM(D253)</f>
        <v>510150</v>
      </c>
      <c r="E254" s="309">
        <f>SUM(E253)</f>
        <v>0</v>
      </c>
    </row>
    <row r="255" spans="2:5" ht="15">
      <c r="B255" s="308" t="s">
        <v>1101</v>
      </c>
      <c r="C255" s="310"/>
      <c r="D255" s="311"/>
      <c r="E255" s="321">
        <f t="shared" si="1"/>
        <v>0</v>
      </c>
    </row>
    <row r="256" spans="2:5" ht="21">
      <c r="B256" s="308" t="s">
        <v>1102</v>
      </c>
      <c r="C256" s="309">
        <f>+C254-C255</f>
        <v>510150</v>
      </c>
      <c r="D256" s="309">
        <f>+D254-D255</f>
        <v>510150</v>
      </c>
      <c r="E256" s="309">
        <f>+E254-E255</f>
        <v>0</v>
      </c>
    </row>
    <row r="257" spans="2:5" ht="15">
      <c r="B257" s="317" t="s">
        <v>1103</v>
      </c>
      <c r="C257" s="818"/>
      <c r="D257" s="819"/>
      <c r="E257" s="820"/>
    </row>
    <row r="258" spans="2:5" ht="15">
      <c r="B258" s="176" t="s">
        <v>1104</v>
      </c>
      <c r="C258" s="249">
        <f>+'BALANZA G'!C65</f>
        <v>11514419.15</v>
      </c>
      <c r="D258" s="250">
        <f>+'BALANZA G'!D65</f>
        <v>11514419.15</v>
      </c>
      <c r="E258" s="320">
        <f t="shared" si="1"/>
        <v>0</v>
      </c>
    </row>
    <row r="259" spans="2:5" ht="15" hidden="1">
      <c r="B259" s="176" t="s">
        <v>1105</v>
      </c>
      <c r="C259" s="249"/>
      <c r="D259" s="250"/>
      <c r="E259" s="320">
        <f t="shared" si="1"/>
        <v>0</v>
      </c>
    </row>
    <row r="260" spans="2:5" ht="15" hidden="1">
      <c r="B260" s="176" t="s">
        <v>1106</v>
      </c>
      <c r="C260" s="249"/>
      <c r="D260" s="251"/>
      <c r="E260" s="320">
        <f t="shared" si="1"/>
        <v>0</v>
      </c>
    </row>
    <row r="261" spans="2:5" ht="15" hidden="1">
      <c r="B261" s="176" t="s">
        <v>1107</v>
      </c>
      <c r="C261" s="249"/>
      <c r="D261" s="250"/>
      <c r="E261" s="320">
        <f t="shared" si="1"/>
        <v>0</v>
      </c>
    </row>
    <row r="262" spans="2:5" ht="26.25" hidden="1" customHeight="1">
      <c r="B262" s="301" t="s">
        <v>1108</v>
      </c>
      <c r="C262" s="302"/>
      <c r="D262" s="303"/>
      <c r="E262" s="320">
        <f t="shared" si="1"/>
        <v>0</v>
      </c>
    </row>
    <row r="263" spans="2:5" ht="15" hidden="1">
      <c r="B263" s="176" t="s">
        <v>1109</v>
      </c>
      <c r="C263" s="253"/>
      <c r="D263" s="250"/>
      <c r="E263" s="320">
        <f t="shared" si="1"/>
        <v>0</v>
      </c>
    </row>
    <row r="264" spans="2:5" ht="15" hidden="1">
      <c r="B264" s="176" t="s">
        <v>1110</v>
      </c>
      <c r="C264" s="253"/>
      <c r="D264" s="250"/>
      <c r="E264" s="320">
        <f t="shared" si="1"/>
        <v>0</v>
      </c>
    </row>
    <row r="265" spans="2:5" ht="17.25" customHeight="1">
      <c r="B265" s="301" t="s">
        <v>2024</v>
      </c>
      <c r="C265" s="249">
        <f>+'BALANZA G'!C71</f>
        <v>6890064.9800000004</v>
      </c>
      <c r="D265" s="249" t="e">
        <f>+'BALANZA G'!#REF!</f>
        <v>#REF!</v>
      </c>
      <c r="E265" s="320" t="e">
        <f t="shared" si="1"/>
        <v>#REF!</v>
      </c>
    </row>
    <row r="266" spans="2:5" ht="15">
      <c r="B266" s="308" t="s">
        <v>1112</v>
      </c>
      <c r="C266" s="309">
        <f>SUM(C258:C265)</f>
        <v>18404484.130000003</v>
      </c>
      <c r="D266" s="309" t="e">
        <f>SUM(D258:D265)</f>
        <v>#REF!</v>
      </c>
      <c r="E266" s="309" t="e">
        <f>SUM(E258:E265)</f>
        <v>#REF!</v>
      </c>
    </row>
    <row r="267" spans="2:5" ht="21">
      <c r="B267" s="308" t="s">
        <v>1113</v>
      </c>
      <c r="C267" s="310"/>
      <c r="D267" s="311"/>
      <c r="E267" s="321"/>
    </row>
    <row r="268" spans="2:5" ht="21">
      <c r="B268" s="308" t="s">
        <v>1114</v>
      </c>
      <c r="C268" s="309">
        <f>+C266-C267</f>
        <v>18404484.130000003</v>
      </c>
      <c r="D268" s="309" t="e">
        <f>+D266-D267</f>
        <v>#REF!</v>
      </c>
      <c r="E268" s="309" t="e">
        <f>+E266-E267</f>
        <v>#REF!</v>
      </c>
    </row>
    <row r="269" spans="2:5" ht="15" hidden="1">
      <c r="B269" s="316" t="s">
        <v>1115</v>
      </c>
      <c r="C269" s="252"/>
      <c r="D269" s="251"/>
      <c r="E269" s="320">
        <f t="shared" si="1"/>
        <v>0</v>
      </c>
    </row>
    <row r="270" spans="2:5" ht="15" hidden="1">
      <c r="B270" s="176" t="s">
        <v>1116</v>
      </c>
      <c r="C270" s="249"/>
      <c r="D270" s="250"/>
      <c r="E270" s="320">
        <f t="shared" si="1"/>
        <v>0</v>
      </c>
    </row>
    <row r="271" spans="2:5" ht="15" hidden="1">
      <c r="B271" s="245" t="s">
        <v>1117</v>
      </c>
      <c r="C271" s="249"/>
      <c r="D271" s="250"/>
      <c r="E271" s="320">
        <f t="shared" si="1"/>
        <v>0</v>
      </c>
    </row>
    <row r="272" spans="2:5" ht="15" hidden="1">
      <c r="B272" s="308" t="s">
        <v>1118</v>
      </c>
      <c r="C272" s="313">
        <f>SUM(C270:C271)</f>
        <v>0</v>
      </c>
      <c r="D272" s="313">
        <f>SUM(D270:D271)</f>
        <v>0</v>
      </c>
      <c r="E272" s="313">
        <f>SUM(E270:E271)</f>
        <v>0</v>
      </c>
    </row>
    <row r="273" spans="2:5" ht="15" hidden="1">
      <c r="B273" s="308" t="s">
        <v>1119</v>
      </c>
      <c r="C273" s="314">
        <v>0</v>
      </c>
      <c r="D273" s="314">
        <v>0</v>
      </c>
      <c r="E273" s="321">
        <f t="shared" si="1"/>
        <v>0</v>
      </c>
    </row>
    <row r="274" spans="2:5" ht="21" hidden="1">
      <c r="B274" s="308" t="s">
        <v>1120</v>
      </c>
      <c r="C274" s="313">
        <f>+C272-C273</f>
        <v>0</v>
      </c>
      <c r="D274" s="313">
        <f>+D272-D273</f>
        <v>0</v>
      </c>
      <c r="E274" s="313">
        <f>+E272-E273</f>
        <v>0</v>
      </c>
    </row>
    <row r="275" spans="2:5" ht="15">
      <c r="B275" s="319" t="s">
        <v>1121</v>
      </c>
      <c r="C275" s="818"/>
      <c r="D275" s="819"/>
      <c r="E275" s="820"/>
    </row>
    <row r="276" spans="2:5" ht="15">
      <c r="B276" s="246" t="s">
        <v>1216</v>
      </c>
      <c r="C276" s="249">
        <f>+'BALANZA G'!C55</f>
        <v>1623675</v>
      </c>
      <c r="D276" s="250">
        <f>+'BALANZA G'!D55</f>
        <v>1623675</v>
      </c>
      <c r="E276" s="320">
        <f t="shared" si="1"/>
        <v>0</v>
      </c>
    </row>
    <row r="277" spans="2:5" ht="15">
      <c r="B277" s="176" t="s">
        <v>1122</v>
      </c>
      <c r="C277" s="249">
        <f>+'BALANZA G'!C58</f>
        <v>953149176.46000004</v>
      </c>
      <c r="D277" s="250">
        <f>+'BALANZA G'!D58</f>
        <v>953149176.46000004</v>
      </c>
      <c r="E277" s="320">
        <f t="shared" si="1"/>
        <v>0</v>
      </c>
    </row>
    <row r="278" spans="2:5" ht="15">
      <c r="B278" s="308" t="s">
        <v>1123</v>
      </c>
      <c r="C278" s="309">
        <f>SUM(C276:C277)</f>
        <v>954772851.46000004</v>
      </c>
      <c r="D278" s="309">
        <f>SUM(D276:D277)</f>
        <v>954772851.46000004</v>
      </c>
      <c r="E278" s="309">
        <f>SUM(E276:E277)</f>
        <v>0</v>
      </c>
    </row>
    <row r="279" spans="2:5" ht="15">
      <c r="B279" s="308" t="s">
        <v>1124</v>
      </c>
      <c r="C279" s="310"/>
      <c r="D279" s="311"/>
      <c r="E279" s="321">
        <f t="shared" si="1"/>
        <v>0</v>
      </c>
    </row>
    <row r="280" spans="2:5" ht="15">
      <c r="B280" s="308" t="s">
        <v>1125</v>
      </c>
      <c r="C280" s="309">
        <f>+C278-C279</f>
        <v>954772851.46000004</v>
      </c>
      <c r="D280" s="309">
        <f>+D278-D279</f>
        <v>954772851.46000004</v>
      </c>
      <c r="E280" s="309">
        <f>+E278-E279</f>
        <v>0</v>
      </c>
    </row>
    <row r="281" spans="2:5" ht="15" hidden="1">
      <c r="B281" s="248" t="s">
        <v>1126</v>
      </c>
      <c r="C281" s="252"/>
      <c r="D281" s="251"/>
      <c r="E281" s="320">
        <f t="shared" si="1"/>
        <v>0</v>
      </c>
    </row>
    <row r="282" spans="2:5" ht="15" hidden="1">
      <c r="B282" s="176" t="s">
        <v>1127</v>
      </c>
      <c r="C282" s="249"/>
      <c r="D282" s="250"/>
      <c r="E282" s="320">
        <f t="shared" si="1"/>
        <v>0</v>
      </c>
    </row>
    <row r="283" spans="2:5" ht="15" hidden="1">
      <c r="B283" s="308" t="s">
        <v>1128</v>
      </c>
      <c r="C283" s="309">
        <f>SUM(C282)</f>
        <v>0</v>
      </c>
      <c r="D283" s="309">
        <f>SUM(D282)</f>
        <v>0</v>
      </c>
      <c r="E283" s="309">
        <f>SUM(E282)</f>
        <v>0</v>
      </c>
    </row>
    <row r="284" spans="2:5" ht="15" hidden="1">
      <c r="B284" s="308" t="s">
        <v>1129</v>
      </c>
      <c r="C284" s="310"/>
      <c r="D284" s="311"/>
      <c r="E284" s="321">
        <f t="shared" si="1"/>
        <v>0</v>
      </c>
    </row>
    <row r="285" spans="2:5" ht="21" hidden="1">
      <c r="B285" s="308" t="s">
        <v>1130</v>
      </c>
      <c r="C285" s="309">
        <f>+C283-C284</f>
        <v>0</v>
      </c>
      <c r="D285" s="309">
        <f>+D283-D284</f>
        <v>0</v>
      </c>
      <c r="E285" s="309">
        <f>+E283-E284</f>
        <v>0</v>
      </c>
    </row>
    <row r="286" spans="2:5" ht="15" hidden="1">
      <c r="B286" s="248" t="s">
        <v>1131</v>
      </c>
      <c r="C286" s="252"/>
      <c r="D286" s="251"/>
      <c r="E286" s="320"/>
    </row>
    <row r="287" spans="2:5" ht="15" hidden="1">
      <c r="B287" s="245" t="s">
        <v>1132</v>
      </c>
      <c r="C287" s="249"/>
      <c r="D287" s="250"/>
      <c r="E287" s="320">
        <f t="shared" si="1"/>
        <v>0</v>
      </c>
    </row>
    <row r="288" spans="2:5" ht="15" hidden="1">
      <c r="B288" s="245" t="s">
        <v>1133</v>
      </c>
      <c r="C288" s="249"/>
      <c r="D288" s="250"/>
      <c r="E288" s="320">
        <f t="shared" si="1"/>
        <v>0</v>
      </c>
    </row>
    <row r="289" spans="2:5" ht="15" hidden="1">
      <c r="B289" s="245" t="s">
        <v>1134</v>
      </c>
      <c r="C289" s="249"/>
      <c r="D289" s="250"/>
      <c r="E289" s="320">
        <f t="shared" si="1"/>
        <v>0</v>
      </c>
    </row>
    <row r="290" spans="2:5" ht="15" hidden="1">
      <c r="B290" s="308" t="s">
        <v>1135</v>
      </c>
      <c r="C290" s="309">
        <f>SUM(C287:C289)</f>
        <v>0</v>
      </c>
      <c r="D290" s="309">
        <f>SUM(D287:D289)</f>
        <v>0</v>
      </c>
      <c r="E290" s="309">
        <f>SUM(E287:E289)</f>
        <v>0</v>
      </c>
    </row>
    <row r="291" spans="2:5" ht="15" hidden="1">
      <c r="B291" s="308" t="s">
        <v>1136</v>
      </c>
      <c r="C291" s="310"/>
      <c r="D291" s="311"/>
      <c r="E291" s="321">
        <f t="shared" si="1"/>
        <v>0</v>
      </c>
    </row>
    <row r="292" spans="2:5" ht="21" hidden="1">
      <c r="B292" s="308" t="s">
        <v>1137</v>
      </c>
      <c r="C292" s="309">
        <f>+C290-C291</f>
        <v>0</v>
      </c>
      <c r="D292" s="309">
        <f>+D290-D291</f>
        <v>0</v>
      </c>
      <c r="E292" s="309">
        <f>+E290-E291</f>
        <v>0</v>
      </c>
    </row>
    <row r="293" spans="2:5" ht="15">
      <c r="B293" s="308" t="s">
        <v>1138</v>
      </c>
      <c r="C293" s="312">
        <f>+C292+C285+C280+C274+C268+C256+C251+C244</f>
        <v>1058037690.13</v>
      </c>
      <c r="D293" s="312" t="e">
        <f>+D292+D285+D280+D274+D268+D256+D251+D244</f>
        <v>#REF!</v>
      </c>
      <c r="E293" s="312" t="e">
        <f>+E292+E285+E280+E274+E268+E256+E251+E244</f>
        <v>#REF!</v>
      </c>
    </row>
    <row r="294" spans="2:5" ht="15">
      <c r="B294" s="308" t="s">
        <v>1139</v>
      </c>
      <c r="C294" s="311">
        <f>+C291+C284+C279+C273+C267+C255+C250+C243</f>
        <v>0</v>
      </c>
      <c r="D294" s="311">
        <f>+D291+D284+D279+D273+D267+D255+D250+D243</f>
        <v>0</v>
      </c>
      <c r="E294" s="321">
        <f t="shared" si="1"/>
        <v>0</v>
      </c>
    </row>
    <row r="295" spans="2:5" ht="15">
      <c r="B295" s="308" t="s">
        <v>1140</v>
      </c>
      <c r="C295" s="312">
        <f>+C293-C294</f>
        <v>1058037690.13</v>
      </c>
      <c r="D295" s="312" t="e">
        <f>+D293-D294</f>
        <v>#REF!</v>
      </c>
      <c r="E295" s="312" t="e">
        <f>+E293-E294</f>
        <v>#REF!</v>
      </c>
    </row>
    <row r="296" spans="2:5">
      <c r="B296" s="305"/>
      <c r="C296" s="813" t="e">
        <f>+C295-'BALANZA G'!#REF!</f>
        <v>#REF!</v>
      </c>
      <c r="D296" s="813"/>
      <c r="E296" s="259"/>
    </row>
    <row r="297" spans="2:5" s="5" customFormat="1">
      <c r="B297" s="1881" t="s">
        <v>2001</v>
      </c>
      <c r="C297" s="1882"/>
      <c r="D297" s="304" t="e">
        <f>IF(E297&gt;=0,"Aumento","Disminución")</f>
        <v>#REF!</v>
      </c>
      <c r="E297" s="228" t="e">
        <f>+E295/D295</f>
        <v>#REF!</v>
      </c>
    </row>
    <row r="298" spans="2:5">
      <c r="B298" s="151"/>
    </row>
    <row r="299" spans="2:5">
      <c r="B299" s="151"/>
    </row>
    <row r="300" spans="2:5">
      <c r="B300" s="151"/>
    </row>
    <row r="301" spans="2:5">
      <c r="B301" s="151"/>
    </row>
    <row r="302" spans="2:5" ht="18.75">
      <c r="B302" s="817" t="s">
        <v>1141</v>
      </c>
    </row>
    <row r="303" spans="2:5">
      <c r="B303" s="152"/>
    </row>
    <row r="304" spans="2:5" ht="37.5" customHeight="1">
      <c r="B304" s="1953" t="s">
        <v>1142</v>
      </c>
      <c r="C304" s="1953"/>
      <c r="D304" s="1953"/>
      <c r="E304" s="1953"/>
    </row>
    <row r="305" spans="2:5" ht="47.25" customHeight="1">
      <c r="B305" s="1868" t="str">
        <f>("Las Cuentas por Pagar está integrado por las deudas y compromisos de pago que tiene la institución con los suplidores de servicios, retenciones impositivas y documentos por pagar, para el 2016 el total era de RD$"&amp;D314&amp;" y para el 2017 el total fue de RD$"&amp;C314&amp;" , Según el siguiente detalle:")</f>
        <v>Las Cuentas por Pagar está integrado por las deudas y compromisos de pago que tiene la institución con los suplidores de servicios, retenciones impositivas y documentos por pagar, para el 2016 el total era de RD$8276336.38 y para el 2017 el total fue de RD$11358699.32 , Según el siguiente detalle:</v>
      </c>
      <c r="C305" s="1868"/>
      <c r="D305" s="1868"/>
      <c r="E305" s="1868"/>
    </row>
    <row r="306" spans="2:5">
      <c r="B306" s="153" t="s">
        <v>1056</v>
      </c>
    </row>
    <row r="307" spans="2:5">
      <c r="B307" s="270" t="s">
        <v>6</v>
      </c>
      <c r="C307" s="201">
        <f>+BALANZA!B4</f>
        <v>2026</v>
      </c>
      <c r="D307" s="202">
        <f>+BALANZA!C4</f>
        <v>2025</v>
      </c>
      <c r="E307" s="208" t="s">
        <v>1213</v>
      </c>
    </row>
    <row r="308" spans="2:5">
      <c r="B308" s="189" t="s">
        <v>1221</v>
      </c>
      <c r="C308" s="269">
        <f>-C159</f>
        <v>-717555.3</v>
      </c>
      <c r="D308" s="269">
        <f>-D159</f>
        <v>-814839.56</v>
      </c>
      <c r="E308" s="191">
        <f t="shared" ref="E308:E313" si="2">+C308-D308</f>
        <v>97284.260000000009</v>
      </c>
    </row>
    <row r="309" spans="2:5">
      <c r="B309" s="189" t="s">
        <v>1224</v>
      </c>
      <c r="C309" s="269">
        <f>+'BALANZA G'!C108</f>
        <v>11936643.77</v>
      </c>
      <c r="D309" s="269">
        <f>+'BALANZA G'!D108</f>
        <v>8951565.0899999999</v>
      </c>
      <c r="E309" s="191">
        <f t="shared" si="2"/>
        <v>2985078.6799999997</v>
      </c>
    </row>
    <row r="310" spans="2:5">
      <c r="B310" s="189" t="s">
        <v>1236</v>
      </c>
      <c r="C310" s="269">
        <f>+'BALANZA G'!C103-'BALANZA G'!C108</f>
        <v>0</v>
      </c>
      <c r="D310" s="269">
        <f>+'BALANZA G'!D103-'BALANZA G'!D108</f>
        <v>0</v>
      </c>
      <c r="E310" s="191">
        <f t="shared" si="2"/>
        <v>0</v>
      </c>
    </row>
    <row r="311" spans="2:5">
      <c r="B311" s="189" t="s">
        <v>1234</v>
      </c>
      <c r="C311" s="269">
        <f>+'BALANZA G'!C115+'BALANZA G'!C116</f>
        <v>0</v>
      </c>
      <c r="D311" s="269">
        <f>+'BALANZA G'!D115+'BALANZA G'!D116</f>
        <v>0</v>
      </c>
      <c r="E311" s="191">
        <f t="shared" si="2"/>
        <v>0</v>
      </c>
    </row>
    <row r="312" spans="2:5">
      <c r="B312" s="189" t="s">
        <v>1222</v>
      </c>
      <c r="C312" s="269">
        <f>+'BALANZA G'!C119</f>
        <v>0</v>
      </c>
      <c r="D312" s="269">
        <f>+'BALANZA G'!D119</f>
        <v>0</v>
      </c>
      <c r="E312" s="191">
        <f t="shared" si="2"/>
        <v>0</v>
      </c>
    </row>
    <row r="313" spans="2:5">
      <c r="B313" s="189" t="s">
        <v>1223</v>
      </c>
      <c r="C313" s="269">
        <f>+'BALANZA G'!C94</f>
        <v>139610.85</v>
      </c>
      <c r="D313" s="269">
        <f>+'BALANZA G'!D94</f>
        <v>139610.85</v>
      </c>
      <c r="E313" s="191">
        <f t="shared" si="2"/>
        <v>0</v>
      </c>
    </row>
    <row r="314" spans="2:5">
      <c r="B314" s="270" t="s">
        <v>908</v>
      </c>
      <c r="C314" s="199">
        <f>SUM(C308:C313)</f>
        <v>11358699.319999998</v>
      </c>
      <c r="D314" s="199">
        <f>SUM(D308:D313)</f>
        <v>8276336.379999999</v>
      </c>
      <c r="E314" s="199">
        <f>SUM(E308:E313)</f>
        <v>3082362.9399999995</v>
      </c>
    </row>
    <row r="315" spans="2:5">
      <c r="B315" s="271"/>
      <c r="C315" s="811" t="e">
        <f>+C314-'BALANZA G'!#REF!</f>
        <v>#REF!</v>
      </c>
      <c r="D315" s="242"/>
    </row>
    <row r="316" spans="2:5" s="5" customFormat="1">
      <c r="B316" s="1881" t="s">
        <v>2001</v>
      </c>
      <c r="C316" s="1882"/>
      <c r="D316" s="304" t="str">
        <f>IF(E316&gt;=0,"Aumento","Disminución")</f>
        <v>Aumento</v>
      </c>
      <c r="E316" s="228">
        <f>+E314/D314</f>
        <v>0.37243084360957301</v>
      </c>
    </row>
    <row r="317" spans="2:5" ht="31.5" customHeight="1">
      <c r="B317" s="1952" t="s">
        <v>1225</v>
      </c>
      <c r="C317" s="1952"/>
      <c r="D317" s="1952"/>
      <c r="E317" s="1952"/>
    </row>
    <row r="318" spans="2:5">
      <c r="B318" s="140"/>
    </row>
    <row r="319" spans="2:5">
      <c r="B319" s="140"/>
    </row>
    <row r="320" spans="2:5">
      <c r="B320" s="140"/>
    </row>
    <row r="321" spans="2:5" ht="31.5" customHeight="1">
      <c r="B321" s="1953" t="s">
        <v>1189</v>
      </c>
      <c r="C321" s="1953"/>
      <c r="D321" s="1953"/>
      <c r="E321" s="1953"/>
    </row>
    <row r="322" spans="2:5" ht="31.5" customHeight="1">
      <c r="B322" s="1868" t="str">
        <f>+BALANZA!B2</f>
        <v>Del Ejercicio terminado el  31 de marzo de 2026  y  2025</v>
      </c>
      <c r="C322" s="1868"/>
      <c r="D322" s="1868"/>
      <c r="E322" s="1868"/>
    </row>
    <row r="323" spans="2:5" ht="27.75" customHeight="1">
      <c r="B323" s="1954" t="e">
        <f>("El patrimonio institucional  para el 2016 tenia ponto por RD$"&amp;D330&amp;" y para el 2017 el monto fue de RD$"&amp;C330&amp;" y está conformado con las siguientes partidas: ")</f>
        <v>#REF!</v>
      </c>
      <c r="C323" s="1868"/>
      <c r="D323" s="1868"/>
      <c r="E323" s="1868"/>
    </row>
    <row r="324" spans="2:5">
      <c r="B324" s="150"/>
    </row>
    <row r="325" spans="2:5">
      <c r="B325" s="164" t="s">
        <v>1143</v>
      </c>
      <c r="C325" s="164">
        <f>+C389</f>
        <v>2026</v>
      </c>
      <c r="D325" s="268">
        <f>+D389</f>
        <v>2025</v>
      </c>
      <c r="E325" s="208" t="s">
        <v>1213</v>
      </c>
    </row>
    <row r="326" spans="2:5">
      <c r="B326" s="165" t="s">
        <v>1206</v>
      </c>
      <c r="C326" s="180" t="e">
        <f>+'BALANZA G'!#REF!</f>
        <v>#REF!</v>
      </c>
      <c r="D326" s="180" t="e">
        <f>+'BALANZA G'!#REF!</f>
        <v>#REF!</v>
      </c>
      <c r="E326" s="191" t="e">
        <f>+C326-D326</f>
        <v>#REF!</v>
      </c>
    </row>
    <row r="327" spans="2:5">
      <c r="B327" s="165" t="s">
        <v>1144</v>
      </c>
      <c r="C327" s="166" t="e">
        <f>+'BALANZA G'!#REF!</f>
        <v>#REF!</v>
      </c>
      <c r="D327" s="166" t="e">
        <f>+'BALANZA G'!#REF!</f>
        <v>#REF!</v>
      </c>
      <c r="E327" s="191" t="e">
        <f>+C327-D327</f>
        <v>#REF!</v>
      </c>
    </row>
    <row r="328" spans="2:5">
      <c r="B328" s="165" t="s">
        <v>1145</v>
      </c>
      <c r="C328" s="166">
        <f>+PATRIMONIO!K25</f>
        <v>-63003.47</v>
      </c>
      <c r="D328" s="181"/>
      <c r="E328" s="191">
        <f>+C328-D328</f>
        <v>-63003.47</v>
      </c>
    </row>
    <row r="329" spans="2:5">
      <c r="B329" s="165" t="s">
        <v>1146</v>
      </c>
      <c r="C329" s="166" t="e">
        <f>+'BALANZA G'!#REF!</f>
        <v>#REF!</v>
      </c>
      <c r="D329" s="166" t="e">
        <f>+'BALANZA G'!#REF!</f>
        <v>#REF!</v>
      </c>
      <c r="E329" s="191" t="e">
        <f>+C329-D329</f>
        <v>#REF!</v>
      </c>
    </row>
    <row r="330" spans="2:5" ht="15">
      <c r="B330" s="164" t="s">
        <v>1147</v>
      </c>
      <c r="C330" s="215" t="e">
        <f>SUM(C326:C329)</f>
        <v>#REF!</v>
      </c>
      <c r="D330" s="215" t="e">
        <f>SUM(D326:D329)</f>
        <v>#REF!</v>
      </c>
      <c r="E330" s="215" t="e">
        <f>SUM(E326:E329)</f>
        <v>#REF!</v>
      </c>
    </row>
    <row r="331" spans="2:5" ht="15">
      <c r="B331" s="238"/>
      <c r="C331" s="814" t="e">
        <f>+C330-'BALANZA G'!#REF!-C328</f>
        <v>#REF!</v>
      </c>
      <c r="D331" s="239"/>
      <c r="E331" s="240"/>
    </row>
    <row r="332" spans="2:5" s="5" customFormat="1">
      <c r="B332" s="1881" t="s">
        <v>2001</v>
      </c>
      <c r="C332" s="1882"/>
      <c r="D332" s="304" t="e">
        <f>IF(E332&gt;=0,"Aumento","Disminución")</f>
        <v>#REF!</v>
      </c>
      <c r="E332" s="228" t="e">
        <f>+E330/D330</f>
        <v>#REF!</v>
      </c>
    </row>
    <row r="333" spans="2:5" ht="31.5" customHeight="1">
      <c r="B333" s="1958" t="s">
        <v>1229</v>
      </c>
      <c r="C333" s="1958"/>
      <c r="D333" s="1958"/>
    </row>
    <row r="334" spans="2:5">
      <c r="B334" s="152"/>
    </row>
    <row r="335" spans="2:5">
      <c r="B335" s="152"/>
    </row>
    <row r="336" spans="2:5">
      <c r="B336" s="152"/>
    </row>
    <row r="337" spans="2:5">
      <c r="B337" s="152"/>
    </row>
    <row r="338" spans="2:5">
      <c r="B338" s="152"/>
    </row>
    <row r="339" spans="2:5">
      <c r="B339" s="152"/>
    </row>
    <row r="340" spans="2:5">
      <c r="B340" s="152"/>
    </row>
    <row r="341" spans="2:5">
      <c r="B341" s="152"/>
    </row>
    <row r="342" spans="2:5">
      <c r="B342" s="152"/>
    </row>
    <row r="344" spans="2:5" ht="18.75">
      <c r="B344" s="143" t="s">
        <v>919</v>
      </c>
    </row>
    <row r="345" spans="2:5">
      <c r="B345" s="149"/>
    </row>
    <row r="346" spans="2:5" ht="18.75">
      <c r="B346" s="143" t="s">
        <v>935</v>
      </c>
    </row>
    <row r="347" spans="2:5">
      <c r="B347" s="155"/>
    </row>
    <row r="348" spans="2:5" ht="18.75">
      <c r="B348" s="143" t="s">
        <v>1148</v>
      </c>
    </row>
    <row r="349" spans="2:5" ht="31.5" customHeight="1">
      <c r="B349" s="1868" t="str">
        <f>+B322</f>
        <v>Del Ejercicio terminado el  31 de marzo de 2026  y  2025</v>
      </c>
      <c r="C349" s="1868"/>
      <c r="D349" s="1868"/>
    </row>
    <row r="350" spans="2:5" ht="33" customHeight="1">
      <c r="B350" s="1954" t="s">
        <v>1207</v>
      </c>
      <c r="C350" s="1954"/>
      <c r="D350" s="1954"/>
      <c r="E350" s="1954"/>
    </row>
    <row r="351" spans="2:5">
      <c r="B351" s="156"/>
    </row>
    <row r="352" spans="2:5">
      <c r="B352" s="192" t="s">
        <v>1149</v>
      </c>
      <c r="C352" s="1955" t="s">
        <v>921</v>
      </c>
      <c r="D352" s="1955"/>
      <c r="E352" s="211"/>
    </row>
    <row r="353" spans="2:8">
      <c r="B353" s="192" t="s">
        <v>1150</v>
      </c>
      <c r="C353" s="212">
        <f>+BALANZA!B4</f>
        <v>2026</v>
      </c>
      <c r="D353" s="196">
        <f>+BALANZA!C4</f>
        <v>2025</v>
      </c>
      <c r="E353" s="208" t="s">
        <v>1213</v>
      </c>
    </row>
    <row r="354" spans="2:8">
      <c r="B354" s="194" t="s">
        <v>1151</v>
      </c>
      <c r="C354" s="213">
        <f>+RESULTADO!C10</f>
        <v>25865457</v>
      </c>
      <c r="D354" s="213">
        <f>+RESULTADO!E10</f>
        <v>307209103</v>
      </c>
      <c r="E354" s="191">
        <f>+C354-D354</f>
        <v>-281343646</v>
      </c>
    </row>
    <row r="355" spans="2:8">
      <c r="B355" s="194" t="s">
        <v>1208</v>
      </c>
      <c r="C355" s="213">
        <f>+RESULTADO!C11</f>
        <v>0</v>
      </c>
      <c r="D355" s="213">
        <f>+RESULTADO!E11</f>
        <v>0</v>
      </c>
      <c r="E355" s="191">
        <f>+C355-D355</f>
        <v>0</v>
      </c>
    </row>
    <row r="356" spans="2:8">
      <c r="B356" s="194" t="s">
        <v>1209</v>
      </c>
      <c r="C356" s="213">
        <f>+RESULTADO!C13</f>
        <v>45032091.25</v>
      </c>
      <c r="D356" s="213">
        <f>+RESULTADO!E13</f>
        <v>186534488.11000001</v>
      </c>
      <c r="E356" s="191">
        <f>+C356-D356</f>
        <v>-141502396.86000001</v>
      </c>
      <c r="H356" s="11">
        <v>253185366</v>
      </c>
    </row>
    <row r="357" spans="2:8" ht="15">
      <c r="B357" s="192" t="s">
        <v>1152</v>
      </c>
      <c r="C357" s="214">
        <f>SUM(C354:C356)</f>
        <v>70897548.25</v>
      </c>
      <c r="D357" s="214">
        <f>SUM(D354:D356)</f>
        <v>493743591.11000001</v>
      </c>
      <c r="E357" s="214">
        <f>SUM(E354:E356)</f>
        <v>-422846042.86000001</v>
      </c>
      <c r="H357" s="11">
        <v>156000000</v>
      </c>
    </row>
    <row r="358" spans="2:8" ht="15">
      <c r="B358" s="236"/>
      <c r="C358" s="813">
        <f>+C357-RESULTADO!C15</f>
        <v>0</v>
      </c>
      <c r="D358" s="237"/>
      <c r="E358" s="237"/>
      <c r="H358" s="11"/>
    </row>
    <row r="359" spans="2:8" s="5" customFormat="1">
      <c r="B359" s="1881" t="s">
        <v>2001</v>
      </c>
      <c r="C359" s="1882"/>
      <c r="D359" s="304" t="str">
        <f>IF(E359&gt;=0,"Aumento","Disminución")</f>
        <v>Disminución</v>
      </c>
      <c r="E359" s="228">
        <f>+E357/D357</f>
        <v>-0.85640816503437933</v>
      </c>
    </row>
    <row r="360" spans="2:8">
      <c r="B360" s="150"/>
      <c r="H360" s="11">
        <f>+H356-H357</f>
        <v>97185366</v>
      </c>
    </row>
    <row r="361" spans="2:8" ht="66.75" customHeight="1">
      <c r="B361" s="1861" t="s">
        <v>2002</v>
      </c>
      <c r="C361" s="1861"/>
      <c r="D361" s="1861"/>
      <c r="E361" s="1861"/>
    </row>
    <row r="362" spans="2:8">
      <c r="B362" s="157"/>
    </row>
    <row r="363" spans="2:8">
      <c r="B363" s="157"/>
    </row>
    <row r="364" spans="2:8">
      <c r="B364" s="157"/>
    </row>
    <row r="365" spans="2:8" ht="18.75">
      <c r="B365" s="143" t="s">
        <v>1981</v>
      </c>
    </row>
    <row r="366" spans="2:8">
      <c r="B366" s="141" t="s">
        <v>1153</v>
      </c>
    </row>
    <row r="367" spans="2:8">
      <c r="B367" s="142"/>
    </row>
    <row r="368" spans="2:8" ht="18.75">
      <c r="B368" s="143" t="s">
        <v>1154</v>
      </c>
    </row>
    <row r="369" spans="2:5" ht="31.5" customHeight="1">
      <c r="B369" s="1868" t="str">
        <f>+B349</f>
        <v>Del Ejercicio terminado el  31 de marzo de 2026  y  2025</v>
      </c>
      <c r="C369" s="1868"/>
      <c r="D369" s="1868"/>
      <c r="E369" s="1868"/>
    </row>
    <row r="370" spans="2:5" ht="44.25" customHeight="1">
      <c r="B370" s="1954" t="s">
        <v>1211</v>
      </c>
      <c r="C370" s="1868"/>
      <c r="D370" s="1868"/>
      <c r="E370" s="1868"/>
    </row>
    <row r="371" spans="2:5">
      <c r="B371" s="200" t="s">
        <v>1149</v>
      </c>
      <c r="C371" s="201">
        <f>+BALANZA!B4</f>
        <v>2026</v>
      </c>
      <c r="D371" s="202">
        <f>+BALANZA!C4</f>
        <v>2025</v>
      </c>
      <c r="E371" s="208" t="s">
        <v>1213</v>
      </c>
    </row>
    <row r="372" spans="2:5">
      <c r="B372" s="203" t="s">
        <v>1155</v>
      </c>
      <c r="C372" s="204">
        <f>+'BALANZA G'!C162</f>
        <v>37213166.670000002</v>
      </c>
      <c r="D372" s="204">
        <f>+'BALANZA G'!D162</f>
        <v>145255261.69</v>
      </c>
      <c r="E372" s="191">
        <f t="shared" ref="E372:E377" si="3">+C372-D372</f>
        <v>-108042095.02</v>
      </c>
    </row>
    <row r="373" spans="2:5">
      <c r="B373" s="203" t="s">
        <v>1210</v>
      </c>
      <c r="C373" s="204">
        <f>+'BALANZA G'!C166+'BALANZA G'!C167+'BALANZA G'!C169</f>
        <v>0</v>
      </c>
      <c r="D373" s="204">
        <f>+'BALANZA G'!D166+'BALANZA G'!D167+'BALANZA G'!D169</f>
        <v>0</v>
      </c>
      <c r="E373" s="191">
        <f t="shared" si="3"/>
        <v>0</v>
      </c>
    </row>
    <row r="374" spans="2:5">
      <c r="B374" s="203" t="s">
        <v>1156</v>
      </c>
      <c r="C374" s="204">
        <f>+'BALANZA G'!C174+'BALANZA G'!C175+'BALANZA G'!C171+'BALANZA G'!C176+'BALANZA G'!C178</f>
        <v>1642410</v>
      </c>
      <c r="D374" s="204">
        <f>+'BALANZA G'!D171+'BALANZA G'!D174+'BALANZA G'!D175+'BALANZA G'!D176+'BALANZA G'!D178</f>
        <v>16339872.199999999</v>
      </c>
      <c r="E374" s="191">
        <f t="shared" si="3"/>
        <v>-14697462.199999999</v>
      </c>
    </row>
    <row r="375" spans="2:5">
      <c r="B375" s="203" t="s">
        <v>1157</v>
      </c>
      <c r="C375" s="204">
        <f>+'BALANZA G'!C181+'BALANZA G'!C182+'BALANZA G'!C183+'BALANZA G'!C185</f>
        <v>430000</v>
      </c>
      <c r="D375" s="204">
        <f>+'BALANZA G'!D181+'BALANZA G'!D182+'BALANZA G'!D183+'BALANZA G'!D185</f>
        <v>2365000</v>
      </c>
      <c r="E375" s="191">
        <f t="shared" si="3"/>
        <v>-1935000</v>
      </c>
    </row>
    <row r="376" spans="2:5">
      <c r="B376" s="203" t="s">
        <v>1158</v>
      </c>
      <c r="C376" s="204">
        <f>+'BALANZA G'!C186+'BALANZA G'!C188+'BALANZA G'!C185+'BALANZA G'!C187</f>
        <v>155800</v>
      </c>
      <c r="D376" s="204">
        <f>+'BALANZA G'!D185+'BALANZA G'!D186+'BALANZA G'!D187+'BALANZA G'!D188</f>
        <v>12070148.16</v>
      </c>
      <c r="E376" s="191">
        <f t="shared" si="3"/>
        <v>-11914348.16</v>
      </c>
    </row>
    <row r="377" spans="2:5">
      <c r="B377" s="203" t="s">
        <v>1159</v>
      </c>
      <c r="C377" s="204">
        <f>+'BALANZA G'!C190</f>
        <v>5788132.29</v>
      </c>
      <c r="D377" s="204">
        <f>+'BALANZA G'!D190</f>
        <v>22351313.5</v>
      </c>
      <c r="E377" s="191">
        <f t="shared" si="3"/>
        <v>-16563181.210000001</v>
      </c>
    </row>
    <row r="378" spans="2:5">
      <c r="B378" s="205" t="s">
        <v>1160</v>
      </c>
      <c r="C378" s="199">
        <f>SUM(C372:C377)</f>
        <v>45229508.960000001</v>
      </c>
      <c r="D378" s="199">
        <f>SUM(D372:D377)</f>
        <v>198381595.54999998</v>
      </c>
      <c r="E378" s="209">
        <f>SUM(E372:E377)</f>
        <v>-153152086.59</v>
      </c>
    </row>
    <row r="379" spans="2:5">
      <c r="B379" s="158"/>
      <c r="C379" s="816">
        <f>+C378-RESULTADO!C19</f>
        <v>0</v>
      </c>
    </row>
    <row r="380" spans="2:5" s="5" customFormat="1">
      <c r="B380" s="1881" t="s">
        <v>2001</v>
      </c>
      <c r="C380" s="1882"/>
      <c r="D380" s="304" t="str">
        <f>IF(E380&gt;=0,"Aumento","Disminución")</f>
        <v>Disminución</v>
      </c>
      <c r="E380" s="228">
        <f>+E378/D378</f>
        <v>-0.77200753510120668</v>
      </c>
    </row>
    <row r="381" spans="2:5">
      <c r="B381" s="158"/>
    </row>
    <row r="382" spans="2:5">
      <c r="B382" s="158"/>
    </row>
    <row r="383" spans="2:5">
      <c r="B383" s="158"/>
    </row>
    <row r="384" spans="2:5">
      <c r="B384" s="158"/>
    </row>
    <row r="385" spans="2:5" ht="18.75">
      <c r="B385" s="143" t="s">
        <v>1161</v>
      </c>
    </row>
    <row r="386" spans="2:5" ht="24.75" customHeight="1">
      <c r="B386" s="1868" t="str">
        <f>+B369</f>
        <v>Del Ejercicio terminado el  31 de marzo de 2026  y  2025</v>
      </c>
      <c r="C386" s="1868"/>
      <c r="D386" s="1868"/>
      <c r="E386" s="1868"/>
    </row>
    <row r="387" spans="2:5" ht="37.5" customHeight="1">
      <c r="B387" s="1868" t="s">
        <v>1212</v>
      </c>
      <c r="C387" s="1868"/>
      <c r="D387" s="1868"/>
      <c r="E387" s="1868"/>
    </row>
    <row r="388" spans="2:5">
      <c r="B388" s="156"/>
    </row>
    <row r="389" spans="2:5" ht="18.75" customHeight="1">
      <c r="B389" s="184" t="s">
        <v>1162</v>
      </c>
      <c r="C389" s="185">
        <f>+BALANZA!B4</f>
        <v>2026</v>
      </c>
      <c r="D389" s="186">
        <f>+BALANZA!C4</f>
        <v>2025</v>
      </c>
      <c r="E389" s="208" t="s">
        <v>1213</v>
      </c>
    </row>
    <row r="390" spans="2:5">
      <c r="B390" s="187" t="s">
        <v>1163</v>
      </c>
      <c r="C390" s="188">
        <f>+'BALANZA G'!C205</f>
        <v>460724.08</v>
      </c>
      <c r="D390" s="188">
        <f>+'BALANZA G'!D205</f>
        <v>1787361.81</v>
      </c>
      <c r="E390" s="191">
        <f>+C390-D390</f>
        <v>-1326637.73</v>
      </c>
    </row>
    <row r="391" spans="2:5">
      <c r="B391" s="189" t="s">
        <v>1164</v>
      </c>
      <c r="C391" s="188">
        <f>+'BALANZA G'!C210</f>
        <v>0</v>
      </c>
      <c r="D391" s="188">
        <f>+'BALANZA G'!D210</f>
        <v>167000</v>
      </c>
      <c r="E391" s="191">
        <f t="shared" ref="E391:E397" si="4">+C391-D391</f>
        <v>-167000</v>
      </c>
    </row>
    <row r="392" spans="2:5">
      <c r="B392" s="189" t="s">
        <v>1165</v>
      </c>
      <c r="C392" s="188">
        <f>+'BALANZA G'!C212</f>
        <v>594499.5</v>
      </c>
      <c r="D392" s="188">
        <f>+'BALANZA G'!D212</f>
        <v>984627</v>
      </c>
      <c r="E392" s="191">
        <f t="shared" si="4"/>
        <v>-390127.5</v>
      </c>
    </row>
    <row r="393" spans="2:5">
      <c r="B393" s="189" t="s">
        <v>1166</v>
      </c>
      <c r="C393" s="188">
        <f>+'BALANZA G'!C218</f>
        <v>0</v>
      </c>
      <c r="D393" s="188">
        <f>+'BALANZA G'!D218</f>
        <v>0</v>
      </c>
      <c r="E393" s="191">
        <f t="shared" si="4"/>
        <v>0</v>
      </c>
    </row>
    <row r="394" spans="2:5">
      <c r="B394" s="187" t="s">
        <v>1167</v>
      </c>
      <c r="C394" s="188">
        <f>+'BALANZA G'!C220+'BALANZA G'!C221+'BALANZA G'!C223+'BALANZA G'!C224+'BALANZA G'!C225</f>
        <v>0</v>
      </c>
      <c r="D394" s="188">
        <f>+'BALANZA G'!D220+'BALANZA G'!D221+'BALANZA G'!D223+'BALANZA G'!D224+'BALANZA G'!D225</f>
        <v>3525989.46</v>
      </c>
      <c r="E394" s="191">
        <f t="shared" si="4"/>
        <v>-3525989.46</v>
      </c>
    </row>
    <row r="395" spans="2:5">
      <c r="B395" s="187" t="s">
        <v>1168</v>
      </c>
      <c r="C395" s="188">
        <f>+'BALANZA G'!C227</f>
        <v>162849.63</v>
      </c>
      <c r="D395" s="188">
        <f>+'BALANZA G'!D227</f>
        <v>611630.71</v>
      </c>
      <c r="E395" s="191">
        <f t="shared" si="4"/>
        <v>-448781.07999999996</v>
      </c>
    </row>
    <row r="396" spans="2:5" ht="31.5">
      <c r="B396" s="189" t="s">
        <v>1169</v>
      </c>
      <c r="C396" s="188">
        <f>+'BALANZA G'!C230+'BALANZA G'!C231+'BALANZA G'!C232+'BALANZA G'!C233+'BALANZA G'!C234+'BALANZA G'!C236+'BALANZA G'!C238+'BALANZA G'!C239+'BALANZA G'!C240+'BALANZA G'!C241+'BALANZA G'!C243+'BALANZA G'!C244+'BALANZA G'!C245+'BALANZA G'!C235</f>
        <v>1756744.99</v>
      </c>
      <c r="D396" s="188">
        <f>+'BALANZA G'!D230+'BALANZA G'!D231+'BALANZA G'!D232+'BALANZA G'!D233+'BALANZA G'!D234+'BALANZA G'!D236+'BALANZA G'!D238+'BALANZA G'!D239+'BALANZA G'!D240+'BALANZA G'!D241+'BALANZA G'!D243+'BALANZA G'!D244+'BALANZA G'!D245+'BALANZA G'!D235</f>
        <v>5248535.1899999995</v>
      </c>
      <c r="E396" s="191">
        <f t="shared" si="4"/>
        <v>-3491790.1999999993</v>
      </c>
    </row>
    <row r="397" spans="2:5" ht="31.5">
      <c r="B397" s="189" t="s">
        <v>1170</v>
      </c>
      <c r="C397" s="188">
        <f>+'BALANZA G'!C247+'BALANZA G'!C249+'BALANZA G'!C250+'BALANZA G'!C251+'BALANZA G'!C252+'BALANZA G'!C254+'BALANZA G'!C255+'BALANZA G'!C199+'BALANZA G'!C200</f>
        <v>815251.7</v>
      </c>
      <c r="D397" s="188">
        <f>+'BALANZA G'!D199+'BALANZA G'!D200+'BALANZA G'!D247+'BALANZA G'!D249+'BALANZA G'!D250+'BALANZA G'!D251+'BALANZA G'!D252+'BALANZA G'!D254+'BALANZA G'!D255</f>
        <v>7681399.3000000007</v>
      </c>
      <c r="E397" s="191">
        <f t="shared" si="4"/>
        <v>-6866147.6000000006</v>
      </c>
    </row>
    <row r="398" spans="2:5">
      <c r="B398" s="184" t="s">
        <v>1171</v>
      </c>
      <c r="C398" s="190">
        <f>SUM(C390:C397)</f>
        <v>3790069.9000000004</v>
      </c>
      <c r="D398" s="190">
        <f>SUM(D390:D397)</f>
        <v>20006543.469999999</v>
      </c>
      <c r="E398" s="190">
        <f>SUM(E390:E397)</f>
        <v>-16216473.57</v>
      </c>
    </row>
    <row r="399" spans="2:5">
      <c r="B399" s="156" t="s">
        <v>1038</v>
      </c>
      <c r="C399" s="815">
        <f>+C398-RESULTADO!C20</f>
        <v>0</v>
      </c>
    </row>
    <row r="400" spans="2:5" s="5" customFormat="1">
      <c r="B400" s="1881" t="s">
        <v>2001</v>
      </c>
      <c r="C400" s="1882"/>
      <c r="D400" s="304" t="str">
        <f>IF(E400&gt;=0,"Aumento","Disminución")</f>
        <v>Disminución</v>
      </c>
      <c r="E400" s="228">
        <f>+E398/D398</f>
        <v>-0.81055848524342822</v>
      </c>
    </row>
    <row r="401" spans="2:5">
      <c r="B401" s="234"/>
      <c r="C401" s="234"/>
      <c r="D401" s="234"/>
      <c r="E401" s="235"/>
    </row>
    <row r="402" spans="2:5">
      <c r="B402" s="234"/>
      <c r="C402" s="234"/>
      <c r="D402" s="234"/>
      <c r="E402" s="235"/>
    </row>
    <row r="403" spans="2:5">
      <c r="B403" s="234"/>
      <c r="C403" s="234"/>
      <c r="D403" s="234"/>
      <c r="E403" s="235"/>
    </row>
    <row r="404" spans="2:5">
      <c r="B404" s="234"/>
      <c r="C404" s="234"/>
      <c r="D404" s="234"/>
      <c r="E404" s="235"/>
    </row>
    <row r="406" spans="2:5" ht="18.75">
      <c r="B406" s="817" t="s">
        <v>1172</v>
      </c>
    </row>
    <row r="407" spans="2:5" ht="21.75" customHeight="1">
      <c r="B407" s="1868" t="str">
        <f>+B386</f>
        <v>Del Ejercicio terminado el  31 de marzo de 2026  y  2025</v>
      </c>
      <c r="C407" s="1868"/>
      <c r="D407" s="1868"/>
      <c r="E407" s="1868"/>
    </row>
    <row r="408" spans="2:5" ht="51" customHeight="1">
      <c r="B408" s="1868" t="s">
        <v>1979</v>
      </c>
      <c r="C408" s="1868"/>
      <c r="D408" s="1868"/>
      <c r="E408" s="1868"/>
    </row>
    <row r="409" spans="2:5">
      <c r="B409" s="150"/>
    </row>
    <row r="410" spans="2:5">
      <c r="B410" s="192" t="s">
        <v>1149</v>
      </c>
      <c r="C410" s="193">
        <f>+BALANZA!B4</f>
        <v>2026</v>
      </c>
      <c r="D410" s="196">
        <f>+BALANZA!C4</f>
        <v>2025</v>
      </c>
      <c r="E410" s="208" t="s">
        <v>1213</v>
      </c>
    </row>
    <row r="411" spans="2:5">
      <c r="B411" s="194" t="s">
        <v>1173</v>
      </c>
      <c r="C411" s="167">
        <f>+'BALANZA G'!C260</f>
        <v>2051.4</v>
      </c>
      <c r="D411" s="167">
        <f>+'BALANZA G'!D260</f>
        <v>816139.39</v>
      </c>
      <c r="E411" s="191">
        <f t="shared" ref="E411:E418" si="5">+C411-D411</f>
        <v>-814087.99</v>
      </c>
    </row>
    <row r="412" spans="2:5">
      <c r="B412" s="194" t="s">
        <v>1174</v>
      </c>
      <c r="C412" s="167">
        <f>+'BALANZA G'!C263</f>
        <v>0</v>
      </c>
      <c r="D412" s="167">
        <f>+'BALANZA G'!D263</f>
        <v>0</v>
      </c>
      <c r="E412" s="191">
        <f t="shared" si="5"/>
        <v>0</v>
      </c>
    </row>
    <row r="413" spans="2:5">
      <c r="B413" s="194" t="s">
        <v>1992</v>
      </c>
      <c r="C413" s="167">
        <f>+'BALANZA G'!C268</f>
        <v>0</v>
      </c>
      <c r="D413" s="167"/>
      <c r="E413" s="191">
        <f t="shared" si="5"/>
        <v>0</v>
      </c>
    </row>
    <row r="414" spans="2:5">
      <c r="B414" s="194" t="s">
        <v>1175</v>
      </c>
      <c r="C414" s="167">
        <f>+'BALANZA G'!C266</f>
        <v>39850</v>
      </c>
      <c r="D414" s="167">
        <f>+'BALANZA G'!D266</f>
        <v>232991.34</v>
      </c>
      <c r="E414" s="191">
        <f t="shared" si="5"/>
        <v>-193141.34</v>
      </c>
    </row>
    <row r="415" spans="2:5">
      <c r="B415" s="194" t="s">
        <v>1214</v>
      </c>
      <c r="C415" s="167">
        <f>+'BALANZA G'!C271+'BALANZA G'!C273+'BALANZA G'!C277+'BALANZA G'!C272</f>
        <v>2076350</v>
      </c>
      <c r="D415" s="167">
        <f>+'BALANZA G'!D271+'BALANZA G'!D273+'BALANZA G'!D277</f>
        <v>5883735</v>
      </c>
      <c r="E415" s="191">
        <f t="shared" si="5"/>
        <v>-3807385</v>
      </c>
    </row>
    <row r="416" spans="2:5">
      <c r="B416" s="194" t="s">
        <v>1215</v>
      </c>
      <c r="C416" s="167">
        <f>+'BALANZA G'!C274+'BALANZA G'!C278</f>
        <v>0</v>
      </c>
      <c r="D416" s="167">
        <f>+'BALANZA G'!D274+'BALANZA G'!D278</f>
        <v>0</v>
      </c>
      <c r="E416" s="191">
        <f t="shared" si="5"/>
        <v>0</v>
      </c>
    </row>
    <row r="417" spans="2:5">
      <c r="B417" s="194" t="s">
        <v>1176</v>
      </c>
      <c r="C417" s="167">
        <f>+'BALANZA G'!C281+'BALANZA G'!C282+'BALANZA G'!C283+'BALANZA G'!C284+'BALANZA G'!C285+'BALANZA G'!C286+'BALANZA G'!C303</f>
        <v>129779.17</v>
      </c>
      <c r="D417" s="167">
        <f>+'BALANZA G'!D281+'BALANZA G'!D282+'BALANZA G'!D283+'BALANZA G'!D284+'BALANZA G'!D285+'BALANZA G'!D286+'BALANZA G'!D303</f>
        <v>1074577.0900000001</v>
      </c>
      <c r="E417" s="191">
        <f t="shared" si="5"/>
        <v>-944797.92</v>
      </c>
    </row>
    <row r="418" spans="2:5">
      <c r="B418" s="194" t="s">
        <v>1235</v>
      </c>
      <c r="C418" s="167">
        <f>+'BALANZA G'!C304</f>
        <v>52140</v>
      </c>
      <c r="D418" s="167">
        <f>+'BALANZA G'!D304</f>
        <v>86900</v>
      </c>
      <c r="E418" s="191">
        <f t="shared" si="5"/>
        <v>-34760</v>
      </c>
    </row>
    <row r="419" spans="2:5" ht="15">
      <c r="B419" s="195" t="s">
        <v>1171</v>
      </c>
      <c r="C419" s="170">
        <f>SUM(C411:C418)</f>
        <v>2300170.5699999998</v>
      </c>
      <c r="D419" s="170">
        <f>SUM(D411:D418)</f>
        <v>8094342.8200000003</v>
      </c>
      <c r="E419" s="170">
        <f>SUM(E411:E418)</f>
        <v>-5794172.25</v>
      </c>
    </row>
    <row r="420" spans="2:5">
      <c r="B420" s="231"/>
      <c r="C420" s="811">
        <f>+C419-RESULTADO!C21</f>
        <v>0</v>
      </c>
      <c r="D420" s="232"/>
      <c r="E420" s="233"/>
    </row>
    <row r="421" spans="2:5" s="5" customFormat="1">
      <c r="B421" s="1881" t="s">
        <v>2001</v>
      </c>
      <c r="C421" s="1882"/>
      <c r="D421" s="304" t="str">
        <f>IF(E421&gt;=0,"Aumento","Disminución")</f>
        <v>Disminución</v>
      </c>
      <c r="E421" s="228">
        <f>+E419/D419</f>
        <v>-0.71582985535075216</v>
      </c>
    </row>
    <row r="422" spans="2:5" s="206" customFormat="1">
      <c r="B422" s="262"/>
      <c r="C422" s="262"/>
      <c r="D422" s="262"/>
      <c r="E422" s="235"/>
    </row>
    <row r="423" spans="2:5">
      <c r="B423" s="141"/>
    </row>
    <row r="424" spans="2:5" ht="31.5" customHeight="1">
      <c r="B424" s="1953" t="s">
        <v>1177</v>
      </c>
      <c r="C424" s="1953"/>
      <c r="D424" s="1953"/>
      <c r="E424" s="1953"/>
    </row>
    <row r="425" spans="2:5" ht="15.75" customHeight="1">
      <c r="B425" s="1868" t="str">
        <f>+B407</f>
        <v>Del Ejercicio terminado el  31 de marzo de 2026  y  2025</v>
      </c>
      <c r="C425" s="1868"/>
      <c r="D425" s="1868"/>
      <c r="E425" s="1868"/>
    </row>
    <row r="426" spans="2:5" ht="63" customHeight="1">
      <c r="B426" s="1868" t="s">
        <v>1230</v>
      </c>
      <c r="C426" s="1868"/>
      <c r="D426" s="1868"/>
      <c r="E426" s="1868"/>
    </row>
    <row r="427" spans="2:5">
      <c r="B427" s="150"/>
    </row>
    <row r="428" spans="2:5">
      <c r="B428" s="192" t="s">
        <v>1149</v>
      </c>
      <c r="C428" s="193">
        <f>+C410</f>
        <v>2026</v>
      </c>
      <c r="D428" s="196">
        <f>+D410</f>
        <v>2025</v>
      </c>
      <c r="E428" s="208" t="s">
        <v>1213</v>
      </c>
    </row>
    <row r="429" spans="2:5">
      <c r="B429" s="197" t="s">
        <v>1178</v>
      </c>
      <c r="C429" s="198">
        <f>+'BALANZA G'!C307+'BALANZA G'!C308+'BALANZA G'!C309</f>
        <v>0</v>
      </c>
      <c r="D429" s="198">
        <f>+'BALANZA G'!D307+'BALANZA G'!D308+'BALANZA G'!D309</f>
        <v>1555455.69</v>
      </c>
      <c r="E429" s="191">
        <f>+C429-D429</f>
        <v>-1555455.69</v>
      </c>
    </row>
    <row r="430" spans="2:5">
      <c r="B430" s="195" t="s">
        <v>1179</v>
      </c>
      <c r="C430" s="199">
        <f>SUM(C429)</f>
        <v>0</v>
      </c>
      <c r="D430" s="199">
        <f>SUM(D429)</f>
        <v>1555455.69</v>
      </c>
      <c r="E430" s="191">
        <f>+C430-D430</f>
        <v>-1555455.69</v>
      </c>
    </row>
    <row r="431" spans="2:5">
      <c r="B431" s="159"/>
      <c r="C431" s="816">
        <f>+C430-RESULTADO!C22</f>
        <v>0</v>
      </c>
    </row>
    <row r="432" spans="2:5" s="5" customFormat="1">
      <c r="B432" s="1881" t="s">
        <v>2001</v>
      </c>
      <c r="C432" s="1882"/>
      <c r="D432" s="304" t="str">
        <f>IF(E432&gt;=0,"Aumento","Disminución")</f>
        <v>Disminución</v>
      </c>
      <c r="E432" s="228">
        <f>+E430/D430</f>
        <v>-1</v>
      </c>
    </row>
    <row r="433" spans="2:5">
      <c r="B433" s="140"/>
    </row>
    <row r="434" spans="2:5">
      <c r="B434" s="140"/>
    </row>
    <row r="435" spans="2:5">
      <c r="B435" s="140"/>
    </row>
    <row r="436" spans="2:5" ht="28.5" customHeight="1">
      <c r="B436" s="1953" t="s">
        <v>1180</v>
      </c>
      <c r="C436" s="1953"/>
      <c r="D436" s="1953"/>
      <c r="E436" s="1953"/>
    </row>
    <row r="437" spans="2:5" ht="28.5" customHeight="1">
      <c r="B437" s="1858" t="str">
        <f>+B407</f>
        <v>Del Ejercicio terminado el  31 de marzo de 2026  y  2025</v>
      </c>
      <c r="C437" s="1858"/>
      <c r="D437" s="1858"/>
      <c r="E437" s="1858"/>
    </row>
    <row r="438" spans="2:5" ht="51.75" customHeight="1">
      <c r="B438" s="1868" t="s">
        <v>1232</v>
      </c>
      <c r="C438" s="1868"/>
      <c r="D438" s="1868"/>
      <c r="E438" s="1868"/>
    </row>
    <row r="439" spans="2:5">
      <c r="B439" s="150"/>
    </row>
    <row r="440" spans="2:5">
      <c r="B440" s="216" t="s">
        <v>8</v>
      </c>
      <c r="C440" s="216">
        <f>+C428</f>
        <v>2026</v>
      </c>
      <c r="D440" s="217">
        <f>+D428</f>
        <v>2025</v>
      </c>
      <c r="E440" s="208" t="s">
        <v>1213</v>
      </c>
    </row>
    <row r="441" spans="2:5">
      <c r="B441" s="218" t="s">
        <v>1181</v>
      </c>
      <c r="C441" s="207" t="e">
        <f>+'BALANZA G'!#REF!</f>
        <v>#REF!</v>
      </c>
      <c r="D441" s="207" t="e">
        <f>+'BALANZA G'!#REF!</f>
        <v>#REF!</v>
      </c>
      <c r="E441" s="191" t="e">
        <f>+C441-D441</f>
        <v>#REF!</v>
      </c>
    </row>
    <row r="442" spans="2:5">
      <c r="B442" s="218" t="s">
        <v>1182</v>
      </c>
      <c r="C442" s="191">
        <v>0</v>
      </c>
      <c r="D442" s="191">
        <v>0</v>
      </c>
      <c r="E442" s="191">
        <f>+C442-D442</f>
        <v>0</v>
      </c>
    </row>
    <row r="443" spans="2:5">
      <c r="B443" s="219" t="s">
        <v>1147</v>
      </c>
      <c r="C443" s="220" t="e">
        <f>SUM(C441:C442)</f>
        <v>#REF!</v>
      </c>
      <c r="D443" s="220" t="e">
        <f>SUM(D441:D442)</f>
        <v>#REF!</v>
      </c>
      <c r="E443" s="220" t="e">
        <f>SUM(E441:E442)</f>
        <v>#REF!</v>
      </c>
    </row>
    <row r="444" spans="2:5">
      <c r="B444" s="218" t="s">
        <v>1144</v>
      </c>
      <c r="C444" s="221" t="e">
        <f>+D446+D449</f>
        <v>#REF!</v>
      </c>
      <c r="D444" s="221" t="e">
        <f>+PATRIMONIO!J17</f>
        <v>#REF!</v>
      </c>
      <c r="E444" s="191" t="e">
        <f>+C444-D444</f>
        <v>#REF!</v>
      </c>
    </row>
    <row r="445" spans="2:5">
      <c r="B445" s="218" t="s">
        <v>1145</v>
      </c>
      <c r="C445" s="207">
        <f>+FLUJO!B40</f>
        <v>-63003.47</v>
      </c>
      <c r="D445" s="207">
        <f>+FLUJO!D40</f>
        <v>669009.91999995708</v>
      </c>
      <c r="E445" s="191">
        <f>+C445-D445</f>
        <v>-732013.38999995706</v>
      </c>
    </row>
    <row r="446" spans="2:5">
      <c r="B446" s="219" t="s">
        <v>1183</v>
      </c>
      <c r="C446" s="222" t="e">
        <f>SUM(C444:C445)</f>
        <v>#REF!</v>
      </c>
      <c r="D446" s="222" t="e">
        <f>SUM(D444:D445)</f>
        <v>#REF!</v>
      </c>
      <c r="E446" s="222" t="e">
        <f>SUM(E444:E445)</f>
        <v>#REF!</v>
      </c>
    </row>
    <row r="447" spans="2:5">
      <c r="B447" s="218" t="s">
        <v>1146</v>
      </c>
      <c r="C447" s="221" t="e">
        <f>+'BALANZA G'!#REF!</f>
        <v>#REF!</v>
      </c>
      <c r="D447" s="221" t="e">
        <f>+'BALANZA G'!#REF!</f>
        <v>#REF!</v>
      </c>
      <c r="E447" s="191" t="e">
        <f>+C447-D447</f>
        <v>#REF!</v>
      </c>
    </row>
    <row r="448" spans="2:5">
      <c r="B448" s="218" t="s">
        <v>1184</v>
      </c>
      <c r="C448" s="221">
        <v>0</v>
      </c>
      <c r="D448" s="221">
        <v>0</v>
      </c>
      <c r="E448" s="191">
        <f>+C448-D448</f>
        <v>0</v>
      </c>
    </row>
    <row r="449" spans="2:5">
      <c r="B449" s="219" t="s">
        <v>1185</v>
      </c>
      <c r="C449" s="222" t="e">
        <f>SUM(C447:C448)</f>
        <v>#REF!</v>
      </c>
      <c r="D449" s="222" t="e">
        <f>SUM(D447:D448)</f>
        <v>#REF!</v>
      </c>
      <c r="E449" s="222" t="e">
        <f>SUM(E447:E448)</f>
        <v>#REF!</v>
      </c>
    </row>
    <row r="450" spans="2:5">
      <c r="B450" s="223" t="s">
        <v>1147</v>
      </c>
      <c r="C450" s="224" t="e">
        <f>+C443+C446+C449</f>
        <v>#REF!</v>
      </c>
      <c r="D450" s="224" t="e">
        <f>+D443+D446+D449</f>
        <v>#REF!</v>
      </c>
      <c r="E450" s="224" t="e">
        <f>+E443+E446+E449</f>
        <v>#REF!</v>
      </c>
    </row>
    <row r="451" spans="2:5" s="5" customFormat="1">
      <c r="B451" s="229"/>
      <c r="C451" s="230"/>
      <c r="D451" s="230"/>
      <c r="E451" s="230"/>
    </row>
    <row r="452" spans="2:5" s="5" customFormat="1">
      <c r="B452" s="1881" t="s">
        <v>2001</v>
      </c>
      <c r="C452" s="1882"/>
      <c r="D452" s="304" t="e">
        <f>IF(E452&gt;=0,"Aumento","Disminución")</f>
        <v>#REF!</v>
      </c>
      <c r="E452" s="228" t="e">
        <f>+E450/D450</f>
        <v>#REF!</v>
      </c>
    </row>
    <row r="453" spans="2:5">
      <c r="C453" s="11"/>
    </row>
    <row r="454" spans="2:5">
      <c r="B454" s="150"/>
    </row>
    <row r="455" spans="2:5">
      <c r="B455" s="141"/>
    </row>
    <row r="456" spans="2:5">
      <c r="B456" s="141" t="s">
        <v>1186</v>
      </c>
    </row>
    <row r="457" spans="2:5" ht="27" customHeight="1">
      <c r="B457" s="1868" t="str">
        <f>+B437</f>
        <v>Del Ejercicio terminado el  31 de marzo de 2026  y  2025</v>
      </c>
      <c r="C457" s="1868"/>
      <c r="D457" s="1868"/>
      <c r="E457" s="1868"/>
    </row>
    <row r="458" spans="2:5" ht="56.25" customHeight="1">
      <c r="B458" s="1868" t="s">
        <v>1226</v>
      </c>
      <c r="C458" s="1868"/>
      <c r="D458" s="1868"/>
      <c r="E458" s="1868"/>
    </row>
    <row r="459" spans="2:5" ht="33.75" customHeight="1">
      <c r="B459" s="1868" t="s">
        <v>1231</v>
      </c>
      <c r="C459" s="1868"/>
      <c r="D459" s="1868"/>
      <c r="E459" s="1868"/>
    </row>
    <row r="460" spans="2:5">
      <c r="B460" s="160"/>
    </row>
    <row r="461" spans="2:5">
      <c r="B461" s="160"/>
    </row>
  </sheetData>
  <mergeCells count="108">
    <mergeCell ref="B73:E73"/>
    <mergeCell ref="B66:E66"/>
    <mergeCell ref="B70:E70"/>
    <mergeCell ref="B89:E89"/>
    <mergeCell ref="B85:E85"/>
    <mergeCell ref="B87:E87"/>
    <mergeCell ref="B81:E81"/>
    <mergeCell ref="B101:E101"/>
    <mergeCell ref="A1:E1"/>
    <mergeCell ref="B7:E7"/>
    <mergeCell ref="B40:E40"/>
    <mergeCell ref="B32:E32"/>
    <mergeCell ref="B36:E36"/>
    <mergeCell ref="B30:E30"/>
    <mergeCell ref="B54:E54"/>
    <mergeCell ref="B20:E20"/>
    <mergeCell ref="B25:E25"/>
    <mergeCell ref="B14:E14"/>
    <mergeCell ref="B16:E16"/>
    <mergeCell ref="B9:E9"/>
    <mergeCell ref="B12:E12"/>
    <mergeCell ref="B60:E60"/>
    <mergeCell ref="B63:E63"/>
    <mergeCell ref="B57:E57"/>
    <mergeCell ref="B46:E46"/>
    <mergeCell ref="B201:E201"/>
    <mergeCell ref="B105:E105"/>
    <mergeCell ref="B130:E130"/>
    <mergeCell ref="B132:E132"/>
    <mergeCell ref="B134:E134"/>
    <mergeCell ref="B44:E44"/>
    <mergeCell ref="B99:E99"/>
    <mergeCell ref="B115:E115"/>
    <mergeCell ref="B137:E137"/>
    <mergeCell ref="B144:E144"/>
    <mergeCell ref="B219:D219"/>
    <mergeCell ref="B117:E117"/>
    <mergeCell ref="B119:E119"/>
    <mergeCell ref="B153:E153"/>
    <mergeCell ref="B140:E140"/>
    <mergeCell ref="B91:E91"/>
    <mergeCell ref="B93:E93"/>
    <mergeCell ref="B103:E103"/>
    <mergeCell ref="B192:E192"/>
    <mergeCell ref="B95:E95"/>
    <mergeCell ref="B459:E459"/>
    <mergeCell ref="B424:E424"/>
    <mergeCell ref="B425:E425"/>
    <mergeCell ref="B322:E322"/>
    <mergeCell ref="B333:D333"/>
    <mergeCell ref="B231:E231"/>
    <mergeCell ref="B421:C421"/>
    <mergeCell ref="B437:E437"/>
    <mergeCell ref="B458:E458"/>
    <mergeCell ref="B457:E457"/>
    <mergeCell ref="B3:E3"/>
    <mergeCell ref="B11:E11"/>
    <mergeCell ref="B23:E23"/>
    <mergeCell ref="B28:E28"/>
    <mergeCell ref="B136:E136"/>
    <mergeCell ref="B123:E123"/>
    <mergeCell ref="B107:E107"/>
    <mergeCell ref="B109:E109"/>
    <mergeCell ref="B111:E111"/>
    <mergeCell ref="B50:E50"/>
    <mergeCell ref="B436:E436"/>
    <mergeCell ref="B350:E350"/>
    <mergeCell ref="B387:E387"/>
    <mergeCell ref="B349:D349"/>
    <mergeCell ref="B232:E232"/>
    <mergeCell ref="B426:E426"/>
    <mergeCell ref="B432:C432"/>
    <mergeCell ref="B386:E386"/>
    <mergeCell ref="B407:E407"/>
    <mergeCell ref="B408:E408"/>
    <mergeCell ref="B438:E438"/>
    <mergeCell ref="B369:E369"/>
    <mergeCell ref="B163:C163"/>
    <mergeCell ref="B168:C168"/>
    <mergeCell ref="B206:E206"/>
    <mergeCell ref="B126:E126"/>
    <mergeCell ref="B207:E207"/>
    <mergeCell ref="B172:E172"/>
    <mergeCell ref="B145:E145"/>
    <mergeCell ref="B154:E154"/>
    <mergeCell ref="B139:E139"/>
    <mergeCell ref="B199:C199"/>
    <mergeCell ref="B191:E191"/>
    <mergeCell ref="B173:E173"/>
    <mergeCell ref="B181:C181"/>
    <mergeCell ref="B183:E183"/>
    <mergeCell ref="B233:E233"/>
    <mergeCell ref="B234:E234"/>
    <mergeCell ref="B316:C316"/>
    <mergeCell ref="B361:E361"/>
    <mergeCell ref="B370:E370"/>
    <mergeCell ref="C352:D352"/>
    <mergeCell ref="B304:E304"/>
    <mergeCell ref="B452:C452"/>
    <mergeCell ref="B297:C297"/>
    <mergeCell ref="B332:C332"/>
    <mergeCell ref="B359:C359"/>
    <mergeCell ref="B380:C380"/>
    <mergeCell ref="B400:C400"/>
    <mergeCell ref="B305:E305"/>
    <mergeCell ref="B317:E317"/>
    <mergeCell ref="B321:E321"/>
    <mergeCell ref="B323:E323"/>
  </mergeCells>
  <conditionalFormatting sqref="D163 D168 D199 D316 D297 D181 D332 D359 D380 D400 D421 D432">
    <cfRule type="expression" priority="13" stopIfTrue="1">
      <formula>"$E$165&gt;=1,¨Aumento¨"</formula>
    </cfRule>
  </conditionalFormatting>
  <conditionalFormatting sqref="D452">
    <cfRule type="expression" priority="3" stopIfTrue="1">
      <formula>"$E$165&gt;=1,¨Aumento¨"</formula>
    </cfRule>
  </conditionalFormatting>
  <conditionalFormatting sqref="I324:I331 I333:I344">
    <cfRule type="duplicateValues" dxfId="19" priority="19" stopIfTrue="1"/>
  </conditionalFormatting>
  <pageMargins left="0.70866141732283472" right="0.70866141732283472" top="0.74803149606299213" bottom="0.74803149606299213" header="0.31496062992125984" footer="0.31496062992125984"/>
  <pageSetup scale="90" orientation="portrait" horizontalDpi="4294967294" verticalDpi="4294967294" r:id="rId1"/>
  <headerFooter>
    <oddFooter>Página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A2" sqref="A2:B2"/>
    </sheetView>
  </sheetViews>
  <sheetFormatPr baseColWidth="10" defaultColWidth="9.140625" defaultRowHeight="25.5" customHeight="1"/>
  <cols>
    <col min="1" max="1" width="11.42578125" customWidth="1"/>
    <col min="2" max="2" width="49" bestFit="1" customWidth="1"/>
  </cols>
  <sheetData>
    <row r="1" spans="1:2" ht="25.5" customHeight="1">
      <c r="A1" s="1825" t="s">
        <v>899</v>
      </c>
      <c r="B1" s="1825"/>
    </row>
    <row r="2" spans="1:2" ht="25.5" customHeight="1">
      <c r="A2" s="1823" t="s">
        <v>1218</v>
      </c>
      <c r="B2" s="1823"/>
    </row>
    <row r="3" spans="1:2" ht="8.25" customHeight="1"/>
    <row r="4" spans="1:2" ht="25.5" customHeight="1">
      <c r="A4" s="243"/>
      <c r="B4" s="244" t="s">
        <v>1082</v>
      </c>
    </row>
    <row r="5" spans="1:2" ht="25.5" customHeight="1">
      <c r="A5" s="243">
        <v>1</v>
      </c>
      <c r="B5" s="176" t="s">
        <v>1085</v>
      </c>
    </row>
    <row r="6" spans="1:2" ht="25.5" customHeight="1">
      <c r="A6" s="243">
        <v>2</v>
      </c>
      <c r="B6" s="176" t="s">
        <v>1086</v>
      </c>
    </row>
    <row r="7" spans="1:2" ht="25.5" customHeight="1">
      <c r="A7" s="243">
        <v>3</v>
      </c>
      <c r="B7" s="176" t="s">
        <v>1087</v>
      </c>
    </row>
    <row r="8" spans="1:2" ht="25.5" customHeight="1">
      <c r="A8" s="243">
        <v>4</v>
      </c>
      <c r="B8" s="176" t="s">
        <v>1092</v>
      </c>
    </row>
    <row r="9" spans="1:2" ht="25.5" customHeight="1">
      <c r="A9" s="243">
        <v>5</v>
      </c>
      <c r="B9" s="176" t="s">
        <v>1093</v>
      </c>
    </row>
    <row r="10" spans="1:2" ht="25.5" customHeight="1">
      <c r="A10" s="243">
        <v>6</v>
      </c>
      <c r="B10" s="176" t="s">
        <v>1094</v>
      </c>
    </row>
    <row r="11" spans="1:2" ht="25.5" customHeight="1">
      <c r="A11" s="243">
        <v>7</v>
      </c>
      <c r="B11" s="176" t="s">
        <v>1099</v>
      </c>
    </row>
    <row r="12" spans="1:2" ht="25.5" customHeight="1">
      <c r="A12" s="243">
        <v>8</v>
      </c>
      <c r="B12" s="176" t="s">
        <v>1104</v>
      </c>
    </row>
    <row r="13" spans="1:2" ht="25.5" customHeight="1">
      <c r="A13" s="243">
        <v>9</v>
      </c>
      <c r="B13" s="176" t="s">
        <v>1105</v>
      </c>
    </row>
    <row r="14" spans="1:2" ht="25.5" customHeight="1">
      <c r="A14" s="243">
        <v>10</v>
      </c>
      <c r="B14" s="176" t="s">
        <v>1106</v>
      </c>
    </row>
    <row r="15" spans="1:2" ht="25.5" customHeight="1">
      <c r="A15" s="243">
        <v>11</v>
      </c>
      <c r="B15" s="176" t="s">
        <v>1107</v>
      </c>
    </row>
    <row r="16" spans="1:2" ht="25.5" customHeight="1">
      <c r="A16" s="243">
        <v>12</v>
      </c>
      <c r="B16" s="176" t="s">
        <v>1108</v>
      </c>
    </row>
    <row r="17" spans="1:2" ht="25.5" customHeight="1">
      <c r="A17" s="243">
        <v>13</v>
      </c>
      <c r="B17" s="176" t="s">
        <v>1109</v>
      </c>
    </row>
    <row r="18" spans="1:2" ht="25.5" customHeight="1">
      <c r="A18" s="243">
        <v>14</v>
      </c>
      <c r="B18" s="176" t="s">
        <v>1110</v>
      </c>
    </row>
    <row r="19" spans="1:2" ht="25.5" customHeight="1">
      <c r="A19" s="243">
        <v>15</v>
      </c>
      <c r="B19" s="176" t="s">
        <v>1111</v>
      </c>
    </row>
    <row r="20" spans="1:2" ht="25.5" customHeight="1">
      <c r="A20" s="243">
        <v>16</v>
      </c>
      <c r="B20" s="176" t="s">
        <v>1116</v>
      </c>
    </row>
    <row r="21" spans="1:2" ht="25.5" customHeight="1">
      <c r="A21" s="243">
        <v>17</v>
      </c>
      <c r="B21" s="245" t="s">
        <v>1117</v>
      </c>
    </row>
    <row r="22" spans="1:2" ht="25.5" customHeight="1">
      <c r="A22" s="243">
        <v>18</v>
      </c>
      <c r="B22" s="246" t="s">
        <v>1216</v>
      </c>
    </row>
    <row r="23" spans="1:2" ht="25.5" customHeight="1">
      <c r="A23" s="243">
        <v>19</v>
      </c>
      <c r="B23" s="176" t="s">
        <v>1122</v>
      </c>
    </row>
    <row r="24" spans="1:2" ht="25.5" customHeight="1">
      <c r="A24" s="243">
        <v>20</v>
      </c>
      <c r="B24" s="176" t="s">
        <v>1217</v>
      </c>
    </row>
    <row r="25" spans="1:2" ht="25.5" customHeight="1">
      <c r="A25" s="243">
        <v>21</v>
      </c>
      <c r="B25" s="176" t="s">
        <v>1127</v>
      </c>
    </row>
    <row r="26" spans="1:2" ht="25.5" customHeight="1">
      <c r="A26" s="243">
        <v>22</v>
      </c>
      <c r="B26" s="245" t="s">
        <v>1132</v>
      </c>
    </row>
    <row r="27" spans="1:2" ht="25.5" customHeight="1">
      <c r="A27" s="243">
        <v>23</v>
      </c>
      <c r="B27" s="245" t="s">
        <v>1133</v>
      </c>
    </row>
    <row r="28" spans="1:2" ht="25.5" customHeight="1">
      <c r="A28" s="243">
        <v>24</v>
      </c>
      <c r="B28" s="245" t="s">
        <v>1134</v>
      </c>
    </row>
  </sheetData>
  <mergeCells count="2">
    <mergeCell ref="A1:B1"/>
    <mergeCell ref="A2:B2"/>
  </mergeCells>
  <pageMargins left="0.7" right="0.7" top="0.75" bottom="0.75" header="0.3" footer="0.3"/>
  <pageSetup orientation="portrait" horizontalDpi="4294967294" verticalDpi="4294967294"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H42"/>
  <sheetViews>
    <sheetView topLeftCell="A19" workbookViewId="0">
      <selection activeCell="A25" sqref="A25"/>
    </sheetView>
  </sheetViews>
  <sheetFormatPr baseColWidth="10" defaultColWidth="9.140625" defaultRowHeight="15"/>
  <cols>
    <col min="1" max="1" width="44.42578125" customWidth="1"/>
    <col min="2" max="2" width="9.42578125" customWidth="1"/>
    <col min="3" max="3" width="15.5703125" customWidth="1"/>
    <col min="4" max="4" width="3.28515625" customWidth="1"/>
    <col min="5" max="5" width="13.7109375" bestFit="1" customWidth="1"/>
    <col min="6" max="6" width="2.140625" customWidth="1"/>
    <col min="7" max="7" width="11.42578125" customWidth="1"/>
    <col min="8" max="8" width="12.42578125" bestFit="1" customWidth="1"/>
  </cols>
  <sheetData>
    <row r="1" spans="1:7">
      <c r="A1" s="1825" t="str">
        <f>+PATRIMONIO!A2</f>
        <v>GOBIERNO DE LA REPÚBLICA  DOMINICANA</v>
      </c>
      <c r="B1" s="1825"/>
      <c r="C1" s="1825"/>
      <c r="D1" s="1825"/>
      <c r="E1" s="1825"/>
    </row>
    <row r="2" spans="1:7" ht="15.75">
      <c r="A2" s="1962" t="str">
        <f>BALANZA!B1</f>
        <v>CORPORACION DEL ACUEDUCTO Y ALCANTARILLADO DE MOCA</v>
      </c>
      <c r="B2" s="1962"/>
      <c r="C2" s="1962"/>
      <c r="D2" s="1962"/>
      <c r="E2" s="1962"/>
      <c r="F2" s="62"/>
    </row>
    <row r="3" spans="1:7" ht="15.75">
      <c r="A3" s="1963" t="s">
        <v>934</v>
      </c>
      <c r="B3" s="1963"/>
      <c r="C3" s="1963"/>
      <c r="D3" s="1963"/>
      <c r="E3" s="1963"/>
      <c r="F3" s="62"/>
    </row>
    <row r="4" spans="1:7" ht="15.75">
      <c r="A4" s="1964" t="str">
        <f>UPPER(+BALANZA!B2)</f>
        <v>DEL EJERCICIO TERMINADO EL  31 DE MARZO DE 2026  Y  2025</v>
      </c>
      <c r="B4" s="1964"/>
      <c r="C4" s="1964"/>
      <c r="D4" s="1964"/>
      <c r="E4" s="1964"/>
      <c r="F4" s="62"/>
    </row>
    <row r="5" spans="1:7" ht="16.5" thickBot="1">
      <c r="A5" s="1963" t="s">
        <v>926</v>
      </c>
      <c r="B5" s="1963"/>
      <c r="C5" s="1963"/>
      <c r="D5" s="1963"/>
      <c r="E5" s="1963"/>
      <c r="F5" s="103"/>
    </row>
    <row r="6" spans="1:7" ht="15.75" thickBot="1">
      <c r="A6" s="63"/>
      <c r="B6" s="63"/>
      <c r="C6" s="82">
        <f>BALANZA!B4</f>
        <v>2026</v>
      </c>
      <c r="D6" s="83"/>
      <c r="E6" s="95">
        <f>BALANZA!C4</f>
        <v>2025</v>
      </c>
      <c r="F6" s="104"/>
    </row>
    <row r="7" spans="1:7">
      <c r="A7" s="63"/>
      <c r="B7" s="63"/>
      <c r="C7" s="61"/>
      <c r="D7" s="63"/>
      <c r="E7" s="100"/>
      <c r="F7" s="105"/>
    </row>
    <row r="8" spans="1:7">
      <c r="A8" s="323" t="s">
        <v>935</v>
      </c>
      <c r="B8" s="323"/>
      <c r="C8" s="65"/>
      <c r="D8" s="65"/>
      <c r="E8" s="66"/>
      <c r="F8" s="106"/>
    </row>
    <row r="9" spans="1:7">
      <c r="A9" s="83" t="s">
        <v>936</v>
      </c>
      <c r="B9" s="83"/>
      <c r="C9" s="63"/>
      <c r="D9" s="63"/>
      <c r="E9" s="101"/>
      <c r="F9" s="105"/>
    </row>
    <row r="10" spans="1:7">
      <c r="A10" s="83" t="s">
        <v>1272</v>
      </c>
      <c r="B10" s="325" t="s">
        <v>1270</v>
      </c>
      <c r="C10" s="84">
        <f>'BALANZA G'!C148</f>
        <v>25865457</v>
      </c>
      <c r="D10" s="84"/>
      <c r="E10" s="84">
        <f>'BALANZA G'!D148</f>
        <v>307209103</v>
      </c>
      <c r="F10" s="107"/>
    </row>
    <row r="11" spans="1:7" hidden="1">
      <c r="A11" s="83" t="s">
        <v>937</v>
      </c>
      <c r="B11" s="325" t="s">
        <v>1270</v>
      </c>
      <c r="C11" s="84">
        <v>0</v>
      </c>
      <c r="D11" s="84"/>
      <c r="E11" s="93">
        <v>0</v>
      </c>
      <c r="F11" s="107"/>
    </row>
    <row r="12" spans="1:7" hidden="1">
      <c r="A12" s="83" t="s">
        <v>938</v>
      </c>
      <c r="B12" s="325" t="s">
        <v>1270</v>
      </c>
      <c r="C12" s="84">
        <v>0</v>
      </c>
      <c r="D12" s="84"/>
      <c r="E12" s="93">
        <v>0</v>
      </c>
      <c r="F12" s="107"/>
    </row>
    <row r="13" spans="1:7" ht="15.75" thickBot="1">
      <c r="A13" s="83" t="s">
        <v>1273</v>
      </c>
      <c r="B13" s="325" t="s">
        <v>1270</v>
      </c>
      <c r="C13" s="85">
        <f>'BALANZA G'!C136</f>
        <v>45032091.25</v>
      </c>
      <c r="D13" s="84"/>
      <c r="E13" s="85">
        <f>'BALANZA G'!D136</f>
        <v>186534488.11000001</v>
      </c>
      <c r="F13" s="107"/>
    </row>
    <row r="14" spans="1:7">
      <c r="A14" s="83"/>
      <c r="B14" s="325"/>
      <c r="C14" s="86"/>
      <c r="D14" s="86"/>
      <c r="E14" s="102"/>
      <c r="F14" s="107"/>
    </row>
    <row r="15" spans="1:7" ht="15.75" thickBot="1">
      <c r="A15" s="323" t="s">
        <v>939</v>
      </c>
      <c r="B15" s="326"/>
      <c r="C15" s="87">
        <f>SUM(C10:C13)</f>
        <v>70897548.25</v>
      </c>
      <c r="D15" s="88"/>
      <c r="E15" s="87">
        <f>SUM(E10:E13)</f>
        <v>493743591.11000001</v>
      </c>
      <c r="F15" s="108"/>
      <c r="G15" s="64"/>
    </row>
    <row r="16" spans="1:7">
      <c r="A16" s="83"/>
      <c r="B16" s="325"/>
      <c r="C16" s="86"/>
      <c r="D16" s="86"/>
      <c r="E16" s="98"/>
      <c r="F16" s="107"/>
    </row>
    <row r="17" spans="1:8">
      <c r="A17" s="83"/>
      <c r="B17" s="325"/>
      <c r="C17" s="86"/>
      <c r="D17" s="86"/>
      <c r="E17" s="93"/>
      <c r="F17" s="107"/>
    </row>
    <row r="18" spans="1:8">
      <c r="A18" s="323" t="s">
        <v>940</v>
      </c>
      <c r="B18" s="326"/>
      <c r="C18" s="86"/>
      <c r="D18" s="86"/>
      <c r="E18" s="93"/>
      <c r="F18" s="107"/>
    </row>
    <row r="19" spans="1:8">
      <c r="A19" s="83" t="s">
        <v>895</v>
      </c>
      <c r="B19" s="325" t="s">
        <v>1270</v>
      </c>
      <c r="C19" s="84">
        <f>+Notas!C378</f>
        <v>45229508.960000001</v>
      </c>
      <c r="D19" s="84"/>
      <c r="E19" s="93">
        <f>+Notas!D378</f>
        <v>198381595.54999998</v>
      </c>
      <c r="F19" s="107"/>
    </row>
    <row r="20" spans="1:8">
      <c r="A20" s="83" t="s">
        <v>896</v>
      </c>
      <c r="B20" s="325" t="s">
        <v>1270</v>
      </c>
      <c r="C20" s="84">
        <f>+Notas!C398</f>
        <v>3790069.9000000004</v>
      </c>
      <c r="D20" s="84"/>
      <c r="E20" s="93">
        <f>+Notas!D398</f>
        <v>20006543.469999999</v>
      </c>
      <c r="F20" s="107"/>
      <c r="H20" s="11"/>
    </row>
    <row r="21" spans="1:8">
      <c r="A21" s="83" t="s">
        <v>1271</v>
      </c>
      <c r="B21" s="325" t="s">
        <v>1270</v>
      </c>
      <c r="C21" s="84">
        <f>+Notas!C419</f>
        <v>2300170.5699999998</v>
      </c>
      <c r="D21" s="84"/>
      <c r="E21" s="93">
        <f>+Notas!D419</f>
        <v>8094342.8200000003</v>
      </c>
      <c r="F21" s="107"/>
      <c r="H21" s="11"/>
    </row>
    <row r="22" spans="1:8">
      <c r="A22" s="83" t="s">
        <v>900</v>
      </c>
      <c r="B22" s="325" t="s">
        <v>1270</v>
      </c>
      <c r="C22" s="84">
        <f>+Notas!C430</f>
        <v>0</v>
      </c>
      <c r="D22" s="84"/>
      <c r="E22" s="93">
        <f>+Notas!D430</f>
        <v>1555455.69</v>
      </c>
      <c r="F22" s="107"/>
    </row>
    <row r="23" spans="1:8" ht="3" customHeight="1" thickBot="1">
      <c r="A23" s="83" t="s">
        <v>941</v>
      </c>
      <c r="B23" s="83"/>
      <c r="C23" s="85">
        <v>0</v>
      </c>
      <c r="D23" s="91"/>
      <c r="E23" s="94">
        <v>0</v>
      </c>
      <c r="F23" s="107"/>
    </row>
    <row r="24" spans="1:8">
      <c r="A24" s="83"/>
      <c r="B24" s="83"/>
      <c r="C24" s="86"/>
      <c r="D24" s="86"/>
      <c r="E24" s="98"/>
      <c r="F24" s="107"/>
    </row>
    <row r="25" spans="1:8" ht="15.75" thickBot="1">
      <c r="A25" s="323" t="s">
        <v>942</v>
      </c>
      <c r="B25" s="323"/>
      <c r="C25" s="87">
        <f>SUM(C19:C23)</f>
        <v>51319749.43</v>
      </c>
      <c r="D25" s="90"/>
      <c r="E25" s="96">
        <f>SUM(E19:E23)</f>
        <v>228037937.52999997</v>
      </c>
      <c r="F25" s="109"/>
    </row>
    <row r="26" spans="1:8">
      <c r="A26" s="323"/>
      <c r="B26" s="323"/>
      <c r="C26" s="90"/>
      <c r="D26" s="90"/>
      <c r="E26" s="99"/>
      <c r="F26" s="109"/>
    </row>
    <row r="27" spans="1:8">
      <c r="A27" s="323" t="s">
        <v>943</v>
      </c>
      <c r="B27" s="323"/>
      <c r="C27" s="90">
        <f>C15-C25</f>
        <v>19577798.82</v>
      </c>
      <c r="D27" s="90"/>
      <c r="E27" s="89">
        <f>E15-E25</f>
        <v>265705653.58000004</v>
      </c>
      <c r="F27" s="109"/>
      <c r="H27" s="11"/>
    </row>
    <row r="28" spans="1:8" ht="15.75" thickBot="1">
      <c r="A28" s="83" t="s">
        <v>944</v>
      </c>
      <c r="B28" s="83"/>
      <c r="C28" s="87">
        <v>0</v>
      </c>
      <c r="D28" s="90"/>
      <c r="E28" s="96">
        <v>0</v>
      </c>
      <c r="F28" s="109"/>
    </row>
    <row r="29" spans="1:8">
      <c r="A29" s="83"/>
      <c r="B29" s="83"/>
      <c r="C29" s="84"/>
      <c r="D29" s="84"/>
      <c r="E29" s="98"/>
      <c r="F29" s="107"/>
    </row>
    <row r="30" spans="1:8" ht="15.75" thickBot="1">
      <c r="A30" s="323" t="s">
        <v>945</v>
      </c>
      <c r="B30" s="323"/>
      <c r="C30" s="92">
        <f>C27-C28</f>
        <v>19577798.82</v>
      </c>
      <c r="D30" s="90"/>
      <c r="E30" s="97">
        <f>E27-E28</f>
        <v>265705653.58000004</v>
      </c>
      <c r="F30" s="109"/>
    </row>
    <row r="31" spans="1:8" ht="15.75" thickTop="1">
      <c r="F31" s="5"/>
    </row>
    <row r="33" spans="1:6">
      <c r="A33" s="1960"/>
      <c r="B33" s="1960"/>
      <c r="C33" s="1960"/>
      <c r="D33" s="1960"/>
      <c r="E33" s="1960"/>
      <c r="F33" s="1960"/>
    </row>
    <row r="34" spans="1:6">
      <c r="A34" s="56"/>
      <c r="B34" s="56"/>
      <c r="C34" s="56"/>
      <c r="D34" s="56"/>
      <c r="E34" s="56"/>
      <c r="F34" s="56"/>
    </row>
    <row r="35" spans="1:6">
      <c r="A35" s="1960" t="s">
        <v>1025</v>
      </c>
      <c r="B35" s="1960"/>
      <c r="C35" s="1960"/>
      <c r="D35" s="1960"/>
      <c r="E35" s="1960"/>
      <c r="F35" s="1960"/>
    </row>
    <row r="36" spans="1:6">
      <c r="A36" s="1961" t="s">
        <v>1023</v>
      </c>
      <c r="B36" s="1961"/>
      <c r="C36" s="1961"/>
      <c r="D36" s="1961"/>
      <c r="E36" s="1961"/>
      <c r="F36" s="1961"/>
    </row>
    <row r="37" spans="1:6">
      <c r="A37" s="58"/>
      <c r="B37" s="58"/>
    </row>
    <row r="38" spans="1:6">
      <c r="A38" s="57"/>
      <c r="B38" s="57"/>
      <c r="C38" s="57"/>
      <c r="D38" s="57"/>
      <c r="E38" s="57"/>
      <c r="F38" s="57"/>
    </row>
    <row r="39" spans="1:6">
      <c r="A39" s="59"/>
      <c r="B39" s="59"/>
      <c r="E39" s="59"/>
    </row>
    <row r="40" spans="1:6">
      <c r="A40" s="59"/>
      <c r="B40" s="59"/>
      <c r="E40" s="59"/>
    </row>
    <row r="41" spans="1:6">
      <c r="A41" s="59" t="s">
        <v>1024</v>
      </c>
      <c r="B41" s="59"/>
      <c r="C41" s="1960" t="s">
        <v>1027</v>
      </c>
      <c r="D41" s="1960"/>
      <c r="E41" s="1960"/>
    </row>
    <row r="42" spans="1:6">
      <c r="A42" s="60" t="s">
        <v>933</v>
      </c>
      <c r="B42" s="60"/>
      <c r="C42" s="1961" t="s">
        <v>1026</v>
      </c>
      <c r="D42" s="1961"/>
      <c r="E42" s="1961"/>
    </row>
  </sheetData>
  <mergeCells count="10">
    <mergeCell ref="A1:E1"/>
    <mergeCell ref="A35:F35"/>
    <mergeCell ref="C42:E42"/>
    <mergeCell ref="C41:E41"/>
    <mergeCell ref="A33:F33"/>
    <mergeCell ref="A36:F36"/>
    <mergeCell ref="A2:E2"/>
    <mergeCell ref="A3:E3"/>
    <mergeCell ref="A4:E4"/>
    <mergeCell ref="A5:E5"/>
  </mergeCells>
  <pageMargins left="0.7" right="0.7" top="0.75" bottom="0.75" header="0.3" footer="0.3"/>
  <pageSetup orientation="portrait" horizontalDpi="4294967294" verticalDpi="4294967294"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S865"/>
  <sheetViews>
    <sheetView topLeftCell="A19" zoomScaleNormal="100" workbookViewId="0">
      <pane ySplit="3600" activePane="bottomLeft"/>
      <selection activeCell="I21" sqref="I21"/>
      <selection pane="bottomLeft" activeCell="P1" sqref="P1"/>
    </sheetView>
  </sheetViews>
  <sheetFormatPr baseColWidth="10" defaultColWidth="9.140625" defaultRowHeight="15"/>
  <cols>
    <col min="1" max="1" width="2.5703125" style="334" customWidth="1"/>
    <col min="2" max="2" width="20.85546875" style="334" customWidth="1"/>
    <col min="3" max="3" width="9.7109375" style="334" customWidth="1"/>
    <col min="4" max="4" width="8.85546875" style="334" customWidth="1"/>
    <col min="5" max="5" width="14.140625" style="334" customWidth="1"/>
    <col min="6" max="6" width="2.85546875" style="334" customWidth="1"/>
    <col min="7" max="7" width="15.7109375" style="334" customWidth="1"/>
    <col min="8" max="8" width="7.42578125" style="334" customWidth="1"/>
    <col min="9" max="9" width="15" style="334" customWidth="1"/>
    <col min="10" max="10" width="2.140625" style="334" customWidth="1"/>
    <col min="11" max="11" width="13" style="334" hidden="1" customWidth="1"/>
    <col min="12" max="12" width="14.85546875" style="334" hidden="1" customWidth="1"/>
    <col min="13" max="13" width="11.42578125" style="334" hidden="1" customWidth="1"/>
    <col min="14" max="14" width="0" style="334" hidden="1" customWidth="1"/>
    <col min="15" max="15" width="14.42578125" style="334" customWidth="1"/>
    <col min="16" max="16" width="9.7109375" style="334" customWidth="1"/>
    <col min="17" max="17" width="5.5703125" style="334" customWidth="1"/>
    <col min="18" max="16384" width="9.140625" style="334"/>
  </cols>
  <sheetData>
    <row r="1" spans="1:9">
      <c r="A1" s="1865" t="str">
        <f>+BALANZA!B1</f>
        <v>CORPORACION DEL ACUEDUCTO Y ALCANTARILLADO DE MOCA</v>
      </c>
      <c r="B1" s="1865"/>
      <c r="C1" s="1865"/>
      <c r="D1" s="1865"/>
      <c r="E1" s="1865"/>
      <c r="F1" s="1865"/>
      <c r="G1" s="1865"/>
      <c r="H1" s="1865"/>
      <c r="I1" s="1865"/>
    </row>
    <row r="2" spans="1:9">
      <c r="A2" s="1863" t="s">
        <v>1636</v>
      </c>
      <c r="B2" s="1863"/>
      <c r="C2" s="1863"/>
      <c r="D2" s="1863"/>
      <c r="E2" s="1863"/>
      <c r="F2" s="1863"/>
      <c r="G2" s="1863"/>
      <c r="H2" s="1863"/>
      <c r="I2" s="1863"/>
    </row>
    <row r="3" spans="1:9">
      <c r="A3" s="1863" t="s">
        <v>2025</v>
      </c>
      <c r="B3" s="1863"/>
      <c r="C3" s="1863"/>
      <c r="D3" s="1863"/>
      <c r="E3" s="1863"/>
      <c r="F3" s="1863"/>
      <c r="G3" s="1863"/>
      <c r="H3" s="1863"/>
      <c r="I3" s="1863"/>
    </row>
    <row r="4" spans="1:9">
      <c r="A4" s="1863" t="s">
        <v>1637</v>
      </c>
      <c r="B4" s="1863"/>
      <c r="C4" s="1863"/>
      <c r="D4" s="1863"/>
      <c r="E4" s="1863"/>
      <c r="F4" s="1863"/>
      <c r="G4" s="1863"/>
      <c r="H4" s="1863"/>
      <c r="I4" s="1863"/>
    </row>
    <row r="6" spans="1:9" s="832" customFormat="1" ht="28.5">
      <c r="B6" s="832" t="s">
        <v>1645</v>
      </c>
      <c r="D6" s="832" t="s">
        <v>1638</v>
      </c>
      <c r="E6" s="832" t="s">
        <v>1639</v>
      </c>
      <c r="G6" s="832" t="s">
        <v>1640</v>
      </c>
      <c r="I6" s="673" t="s">
        <v>1641</v>
      </c>
    </row>
    <row r="7" spans="1:9" s="672" customFormat="1" ht="14.25">
      <c r="A7" s="672" t="s">
        <v>1392</v>
      </c>
      <c r="E7" s="676"/>
      <c r="F7" s="676"/>
      <c r="G7" s="676"/>
      <c r="H7" s="676"/>
      <c r="I7" s="676"/>
    </row>
    <row r="8" spans="1:9" s="672" customFormat="1" ht="14.25">
      <c r="B8" s="672" t="s">
        <v>1642</v>
      </c>
      <c r="E8" s="677"/>
      <c r="F8" s="677"/>
      <c r="G8" s="677"/>
      <c r="H8" s="677"/>
      <c r="I8" s="677"/>
    </row>
    <row r="9" spans="1:9">
      <c r="B9" s="334" t="s">
        <v>1643</v>
      </c>
      <c r="E9" s="678">
        <v>21106726</v>
      </c>
      <c r="F9" s="678"/>
      <c r="G9" s="678">
        <f>+DE!C18</f>
        <v>11979501</v>
      </c>
      <c r="H9" s="678"/>
      <c r="I9" s="678">
        <f>+E9-G9</f>
        <v>9127225</v>
      </c>
    </row>
    <row r="10" spans="1:9">
      <c r="B10" s="334" t="s">
        <v>1644</v>
      </c>
      <c r="E10" s="679">
        <v>50000000</v>
      </c>
      <c r="F10" s="678"/>
      <c r="G10" s="679">
        <f>+DE!C19</f>
        <v>0</v>
      </c>
      <c r="H10" s="678"/>
      <c r="I10" s="679">
        <f>+E10-G10</f>
        <v>50000000</v>
      </c>
    </row>
    <row r="11" spans="1:9">
      <c r="B11" s="672" t="s">
        <v>1647</v>
      </c>
      <c r="C11" s="672"/>
      <c r="D11" s="672"/>
      <c r="E11" s="677">
        <f>SUM(E9:E10)</f>
        <v>71106726</v>
      </c>
      <c r="F11" s="677"/>
      <c r="G11" s="677">
        <f>SUM(G9:G10)</f>
        <v>11979501</v>
      </c>
      <c r="H11" s="677"/>
      <c r="I11" s="677">
        <f>SUM(I9:I10)</f>
        <v>59127225</v>
      </c>
    </row>
    <row r="12" spans="1:9">
      <c r="E12" s="678"/>
      <c r="F12" s="678"/>
      <c r="G12" s="678"/>
      <c r="H12" s="678"/>
      <c r="I12" s="678"/>
    </row>
    <row r="13" spans="1:9" s="672" customFormat="1" ht="14.25">
      <c r="A13" s="672" t="s">
        <v>957</v>
      </c>
      <c r="E13" s="677"/>
      <c r="F13" s="677"/>
      <c r="G13" s="677"/>
      <c r="H13" s="677"/>
      <c r="I13" s="677"/>
    </row>
    <row r="14" spans="1:9" ht="37.5" customHeight="1">
      <c r="B14" s="1864" t="s">
        <v>1646</v>
      </c>
      <c r="C14" s="1864"/>
      <c r="D14" s="1864"/>
      <c r="E14" s="679">
        <f>14500000*12</f>
        <v>174000000</v>
      </c>
      <c r="F14" s="678"/>
      <c r="G14" s="679">
        <f>SUM('BALANZA G'!C137:C147)</f>
        <v>45032091.25</v>
      </c>
      <c r="H14" s="678"/>
      <c r="I14" s="679">
        <f>+E14-G14</f>
        <v>128967908.75</v>
      </c>
    </row>
    <row r="15" spans="1:9">
      <c r="B15" s="672" t="s">
        <v>1648</v>
      </c>
      <c r="C15" s="672"/>
      <c r="D15" s="672"/>
      <c r="E15" s="677">
        <f>SUM(E14)</f>
        <v>174000000</v>
      </c>
      <c r="F15" s="677"/>
      <c r="G15" s="677">
        <f>SUM(G14)</f>
        <v>45032091.25</v>
      </c>
      <c r="H15" s="677"/>
      <c r="I15" s="677">
        <f>SUM(I14)</f>
        <v>128967908.75</v>
      </c>
    </row>
    <row r="16" spans="1:9">
      <c r="E16" s="678"/>
      <c r="F16" s="678"/>
      <c r="G16" s="678"/>
      <c r="H16" s="678"/>
      <c r="I16" s="678"/>
    </row>
    <row r="17" spans="1:15">
      <c r="A17" s="672" t="s">
        <v>1649</v>
      </c>
      <c r="E17" s="678"/>
      <c r="F17" s="678"/>
      <c r="G17" s="678"/>
      <c r="H17" s="678"/>
      <c r="I17" s="678"/>
    </row>
    <row r="18" spans="1:15">
      <c r="B18" s="334" t="s">
        <v>1650</v>
      </c>
      <c r="E18" s="679"/>
      <c r="F18" s="678"/>
      <c r="G18" s="679">
        <f>-IF(DE!C14&lt;=0,DE!C14,0)</f>
        <v>0</v>
      </c>
      <c r="H18" s="678"/>
      <c r="I18" s="678">
        <f>+E18-G18</f>
        <v>0</v>
      </c>
    </row>
    <row r="19" spans="1:15" s="672" customFormat="1" ht="14.25">
      <c r="B19" s="672" t="s">
        <v>1651</v>
      </c>
      <c r="E19" s="677">
        <f>SUM(E18)</f>
        <v>0</v>
      </c>
      <c r="F19" s="677"/>
      <c r="G19" s="677">
        <f>SUM(G18)</f>
        <v>0</v>
      </c>
      <c r="H19" s="677"/>
      <c r="I19" s="677">
        <f>SUM(I18)</f>
        <v>0</v>
      </c>
    </row>
    <row r="20" spans="1:15">
      <c r="E20" s="678"/>
      <c r="F20" s="678"/>
      <c r="G20" s="678"/>
      <c r="H20" s="678"/>
      <c r="I20" s="678"/>
    </row>
    <row r="21" spans="1:15">
      <c r="A21" s="672" t="s">
        <v>1652</v>
      </c>
      <c r="E21" s="678"/>
      <c r="F21" s="678"/>
      <c r="G21" s="678"/>
      <c r="H21" s="678"/>
      <c r="I21" s="678"/>
    </row>
    <row r="22" spans="1:15" ht="30.75" customHeight="1">
      <c r="B22" s="1864" t="s">
        <v>1653</v>
      </c>
      <c r="C22" s="1864"/>
      <c r="D22" s="1864"/>
      <c r="E22" s="679"/>
      <c r="F22" s="678"/>
      <c r="G22" s="679">
        <f>IF(DE!C17&gt;=0,DE!C17,0)</f>
        <v>2985078.6789999995</v>
      </c>
      <c r="H22" s="678"/>
      <c r="I22" s="678">
        <f>+E22-G22</f>
        <v>-2985078.6789999995</v>
      </c>
    </row>
    <row r="23" spans="1:15">
      <c r="A23" s="672"/>
      <c r="B23" s="672" t="s">
        <v>1651</v>
      </c>
      <c r="E23" s="677">
        <f>SUM(E22)</f>
        <v>0</v>
      </c>
      <c r="F23" s="677"/>
      <c r="G23" s="677">
        <f>SUM(G22)</f>
        <v>2985078.6789999995</v>
      </c>
      <c r="H23" s="677"/>
      <c r="I23" s="677">
        <f>SUM(I22)</f>
        <v>-2985078.6789999995</v>
      </c>
    </row>
    <row r="24" spans="1:15">
      <c r="E24" s="678"/>
      <c r="F24" s="678"/>
      <c r="G24" s="678"/>
      <c r="H24" s="678"/>
      <c r="I24" s="678"/>
    </row>
    <row r="25" spans="1:15" s="672" customFormat="1" thickBot="1">
      <c r="B25" s="672" t="s">
        <v>1654</v>
      </c>
      <c r="E25" s="680">
        <f>+E23+E19+E15+E11</f>
        <v>245106726</v>
      </c>
      <c r="F25" s="677"/>
      <c r="G25" s="680">
        <f>+G23+G19+G15+G11</f>
        <v>59996670.928999998</v>
      </c>
      <c r="H25" s="677"/>
      <c r="I25" s="680">
        <f>+I23+I19+I15+I11</f>
        <v>185110055.07099998</v>
      </c>
      <c r="K25" s="750">
        <f>+G25-RESULTADO!C15</f>
        <v>-10900877.321000002</v>
      </c>
    </row>
    <row r="26" spans="1:15" ht="15.75" thickTop="1">
      <c r="C26" s="824">
        <f>+G25-RESULTADO!C15</f>
        <v>-10900877.321000002</v>
      </c>
      <c r="E26" s="678"/>
      <c r="F26" s="678"/>
      <c r="G26" s="678"/>
      <c r="H26" s="678"/>
      <c r="I26" s="678"/>
    </row>
    <row r="27" spans="1:15">
      <c r="A27" s="672" t="s">
        <v>1655</v>
      </c>
      <c r="E27" s="678"/>
      <c r="F27" s="678"/>
      <c r="G27" s="678"/>
      <c r="H27" s="678"/>
      <c r="I27" s="678"/>
    </row>
    <row r="28" spans="1:15">
      <c r="B28" s="334" t="s">
        <v>1656</v>
      </c>
      <c r="C28" s="808">
        <f ca="1">+G28-RESULTADO!C19</f>
        <v>-45229508.960000001</v>
      </c>
      <c r="D28" s="828">
        <v>2.1</v>
      </c>
      <c r="E28" s="678">
        <v>141289868</v>
      </c>
      <c r="F28" s="678"/>
      <c r="G28" s="678">
        <f ca="1">+G209</f>
        <v>0</v>
      </c>
      <c r="H28" s="678"/>
      <c r="I28" s="678">
        <f ca="1">+E28-G28</f>
        <v>141289868</v>
      </c>
      <c r="L28" s="675">
        <f>+RESULTADO!C19</f>
        <v>45229508.960000001</v>
      </c>
      <c r="M28" s="675">
        <f ca="1">+G28-L28</f>
        <v>-45229508.960000001</v>
      </c>
    </row>
    <row r="29" spans="1:15">
      <c r="B29" s="334" t="s">
        <v>1657</v>
      </c>
      <c r="C29" s="808">
        <f ca="1">+G29-RESULTADO!C20</f>
        <v>-3790069.9000000004</v>
      </c>
      <c r="D29" s="828">
        <v>2.2000000000000002</v>
      </c>
      <c r="E29" s="678">
        <v>22097483</v>
      </c>
      <c r="F29" s="678"/>
      <c r="G29" s="678">
        <f ca="1">+G281</f>
        <v>0</v>
      </c>
      <c r="H29" s="678"/>
      <c r="I29" s="678">
        <f ca="1">+E29-G29</f>
        <v>22097483</v>
      </c>
      <c r="L29" s="675">
        <f>+RESULTADO!C20</f>
        <v>3790069.9000000004</v>
      </c>
      <c r="M29" s="675">
        <f ca="1">+G29-L29</f>
        <v>-3790069.9000000004</v>
      </c>
    </row>
    <row r="30" spans="1:15">
      <c r="B30" s="334" t="s">
        <v>1658</v>
      </c>
      <c r="C30" s="808">
        <f ca="1">+G30-RESULTADO!C21</f>
        <v>-2248030.5699999998</v>
      </c>
      <c r="D30" s="828">
        <v>2.2999999999999998</v>
      </c>
      <c r="E30" s="678">
        <v>19328523</v>
      </c>
      <c r="F30" s="678"/>
      <c r="G30" s="678">
        <f ca="1">+G324</f>
        <v>52140</v>
      </c>
      <c r="H30" s="678"/>
      <c r="I30" s="678">
        <f ca="1">+E30-G30</f>
        <v>19276383</v>
      </c>
      <c r="L30" s="675">
        <f>+RESULTADO!C21</f>
        <v>2300170.5699999998</v>
      </c>
      <c r="M30" s="675">
        <f ca="1">+G30-L30</f>
        <v>-2248030.5699999998</v>
      </c>
    </row>
    <row r="31" spans="1:15">
      <c r="B31" s="334" t="s">
        <v>1659</v>
      </c>
      <c r="C31" s="808">
        <f ca="1">+G31-RESULTADO!C22</f>
        <v>0</v>
      </c>
      <c r="D31" s="828">
        <v>2.4</v>
      </c>
      <c r="E31" s="678">
        <v>7110719</v>
      </c>
      <c r="F31" s="678"/>
      <c r="G31" s="678">
        <f ca="1">+G335</f>
        <v>0</v>
      </c>
      <c r="H31" s="678"/>
      <c r="I31" s="678">
        <f ca="1">+E31-G31</f>
        <v>7110719</v>
      </c>
      <c r="L31" s="675">
        <f>+RESULTADO!C22</f>
        <v>0</v>
      </c>
      <c r="M31" s="675">
        <f ca="1">+G31-L31</f>
        <v>0</v>
      </c>
      <c r="O31" s="675"/>
    </row>
    <row r="32" spans="1:15">
      <c r="B32" s="334" t="s">
        <v>1660</v>
      </c>
      <c r="C32" s="808" t="e">
        <f ca="1">+G32-'BALANZA G'!#REF!-'BALANZA G'!#REF!</f>
        <v>#REF!</v>
      </c>
      <c r="D32" s="828">
        <v>2.5</v>
      </c>
      <c r="E32" s="678">
        <v>55280133</v>
      </c>
      <c r="F32" s="678"/>
      <c r="G32" s="678">
        <f ca="1">+G347</f>
        <v>0</v>
      </c>
      <c r="H32" s="678"/>
      <c r="I32" s="678">
        <f ca="1">+E32-G32</f>
        <v>55280133</v>
      </c>
      <c r="L32" s="675">
        <f>+RESULTADO!C23</f>
        <v>0</v>
      </c>
      <c r="M32" s="675">
        <f ca="1">+G32-L32</f>
        <v>0</v>
      </c>
    </row>
    <row r="33" spans="2:13">
      <c r="B33" s="334" t="s">
        <v>1661</v>
      </c>
      <c r="E33" s="681">
        <f>SUM(E28:E32)</f>
        <v>245106726</v>
      </c>
      <c r="F33" s="678"/>
      <c r="G33" s="681">
        <f ca="1">SUM(G28:G32)</f>
        <v>52140</v>
      </c>
      <c r="H33" s="678"/>
      <c r="I33" s="681">
        <f ca="1">SUM(I28:I32)</f>
        <v>245054586</v>
      </c>
      <c r="K33" s="675">
        <f ca="1">+G33-RESULTADO!C25</f>
        <v>-51267609.43</v>
      </c>
      <c r="L33" s="675">
        <f>SUM(L28:L32)</f>
        <v>51319749.43</v>
      </c>
      <c r="M33" s="675">
        <f ca="1">SUM(M28:M32)</f>
        <v>-51267609.43</v>
      </c>
    </row>
    <row r="34" spans="2:13">
      <c r="E34" s="748"/>
      <c r="F34" s="678"/>
      <c r="G34" s="748"/>
      <c r="H34" s="678"/>
      <c r="I34" s="748"/>
    </row>
    <row r="35" spans="2:13" s="672" customFormat="1" thickBot="1">
      <c r="B35" s="672" t="s">
        <v>1662</v>
      </c>
      <c r="E35" s="680">
        <f>+E25-E33</f>
        <v>0</v>
      </c>
      <c r="F35" s="677"/>
      <c r="G35" s="680">
        <f ca="1">+G25-G33</f>
        <v>59944530.928999998</v>
      </c>
      <c r="H35" s="677"/>
      <c r="I35" s="680">
        <f ca="1">+I25-I33</f>
        <v>-59944530.92900002</v>
      </c>
    </row>
    <row r="36" spans="2:13" ht="15.75" thickTop="1">
      <c r="E36" s="678"/>
      <c r="F36" s="678"/>
      <c r="G36" s="678"/>
      <c r="H36" s="678"/>
      <c r="I36" s="678"/>
    </row>
    <row r="37" spans="2:13">
      <c r="E37" s="675"/>
      <c r="F37" s="675"/>
      <c r="G37" s="755">
        <f ca="1">+G35-RESULTADO!C30+G32</f>
        <v>40366732.108999997</v>
      </c>
      <c r="H37" s="675"/>
      <c r="I37" s="675"/>
    </row>
    <row r="38" spans="2:13">
      <c r="E38" s="675"/>
      <c r="F38" s="675"/>
      <c r="G38" s="755">
        <f ca="1">+G37-G18</f>
        <v>40366732.108999997</v>
      </c>
      <c r="H38" s="675"/>
      <c r="I38" s="675"/>
    </row>
    <row r="39" spans="2:13">
      <c r="E39" s="675"/>
      <c r="F39" s="675"/>
      <c r="G39" s="755">
        <f ca="1">+G37-G38</f>
        <v>0</v>
      </c>
      <c r="H39" s="675"/>
      <c r="I39" s="675"/>
    </row>
    <row r="40" spans="2:13">
      <c r="E40" s="675"/>
      <c r="F40" s="675"/>
      <c r="G40" s="755"/>
      <c r="H40" s="675"/>
      <c r="I40" s="675"/>
    </row>
    <row r="41" spans="2:13" hidden="1">
      <c r="E41" s="675"/>
      <c r="F41" s="675"/>
      <c r="G41" s="755"/>
      <c r="H41" s="675"/>
      <c r="I41" s="675"/>
    </row>
    <row r="42" spans="2:13" hidden="1">
      <c r="E42" s="675"/>
      <c r="F42" s="675"/>
      <c r="G42" s="755"/>
      <c r="H42" s="675"/>
      <c r="I42" s="675"/>
    </row>
    <row r="43" spans="2:13" hidden="1">
      <c r="E43" s="675"/>
      <c r="F43" s="675"/>
      <c r="G43" s="755"/>
      <c r="H43" s="675"/>
      <c r="I43" s="675"/>
    </row>
    <row r="44" spans="2:13" hidden="1">
      <c r="E44" s="675"/>
      <c r="F44" s="675"/>
      <c r="G44" s="755"/>
      <c r="H44" s="675"/>
      <c r="I44" s="675"/>
    </row>
    <row r="45" spans="2:13" hidden="1">
      <c r="E45" s="675"/>
      <c r="F45" s="675"/>
      <c r="G45" s="755"/>
      <c r="H45" s="675"/>
      <c r="I45" s="675"/>
    </row>
    <row r="46" spans="2:13" hidden="1">
      <c r="E46" s="675"/>
      <c r="F46" s="675"/>
      <c r="G46" s="755"/>
      <c r="H46" s="675"/>
      <c r="I46" s="675"/>
    </row>
    <row r="47" spans="2:13" hidden="1">
      <c r="E47" s="675"/>
      <c r="F47" s="675"/>
      <c r="G47" s="755"/>
      <c r="H47" s="675"/>
      <c r="I47" s="675"/>
    </row>
    <row r="48" spans="2:13" hidden="1">
      <c r="E48" s="675"/>
      <c r="F48" s="675"/>
      <c r="G48" s="755"/>
      <c r="H48" s="675"/>
      <c r="I48" s="675"/>
    </row>
    <row r="49" spans="1:9" hidden="1">
      <c r="E49" s="675"/>
      <c r="F49" s="675"/>
      <c r="G49" s="755"/>
      <c r="H49" s="675"/>
      <c r="I49" s="675"/>
    </row>
    <row r="50" spans="1:9" customFormat="1" ht="31.5" hidden="1" customHeight="1">
      <c r="A50" s="697" t="s">
        <v>1823</v>
      </c>
      <c r="B50" s="1861" t="s">
        <v>1032</v>
      </c>
      <c r="C50" s="1861"/>
      <c r="D50" s="1861"/>
      <c r="E50" s="1861"/>
      <c r="F50" s="1861"/>
      <c r="G50" s="1861"/>
      <c r="H50" s="1861"/>
      <c r="I50" s="1861"/>
    </row>
    <row r="51" spans="1:9" customFormat="1" ht="28.5" hidden="1" customHeight="1">
      <c r="B51" s="1862" t="s">
        <v>1824</v>
      </c>
      <c r="C51" s="1862"/>
      <c r="D51" s="1862"/>
      <c r="E51" s="1862"/>
      <c r="F51" s="1862"/>
      <c r="G51" s="1862"/>
      <c r="H51" s="1862"/>
      <c r="I51" s="1862"/>
    </row>
    <row r="52" spans="1:9" customFormat="1" ht="81" hidden="1" customHeight="1">
      <c r="B52" s="1858" t="s">
        <v>1251</v>
      </c>
      <c r="C52" s="1858"/>
      <c r="D52" s="1858"/>
      <c r="E52" s="1858"/>
      <c r="F52" s="1858"/>
      <c r="G52" s="1858"/>
      <c r="H52" s="1858"/>
      <c r="I52" s="1858"/>
    </row>
    <row r="53" spans="1:9" customFormat="1" hidden="1">
      <c r="B53" s="693"/>
      <c r="C53" s="21"/>
      <c r="D53" s="21"/>
      <c r="E53" s="334"/>
      <c r="F53" s="21"/>
      <c r="G53" s="21"/>
      <c r="H53" s="21"/>
      <c r="I53" s="21"/>
    </row>
    <row r="54" spans="1:9" customFormat="1" ht="67.5" hidden="1" customHeight="1">
      <c r="B54" s="1858" t="s">
        <v>1964</v>
      </c>
      <c r="C54" s="1858"/>
      <c r="D54" s="1858"/>
      <c r="E54" s="1858"/>
      <c r="F54" s="1858"/>
      <c r="G54" s="1858"/>
      <c r="H54" s="1858"/>
      <c r="I54" s="1858"/>
    </row>
    <row r="55" spans="1:9" customFormat="1" hidden="1">
      <c r="B55" s="156"/>
      <c r="C55" s="21"/>
      <c r="D55" s="21"/>
      <c r="E55" s="334"/>
      <c r="F55" s="21"/>
      <c r="G55" s="21"/>
      <c r="H55" s="21"/>
      <c r="I55" s="21"/>
    </row>
    <row r="56" spans="1:9" customFormat="1" ht="44.25" hidden="1" customHeight="1">
      <c r="B56" s="1878" t="s">
        <v>1253</v>
      </c>
      <c r="C56" s="1878"/>
      <c r="D56" s="1878"/>
      <c r="E56" s="1878"/>
      <c r="F56" s="1878"/>
      <c r="G56" s="1878"/>
      <c r="H56" s="1878"/>
      <c r="I56" s="1878"/>
    </row>
    <row r="57" spans="1:9" customFormat="1" hidden="1">
      <c r="B57" s="156"/>
      <c r="C57" s="21"/>
      <c r="D57" s="21"/>
      <c r="E57" s="334"/>
      <c r="F57" s="21"/>
      <c r="G57" s="21"/>
      <c r="H57" s="21"/>
      <c r="I57" s="21"/>
    </row>
    <row r="58" spans="1:9" customFormat="1" ht="25.5" hidden="1" customHeight="1">
      <c r="B58" s="1861" t="s">
        <v>1036</v>
      </c>
      <c r="C58" s="1861"/>
      <c r="D58" s="1861"/>
      <c r="E58" s="1861"/>
      <c r="F58" s="1861"/>
      <c r="G58" s="1861"/>
      <c r="H58" s="1861"/>
      <c r="I58" s="1861"/>
    </row>
    <row r="59" spans="1:9" customFormat="1" hidden="1">
      <c r="B59" s="149"/>
      <c r="C59" s="21"/>
      <c r="D59" s="21"/>
      <c r="E59" s="334"/>
      <c r="F59" s="21"/>
      <c r="G59" s="21"/>
      <c r="H59" s="21"/>
      <c r="I59" s="21"/>
    </row>
    <row r="60" spans="1:9" customFormat="1" ht="46.5" hidden="1" customHeight="1">
      <c r="B60" s="1858" t="s">
        <v>1254</v>
      </c>
      <c r="C60" s="1858"/>
      <c r="D60" s="1858"/>
      <c r="E60" s="1858"/>
      <c r="F60" s="1858"/>
      <c r="G60" s="1858"/>
      <c r="H60" s="1858"/>
      <c r="I60" s="1858"/>
    </row>
    <row r="61" spans="1:9" customFormat="1" hidden="1">
      <c r="B61" s="827"/>
      <c r="C61" s="21"/>
      <c r="D61" s="21"/>
      <c r="E61" s="334"/>
      <c r="F61" s="21"/>
      <c r="G61" s="21"/>
      <c r="H61" s="21"/>
      <c r="I61" s="21"/>
    </row>
    <row r="62" spans="1:9" customFormat="1" hidden="1">
      <c r="B62" s="827"/>
      <c r="C62" s="21"/>
      <c r="D62" s="21"/>
      <c r="E62" s="334"/>
      <c r="F62" s="21"/>
      <c r="G62" s="21"/>
      <c r="H62" s="21"/>
      <c r="I62" s="21"/>
    </row>
    <row r="63" spans="1:9" customFormat="1" ht="23.25" hidden="1" customHeight="1">
      <c r="B63" s="1861" t="s">
        <v>1037</v>
      </c>
      <c r="C63" s="1861"/>
      <c r="D63" s="1861"/>
      <c r="E63" s="1861"/>
      <c r="F63" s="1861"/>
      <c r="G63" s="1861"/>
      <c r="H63" s="1861"/>
      <c r="I63" s="1861"/>
    </row>
    <row r="64" spans="1:9" customFormat="1" hidden="1">
      <c r="B64" s="149"/>
      <c r="C64" s="21"/>
      <c r="D64" s="21"/>
      <c r="E64" s="334"/>
      <c r="F64" s="21"/>
      <c r="G64" s="21"/>
      <c r="H64" s="21"/>
      <c r="I64" s="21"/>
    </row>
    <row r="65" spans="2:9" customFormat="1" ht="74.25" hidden="1" customHeight="1">
      <c r="B65" s="1858" t="s">
        <v>1815</v>
      </c>
      <c r="C65" s="1858"/>
      <c r="D65" s="1858"/>
      <c r="E65" s="1858"/>
      <c r="F65" s="1858"/>
      <c r="G65" s="1858"/>
      <c r="H65" s="1858"/>
      <c r="I65" s="1858"/>
    </row>
    <row r="66" spans="2:9" customFormat="1" hidden="1">
      <c r="B66" s="694"/>
      <c r="C66" s="21"/>
      <c r="D66" s="21"/>
      <c r="E66" s="334"/>
      <c r="F66" s="21"/>
      <c r="G66" s="21"/>
      <c r="H66" s="21"/>
      <c r="I66" s="21"/>
    </row>
    <row r="67" spans="2:9" customFormat="1" hidden="1">
      <c r="B67" s="156" t="s">
        <v>1038</v>
      </c>
      <c r="C67" s="21"/>
      <c r="D67" s="21"/>
      <c r="E67" s="334"/>
      <c r="F67" s="21"/>
      <c r="G67" s="21"/>
      <c r="H67" s="21"/>
      <c r="I67" s="21"/>
    </row>
    <row r="68" spans="2:9" customFormat="1" ht="21" hidden="1" customHeight="1">
      <c r="B68" s="1861" t="s">
        <v>1039</v>
      </c>
      <c r="C68" s="1861"/>
      <c r="D68" s="1861"/>
      <c r="E68" s="1861"/>
      <c r="F68" s="21"/>
      <c r="G68" s="21"/>
      <c r="H68" s="21"/>
      <c r="I68" s="21"/>
    </row>
    <row r="69" spans="2:9" customFormat="1" hidden="1">
      <c r="B69" s="827"/>
      <c r="C69" s="21"/>
      <c r="D69" s="21"/>
      <c r="E69" s="334"/>
      <c r="F69" s="21"/>
      <c r="G69" s="21"/>
      <c r="H69" s="21"/>
      <c r="I69" s="21"/>
    </row>
    <row r="70" spans="2:9" customFormat="1" ht="88.5" hidden="1" customHeight="1">
      <c r="B70" s="1858" t="s">
        <v>1256</v>
      </c>
      <c r="C70" s="1858"/>
      <c r="D70" s="1858"/>
      <c r="E70" s="1858"/>
      <c r="F70" s="1858"/>
      <c r="G70" s="1858"/>
      <c r="H70" s="1858"/>
      <c r="I70" s="1858"/>
    </row>
    <row r="71" spans="2:9" customFormat="1" hidden="1">
      <c r="B71" s="156"/>
      <c r="C71" s="21"/>
      <c r="D71" s="21"/>
      <c r="E71" s="334"/>
      <c r="F71" s="21"/>
      <c r="G71" s="21"/>
      <c r="H71" s="21"/>
      <c r="I71" s="21"/>
    </row>
    <row r="72" spans="2:9" customFormat="1" ht="61.5" hidden="1" customHeight="1">
      <c r="B72" s="1858" t="s">
        <v>1257</v>
      </c>
      <c r="C72" s="1858"/>
      <c r="D72" s="1858"/>
      <c r="E72" s="1858"/>
      <c r="F72" s="1858"/>
      <c r="G72" s="1858"/>
      <c r="H72" s="1858"/>
      <c r="I72" s="1858"/>
    </row>
    <row r="73" spans="2:9" customFormat="1" hidden="1">
      <c r="B73" s="149"/>
      <c r="C73" s="21"/>
      <c r="D73" s="21"/>
      <c r="E73" s="334"/>
      <c r="F73" s="21"/>
      <c r="G73" s="21"/>
      <c r="H73" s="21"/>
      <c r="I73" s="21"/>
    </row>
    <row r="74" spans="2:9" customFormat="1" hidden="1">
      <c r="B74" s="827"/>
      <c r="C74" s="21"/>
      <c r="D74" s="21"/>
      <c r="E74" s="334"/>
      <c r="F74" s="21"/>
      <c r="G74" s="21"/>
      <c r="H74" s="21"/>
      <c r="I74" s="21"/>
    </row>
    <row r="75" spans="2:9" customFormat="1" hidden="1">
      <c r="B75" s="149" t="s">
        <v>1040</v>
      </c>
      <c r="C75" s="21"/>
      <c r="D75" s="21"/>
      <c r="E75" s="334"/>
      <c r="F75" s="21"/>
      <c r="G75" s="21"/>
      <c r="H75" s="21"/>
      <c r="I75" s="21"/>
    </row>
    <row r="76" spans="2:9" customFormat="1" ht="63.75" hidden="1" customHeight="1">
      <c r="B76" s="1858" t="s">
        <v>1965</v>
      </c>
      <c r="C76" s="1858"/>
      <c r="D76" s="1858"/>
      <c r="E76" s="1858"/>
      <c r="F76" s="1858"/>
      <c r="G76" s="1858"/>
      <c r="H76" s="1858"/>
      <c r="I76" s="1858"/>
    </row>
    <row r="77" spans="2:9" customFormat="1" hidden="1">
      <c r="B77" s="156"/>
      <c r="C77" s="21"/>
      <c r="D77" s="21"/>
      <c r="E77" s="334"/>
      <c r="F77" s="21"/>
      <c r="G77" s="21"/>
      <c r="H77" s="21"/>
      <c r="I77" s="21"/>
    </row>
    <row r="78" spans="2:9" customFormat="1" hidden="1">
      <c r="B78" s="156"/>
      <c r="C78" s="21"/>
      <c r="D78" s="21"/>
      <c r="E78" s="334"/>
      <c r="F78" s="21"/>
      <c r="G78" s="21"/>
      <c r="H78" s="21"/>
      <c r="I78" s="21"/>
    </row>
    <row r="79" spans="2:9" customFormat="1" ht="28.5" hidden="1" customHeight="1">
      <c r="B79" s="1861" t="s">
        <v>1041</v>
      </c>
      <c r="C79" s="1861"/>
      <c r="D79" s="1861"/>
      <c r="E79" s="1861"/>
      <c r="F79" s="1861"/>
      <c r="G79" s="1861"/>
      <c r="H79" s="1861"/>
      <c r="I79" s="1861"/>
    </row>
    <row r="80" spans="2:9" customFormat="1" ht="68.25" hidden="1" customHeight="1">
      <c r="B80" s="1858" t="s">
        <v>1259</v>
      </c>
      <c r="C80" s="1858"/>
      <c r="D80" s="1858"/>
      <c r="E80" s="1858"/>
      <c r="F80" s="1858"/>
      <c r="G80" s="1858"/>
      <c r="H80" s="1858"/>
      <c r="I80" s="1858"/>
    </row>
    <row r="81" spans="2:9" customFormat="1" hidden="1">
      <c r="B81" s="156"/>
      <c r="C81" s="21"/>
      <c r="D81" s="21"/>
      <c r="E81" s="334"/>
      <c r="F81" s="21"/>
      <c r="G81" s="21"/>
      <c r="H81" s="21"/>
      <c r="I81" s="21"/>
    </row>
    <row r="82" spans="2:9" customFormat="1" hidden="1">
      <c r="B82" s="156"/>
      <c r="C82" s="21"/>
      <c r="D82" s="21"/>
      <c r="E82" s="334"/>
      <c r="F82" s="21"/>
      <c r="G82" s="21"/>
      <c r="H82" s="21"/>
      <c r="I82" s="21"/>
    </row>
    <row r="83" spans="2:9" customFormat="1" hidden="1">
      <c r="B83" s="149" t="s">
        <v>1042</v>
      </c>
      <c r="C83" s="21"/>
      <c r="D83" s="21"/>
      <c r="E83" s="334"/>
      <c r="F83" s="21"/>
      <c r="G83" s="21"/>
      <c r="H83" s="21"/>
      <c r="I83" s="21"/>
    </row>
    <row r="84" spans="2:9" customFormat="1" ht="99.75" hidden="1" customHeight="1">
      <c r="B84" s="1858" t="s">
        <v>1966</v>
      </c>
      <c r="C84" s="1858"/>
      <c r="D84" s="1858"/>
      <c r="E84" s="1858"/>
      <c r="F84" s="1858"/>
      <c r="G84" s="1858"/>
      <c r="H84" s="1858"/>
      <c r="I84" s="1858"/>
    </row>
    <row r="85" spans="2:9" customFormat="1" hidden="1">
      <c r="B85" s="156"/>
      <c r="C85" s="21"/>
      <c r="D85" s="21"/>
      <c r="E85" s="334"/>
      <c r="F85" s="21"/>
      <c r="G85" s="21"/>
      <c r="H85" s="21"/>
      <c r="I85" s="21"/>
    </row>
    <row r="86" spans="2:9" customFormat="1" ht="51" hidden="1" customHeight="1">
      <c r="B86" s="1858" t="s">
        <v>1043</v>
      </c>
      <c r="C86" s="1858"/>
      <c r="D86" s="1858"/>
      <c r="E86" s="1858"/>
      <c r="F86" s="1858"/>
      <c r="G86" s="1858"/>
      <c r="H86" s="1858"/>
      <c r="I86" s="1858"/>
    </row>
    <row r="87" spans="2:9" customFormat="1" hidden="1">
      <c r="B87" s="156"/>
      <c r="C87" s="21"/>
      <c r="D87" s="21"/>
      <c r="E87" s="334"/>
      <c r="F87" s="21"/>
      <c r="G87" s="21"/>
      <c r="H87" s="21"/>
      <c r="I87" s="21"/>
    </row>
    <row r="88" spans="2:9" customFormat="1" hidden="1">
      <c r="B88" s="156" t="s">
        <v>1022</v>
      </c>
      <c r="C88" s="21"/>
      <c r="D88" s="21"/>
      <c r="E88" s="334"/>
      <c r="F88" s="21"/>
      <c r="G88" s="21"/>
      <c r="H88" s="21"/>
      <c r="I88" s="21"/>
    </row>
    <row r="89" spans="2:9" customFormat="1" hidden="1">
      <c r="B89" s="149" t="s">
        <v>1044</v>
      </c>
      <c r="C89" s="21"/>
      <c r="D89" s="21"/>
      <c r="E89" s="334"/>
      <c r="F89" s="21"/>
      <c r="G89" s="21"/>
      <c r="H89" s="21"/>
      <c r="I89" s="21"/>
    </row>
    <row r="90" spans="2:9" customFormat="1" ht="60.75" hidden="1" customHeight="1">
      <c r="B90" s="1858" t="s">
        <v>1816</v>
      </c>
      <c r="C90" s="1858"/>
      <c r="D90" s="1858"/>
      <c r="E90" s="1858"/>
      <c r="F90" s="1858"/>
      <c r="G90" s="1858"/>
      <c r="H90" s="1858"/>
      <c r="I90" s="1858"/>
    </row>
    <row r="91" spans="2:9" customFormat="1" ht="23.25" hidden="1" customHeight="1">
      <c r="B91" s="826"/>
      <c r="C91" s="826"/>
      <c r="D91" s="826"/>
      <c r="E91" s="826"/>
      <c r="F91" s="21"/>
      <c r="G91" s="21"/>
      <c r="H91" s="21"/>
      <c r="I91" s="21"/>
    </row>
    <row r="92" spans="2:9" customFormat="1" ht="39" hidden="1" customHeight="1">
      <c r="B92" s="694"/>
      <c r="C92" s="21"/>
      <c r="D92" s="21"/>
      <c r="E92" s="334"/>
      <c r="F92" s="21"/>
      <c r="G92" s="21"/>
      <c r="H92" s="21"/>
      <c r="I92" s="21"/>
    </row>
    <row r="93" spans="2:9" customFormat="1" ht="32.25" hidden="1" customHeight="1">
      <c r="B93" s="1861" t="s">
        <v>1046</v>
      </c>
      <c r="C93" s="1861"/>
      <c r="D93" s="1861"/>
      <c r="E93" s="1861"/>
      <c r="F93" s="1861"/>
      <c r="G93" s="1861"/>
      <c r="H93" s="1861"/>
      <c r="I93" s="1861"/>
    </row>
    <row r="94" spans="2:9" customFormat="1" ht="78.75" hidden="1" customHeight="1">
      <c r="B94" s="1858" t="s">
        <v>1261</v>
      </c>
      <c r="C94" s="1858"/>
      <c r="D94" s="1858"/>
      <c r="E94" s="1858"/>
      <c r="F94" s="1858"/>
      <c r="G94" s="1858"/>
      <c r="H94" s="1858"/>
      <c r="I94" s="1858"/>
    </row>
    <row r="95" spans="2:9" customFormat="1" hidden="1">
      <c r="B95" s="156"/>
      <c r="C95" s="21"/>
      <c r="D95" s="21"/>
      <c r="E95" s="334"/>
      <c r="F95" s="21"/>
      <c r="G95" s="21"/>
      <c r="H95" s="21"/>
      <c r="I95" s="21"/>
    </row>
    <row r="96" spans="2:9" customFormat="1" hidden="1">
      <c r="B96" s="149" t="s">
        <v>1047</v>
      </c>
      <c r="C96" s="21"/>
      <c r="D96" s="21"/>
      <c r="E96" s="334"/>
      <c r="F96" s="21"/>
      <c r="G96" s="21"/>
      <c r="H96" s="21"/>
      <c r="I96" s="21"/>
    </row>
    <row r="97" spans="2:10" customFormat="1" ht="51.75" hidden="1" customHeight="1">
      <c r="B97" s="1878" t="s">
        <v>1967</v>
      </c>
      <c r="C97" s="1878"/>
      <c r="D97" s="1878"/>
      <c r="E97" s="1878"/>
      <c r="F97" s="1878"/>
      <c r="G97" s="1878"/>
      <c r="H97" s="1878"/>
      <c r="I97" s="1878"/>
    </row>
    <row r="98" spans="2:10" customFormat="1" hidden="1">
      <c r="B98" s="695"/>
      <c r="C98" s="21"/>
      <c r="D98" s="21"/>
      <c r="E98" s="334"/>
      <c r="F98" s="21"/>
      <c r="G98" s="21"/>
      <c r="H98" s="21"/>
      <c r="I98" s="21"/>
    </row>
    <row r="99" spans="2:10" customFormat="1" hidden="1">
      <c r="B99" s="1861" t="s">
        <v>1048</v>
      </c>
      <c r="C99" s="1861"/>
      <c r="D99" s="1861"/>
      <c r="E99" s="1861"/>
      <c r="F99" s="1861"/>
      <c r="G99" s="1861"/>
      <c r="H99" s="1861"/>
      <c r="I99" s="1861"/>
    </row>
    <row r="100" spans="2:10" customFormat="1" ht="51.75" hidden="1" customHeight="1">
      <c r="B100" s="1878" t="s">
        <v>1049</v>
      </c>
      <c r="C100" s="1878"/>
      <c r="D100" s="1878"/>
      <c r="E100" s="1878"/>
      <c r="F100" s="1878"/>
      <c r="G100" s="1878"/>
      <c r="H100" s="1878"/>
      <c r="I100" s="1878"/>
    </row>
    <row r="101" spans="2:10" customFormat="1" hidden="1">
      <c r="B101" s="695"/>
      <c r="C101" s="21"/>
      <c r="D101" s="21"/>
      <c r="E101" s="334"/>
      <c r="F101" s="21"/>
      <c r="G101" s="21"/>
      <c r="H101" s="21"/>
      <c r="I101" s="21"/>
    </row>
    <row r="102" spans="2:10" customFormat="1" ht="28.5" hidden="1" customHeight="1">
      <c r="B102" s="1861" t="s">
        <v>1050</v>
      </c>
      <c r="C102" s="1861"/>
      <c r="D102" s="1861"/>
      <c r="E102" s="1861"/>
      <c r="F102" s="1861"/>
      <c r="G102" s="1861"/>
      <c r="H102" s="1861"/>
      <c r="I102" s="1861"/>
    </row>
    <row r="103" spans="2:10" customFormat="1" ht="74.25" hidden="1" customHeight="1">
      <c r="B103" s="1878" t="s">
        <v>1263</v>
      </c>
      <c r="C103" s="1878"/>
      <c r="D103" s="1878"/>
      <c r="E103" s="1878"/>
      <c r="F103" s="1878"/>
      <c r="G103" s="1878"/>
      <c r="H103" s="1878"/>
      <c r="I103" s="1878"/>
    </row>
    <row r="104" spans="2:10" customFormat="1" hidden="1">
      <c r="B104" s="149"/>
      <c r="C104" s="21"/>
      <c r="D104" s="21"/>
      <c r="E104" s="334"/>
      <c r="F104" s="21"/>
      <c r="G104" s="21"/>
      <c r="H104" s="21"/>
      <c r="I104" s="21"/>
    </row>
    <row r="105" spans="2:10" customFormat="1" hidden="1">
      <c r="B105" s="149" t="s">
        <v>1051</v>
      </c>
      <c r="C105" s="21"/>
      <c r="D105" s="21"/>
      <c r="E105" s="334"/>
      <c r="F105" s="21"/>
      <c r="G105" s="21"/>
      <c r="H105" s="21"/>
      <c r="I105" s="21"/>
    </row>
    <row r="106" spans="2:10" customFormat="1" ht="108.75" hidden="1" customHeight="1">
      <c r="B106" s="1878" t="s">
        <v>1817</v>
      </c>
      <c r="C106" s="1878"/>
      <c r="D106" s="1878"/>
      <c r="E106" s="1878"/>
      <c r="F106" s="1878"/>
      <c r="G106" s="1878"/>
      <c r="H106" s="1878"/>
      <c r="I106" s="1878"/>
    </row>
    <row r="107" spans="2:10" customFormat="1" ht="21" hidden="1" customHeight="1">
      <c r="B107" s="831"/>
      <c r="C107" s="831"/>
      <c r="D107" s="831"/>
      <c r="E107" s="831"/>
      <c r="F107" s="21"/>
      <c r="G107" s="21"/>
      <c r="H107" s="21"/>
      <c r="I107" s="21"/>
    </row>
    <row r="108" spans="2:10" customFormat="1" ht="21" hidden="1" customHeight="1">
      <c r="B108" s="827"/>
      <c r="C108" s="21"/>
      <c r="D108" s="21"/>
      <c r="E108" s="334"/>
      <c r="F108" s="21"/>
      <c r="G108" s="21"/>
      <c r="H108" s="21"/>
      <c r="I108" s="21"/>
    </row>
    <row r="109" spans="2:10" customFormat="1" ht="29.25" hidden="1" customHeight="1">
      <c r="B109" s="1861" t="s">
        <v>1053</v>
      </c>
      <c r="C109" s="1861"/>
      <c r="D109" s="1861"/>
      <c r="E109" s="1861"/>
      <c r="F109" s="1861"/>
      <c r="G109" s="1861"/>
      <c r="H109" s="1861"/>
      <c r="I109" s="1861"/>
    </row>
    <row r="110" spans="2:10" customFormat="1" ht="41.25" hidden="1" customHeight="1">
      <c r="B110" s="1878" t="s">
        <v>2012</v>
      </c>
      <c r="C110" s="1878"/>
      <c r="D110" s="1878"/>
      <c r="E110" s="1878"/>
      <c r="F110" s="1878"/>
      <c r="G110" s="1878"/>
      <c r="H110" s="1878"/>
      <c r="I110" s="1878"/>
      <c r="J110" t="s">
        <v>2011</v>
      </c>
    </row>
    <row r="111" spans="2:10" customFormat="1" ht="39" hidden="1" customHeight="1">
      <c r="B111" s="149"/>
      <c r="C111" s="21"/>
      <c r="D111" s="21"/>
      <c r="E111" s="334"/>
      <c r="F111" s="21"/>
      <c r="G111" s="21"/>
      <c r="H111" s="21"/>
      <c r="I111" s="21"/>
    </row>
    <row r="112" spans="2:10" customFormat="1" ht="29.25" hidden="1" customHeight="1">
      <c r="B112" s="1861" t="s">
        <v>1054</v>
      </c>
      <c r="C112" s="1861"/>
      <c r="D112" s="1861"/>
      <c r="E112" s="1861"/>
      <c r="F112" s="1861"/>
      <c r="G112" s="1861"/>
      <c r="H112" s="1861"/>
      <c r="I112" s="1861"/>
    </row>
    <row r="113" spans="2:9" customFormat="1" ht="58.5" hidden="1" customHeight="1">
      <c r="B113" s="1858" t="s">
        <v>1969</v>
      </c>
      <c r="C113" s="1858"/>
      <c r="D113" s="1858"/>
      <c r="E113" s="1858"/>
      <c r="F113" s="1858"/>
      <c r="G113" s="1858"/>
      <c r="H113" s="1858"/>
      <c r="I113" s="1858"/>
    </row>
    <row r="114" spans="2:9" customFormat="1" hidden="1">
      <c r="B114" s="156"/>
      <c r="C114" s="21"/>
      <c r="D114" s="21"/>
      <c r="E114" s="334"/>
      <c r="F114" s="21"/>
      <c r="G114" s="21"/>
      <c r="H114" s="21"/>
      <c r="I114" s="21"/>
    </row>
    <row r="115" spans="2:9" customFormat="1" ht="29.25" hidden="1" customHeight="1">
      <c r="B115" s="1861" t="s">
        <v>1055</v>
      </c>
      <c r="C115" s="1861"/>
      <c r="D115" s="1861"/>
      <c r="E115" s="1861"/>
      <c r="F115" s="1861"/>
      <c r="G115" s="1861"/>
      <c r="H115" s="1861"/>
      <c r="I115" s="1861"/>
    </row>
    <row r="116" spans="2:9" customFormat="1" ht="9" hidden="1" customHeight="1">
      <c r="B116" s="149" t="s">
        <v>1056</v>
      </c>
      <c r="C116" s="21"/>
      <c r="D116" s="21"/>
      <c r="E116" s="334"/>
      <c r="F116" s="21"/>
      <c r="G116" s="21"/>
      <c r="H116" s="21"/>
      <c r="I116" s="21"/>
    </row>
    <row r="117" spans="2:9" customFormat="1" ht="25.5" hidden="1" customHeight="1">
      <c r="B117" s="1861" t="s">
        <v>1057</v>
      </c>
      <c r="C117" s="1861"/>
      <c r="D117" s="1861"/>
      <c r="E117" s="1861"/>
      <c r="F117" s="1861"/>
      <c r="G117" s="1861"/>
      <c r="H117" s="1861"/>
      <c r="I117" s="1861"/>
    </row>
    <row r="118" spans="2:9" customFormat="1" ht="10.5" hidden="1" customHeight="1">
      <c r="B118" s="149"/>
      <c r="C118" s="21"/>
      <c r="D118" s="21"/>
      <c r="E118" s="334"/>
      <c r="F118" s="21"/>
      <c r="G118" s="21"/>
      <c r="H118" s="21"/>
      <c r="I118" s="21"/>
    </row>
    <row r="119" spans="2:9" customFormat="1" ht="27.75" hidden="1" customHeight="1">
      <c r="B119" s="1878" t="s">
        <v>1058</v>
      </c>
      <c r="C119" s="1878"/>
      <c r="D119" s="1878"/>
      <c r="E119" s="1878"/>
      <c r="F119" s="1878"/>
      <c r="G119" s="1878"/>
      <c r="H119" s="1878"/>
      <c r="I119" s="1878"/>
    </row>
    <row r="120" spans="2:9" customFormat="1" hidden="1">
      <c r="B120" s="149"/>
      <c r="C120" s="21"/>
      <c r="D120" s="21"/>
      <c r="E120" s="334"/>
      <c r="F120" s="21"/>
      <c r="G120" s="21"/>
      <c r="H120" s="21"/>
      <c r="I120" s="21"/>
    </row>
    <row r="121" spans="2:9" customFormat="1" ht="27.75" hidden="1" customHeight="1">
      <c r="B121" s="1858" t="s">
        <v>1059</v>
      </c>
      <c r="C121" s="1858"/>
      <c r="D121" s="1858"/>
      <c r="E121" s="1858"/>
      <c r="F121" s="1858"/>
      <c r="G121" s="1858"/>
      <c r="H121" s="1858"/>
      <c r="I121" s="1858"/>
    </row>
    <row r="122" spans="2:9" customFormat="1" hidden="1">
      <c r="B122" s="156"/>
      <c r="C122" s="21"/>
      <c r="D122" s="21"/>
      <c r="E122" s="334"/>
      <c r="F122" s="21"/>
      <c r="G122" s="21"/>
      <c r="H122" s="21"/>
      <c r="I122" s="21"/>
    </row>
    <row r="123" spans="2:9" customFormat="1" hidden="1">
      <c r="B123" s="156"/>
      <c r="C123" s="21"/>
      <c r="D123" s="21"/>
      <c r="E123" s="334"/>
      <c r="F123" s="21"/>
      <c r="G123" s="21"/>
      <c r="H123" s="21"/>
      <c r="I123" s="21"/>
    </row>
    <row r="124" spans="2:9" customFormat="1" hidden="1">
      <c r="B124" s="156"/>
      <c r="C124" s="21"/>
      <c r="D124" s="21"/>
      <c r="E124" s="334"/>
      <c r="F124" s="21"/>
      <c r="G124" s="21"/>
      <c r="H124" s="21"/>
      <c r="I124" s="21"/>
    </row>
    <row r="125" spans="2:9" customFormat="1" hidden="1">
      <c r="B125" s="156"/>
      <c r="C125" s="21"/>
      <c r="D125" s="21"/>
      <c r="E125" s="334"/>
      <c r="F125" s="21"/>
      <c r="G125" s="21"/>
      <c r="H125" s="21"/>
      <c r="I125" s="21"/>
    </row>
    <row r="126" spans="2:9" customFormat="1" hidden="1">
      <c r="B126" s="156"/>
      <c r="C126" s="21"/>
      <c r="D126" s="21"/>
      <c r="E126" s="334"/>
      <c r="F126" s="21"/>
      <c r="G126" s="21"/>
      <c r="H126" s="21"/>
      <c r="I126" s="21"/>
    </row>
    <row r="127" spans="2:9" customFormat="1" ht="26.25" hidden="1" customHeight="1">
      <c r="B127" s="1878" t="s">
        <v>1060</v>
      </c>
      <c r="C127" s="1878"/>
      <c r="D127" s="1878"/>
      <c r="E127" s="1878"/>
      <c r="F127" s="1878"/>
      <c r="G127" s="1878"/>
      <c r="H127" s="1878"/>
      <c r="I127" s="1878"/>
    </row>
    <row r="128" spans="2:9" customFormat="1" hidden="1">
      <c r="B128" s="149"/>
      <c r="C128" s="21"/>
      <c r="D128" s="21"/>
      <c r="E128" s="334"/>
      <c r="F128" s="21"/>
      <c r="G128" s="21"/>
      <c r="H128" s="21"/>
      <c r="I128" s="21"/>
    </row>
    <row r="129" spans="2:9" customFormat="1" ht="73.5" hidden="1" customHeight="1">
      <c r="B129" s="1858" t="s">
        <v>1061</v>
      </c>
      <c r="C129" s="1858"/>
      <c r="D129" s="1858"/>
      <c r="E129" s="1858"/>
      <c r="F129" s="1858"/>
      <c r="G129" s="1858"/>
      <c r="H129" s="1858"/>
      <c r="I129" s="1858"/>
    </row>
    <row r="130" spans="2:9" customFormat="1" hidden="1">
      <c r="B130" s="156"/>
      <c r="C130" s="21"/>
      <c r="D130" s="21"/>
      <c r="E130" s="334"/>
      <c r="F130" s="21"/>
      <c r="G130" s="21"/>
      <c r="H130" s="21"/>
      <c r="I130" s="21"/>
    </row>
    <row r="131" spans="2:9" customFormat="1" ht="56.25" hidden="1" customHeight="1">
      <c r="B131" s="1858" t="s">
        <v>1266</v>
      </c>
      <c r="C131" s="1858"/>
      <c r="D131" s="1858"/>
      <c r="E131" s="1858"/>
      <c r="F131" s="1858"/>
      <c r="G131" s="1858"/>
      <c r="H131" s="1858"/>
      <c r="I131" s="1858"/>
    </row>
    <row r="132" spans="2:9" customFormat="1" hidden="1">
      <c r="B132" s="156"/>
      <c r="C132" s="21"/>
      <c r="D132" s="21"/>
      <c r="E132" s="334"/>
      <c r="F132" s="21"/>
      <c r="G132" s="21"/>
      <c r="H132" s="21"/>
      <c r="I132" s="21"/>
    </row>
    <row r="133" spans="2:9" customFormat="1" ht="58.5" hidden="1" customHeight="1">
      <c r="B133" s="1858" t="s">
        <v>1267</v>
      </c>
      <c r="C133" s="1858"/>
      <c r="D133" s="1858"/>
      <c r="E133" s="1858"/>
      <c r="F133" s="1858"/>
      <c r="G133" s="1858"/>
      <c r="H133" s="1858"/>
      <c r="I133" s="1858"/>
    </row>
    <row r="134" spans="2:9" customFormat="1" hidden="1">
      <c r="B134" s="156"/>
      <c r="C134" s="21"/>
      <c r="D134" s="21"/>
      <c r="E134" s="334"/>
      <c r="F134" s="21"/>
      <c r="G134" s="21"/>
      <c r="H134" s="21"/>
      <c r="I134" s="21"/>
    </row>
    <row r="135" spans="2:9" customFormat="1" ht="63.75" hidden="1" customHeight="1">
      <c r="B135" s="1858" t="s">
        <v>1268</v>
      </c>
      <c r="C135" s="1858"/>
      <c r="D135" s="1858"/>
      <c r="E135" s="1858"/>
      <c r="F135" s="1858"/>
      <c r="G135" s="1858"/>
      <c r="H135" s="1858"/>
      <c r="I135" s="1858"/>
    </row>
    <row r="136" spans="2:9" customFormat="1" hidden="1">
      <c r="B136" s="156"/>
      <c r="C136" s="21"/>
      <c r="D136" s="21"/>
      <c r="E136" s="334"/>
      <c r="F136" s="21"/>
      <c r="G136" s="21"/>
      <c r="H136" s="21"/>
      <c r="I136" s="21"/>
    </row>
    <row r="137" spans="2:9" customFormat="1" ht="41.25" hidden="1" customHeight="1">
      <c r="B137" s="1858" t="s">
        <v>1269</v>
      </c>
      <c r="C137" s="1858"/>
      <c r="D137" s="1858"/>
      <c r="E137" s="1858"/>
      <c r="F137" s="1858"/>
      <c r="G137" s="1858"/>
      <c r="H137" s="1858"/>
      <c r="I137" s="1858"/>
    </row>
    <row r="138" spans="2:9" customFormat="1" hidden="1">
      <c r="B138" s="156"/>
      <c r="C138" s="21"/>
      <c r="D138" s="21"/>
      <c r="E138" s="334"/>
      <c r="F138" s="21"/>
      <c r="G138" s="21"/>
      <c r="H138" s="21"/>
      <c r="I138" s="21"/>
    </row>
    <row r="139" spans="2:9" customFormat="1" ht="88.5" hidden="1" customHeight="1">
      <c r="B139" s="1858" t="s">
        <v>1818</v>
      </c>
      <c r="C139" s="1858"/>
      <c r="D139" s="1858"/>
      <c r="E139" s="1858"/>
      <c r="F139" s="1858"/>
      <c r="G139" s="1858"/>
      <c r="H139" s="1858"/>
      <c r="I139" s="1858"/>
    </row>
    <row r="140" spans="2:9" customFormat="1" hidden="1">
      <c r="B140" s="156"/>
      <c r="C140" s="21"/>
      <c r="D140" s="21"/>
      <c r="E140" s="334"/>
      <c r="F140" s="21"/>
      <c r="G140" s="21"/>
      <c r="H140" s="21"/>
      <c r="I140" s="21"/>
    </row>
    <row r="141" spans="2:9" customFormat="1" ht="24.75" hidden="1" customHeight="1">
      <c r="B141" s="1878" t="s">
        <v>1062</v>
      </c>
      <c r="C141" s="1878"/>
      <c r="D141" s="1878"/>
      <c r="E141" s="1878"/>
      <c r="F141" s="1878"/>
      <c r="G141" s="1878"/>
      <c r="H141" s="1878"/>
      <c r="I141" s="1878"/>
    </row>
    <row r="142" spans="2:9" customFormat="1" hidden="1">
      <c r="B142" s="149"/>
      <c r="C142" s="21"/>
      <c r="D142" s="21"/>
      <c r="E142" s="334"/>
      <c r="F142" s="21"/>
      <c r="G142" s="21"/>
      <c r="H142" s="21"/>
      <c r="I142" s="21"/>
    </row>
    <row r="143" spans="2:9" customFormat="1" ht="33" hidden="1" customHeight="1">
      <c r="B143" s="1858" t="s">
        <v>1063</v>
      </c>
      <c r="C143" s="1858"/>
      <c r="D143" s="1858"/>
      <c r="E143" s="1858"/>
      <c r="F143" s="1858"/>
      <c r="G143" s="1858"/>
      <c r="H143" s="1858"/>
      <c r="I143" s="1858"/>
    </row>
    <row r="144" spans="2:9" customFormat="1" hidden="1">
      <c r="B144" s="156" t="s">
        <v>1022</v>
      </c>
      <c r="C144" s="21"/>
      <c r="D144" s="21"/>
      <c r="E144" s="334"/>
      <c r="F144" s="21"/>
      <c r="G144" s="21"/>
      <c r="H144" s="21"/>
      <c r="I144" s="21"/>
    </row>
    <row r="145" spans="2:9" customFormat="1" ht="30.75" hidden="1" customHeight="1">
      <c r="B145" s="1858" t="s">
        <v>1819</v>
      </c>
      <c r="C145" s="1858"/>
      <c r="D145" s="1858"/>
      <c r="E145" s="1858"/>
      <c r="F145" s="1858"/>
      <c r="G145" s="1858"/>
      <c r="H145" s="1858"/>
      <c r="I145" s="1858"/>
    </row>
    <row r="146" spans="2:9" customFormat="1" hidden="1">
      <c r="B146" s="827"/>
      <c r="C146" s="21"/>
      <c r="D146" s="21"/>
      <c r="E146" s="334"/>
      <c r="F146" s="21"/>
      <c r="G146" s="21"/>
      <c r="H146" s="21"/>
      <c r="I146" s="21"/>
    </row>
    <row r="147" spans="2:9" customFormat="1" ht="24.75" hidden="1" customHeight="1">
      <c r="B147" s="1878" t="s">
        <v>1065</v>
      </c>
      <c r="C147" s="1878"/>
      <c r="D147" s="1878"/>
      <c r="E147" s="1878"/>
      <c r="F147" s="1878"/>
      <c r="G147" s="1878"/>
      <c r="H147" s="1878"/>
      <c r="I147" s="1878"/>
    </row>
    <row r="148" spans="2:9" customFormat="1" hidden="1">
      <c r="B148" s="149"/>
      <c r="C148" s="21"/>
      <c r="D148" s="21"/>
      <c r="E148" s="334"/>
      <c r="F148" s="21"/>
      <c r="G148" s="21"/>
      <c r="H148" s="21"/>
      <c r="I148" s="21"/>
    </row>
    <row r="149" spans="2:9" customFormat="1" ht="54.75" hidden="1" customHeight="1">
      <c r="B149" s="1858" t="s">
        <v>1238</v>
      </c>
      <c r="C149" s="1858"/>
      <c r="D149" s="1858"/>
      <c r="E149" s="1858"/>
      <c r="F149" s="1858"/>
      <c r="G149" s="1858"/>
      <c r="H149" s="1858"/>
      <c r="I149" s="1858"/>
    </row>
    <row r="150" spans="2:9" customFormat="1" hidden="1">
      <c r="B150" s="156"/>
      <c r="C150" s="21"/>
      <c r="D150" s="21"/>
      <c r="E150" s="334"/>
      <c r="F150" s="21"/>
      <c r="G150" s="21"/>
      <c r="H150" s="21"/>
      <c r="I150" s="21"/>
    </row>
    <row r="151" spans="2:9" customFormat="1" ht="46.5" hidden="1" customHeight="1">
      <c r="B151" s="1858" t="s">
        <v>1066</v>
      </c>
      <c r="C151" s="1858"/>
      <c r="D151" s="1858"/>
      <c r="E151" s="1858"/>
      <c r="F151" s="1858"/>
      <c r="G151" s="1858"/>
      <c r="H151" s="1858"/>
      <c r="I151" s="1858"/>
    </row>
    <row r="152" spans="2:9" customFormat="1" hidden="1">
      <c r="B152" s="694"/>
      <c r="C152" s="21"/>
      <c r="D152" s="21"/>
      <c r="E152" s="334"/>
      <c r="F152" s="21"/>
      <c r="G152" s="21"/>
      <c r="H152" s="21"/>
      <c r="I152" s="21"/>
    </row>
    <row r="153" spans="2:9" customFormat="1" ht="67.5" hidden="1" customHeight="1">
      <c r="B153" s="1858" t="s">
        <v>1239</v>
      </c>
      <c r="C153" s="1858"/>
      <c r="D153" s="1858"/>
      <c r="E153" s="1858"/>
      <c r="F153" s="1858"/>
      <c r="G153" s="1858"/>
      <c r="H153" s="1858"/>
      <c r="I153" s="1858"/>
    </row>
    <row r="154" spans="2:9" customFormat="1" hidden="1">
      <c r="B154" s="149"/>
      <c r="C154" s="21"/>
      <c r="D154" s="21"/>
      <c r="E154" s="334"/>
      <c r="F154" s="21"/>
      <c r="G154" s="21"/>
      <c r="H154" s="21"/>
      <c r="I154" s="21"/>
    </row>
    <row r="155" spans="2:9" customFormat="1" ht="31.5" hidden="1" customHeight="1">
      <c r="B155" s="1861" t="s">
        <v>1067</v>
      </c>
      <c r="C155" s="1861"/>
      <c r="D155" s="1861"/>
      <c r="E155" s="1861"/>
      <c r="F155" s="1861"/>
      <c r="G155" s="1861"/>
      <c r="H155" s="1861"/>
      <c r="I155" s="1861"/>
    </row>
    <row r="156" spans="2:9" customFormat="1" hidden="1">
      <c r="B156" s="149"/>
      <c r="C156" s="21"/>
      <c r="D156" s="21"/>
      <c r="E156" s="334"/>
      <c r="F156" s="21"/>
      <c r="G156" s="21"/>
      <c r="H156" s="21"/>
      <c r="I156" s="21"/>
    </row>
    <row r="157" spans="2:9" customFormat="1" hidden="1">
      <c r="B157" s="695" t="s">
        <v>1068</v>
      </c>
      <c r="C157" s="21"/>
      <c r="D157" s="21"/>
      <c r="E157" s="334"/>
      <c r="F157" s="21"/>
      <c r="G157" s="21"/>
      <c r="H157" s="21"/>
      <c r="I157" s="21"/>
    </row>
    <row r="158" spans="2:9" customFormat="1" hidden="1">
      <c r="B158" s="149"/>
      <c r="C158" s="21"/>
      <c r="D158" s="21"/>
      <c r="E158" s="334"/>
      <c r="F158" s="21"/>
      <c r="G158" s="21"/>
      <c r="H158" s="21"/>
      <c r="I158" s="21"/>
    </row>
    <row r="159" spans="2:9" customFormat="1" ht="60.75" hidden="1" customHeight="1">
      <c r="B159" s="1858" t="s">
        <v>1240</v>
      </c>
      <c r="C159" s="1858"/>
      <c r="D159" s="1858"/>
      <c r="E159" s="1858"/>
      <c r="F159" s="1858"/>
      <c r="G159" s="1858"/>
      <c r="H159" s="1858"/>
      <c r="I159" s="1858"/>
    </row>
    <row r="160" spans="2:9" customFormat="1" hidden="1">
      <c r="B160" s="156"/>
      <c r="C160" s="21"/>
      <c r="D160" s="21"/>
      <c r="E160" s="334"/>
      <c r="F160" s="21"/>
      <c r="G160" s="21"/>
      <c r="H160" s="21"/>
      <c r="I160" s="21"/>
    </row>
    <row r="161" spans="2:9" customFormat="1" ht="81.75" hidden="1" customHeight="1">
      <c r="B161" s="1858" t="s">
        <v>1241</v>
      </c>
      <c r="C161" s="1858"/>
      <c r="D161" s="1858"/>
      <c r="E161" s="1858"/>
      <c r="F161" s="1858"/>
      <c r="G161" s="1858"/>
      <c r="H161" s="1858"/>
      <c r="I161" s="1858"/>
    </row>
    <row r="162" spans="2:9" customFormat="1" hidden="1">
      <c r="B162" s="156"/>
      <c r="C162" s="21"/>
      <c r="D162" s="21"/>
      <c r="E162" s="334"/>
      <c r="F162" s="21"/>
      <c r="G162" s="21"/>
      <c r="H162" s="21"/>
      <c r="I162" s="21"/>
    </row>
    <row r="163" spans="2:9" customFormat="1" ht="64.5" hidden="1" customHeight="1">
      <c r="B163" s="1858" t="s">
        <v>1242</v>
      </c>
      <c r="C163" s="1858"/>
      <c r="D163" s="1858"/>
      <c r="E163" s="1858"/>
      <c r="F163" s="1858"/>
      <c r="G163" s="1858"/>
      <c r="H163" s="1858"/>
      <c r="I163" s="1858"/>
    </row>
    <row r="164" spans="2:9" customFormat="1" hidden="1">
      <c r="B164" s="827"/>
      <c r="C164" s="21"/>
      <c r="D164" s="21"/>
      <c r="E164" s="334"/>
      <c r="F164" s="21"/>
      <c r="G164" s="21"/>
      <c r="H164" s="21"/>
      <c r="I164" s="21"/>
    </row>
    <row r="165" spans="2:9" customFormat="1" hidden="1">
      <c r="B165" s="827"/>
      <c r="C165" s="21"/>
      <c r="D165" s="21"/>
      <c r="E165" s="334"/>
      <c r="F165" s="21"/>
      <c r="G165" s="21"/>
      <c r="H165" s="21"/>
      <c r="I165" s="21"/>
    </row>
    <row r="166" spans="2:9" customFormat="1" ht="24" hidden="1" customHeight="1">
      <c r="B166" s="1878" t="s">
        <v>1069</v>
      </c>
      <c r="C166" s="1878"/>
      <c r="D166" s="1878"/>
      <c r="E166" s="1878"/>
      <c r="F166" s="1878"/>
      <c r="G166" s="1878"/>
      <c r="H166" s="1878"/>
      <c r="I166" s="1878"/>
    </row>
    <row r="167" spans="2:9" customFormat="1" ht="42" hidden="1" customHeight="1">
      <c r="B167" s="1858" t="s">
        <v>1219</v>
      </c>
      <c r="C167" s="1858"/>
      <c r="D167" s="1858"/>
      <c r="E167" s="1858"/>
      <c r="F167" s="1858"/>
      <c r="G167" s="1858"/>
      <c r="H167" s="1858"/>
      <c r="I167" s="1858"/>
    </row>
    <row r="168" spans="2:9" customFormat="1" hidden="1">
      <c r="B168" s="156"/>
      <c r="C168" s="21"/>
      <c r="D168" s="21"/>
      <c r="E168" s="334"/>
      <c r="F168" s="21"/>
      <c r="G168" s="21"/>
      <c r="H168" s="21"/>
      <c r="I168" s="21"/>
    </row>
    <row r="169" spans="2:9" customFormat="1" hidden="1">
      <c r="B169" s="695" t="s">
        <v>1070</v>
      </c>
      <c r="C169" s="21"/>
      <c r="D169" s="21"/>
      <c r="E169" s="334"/>
      <c r="F169" s="21"/>
      <c r="G169" s="21"/>
      <c r="H169" s="21"/>
      <c r="I169" s="21"/>
    </row>
    <row r="170" spans="2:9" customFormat="1" ht="51.75" hidden="1" customHeight="1">
      <c r="B170" s="1858" t="s">
        <v>1243</v>
      </c>
      <c r="C170" s="1858"/>
      <c r="D170" s="1858"/>
      <c r="E170" s="1858"/>
      <c r="F170" s="1858"/>
      <c r="G170" s="1858"/>
      <c r="H170" s="1858"/>
      <c r="I170" s="1858"/>
    </row>
    <row r="171" spans="2:9" customFormat="1" ht="21" hidden="1" customHeight="1">
      <c r="B171" s="695"/>
      <c r="C171" s="21"/>
      <c r="D171" s="21"/>
      <c r="E171" s="334"/>
      <c r="F171" s="21"/>
      <c r="G171" s="21"/>
      <c r="H171" s="21"/>
      <c r="I171" s="21"/>
    </row>
    <row r="172" spans="2:9" customFormat="1" hidden="1">
      <c r="B172" s="695" t="s">
        <v>1071</v>
      </c>
      <c r="C172" s="21"/>
      <c r="D172" s="21"/>
      <c r="E172" s="334"/>
      <c r="F172" s="21"/>
      <c r="G172" s="21"/>
      <c r="H172" s="21"/>
      <c r="I172" s="21"/>
    </row>
    <row r="173" spans="2:9" customFormat="1" ht="98.25" hidden="1" customHeight="1">
      <c r="B173" s="1858" t="s">
        <v>1820</v>
      </c>
      <c r="C173" s="1858"/>
      <c r="D173" s="1858"/>
      <c r="E173" s="1858"/>
      <c r="F173" s="1858"/>
      <c r="G173" s="1858"/>
      <c r="H173" s="1858"/>
      <c r="I173" s="1858"/>
    </row>
    <row r="174" spans="2:9" customFormat="1" hidden="1">
      <c r="B174" s="156"/>
      <c r="C174" s="21"/>
      <c r="D174" s="21"/>
      <c r="E174" s="334"/>
      <c r="F174" s="21"/>
      <c r="G174" s="21"/>
      <c r="H174" s="21"/>
      <c r="I174" s="21"/>
    </row>
    <row r="175" spans="2:9" customFormat="1" ht="60.75" hidden="1" customHeight="1">
      <c r="B175" s="1858" t="s">
        <v>1821</v>
      </c>
      <c r="C175" s="1858"/>
      <c r="D175" s="1858"/>
      <c r="E175" s="1858"/>
      <c r="F175" s="1858"/>
      <c r="G175" s="1858"/>
      <c r="H175" s="1858"/>
      <c r="I175" s="1858"/>
    </row>
    <row r="176" spans="2:9" customFormat="1" hidden="1">
      <c r="B176" s="156"/>
      <c r="C176" s="21"/>
      <c r="D176" s="21"/>
      <c r="E176" s="334"/>
      <c r="F176" s="21"/>
      <c r="G176" s="21"/>
      <c r="H176" s="21"/>
      <c r="I176" s="21"/>
    </row>
    <row r="177" spans="1:9" customFormat="1" ht="53.25" hidden="1" customHeight="1">
      <c r="B177" s="1858" t="s">
        <v>1246</v>
      </c>
      <c r="C177" s="1858"/>
      <c r="D177" s="1858"/>
      <c r="E177" s="1858"/>
      <c r="F177" s="1858"/>
      <c r="G177" s="1858"/>
      <c r="H177" s="1858"/>
      <c r="I177" s="1858"/>
    </row>
    <row r="178" spans="1:9" customFormat="1" hidden="1">
      <c r="B178" s="156"/>
      <c r="C178" s="21"/>
      <c r="D178" s="21"/>
      <c r="E178" s="334"/>
      <c r="F178" s="21"/>
      <c r="G178" s="21"/>
      <c r="H178" s="21"/>
      <c r="I178" s="21"/>
    </row>
    <row r="179" spans="1:9" customFormat="1" ht="27.75" hidden="1" customHeight="1">
      <c r="B179" s="1878" t="s">
        <v>1072</v>
      </c>
      <c r="C179" s="1878"/>
      <c r="D179" s="1878"/>
      <c r="E179" s="1878"/>
      <c r="F179" s="21"/>
      <c r="G179" s="21"/>
      <c r="H179" s="21"/>
      <c r="I179" s="21"/>
    </row>
    <row r="180" spans="1:9" customFormat="1" ht="60.75" hidden="1" customHeight="1">
      <c r="B180" s="1858" t="s">
        <v>1247</v>
      </c>
      <c r="C180" s="1858"/>
      <c r="D180" s="1858"/>
      <c r="E180" s="1858"/>
      <c r="F180" s="1858"/>
      <c r="G180" s="1858"/>
      <c r="H180" s="1858"/>
      <c r="I180" s="1858"/>
    </row>
    <row r="181" spans="1:9" customFormat="1" hidden="1">
      <c r="B181" s="156"/>
      <c r="C181" s="21"/>
      <c r="D181" s="21"/>
      <c r="E181" s="334"/>
      <c r="F181" s="21"/>
      <c r="G181" s="21"/>
      <c r="H181" s="21"/>
      <c r="I181" s="21"/>
    </row>
    <row r="182" spans="1:9" customFormat="1" ht="27" hidden="1" customHeight="1">
      <c r="B182" s="1878" t="s">
        <v>1073</v>
      </c>
      <c r="C182" s="1878"/>
      <c r="D182" s="1878"/>
      <c r="E182" s="1878"/>
      <c r="F182" s="1878"/>
      <c r="G182" s="1878"/>
      <c r="H182" s="1878"/>
      <c r="I182" s="1878"/>
    </row>
    <row r="183" spans="1:9" customFormat="1" ht="63.75" hidden="1" customHeight="1">
      <c r="B183" s="1858" t="s">
        <v>1248</v>
      </c>
      <c r="C183" s="1858"/>
      <c r="D183" s="1858"/>
      <c r="E183" s="1858"/>
      <c r="F183" s="1858"/>
      <c r="G183" s="1858"/>
      <c r="H183" s="1858"/>
      <c r="I183" s="1858"/>
    </row>
    <row r="184" spans="1:9" customFormat="1" hidden="1">
      <c r="B184" s="827"/>
      <c r="C184" s="21"/>
      <c r="D184" s="21"/>
      <c r="E184" s="334"/>
      <c r="F184" s="21"/>
      <c r="G184" s="21"/>
      <c r="H184" s="21"/>
      <c r="I184" s="21"/>
    </row>
    <row r="185" spans="1:9" customFormat="1" ht="34.5" hidden="1" customHeight="1">
      <c r="B185" s="1861" t="s">
        <v>1074</v>
      </c>
      <c r="C185" s="1861"/>
      <c r="D185" s="1861"/>
      <c r="E185" s="1861"/>
      <c r="F185" s="1861"/>
      <c r="G185" s="1861"/>
      <c r="H185" s="1861"/>
      <c r="I185" s="1861"/>
    </row>
    <row r="186" spans="1:9" customFormat="1" ht="102" hidden="1" customHeight="1">
      <c r="B186" s="1858" t="s">
        <v>1822</v>
      </c>
      <c r="C186" s="1858"/>
      <c r="D186" s="1858"/>
      <c r="E186" s="1858"/>
      <c r="F186" s="1858"/>
      <c r="G186" s="1858"/>
      <c r="H186" s="1858"/>
      <c r="I186" s="1858"/>
    </row>
    <row r="187" spans="1:9" customFormat="1" ht="15" hidden="1" customHeight="1">
      <c r="B187" s="826"/>
      <c r="C187" s="826"/>
      <c r="D187" s="826"/>
      <c r="E187" s="826"/>
      <c r="F187" s="826"/>
      <c r="G187" s="826"/>
      <c r="H187" s="826"/>
      <c r="I187" s="826"/>
    </row>
    <row r="188" spans="1:9" s="672" customFormat="1" ht="14.25" hidden="1">
      <c r="A188" s="672" t="s">
        <v>1663</v>
      </c>
    </row>
    <row r="189" spans="1:9" s="672" customFormat="1" ht="14.25" hidden="1">
      <c r="B189" s="672" t="s">
        <v>1905</v>
      </c>
    </row>
    <row r="190" spans="1:9" hidden="1"/>
    <row r="191" spans="1:9" hidden="1"/>
    <row r="192" spans="1:9" hidden="1">
      <c r="B192" s="672" t="s">
        <v>1645</v>
      </c>
      <c r="C192" s="672"/>
      <c r="D192" s="672"/>
      <c r="E192" s="672"/>
      <c r="F192" s="672"/>
      <c r="G192" s="672">
        <v>2018</v>
      </c>
      <c r="H192" s="672"/>
    </row>
    <row r="193" spans="2:7" hidden="1">
      <c r="B193" s="672" t="s">
        <v>1471</v>
      </c>
    </row>
    <row r="194" spans="2:7" hidden="1">
      <c r="B194" s="334" t="s">
        <v>1664</v>
      </c>
      <c r="E194" s="675"/>
      <c r="G194" s="675">
        <f ca="1">SUMIF(DE!$B$39:$C$121,B194,DE!$C$39:$C$121)</f>
        <v>0</v>
      </c>
    </row>
    <row r="195" spans="2:7" hidden="1">
      <c r="B195" s="334" t="s">
        <v>1665</v>
      </c>
      <c r="G195" s="675">
        <f ca="1">SUMIF(DE!$B$39:$C$121,B195,DE!$C$39:$C$121)</f>
        <v>0</v>
      </c>
    </row>
    <row r="196" spans="2:7" hidden="1">
      <c r="B196" s="334" t="s">
        <v>1666</v>
      </c>
      <c r="G196" s="675">
        <f ca="1">SUMIF(DE!$B$39:$C$121,B196,DE!$C$39:$C$121)</f>
        <v>0</v>
      </c>
    </row>
    <row r="197" spans="2:7" hidden="1">
      <c r="B197" s="334" t="s">
        <v>1667</v>
      </c>
      <c r="G197" s="675">
        <f ca="1">SUMIF(DE!$B$39:$C$121,B197,DE!$C$39:$C$121)</f>
        <v>0</v>
      </c>
    </row>
    <row r="198" spans="2:7" hidden="1">
      <c r="B198" s="334" t="s">
        <v>1972</v>
      </c>
      <c r="G198" s="675">
        <f ca="1">SUMIF(DE!$B$39:$C$121,B198,DE!$C$39:$C$121)</f>
        <v>0</v>
      </c>
    </row>
    <row r="199" spans="2:7" hidden="1">
      <c r="B199" s="334" t="s">
        <v>1668</v>
      </c>
      <c r="G199" s="675">
        <f ca="1">SUMIF(DE!$B$39:$C$121,B199,DE!$C$39:$C$121)</f>
        <v>0</v>
      </c>
    </row>
    <row r="200" spans="2:7" hidden="1">
      <c r="B200" s="334" t="s">
        <v>1669</v>
      </c>
      <c r="G200" s="675">
        <f ca="1">SUMIF(DE!$B$39:$C$121,B200,DE!$C$39:$C$121)</f>
        <v>0</v>
      </c>
    </row>
    <row r="201" spans="2:7" hidden="1">
      <c r="B201" s="334" t="s">
        <v>1993</v>
      </c>
      <c r="G201" s="675">
        <f ca="1">SUMIF(DE!$B$39:$C$121,B201,DE!$C$39:$C$121)</f>
        <v>0</v>
      </c>
    </row>
    <row r="202" spans="2:7" hidden="1">
      <c r="B202" s="334" t="s">
        <v>1670</v>
      </c>
      <c r="G202" s="675">
        <f ca="1">SUMIF(DE!$B$39:$C$121,B202,DE!$C$39:$C$121)</f>
        <v>0</v>
      </c>
    </row>
    <row r="203" spans="2:7" hidden="1">
      <c r="B203" s="334" t="s">
        <v>1671</v>
      </c>
      <c r="G203" s="675">
        <f ca="1">SUMIF(DE!$B$39:$C$121,B203,DE!$C$39:$C$121)</f>
        <v>0</v>
      </c>
    </row>
    <row r="204" spans="2:7" hidden="1">
      <c r="B204" s="334" t="s">
        <v>1672</v>
      </c>
      <c r="G204" s="675">
        <f ca="1">SUMIF(DE!$B$39:$C$121,B204,DE!$C$39:$C$121)</f>
        <v>0</v>
      </c>
    </row>
    <row r="205" spans="2:7" hidden="1">
      <c r="B205" s="334" t="s">
        <v>1673</v>
      </c>
      <c r="G205" s="675">
        <f ca="1">SUMIF(DE!$B$39:$C$121,B205,DE!$C$39:$C$121)</f>
        <v>0</v>
      </c>
    </row>
    <row r="206" spans="2:7" hidden="1">
      <c r="B206" s="334" t="s">
        <v>1674</v>
      </c>
      <c r="G206" s="675">
        <f ca="1">SUMIF(DE!$B$39:$C$121,B206,DE!$C$39:$C$121)</f>
        <v>0</v>
      </c>
    </row>
    <row r="207" spans="2:7" hidden="1">
      <c r="B207" s="334" t="s">
        <v>1675</v>
      </c>
      <c r="G207" s="675">
        <f ca="1">SUMIF(DE!$B$39:$C$121,B207,DE!$C$39:$C$121)</f>
        <v>0</v>
      </c>
    </row>
    <row r="208" spans="2:7" hidden="1">
      <c r="B208" s="334" t="s">
        <v>1676</v>
      </c>
      <c r="G208" s="675">
        <f ca="1">SUMIF(DE!$B$39:$C$121,B208,DE!$C$39:$C$121)</f>
        <v>0</v>
      </c>
    </row>
    <row r="209" spans="2:7" hidden="1">
      <c r="B209" s="672" t="s">
        <v>1904</v>
      </c>
      <c r="G209" s="674">
        <f ca="1">SUM(G194:G208)</f>
        <v>0</v>
      </c>
    </row>
    <row r="210" spans="2:7" hidden="1"/>
    <row r="211" spans="2:7" hidden="1"/>
    <row r="212" spans="2:7" hidden="1"/>
    <row r="213" spans="2:7" hidden="1"/>
    <row r="214" spans="2:7" hidden="1"/>
    <row r="215" spans="2:7" hidden="1"/>
    <row r="216" spans="2:7" hidden="1"/>
    <row r="217" spans="2:7" hidden="1"/>
    <row r="218" spans="2:7" hidden="1"/>
    <row r="219" spans="2:7" hidden="1"/>
    <row r="220" spans="2:7" hidden="1"/>
    <row r="221" spans="2:7" hidden="1"/>
    <row r="222" spans="2:7" hidden="1"/>
    <row r="223" spans="2:7" hidden="1"/>
    <row r="224" spans="2:7"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spans="1:18" hidden="1"/>
    <row r="242" spans="1:18" hidden="1"/>
    <row r="243" spans="1:18" hidden="1"/>
    <row r="244" spans="1:18" hidden="1"/>
    <row r="245" spans="1:18" hidden="1"/>
    <row r="246" spans="1:18" hidden="1">
      <c r="A246" s="672"/>
    </row>
    <row r="247" spans="1:18" hidden="1">
      <c r="B247" s="672" t="s">
        <v>1906</v>
      </c>
    </row>
    <row r="248" spans="1:18" hidden="1"/>
    <row r="249" spans="1:18" hidden="1">
      <c r="B249" s="672" t="s">
        <v>1645</v>
      </c>
      <c r="C249" s="672"/>
      <c r="D249" s="672"/>
      <c r="E249" s="672"/>
      <c r="F249" s="672"/>
      <c r="G249" s="672">
        <v>2018</v>
      </c>
    </row>
    <row r="250" spans="1:18" hidden="1">
      <c r="B250" s="672" t="s">
        <v>1472</v>
      </c>
    </row>
    <row r="251" spans="1:18" hidden="1">
      <c r="B251" s="334" t="s">
        <v>1677</v>
      </c>
      <c r="G251" s="675">
        <f ca="1">SUMIF(DE!$B$39:$C$121,B251,DE!$C$39:$C$121)</f>
        <v>0</v>
      </c>
      <c r="R251" s="675"/>
    </row>
    <row r="252" spans="1:18" hidden="1">
      <c r="B252" s="334" t="s">
        <v>1678</v>
      </c>
      <c r="G252" s="675">
        <f ca="1">SUMIF(DE!$B$39:$C$121,B252,DE!$C$39:$C$121)</f>
        <v>0</v>
      </c>
      <c r="R252" s="675"/>
    </row>
    <row r="253" spans="1:18" hidden="1">
      <c r="B253" s="334" t="s">
        <v>1679</v>
      </c>
      <c r="G253" s="675">
        <f ca="1">SUMIF(DE!$B$39:$C$121,B253,DE!$C$39:$C$121)</f>
        <v>0</v>
      </c>
      <c r="R253" s="675"/>
    </row>
    <row r="254" spans="1:18" hidden="1">
      <c r="B254" s="334" t="s">
        <v>1680</v>
      </c>
      <c r="G254" s="675">
        <f ca="1">SUMIF(DE!$B$39:$C$121,B254,DE!$C$39:$C$121)</f>
        <v>0</v>
      </c>
      <c r="R254" s="675"/>
    </row>
    <row r="255" spans="1:18" hidden="1">
      <c r="B255" s="334" t="s">
        <v>1681</v>
      </c>
      <c r="G255" s="675">
        <f ca="1">SUMIF(DE!$B$39:$C$121,B255,DE!$C$39:$C$121)</f>
        <v>0</v>
      </c>
      <c r="R255" s="675"/>
    </row>
    <row r="256" spans="1:18" hidden="1">
      <c r="B256" s="334" t="s">
        <v>1682</v>
      </c>
      <c r="G256" s="675">
        <f ca="1">SUMIF(DE!$B$39:$C$121,B256,DE!$C$39:$C$121)</f>
        <v>0</v>
      </c>
      <c r="R256" s="675"/>
    </row>
    <row r="257" spans="2:18" hidden="1">
      <c r="B257" s="334" t="s">
        <v>1683</v>
      </c>
      <c r="G257" s="675">
        <f ca="1">SUMIF(DE!$B$39:$C$121,B257,DE!$C$39:$C$121)</f>
        <v>0</v>
      </c>
      <c r="R257" s="675"/>
    </row>
    <row r="258" spans="2:18" hidden="1">
      <c r="B258" s="334" t="s">
        <v>1684</v>
      </c>
      <c r="G258" s="675">
        <f ca="1">SUMIF(DE!$B$39:$C$121,B258,DE!$C$39:$C$121)</f>
        <v>0</v>
      </c>
      <c r="R258" s="675"/>
    </row>
    <row r="259" spans="2:18" hidden="1">
      <c r="B259" s="334" t="s">
        <v>1973</v>
      </c>
      <c r="G259" s="675">
        <f ca="1">SUMIF(DE!$B$39:$C$121,B259,DE!$C$39:$C$121)</f>
        <v>0</v>
      </c>
      <c r="R259" s="675"/>
    </row>
    <row r="260" spans="2:18" hidden="1">
      <c r="B260" s="334" t="s">
        <v>1685</v>
      </c>
      <c r="G260" s="675">
        <f ca="1">SUMIF(DE!$B$39:$C$121,B260,DE!$C$39:$C$121)</f>
        <v>0</v>
      </c>
      <c r="R260" s="675"/>
    </row>
    <row r="261" spans="2:18" hidden="1">
      <c r="B261" s="334" t="s">
        <v>1686</v>
      </c>
      <c r="G261" s="675">
        <f ca="1">SUMIF(DE!$B$39:$C$121,B261,DE!$C$39:$C$121)</f>
        <v>0</v>
      </c>
      <c r="R261" s="675"/>
    </row>
    <row r="262" spans="2:18" hidden="1">
      <c r="B262" s="334" t="s">
        <v>1687</v>
      </c>
      <c r="G262" s="675">
        <f ca="1">SUMIF(DE!$B$39:$C$121,B262,DE!$C$39:$C$121)</f>
        <v>0</v>
      </c>
      <c r="R262" s="675"/>
    </row>
    <row r="263" spans="2:18" hidden="1">
      <c r="B263" s="334" t="s">
        <v>1688</v>
      </c>
      <c r="G263" s="675">
        <f ca="1">SUMIF(DE!$B$39:$C$121,B263,DE!$C$39:$C$121)</f>
        <v>0</v>
      </c>
      <c r="R263" s="675"/>
    </row>
    <row r="264" spans="2:18" hidden="1">
      <c r="B264" s="334" t="s">
        <v>1980</v>
      </c>
      <c r="G264" s="675">
        <f ca="1">SUMIF(DE!$B$39:$C$121,B264,DE!$C$39:$C$121)</f>
        <v>0</v>
      </c>
      <c r="R264" s="675"/>
    </row>
    <row r="265" spans="2:18" hidden="1">
      <c r="B265" s="334" t="s">
        <v>2003</v>
      </c>
      <c r="G265" s="675">
        <f ca="1">SUMIF(DE!$B$39:$C$121,B265,DE!$C$39:$C$121)</f>
        <v>0</v>
      </c>
      <c r="R265" s="675"/>
    </row>
    <row r="266" spans="2:18" hidden="1">
      <c r="B266" s="334" t="s">
        <v>1689</v>
      </c>
      <c r="G266" s="675">
        <f ca="1">SUMIF(DE!$B$39:$C$121,B266,DE!$C$39:$C$121)</f>
        <v>0</v>
      </c>
      <c r="R266" s="675"/>
    </row>
    <row r="267" spans="2:18" hidden="1">
      <c r="B267" s="334" t="s">
        <v>1690</v>
      </c>
      <c r="G267" s="675">
        <f ca="1">SUMIF(DE!$B$39:$C$121,B267,DE!$C$39:$C$121)</f>
        <v>0</v>
      </c>
      <c r="R267" s="675"/>
    </row>
    <row r="268" spans="2:18" hidden="1">
      <c r="B268" s="334" t="s">
        <v>1691</v>
      </c>
      <c r="G268" s="675">
        <f ca="1">SUMIF(DE!$B$39:$C$121,B268,DE!$C$39:$C$121)</f>
        <v>0</v>
      </c>
      <c r="R268" s="675"/>
    </row>
    <row r="269" spans="2:18" hidden="1">
      <c r="B269" s="334" t="s">
        <v>1692</v>
      </c>
      <c r="G269" s="675">
        <f ca="1">SUMIF(DE!$B$39:$C$121,B269,DE!$C$39:$C$121)</f>
        <v>0</v>
      </c>
      <c r="R269" s="675"/>
    </row>
    <row r="270" spans="2:18" hidden="1">
      <c r="B270" s="334" t="s">
        <v>1693</v>
      </c>
      <c r="G270" s="675">
        <f ca="1">SUMIF(DE!$B$39:$C$121,B270,DE!$C$39:$C$121)</f>
        <v>0</v>
      </c>
      <c r="R270" s="675"/>
    </row>
    <row r="271" spans="2:18" hidden="1">
      <c r="B271" s="334" t="s">
        <v>1694</v>
      </c>
      <c r="G271" s="675">
        <f ca="1">SUMIF(DE!$B$39:$C$121,B271,DE!$C$39:$C$121)</f>
        <v>0</v>
      </c>
      <c r="R271" s="675"/>
    </row>
    <row r="272" spans="2:18" hidden="1">
      <c r="B272" s="334" t="s">
        <v>1720</v>
      </c>
      <c r="G272" s="675">
        <f ca="1">SUMIF(DE!$B$39:$C$121,B272,DE!$C$39:$C$121)</f>
        <v>0</v>
      </c>
      <c r="R272" s="675"/>
    </row>
    <row r="273" spans="2:18" hidden="1">
      <c r="B273" s="334" t="s">
        <v>1695</v>
      </c>
      <c r="G273" s="675">
        <f ca="1">SUMIF(DE!$B$39:$C$121,B273,DE!$C$39:$C$121)</f>
        <v>0</v>
      </c>
      <c r="R273" s="675"/>
    </row>
    <row r="274" spans="2:18" hidden="1">
      <c r="B274" s="334" t="s">
        <v>1696</v>
      </c>
      <c r="G274" s="675">
        <f ca="1">SUMIF(DE!$B$39:$C$121,B274,DE!$C$39:$C$121)</f>
        <v>0</v>
      </c>
      <c r="R274" s="675"/>
    </row>
    <row r="275" spans="2:18" hidden="1">
      <c r="B275" s="334" t="s">
        <v>1697</v>
      </c>
      <c r="G275" s="675">
        <f ca="1">SUMIF(DE!$B$39:$C$121,B275,DE!$C$39:$C$121)</f>
        <v>0</v>
      </c>
      <c r="R275" s="675"/>
    </row>
    <row r="276" spans="2:18" hidden="1">
      <c r="B276" s="334" t="s">
        <v>1698</v>
      </c>
      <c r="G276" s="675">
        <f ca="1">SUMIF(DE!$B$39:$C$121,B276,DE!$C$39:$C$121)</f>
        <v>0</v>
      </c>
      <c r="R276" s="675"/>
    </row>
    <row r="277" spans="2:18" hidden="1">
      <c r="B277" s="334" t="s">
        <v>1699</v>
      </c>
      <c r="G277" s="675">
        <f ca="1">SUMIF(DE!$B$39:$C$121,B277,DE!$C$39:$C$121)</f>
        <v>0</v>
      </c>
      <c r="R277" s="675"/>
    </row>
    <row r="278" spans="2:18" hidden="1">
      <c r="B278" s="334" t="s">
        <v>1700</v>
      </c>
      <c r="G278" s="675">
        <f ca="1">SUMIF(DE!$B$39:$C$121,B278,DE!$C$39:$C$121)</f>
        <v>0</v>
      </c>
      <c r="R278" s="675"/>
    </row>
    <row r="279" spans="2:18" hidden="1">
      <c r="B279" s="334" t="s">
        <v>1701</v>
      </c>
      <c r="G279" s="675">
        <f ca="1">SUMIF(DE!$B$39:$C$121,B279,DE!$C$39:$C$121)</f>
        <v>0</v>
      </c>
      <c r="R279" s="675"/>
    </row>
    <row r="280" spans="2:18" hidden="1">
      <c r="B280" s="334" t="s">
        <v>1994</v>
      </c>
      <c r="G280" s="675">
        <f ca="1">SUMIF(DE!$B$39:$C$121,B280,DE!$C$39:$C$121)</f>
        <v>0</v>
      </c>
    </row>
    <row r="281" spans="2:18" hidden="1">
      <c r="B281" s="672" t="s">
        <v>1171</v>
      </c>
      <c r="G281" s="674">
        <f ca="1">SUM(G251:G280)</f>
        <v>0</v>
      </c>
    </row>
    <row r="282" spans="2:18" hidden="1"/>
    <row r="283" spans="2:18" hidden="1"/>
    <row r="284" spans="2:18" hidden="1"/>
    <row r="285" spans="2:18" hidden="1"/>
    <row r="286" spans="2:18" hidden="1"/>
    <row r="287" spans="2:18" hidden="1"/>
    <row r="288" spans="2:1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spans="2:19" hidden="1">
      <c r="O305" s="672"/>
      <c r="P305" s="672"/>
      <c r="Q305" s="672"/>
      <c r="R305" s="672"/>
      <c r="S305" s="672"/>
    </row>
    <row r="306" spans="2:19" s="672" customFormat="1" hidden="1">
      <c r="B306" s="672" t="s">
        <v>1721</v>
      </c>
      <c r="O306" s="334"/>
      <c r="P306" s="334"/>
      <c r="Q306" s="334"/>
      <c r="R306" s="334"/>
      <c r="S306" s="334"/>
    </row>
    <row r="307" spans="2:19" hidden="1"/>
    <row r="308" spans="2:19" hidden="1">
      <c r="B308" s="672" t="s">
        <v>1645</v>
      </c>
      <c r="C308" s="672"/>
      <c r="D308" s="672"/>
      <c r="E308" s="672"/>
      <c r="F308" s="672"/>
      <c r="G308" s="672">
        <v>2018</v>
      </c>
    </row>
    <row r="309" spans="2:19" hidden="1">
      <c r="B309" s="672" t="s">
        <v>1722</v>
      </c>
    </row>
    <row r="310" spans="2:19" hidden="1">
      <c r="B310" s="334" t="s">
        <v>1702</v>
      </c>
      <c r="G310" s="675">
        <f ca="1">SUMIF(DE!$B$39:$C$121,B310,DE!$C$39:$C$121)</f>
        <v>0</v>
      </c>
      <c r="L310" s="334">
        <v>498461.21</v>
      </c>
      <c r="M310" s="675">
        <f t="shared" ref="M310:M323" ca="1" si="0">+G310-L310</f>
        <v>-498461.21</v>
      </c>
    </row>
    <row r="311" spans="2:19" hidden="1">
      <c r="B311" s="334" t="s">
        <v>1703</v>
      </c>
      <c r="G311" s="675">
        <f ca="1">SUMIF(DE!$B$39:$C$121,B311,DE!$C$39:$C$121)</f>
        <v>0</v>
      </c>
      <c r="L311" s="334">
        <v>7200</v>
      </c>
      <c r="M311" s="675">
        <f t="shared" ca="1" si="0"/>
        <v>-7200</v>
      </c>
    </row>
    <row r="312" spans="2:19" hidden="1">
      <c r="B312" s="334" t="s">
        <v>1704</v>
      </c>
      <c r="G312" s="675">
        <f ca="1">SUMIF(DE!$B$39:$C$121,B312,DE!$C$39:$C$121)</f>
        <v>0</v>
      </c>
      <c r="L312" s="334">
        <v>918479.2</v>
      </c>
      <c r="M312" s="675">
        <f t="shared" ca="1" si="0"/>
        <v>-918479.2</v>
      </c>
    </row>
    <row r="313" spans="2:19" hidden="1">
      <c r="B313" s="334" t="s">
        <v>1705</v>
      </c>
      <c r="G313" s="675">
        <f ca="1">SUMIF(DE!$B$39:$C$121,B313,DE!$C$39:$C$121)</f>
        <v>0</v>
      </c>
      <c r="L313" s="334">
        <v>7994211.7300000004</v>
      </c>
      <c r="M313" s="675">
        <f t="shared" ca="1" si="0"/>
        <v>-7994211.7300000004</v>
      </c>
    </row>
    <row r="314" spans="2:19" hidden="1">
      <c r="B314" s="334" t="s">
        <v>1706</v>
      </c>
      <c r="G314" s="675">
        <f ca="1">SUMIF(DE!$B$39:$C$121,B314,DE!$C$39:$C$121)</f>
        <v>0</v>
      </c>
      <c r="L314" s="334">
        <v>51075</v>
      </c>
      <c r="M314" s="675">
        <f t="shared" ca="1" si="0"/>
        <v>-51075</v>
      </c>
    </row>
    <row r="315" spans="2:19" hidden="1">
      <c r="B315" s="334" t="s">
        <v>2004</v>
      </c>
      <c r="G315" s="675">
        <f ca="1">SUMIF(DE!$B$39:$C$121,B315,DE!$C$39:$C$121)</f>
        <v>0</v>
      </c>
      <c r="M315" s="675"/>
    </row>
    <row r="316" spans="2:19" hidden="1">
      <c r="B316" s="334" t="s">
        <v>1707</v>
      </c>
      <c r="G316" s="675">
        <f ca="1">SUMIF(DE!$B$39:$C$121,B316,DE!$C$39:$C$121)</f>
        <v>0</v>
      </c>
      <c r="L316" s="334">
        <v>4667123.6100000003</v>
      </c>
      <c r="M316" s="675">
        <f t="shared" ca="1" si="0"/>
        <v>-4667123.6100000003</v>
      </c>
    </row>
    <row r="317" spans="2:19" hidden="1">
      <c r="B317" s="334" t="s">
        <v>1708</v>
      </c>
      <c r="G317" s="675">
        <f ca="1">SUMIF(DE!$B$39:$C$121,B317,DE!$C$39:$C$121)</f>
        <v>0</v>
      </c>
      <c r="L317" s="334">
        <v>15076</v>
      </c>
      <c r="M317" s="675">
        <f t="shared" ca="1" si="0"/>
        <v>-15076</v>
      </c>
    </row>
    <row r="318" spans="2:19" hidden="1">
      <c r="B318" s="334" t="s">
        <v>1709</v>
      </c>
      <c r="G318" s="675">
        <f ca="1">SUMIF(DE!$B$39:$C$121,B318,DE!$C$39:$C$121)</f>
        <v>0</v>
      </c>
      <c r="L318" s="334">
        <v>90442.5</v>
      </c>
      <c r="M318" s="675">
        <f t="shared" ca="1" si="0"/>
        <v>-90442.5</v>
      </c>
    </row>
    <row r="319" spans="2:19" hidden="1">
      <c r="B319" s="334" t="s">
        <v>1710</v>
      </c>
      <c r="G319" s="675">
        <f ca="1">SUMIF(DE!$B$39:$C$121,B319,DE!$C$39:$C$121)</f>
        <v>0</v>
      </c>
      <c r="L319" s="334">
        <v>7119.6</v>
      </c>
      <c r="M319" s="675">
        <f t="shared" ca="1" si="0"/>
        <v>-7119.6</v>
      </c>
      <c r="N319" s="334">
        <v>8224.7000000000007</v>
      </c>
    </row>
    <row r="320" spans="2:19" hidden="1">
      <c r="B320" s="334" t="s">
        <v>1711</v>
      </c>
      <c r="G320" s="675">
        <f ca="1">SUMIF(DE!$B$39:$C$121,B320,DE!$C$39:$C$121)</f>
        <v>0</v>
      </c>
      <c r="L320" s="334">
        <v>164734</v>
      </c>
      <c r="M320" s="675">
        <f t="shared" ca="1" si="0"/>
        <v>-164734</v>
      </c>
    </row>
    <row r="321" spans="2:13" hidden="1">
      <c r="B321" s="334" t="s">
        <v>1712</v>
      </c>
      <c r="G321" s="675">
        <f ca="1">SUMIF(DE!$B$39:$C$121,B321,DE!$C$39:$C$121)</f>
        <v>0</v>
      </c>
      <c r="L321" s="334">
        <v>16955</v>
      </c>
      <c r="M321" s="675">
        <f t="shared" ca="1" si="0"/>
        <v>-16955</v>
      </c>
    </row>
    <row r="322" spans="2:13" hidden="1">
      <c r="B322" s="334" t="s">
        <v>1713</v>
      </c>
      <c r="G322" s="675">
        <f ca="1">SUMIF(DE!$B$39:$C$121,B322,DE!$C$39:$C$121)</f>
        <v>0</v>
      </c>
      <c r="L322" s="334">
        <v>424647.37</v>
      </c>
      <c r="M322" s="675">
        <f t="shared" ca="1" si="0"/>
        <v>-424647.37</v>
      </c>
    </row>
    <row r="323" spans="2:13" hidden="1">
      <c r="B323" s="334" t="s">
        <v>1844</v>
      </c>
      <c r="G323" s="675">
        <f>+'BALANZA G'!C304</f>
        <v>52140</v>
      </c>
      <c r="L323" s="334">
        <v>-8703387.3499999996</v>
      </c>
      <c r="M323" s="675">
        <f t="shared" si="0"/>
        <v>8755527.3499999996</v>
      </c>
    </row>
    <row r="324" spans="2:13" hidden="1">
      <c r="B324" s="672" t="s">
        <v>1723</v>
      </c>
      <c r="G324" s="674">
        <f ca="1">SUM(G310:G323)</f>
        <v>52140</v>
      </c>
    </row>
    <row r="325" spans="2:13" hidden="1"/>
    <row r="326" spans="2:13" hidden="1"/>
    <row r="327" spans="2:13" hidden="1"/>
    <row r="328" spans="2:13" hidden="1">
      <c r="B328" s="672" t="s">
        <v>1724</v>
      </c>
    </row>
    <row r="329" spans="2:13" hidden="1"/>
    <row r="330" spans="2:13" hidden="1">
      <c r="B330" s="672" t="s">
        <v>1645</v>
      </c>
      <c r="C330" s="672"/>
      <c r="D330" s="672"/>
      <c r="E330" s="672"/>
      <c r="F330" s="672"/>
      <c r="G330" s="672">
        <v>2018</v>
      </c>
    </row>
    <row r="331" spans="2:13" hidden="1">
      <c r="B331" s="672" t="s">
        <v>1725</v>
      </c>
    </row>
    <row r="332" spans="2:13" hidden="1">
      <c r="B332" s="334" t="s">
        <v>1714</v>
      </c>
      <c r="G332" s="675">
        <f ca="1">SUMIF(DE!$B$39:$C$121,B332,DE!$C$39:$C$121)</f>
        <v>0</v>
      </c>
    </row>
    <row r="333" spans="2:13" hidden="1">
      <c r="B333" s="334" t="s">
        <v>1715</v>
      </c>
      <c r="G333" s="675">
        <f ca="1">SUMIF(DE!$B$39:$C$121,B333,DE!$C$39:$C$121)</f>
        <v>0</v>
      </c>
    </row>
    <row r="334" spans="2:13" hidden="1">
      <c r="B334" s="334" t="s">
        <v>1716</v>
      </c>
      <c r="G334" s="675">
        <f ca="1">SUMIF(DE!$B$39:$C$121,B334,DE!$C$39:$C$121)</f>
        <v>0</v>
      </c>
    </row>
    <row r="335" spans="2:13" hidden="1">
      <c r="B335" s="672" t="s">
        <v>1725</v>
      </c>
      <c r="G335" s="674">
        <f ca="1">SUM(G332:G334)</f>
        <v>0</v>
      </c>
    </row>
    <row r="336" spans="2:13" hidden="1"/>
    <row r="337" spans="2:7" hidden="1"/>
    <row r="338" spans="2:7" hidden="1">
      <c r="B338" s="672" t="s">
        <v>1726</v>
      </c>
    </row>
    <row r="339" spans="2:7" hidden="1"/>
    <row r="340" spans="2:7" hidden="1">
      <c r="B340" s="672" t="s">
        <v>1645</v>
      </c>
      <c r="C340" s="672"/>
      <c r="D340" s="672"/>
      <c r="E340" s="672"/>
      <c r="F340" s="672"/>
      <c r="G340" s="672">
        <v>2018</v>
      </c>
    </row>
    <row r="341" spans="2:7" hidden="1">
      <c r="B341" s="672" t="s">
        <v>1727</v>
      </c>
    </row>
    <row r="342" spans="2:7" hidden="1">
      <c r="B342" s="334" t="s">
        <v>1995</v>
      </c>
      <c r="G342" s="675">
        <f ca="1">SUMIF(DE!$B$39:$C$121,B342,DE!$C$39:$C$121)</f>
        <v>0</v>
      </c>
    </row>
    <row r="343" spans="2:7" hidden="1">
      <c r="B343" s="334" t="s">
        <v>1996</v>
      </c>
      <c r="G343" s="675">
        <f ca="1">SUMIF(DE!$B$39:$C$121,B343,DE!$C$39:$C$121)</f>
        <v>0</v>
      </c>
    </row>
    <row r="344" spans="2:7" hidden="1">
      <c r="B344" s="334" t="s">
        <v>1717</v>
      </c>
      <c r="G344" s="675">
        <f ca="1">SUMIF(DE!$B$39:$C$121,B344,DE!$C$39:$C$121)</f>
        <v>0</v>
      </c>
    </row>
    <row r="345" spans="2:7" hidden="1">
      <c r="B345" s="334" t="s">
        <v>1718</v>
      </c>
      <c r="G345" s="675">
        <f ca="1">SUMIF(DE!$B$39:$C$121,B345,DE!$C$39:$C$121)</f>
        <v>0</v>
      </c>
    </row>
    <row r="346" spans="2:7" hidden="1">
      <c r="B346" s="334" t="s">
        <v>1719</v>
      </c>
      <c r="G346" s="675">
        <f ca="1">SUMIF(DE!$B$39:$C$121,B346,DE!$C$39:$C$121)</f>
        <v>0</v>
      </c>
    </row>
    <row r="347" spans="2:7" hidden="1">
      <c r="B347" s="672" t="s">
        <v>1728</v>
      </c>
      <c r="G347" s="674">
        <f ca="1">SUM(G342:G346)</f>
        <v>0</v>
      </c>
    </row>
    <row r="348" spans="2:7" hidden="1"/>
    <row r="349" spans="2:7" hidden="1"/>
    <row r="350" spans="2:7" hidden="1"/>
    <row r="351" spans="2:7" hidden="1"/>
    <row r="352" spans="2:7" hidden="1"/>
    <row r="353" spans="1:19" hidden="1"/>
    <row r="354" spans="1:19" hidden="1"/>
    <row r="355" spans="1:19" hidden="1"/>
    <row r="356" spans="1:19" hidden="1"/>
    <row r="357" spans="1:19" hidden="1"/>
    <row r="358" spans="1:19" hidden="1"/>
    <row r="359" spans="1:19" hidden="1"/>
    <row r="360" spans="1:19" hidden="1"/>
    <row r="361" spans="1:19" hidden="1"/>
    <row r="362" spans="1:19" hidden="1"/>
    <row r="363" spans="1:19" hidden="1"/>
    <row r="364" spans="1:19" hidden="1"/>
    <row r="365" spans="1:19" hidden="1">
      <c r="P365" s="672"/>
      <c r="Q365" s="672"/>
      <c r="R365" s="672"/>
      <c r="S365" s="672"/>
    </row>
    <row r="366" spans="1:19" s="672" customFormat="1" hidden="1">
      <c r="A366" s="334"/>
      <c r="B366" s="334"/>
      <c r="C366" s="334"/>
      <c r="D366" s="334"/>
      <c r="E366" s="334"/>
      <c r="F366" s="334"/>
      <c r="G366" s="334"/>
      <c r="H366" s="334"/>
      <c r="I366" s="334"/>
      <c r="J366" s="334"/>
      <c r="K366" s="334"/>
      <c r="L366" s="334"/>
      <c r="M366" s="334"/>
      <c r="N366" s="334"/>
      <c r="P366" s="334"/>
      <c r="Q366" s="334"/>
      <c r="R366" s="334"/>
      <c r="S366" s="334"/>
    </row>
    <row r="367" spans="1:19" ht="27" hidden="1" customHeight="1">
      <c r="A367" s="672" t="s">
        <v>2013</v>
      </c>
      <c r="B367" s="672"/>
      <c r="C367" s="672"/>
      <c r="D367" s="672"/>
      <c r="E367" s="672"/>
      <c r="F367" s="672"/>
      <c r="G367" s="672"/>
      <c r="H367" s="672"/>
      <c r="I367" s="672"/>
      <c r="J367" s="672"/>
      <c r="K367" s="672"/>
      <c r="L367" s="672"/>
      <c r="M367" s="672"/>
      <c r="N367" s="672"/>
    </row>
    <row r="368" spans="1:19" ht="24" hidden="1" customHeight="1">
      <c r="A368" s="1870" t="s">
        <v>2006</v>
      </c>
      <c r="B368" s="1870"/>
      <c r="C368" s="1870"/>
      <c r="D368" s="1870"/>
      <c r="E368" s="1870"/>
      <c r="F368" s="1870"/>
      <c r="G368" s="1870"/>
      <c r="H368" s="1870"/>
      <c r="I368" s="1870"/>
    </row>
    <row r="369" spans="1:10" ht="72" hidden="1" customHeight="1">
      <c r="A369" s="1858" t="s">
        <v>2014</v>
      </c>
      <c r="B369" s="1858"/>
      <c r="C369" s="1858"/>
      <c r="D369" s="1858"/>
      <c r="E369" s="1858"/>
      <c r="F369" s="1858"/>
      <c r="G369" s="1858"/>
      <c r="H369" s="1858"/>
      <c r="I369" s="1858"/>
      <c r="J369" s="833" t="s">
        <v>2011</v>
      </c>
    </row>
    <row r="370" spans="1:10" ht="38.25" hidden="1" customHeight="1">
      <c r="A370" s="1870" t="s">
        <v>1909</v>
      </c>
      <c r="B370" s="1870"/>
      <c r="C370" s="1870"/>
      <c r="D370" s="1870"/>
      <c r="E370" s="1870"/>
      <c r="F370" s="1870"/>
      <c r="G370" s="1870"/>
      <c r="H370" s="1870"/>
      <c r="I370" s="1870"/>
    </row>
    <row r="371" spans="1:10" ht="54" hidden="1" customHeight="1">
      <c r="A371" s="1858" t="s">
        <v>1910</v>
      </c>
      <c r="B371" s="1858"/>
      <c r="C371" s="1858"/>
      <c r="D371" s="1858"/>
      <c r="E371" s="1858"/>
      <c r="F371" s="1858"/>
      <c r="G371" s="1858"/>
      <c r="H371" s="1858"/>
      <c r="I371" s="1858"/>
    </row>
    <row r="372" spans="1:10" ht="40.5" hidden="1" customHeight="1">
      <c r="A372" s="1989" t="s">
        <v>1907</v>
      </c>
      <c r="B372" s="1989"/>
      <c r="C372" s="1989"/>
      <c r="D372" s="1989"/>
      <c r="E372" s="1989"/>
      <c r="F372" s="1989"/>
      <c r="G372" s="1989"/>
      <c r="H372" s="1989"/>
      <c r="I372" s="1989"/>
    </row>
    <row r="373" spans="1:10" ht="51.75" hidden="1" customHeight="1">
      <c r="A373" s="1864" t="s">
        <v>2015</v>
      </c>
      <c r="B373" s="1864"/>
      <c r="C373" s="1864"/>
      <c r="D373" s="1864"/>
      <c r="E373" s="1864"/>
      <c r="F373" s="1864"/>
      <c r="G373" s="1864"/>
      <c r="H373" s="1864"/>
      <c r="I373" s="1864"/>
    </row>
    <row r="374" spans="1:10" hidden="1"/>
    <row r="375" spans="1:10" hidden="1"/>
    <row r="376" spans="1:10" hidden="1"/>
    <row r="377" spans="1:10" hidden="1"/>
    <row r="378" spans="1:10" hidden="1"/>
    <row r="379" spans="1:10" hidden="1"/>
    <row r="380" spans="1:10" hidden="1"/>
    <row r="381" spans="1:10" hidden="1"/>
    <row r="382" spans="1:10" hidden="1"/>
    <row r="383" spans="1:10" hidden="1"/>
    <row r="384" spans="1:10"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spans="1:19" hidden="1"/>
    <row r="402" spans="1:19" hidden="1"/>
    <row r="403" spans="1:19" hidden="1"/>
    <row r="404" spans="1:19" hidden="1"/>
    <row r="405" spans="1:19" hidden="1"/>
    <row r="406" spans="1:19" hidden="1"/>
    <row r="407" spans="1:19" hidden="1">
      <c r="P407" s="672"/>
      <c r="Q407" s="672"/>
      <c r="R407" s="672"/>
      <c r="S407" s="672"/>
    </row>
    <row r="408" spans="1:19" s="672" customFormat="1" hidden="1">
      <c r="A408" s="334"/>
      <c r="B408" s="334"/>
      <c r="C408" s="334"/>
      <c r="D408" s="334"/>
      <c r="E408" s="334"/>
      <c r="F408" s="334"/>
      <c r="G408" s="334"/>
      <c r="H408" s="334"/>
      <c r="I408" s="334"/>
      <c r="J408" s="334"/>
      <c r="K408" s="334"/>
      <c r="L408" s="334"/>
      <c r="M408" s="334"/>
      <c r="N408" s="334"/>
      <c r="P408" s="334"/>
      <c r="Q408" s="334"/>
      <c r="R408" s="334"/>
      <c r="S408" s="334"/>
    </row>
    <row r="409" spans="1:19" hidden="1">
      <c r="A409" s="672" t="s">
        <v>1889</v>
      </c>
      <c r="B409" s="672"/>
      <c r="C409" s="672"/>
      <c r="D409" s="672"/>
      <c r="E409" s="672"/>
      <c r="F409" s="672"/>
      <c r="G409" s="672"/>
      <c r="H409" s="672"/>
      <c r="I409" s="672"/>
      <c r="J409" s="672"/>
      <c r="K409" s="672"/>
      <c r="L409" s="672"/>
      <c r="M409" s="672"/>
      <c r="N409" s="672"/>
    </row>
    <row r="410" spans="1:19" ht="20.25" hidden="1" customHeight="1"/>
    <row r="411" spans="1:19" ht="14.25" hidden="1" customHeight="1">
      <c r="A411" s="1864" t="s">
        <v>2016</v>
      </c>
      <c r="B411" s="1864"/>
      <c r="C411" s="1864"/>
      <c r="D411" s="1864"/>
      <c r="E411" s="1864"/>
      <c r="F411" s="1864"/>
      <c r="G411" s="1864"/>
      <c r="H411" s="1864"/>
      <c r="I411" s="1864"/>
    </row>
    <row r="412" spans="1:19" ht="14.25" hidden="1" customHeight="1"/>
    <row r="413" spans="1:19" ht="14.25" hidden="1" customHeight="1">
      <c r="A413" s="1864" t="s">
        <v>1895</v>
      </c>
      <c r="B413" s="1864"/>
      <c r="C413" s="1864"/>
      <c r="D413" s="1864"/>
      <c r="E413" s="1864"/>
      <c r="F413" s="1864"/>
      <c r="G413" s="1864"/>
      <c r="H413" s="1864"/>
      <c r="I413" s="1864"/>
    </row>
    <row r="414" spans="1:19" ht="14.25" hidden="1" customHeight="1"/>
    <row r="415" spans="1:19" ht="14.25" hidden="1" customHeight="1">
      <c r="A415" s="1864" t="s">
        <v>2017</v>
      </c>
      <c r="B415" s="1864"/>
      <c r="C415" s="1864"/>
      <c r="D415" s="1864"/>
      <c r="E415" s="1864"/>
      <c r="F415" s="1864"/>
      <c r="G415" s="1864"/>
      <c r="H415" s="1864"/>
      <c r="I415" s="1864"/>
    </row>
    <row r="416" spans="1:19" ht="14.25" hidden="1" customHeight="1"/>
    <row r="417" spans="1:19" ht="14.25" hidden="1" customHeight="1"/>
    <row r="418" spans="1:19" ht="14.25" hidden="1" customHeight="1">
      <c r="P418" s="672"/>
      <c r="Q418" s="672"/>
      <c r="R418" s="672"/>
      <c r="S418" s="672"/>
    </row>
    <row r="419" spans="1:19" s="672" customFormat="1" ht="14.25" hidden="1" customHeight="1">
      <c r="A419" s="334"/>
      <c r="B419" s="334"/>
      <c r="C419" s="334"/>
      <c r="D419" s="334"/>
      <c r="E419" s="334"/>
      <c r="F419" s="334"/>
      <c r="G419" s="334"/>
      <c r="H419" s="334"/>
      <c r="I419" s="334"/>
      <c r="J419" s="334"/>
      <c r="K419" s="334"/>
      <c r="L419" s="334"/>
      <c r="M419" s="334"/>
      <c r="N419" s="334"/>
      <c r="P419" s="334"/>
      <c r="Q419" s="334"/>
      <c r="R419" s="334"/>
      <c r="S419" s="334"/>
    </row>
    <row r="420" spans="1:19" ht="14.25" hidden="1" customHeight="1">
      <c r="A420" s="672" t="s">
        <v>1890</v>
      </c>
      <c r="B420" s="672"/>
      <c r="C420" s="672"/>
      <c r="D420" s="672"/>
      <c r="E420" s="672"/>
      <c r="F420" s="672"/>
      <c r="G420" s="672"/>
      <c r="H420" s="672"/>
      <c r="I420" s="672"/>
      <c r="J420" s="672"/>
      <c r="K420" s="672"/>
      <c r="L420" s="672"/>
      <c r="M420" s="672"/>
      <c r="N420" s="672"/>
    </row>
    <row r="421" spans="1:19" ht="17.25" hidden="1" customHeight="1"/>
    <row r="422" spans="1:19" ht="51" hidden="1" customHeight="1">
      <c r="A422" s="1864" t="s">
        <v>2018</v>
      </c>
      <c r="B422" s="1864"/>
      <c r="C422" s="1864"/>
      <c r="D422" s="1864"/>
      <c r="E422" s="1864"/>
      <c r="F422" s="1864"/>
      <c r="G422" s="1864"/>
      <c r="H422" s="1864"/>
      <c r="I422" s="1864"/>
    </row>
    <row r="423" spans="1:19" ht="14.25" hidden="1" customHeight="1"/>
    <row r="424" spans="1:19" ht="14.25" hidden="1" customHeight="1"/>
    <row r="425" spans="1:19" ht="14.25" hidden="1" customHeight="1"/>
    <row r="426" spans="1:19" ht="14.25" hidden="1" customHeight="1"/>
    <row r="427" spans="1:19" ht="14.25" hidden="1" customHeight="1"/>
    <row r="428" spans="1:19" ht="14.25" hidden="1" customHeight="1">
      <c r="A428" s="334" t="s">
        <v>2019</v>
      </c>
    </row>
    <row r="429" spans="1:19" ht="14.25" hidden="1" customHeight="1">
      <c r="A429" s="334" t="s">
        <v>1894</v>
      </c>
    </row>
    <row r="430" spans="1:19" ht="14.25" hidden="1" customHeight="1"/>
    <row r="431" spans="1:19" ht="14.25" hidden="1" customHeight="1"/>
    <row r="432" spans="1:19" ht="14.25" hidden="1" customHeight="1"/>
    <row r="433" spans="1:1" ht="14.25" hidden="1" customHeight="1"/>
    <row r="434" spans="1:1" ht="14.25" hidden="1" customHeight="1">
      <c r="A434" s="334" t="s">
        <v>2020</v>
      </c>
    </row>
    <row r="435" spans="1:1" ht="14.25" hidden="1" customHeight="1">
      <c r="A435" s="334" t="s">
        <v>1639</v>
      </c>
    </row>
    <row r="436" spans="1:1" ht="14.25" hidden="1" customHeight="1"/>
    <row r="437" spans="1:1" ht="14.25" hidden="1" customHeight="1"/>
    <row r="438" spans="1:1" ht="14.25" hidden="1" customHeight="1"/>
    <row r="439" spans="1:1" ht="14.25" hidden="1" customHeight="1"/>
    <row r="440" spans="1:1" ht="14.25" hidden="1" customHeight="1"/>
    <row r="441" spans="1:1" ht="14.25" hidden="1" customHeight="1"/>
    <row r="442" spans="1:1" ht="14.25" hidden="1" customHeight="1"/>
    <row r="443" spans="1:1" ht="14.25" hidden="1" customHeight="1"/>
    <row r="444" spans="1:1" ht="14.25" hidden="1" customHeight="1"/>
    <row r="445" spans="1:1" ht="14.25" hidden="1" customHeight="1"/>
    <row r="446" spans="1:1" ht="14.25" hidden="1" customHeight="1"/>
    <row r="447" spans="1:1" ht="14.25" hidden="1" customHeight="1"/>
    <row r="448" spans="1:1" ht="14.25" hidden="1" customHeight="1"/>
    <row r="449" ht="14.25" hidden="1" customHeight="1"/>
    <row r="450" ht="14.25" hidden="1" customHeight="1"/>
    <row r="451" ht="14.25" hidden="1" customHeight="1"/>
    <row r="452" ht="14.25" hidden="1" customHeight="1"/>
    <row r="453" ht="14.25" hidden="1" customHeight="1"/>
    <row r="454" ht="14.25" hidden="1" customHeight="1"/>
    <row r="455" ht="14.25" hidden="1" customHeight="1"/>
    <row r="456" ht="14.25" hidden="1" customHeight="1"/>
    <row r="457" ht="14.25" hidden="1" customHeight="1"/>
    <row r="458" ht="14.25" hidden="1" customHeight="1"/>
    <row r="459" ht="14.25" hidden="1" customHeight="1"/>
    <row r="460" ht="14.25" hidden="1" customHeight="1"/>
    <row r="461" ht="14.25" hidden="1" customHeight="1"/>
    <row r="462" ht="14.25" hidden="1" customHeight="1"/>
    <row r="463" ht="14.25" hidden="1" customHeight="1"/>
    <row r="464" ht="14.25" hidden="1" customHeight="1"/>
    <row r="465" spans="1:9" hidden="1"/>
    <row r="466" spans="1:9" hidden="1"/>
    <row r="467" spans="1:9" hidden="1">
      <c r="A467" s="1865" t="e">
        <f>+#REF!</f>
        <v>#REF!</v>
      </c>
      <c r="B467" s="1865"/>
      <c r="C467" s="1865"/>
      <c r="D467" s="1865"/>
      <c r="E467" s="1865"/>
      <c r="F467" s="1865"/>
      <c r="G467" s="1865"/>
      <c r="H467" s="1865"/>
      <c r="I467" s="1865"/>
    </row>
    <row r="468" spans="1:9" hidden="1">
      <c r="A468" s="1865" t="e">
        <f>+#REF!</f>
        <v>#REF!</v>
      </c>
      <c r="B468" s="1865"/>
      <c r="C468" s="1865"/>
      <c r="D468" s="1865"/>
      <c r="E468" s="1865"/>
      <c r="F468" s="1865"/>
      <c r="G468" s="1865"/>
      <c r="H468" s="1865"/>
      <c r="I468" s="1865"/>
    </row>
    <row r="469" spans="1:9" hidden="1">
      <c r="A469" s="1863"/>
      <c r="B469" s="1863"/>
      <c r="C469" s="1863"/>
      <c r="D469" s="1863"/>
      <c r="E469" s="1863"/>
      <c r="F469" s="1863"/>
      <c r="G469" s="1863"/>
      <c r="H469" s="1863"/>
      <c r="I469" s="1863"/>
    </row>
    <row r="470" spans="1:9" ht="27.75" hidden="1" customHeight="1">
      <c r="A470" s="1968" t="s">
        <v>1730</v>
      </c>
      <c r="B470" s="1968"/>
      <c r="C470" s="1968"/>
      <c r="D470" s="1968"/>
      <c r="E470" s="1968"/>
      <c r="F470" s="1968"/>
      <c r="G470" s="1968"/>
      <c r="H470" s="1968"/>
      <c r="I470" s="1968"/>
    </row>
    <row r="471" spans="1:9" hidden="1">
      <c r="A471" s="1976" t="s">
        <v>1729</v>
      </c>
      <c r="B471" s="1977"/>
      <c r="C471" s="1977"/>
      <c r="D471" s="1977"/>
      <c r="E471" s="1977"/>
      <c r="F471" s="1977"/>
      <c r="G471" s="1977"/>
      <c r="H471" s="1977"/>
      <c r="I471" s="1978"/>
    </row>
    <row r="472" spans="1:9" ht="15" hidden="1" customHeight="1">
      <c r="A472" s="1979" t="s">
        <v>1777</v>
      </c>
      <c r="B472" s="1979"/>
      <c r="C472" s="1979"/>
      <c r="D472" s="1979"/>
      <c r="E472" s="1979"/>
      <c r="F472" s="686"/>
      <c r="G472" s="683" t="s">
        <v>1731</v>
      </c>
      <c r="H472" s="687"/>
      <c r="I472" s="682" t="s">
        <v>1732</v>
      </c>
    </row>
    <row r="473" spans="1:9" hidden="1">
      <c r="A473" s="1972" t="s">
        <v>1733</v>
      </c>
      <c r="B473" s="1972"/>
      <c r="C473" s="1972"/>
      <c r="D473" s="1972"/>
      <c r="E473" s="1972"/>
      <c r="F473" s="338"/>
      <c r="G473" s="683" t="s">
        <v>1734</v>
      </c>
      <c r="H473" s="685"/>
      <c r="I473" s="683" t="s">
        <v>1735</v>
      </c>
    </row>
    <row r="474" spans="1:9" hidden="1">
      <c r="A474" s="1972"/>
      <c r="B474" s="1972"/>
      <c r="C474" s="1972"/>
      <c r="D474" s="1972"/>
      <c r="E474" s="1972"/>
      <c r="F474" s="338"/>
      <c r="G474" s="683" t="s">
        <v>1763</v>
      </c>
      <c r="H474" s="685"/>
      <c r="I474" s="683" t="s">
        <v>1736</v>
      </c>
    </row>
    <row r="475" spans="1:9" hidden="1">
      <c r="A475" s="1972" t="s">
        <v>1762</v>
      </c>
      <c r="B475" s="1972"/>
      <c r="C475" s="1972"/>
      <c r="D475" s="1972"/>
      <c r="E475" s="1972"/>
      <c r="F475" s="338"/>
      <c r="G475" s="683" t="s">
        <v>1764</v>
      </c>
      <c r="H475" s="685"/>
      <c r="I475" s="683" t="s">
        <v>1737</v>
      </c>
    </row>
    <row r="476" spans="1:9" ht="15" hidden="1" customHeight="1">
      <c r="A476" s="1972" t="s">
        <v>1604</v>
      </c>
      <c r="B476" s="1972"/>
      <c r="C476" s="1972"/>
      <c r="D476" s="1972"/>
      <c r="E476" s="1972"/>
      <c r="F476" s="338"/>
      <c r="G476" s="683" t="s">
        <v>1765</v>
      </c>
      <c r="H476" s="685"/>
      <c r="I476" s="683" t="s">
        <v>1738</v>
      </c>
    </row>
    <row r="477" spans="1:9" hidden="1">
      <c r="A477" s="1980" t="s">
        <v>1767</v>
      </c>
      <c r="B477" s="1981"/>
      <c r="C477" s="1981"/>
      <c r="D477" s="1981"/>
      <c r="E477" s="1982"/>
      <c r="F477" s="338"/>
      <c r="G477" s="683" t="s">
        <v>1766</v>
      </c>
      <c r="H477" s="685"/>
      <c r="I477" s="683" t="s">
        <v>1739</v>
      </c>
    </row>
    <row r="478" spans="1:9" hidden="1">
      <c r="A478" s="1983"/>
      <c r="B478" s="1984"/>
      <c r="C478" s="1984"/>
      <c r="D478" s="1984"/>
      <c r="E478" s="1985"/>
      <c r="F478" s="338"/>
      <c r="G478" s="683" t="s">
        <v>1740</v>
      </c>
      <c r="H478" s="685"/>
      <c r="I478" s="683"/>
    </row>
    <row r="479" spans="1:9" ht="31.5" hidden="1" customHeight="1">
      <c r="A479" s="1986"/>
      <c r="B479" s="1987"/>
      <c r="C479" s="1987"/>
      <c r="D479" s="1987"/>
      <c r="E479" s="1988"/>
      <c r="F479" s="338"/>
      <c r="G479" s="683" t="s">
        <v>1741</v>
      </c>
      <c r="H479" s="685"/>
      <c r="I479" s="683"/>
    </row>
    <row r="480" spans="1:9" hidden="1">
      <c r="A480" s="1972" t="s">
        <v>1768</v>
      </c>
      <c r="B480" s="1972"/>
      <c r="C480" s="1972"/>
      <c r="D480" s="1972"/>
      <c r="E480" s="1972"/>
      <c r="F480" s="338"/>
      <c r="G480" s="683" t="s">
        <v>1742</v>
      </c>
      <c r="H480" s="685"/>
      <c r="I480" s="683"/>
    </row>
    <row r="481" spans="1:9" hidden="1">
      <c r="A481" s="1972" t="s">
        <v>1769</v>
      </c>
      <c r="B481" s="1972"/>
      <c r="C481" s="1972"/>
      <c r="D481" s="1972"/>
      <c r="E481" s="1972"/>
      <c r="F481" s="338"/>
      <c r="G481" s="683" t="s">
        <v>1743</v>
      </c>
      <c r="H481" s="685"/>
      <c r="I481" s="683"/>
    </row>
    <row r="482" spans="1:9" hidden="1">
      <c r="A482" s="1972" t="s">
        <v>1770</v>
      </c>
      <c r="B482" s="1972"/>
      <c r="C482" s="1972"/>
      <c r="D482" s="1972"/>
      <c r="E482" s="1972"/>
      <c r="F482" s="338"/>
      <c r="G482" s="683" t="s">
        <v>1744</v>
      </c>
      <c r="H482" s="685"/>
      <c r="I482" s="683" t="s">
        <v>1752</v>
      </c>
    </row>
    <row r="483" spans="1:9" hidden="1">
      <c r="A483" s="1972" t="s">
        <v>1771</v>
      </c>
      <c r="B483" s="1972"/>
      <c r="C483" s="1972"/>
      <c r="D483" s="1972"/>
      <c r="E483" s="1972"/>
      <c r="F483" s="338"/>
      <c r="G483" s="683" t="s">
        <v>1745</v>
      </c>
      <c r="H483" s="685"/>
      <c r="I483" s="683"/>
    </row>
    <row r="484" spans="1:9" ht="15" hidden="1" customHeight="1">
      <c r="A484" s="1972" t="s">
        <v>1772</v>
      </c>
      <c r="B484" s="1972"/>
      <c r="C484" s="1972"/>
      <c r="D484" s="1972"/>
      <c r="E484" s="1972"/>
      <c r="F484" s="338"/>
      <c r="G484" s="829" t="s">
        <v>1748</v>
      </c>
      <c r="H484" s="685"/>
      <c r="I484" s="683" t="s">
        <v>1753</v>
      </c>
    </row>
    <row r="485" spans="1:9" hidden="1">
      <c r="A485" s="1972" t="s">
        <v>1773</v>
      </c>
      <c r="B485" s="1972"/>
      <c r="C485" s="1972"/>
      <c r="D485" s="1972"/>
      <c r="E485" s="1972"/>
      <c r="F485" s="338"/>
      <c r="G485" s="829" t="s">
        <v>1749</v>
      </c>
      <c r="H485" s="685"/>
      <c r="I485" s="683"/>
    </row>
    <row r="486" spans="1:9" hidden="1">
      <c r="A486" s="1972" t="s">
        <v>1774</v>
      </c>
      <c r="B486" s="1972"/>
      <c r="C486" s="1972"/>
      <c r="D486" s="1972"/>
      <c r="E486" s="1972"/>
      <c r="F486" s="338"/>
      <c r="G486" s="829" t="s">
        <v>1746</v>
      </c>
      <c r="H486" s="685"/>
      <c r="I486" s="683" t="s">
        <v>1754</v>
      </c>
    </row>
    <row r="487" spans="1:9" hidden="1">
      <c r="A487" s="1972" t="s">
        <v>1775</v>
      </c>
      <c r="B487" s="1972"/>
      <c r="C487" s="1972"/>
      <c r="D487" s="1972"/>
      <c r="E487" s="1972"/>
      <c r="F487" s="338"/>
      <c r="G487" s="829" t="s">
        <v>1747</v>
      </c>
      <c r="H487" s="685"/>
      <c r="I487" s="829" t="s">
        <v>1755</v>
      </c>
    </row>
    <row r="488" spans="1:9" hidden="1">
      <c r="A488" s="1972" t="s">
        <v>1776</v>
      </c>
      <c r="B488" s="1972"/>
      <c r="C488" s="1972"/>
      <c r="D488" s="1972"/>
      <c r="E488" s="1972"/>
      <c r="F488" s="338"/>
      <c r="G488" s="829" t="s">
        <v>1751</v>
      </c>
      <c r="H488" s="685"/>
      <c r="I488" s="683"/>
    </row>
    <row r="489" spans="1:9" hidden="1">
      <c r="A489" s="1973" t="s">
        <v>1761</v>
      </c>
      <c r="B489" s="1973"/>
      <c r="C489" s="1973"/>
      <c r="D489" s="1973"/>
      <c r="E489" s="1973"/>
      <c r="F489" s="338"/>
      <c r="G489" s="1876" t="s">
        <v>1750</v>
      </c>
      <c r="H489" s="685"/>
      <c r="I489" s="683" t="s">
        <v>1756</v>
      </c>
    </row>
    <row r="490" spans="1:9" hidden="1">
      <c r="A490" s="1973"/>
      <c r="B490" s="1973"/>
      <c r="C490" s="1973"/>
      <c r="D490" s="1973"/>
      <c r="E490" s="1973"/>
      <c r="F490" s="338"/>
      <c r="G490" s="1876"/>
      <c r="H490" s="685"/>
      <c r="I490" s="683" t="s">
        <v>1757</v>
      </c>
    </row>
    <row r="491" spans="1:9" hidden="1">
      <c r="A491" s="1973"/>
      <c r="B491" s="1973"/>
      <c r="C491" s="1973"/>
      <c r="D491" s="1973"/>
      <c r="E491" s="1973"/>
      <c r="F491" s="338"/>
      <c r="G491" s="1876"/>
      <c r="H491" s="685"/>
      <c r="I491" s="683" t="s">
        <v>1758</v>
      </c>
    </row>
    <row r="492" spans="1:9" hidden="1">
      <c r="A492" s="1973"/>
      <c r="B492" s="1973"/>
      <c r="C492" s="1973"/>
      <c r="D492" s="1973"/>
      <c r="E492" s="1973"/>
      <c r="F492" s="338"/>
      <c r="G492" s="1876"/>
      <c r="H492" s="685"/>
      <c r="I492" s="683" t="s">
        <v>1759</v>
      </c>
    </row>
    <row r="493" spans="1:9" ht="44.25" hidden="1" customHeight="1">
      <c r="A493" s="1973"/>
      <c r="B493" s="1973"/>
      <c r="C493" s="1973"/>
      <c r="D493" s="1973"/>
      <c r="E493" s="1973"/>
      <c r="F493" s="688"/>
      <c r="G493" s="1876"/>
      <c r="H493" s="689"/>
      <c r="I493" s="683" t="s">
        <v>1760</v>
      </c>
    </row>
    <row r="494" spans="1:9" ht="33.75" hidden="1" customHeight="1">
      <c r="A494" s="1974" t="s">
        <v>1778</v>
      </c>
      <c r="B494" s="1920"/>
      <c r="C494" s="1920"/>
      <c r="D494" s="1920"/>
      <c r="E494" s="1920"/>
      <c r="F494" s="1920"/>
      <c r="G494" s="1920"/>
      <c r="H494" s="1920"/>
      <c r="I494" s="1975"/>
    </row>
    <row r="495" spans="1:9" ht="20.25" hidden="1" customHeight="1">
      <c r="A495" s="1969" t="s">
        <v>1779</v>
      </c>
      <c r="B495" s="1970"/>
      <c r="C495" s="1970"/>
      <c r="D495" s="1970"/>
      <c r="E495" s="1970"/>
      <c r="F495" s="1970"/>
      <c r="G495" s="1970"/>
      <c r="H495" s="1970"/>
      <c r="I495" s="1971"/>
    </row>
    <row r="496" spans="1:9"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spans="1:9" hidden="1"/>
    <row r="514" spans="1:9" hidden="1"/>
    <row r="515" spans="1:9" hidden="1"/>
    <row r="516" spans="1:9" hidden="1"/>
    <row r="517" spans="1:9" hidden="1"/>
    <row r="518" spans="1:9" hidden="1"/>
    <row r="519" spans="1:9" hidden="1"/>
    <row r="520" spans="1:9" hidden="1"/>
    <row r="521" spans="1:9" hidden="1">
      <c r="A521" s="1865" t="e">
        <f>+A467</f>
        <v>#REF!</v>
      </c>
      <c r="B521" s="1865"/>
      <c r="C521" s="1865"/>
      <c r="D521" s="1865"/>
      <c r="E521" s="1865"/>
      <c r="F521" s="1865"/>
      <c r="G521" s="1865"/>
      <c r="H521" s="1865"/>
      <c r="I521" s="1865"/>
    </row>
    <row r="522" spans="1:9" hidden="1">
      <c r="A522" s="1863" t="e">
        <f>+A468</f>
        <v>#REF!</v>
      </c>
      <c r="B522" s="1863"/>
      <c r="C522" s="1863"/>
      <c r="D522" s="1863"/>
      <c r="E522" s="1863"/>
      <c r="F522" s="1863"/>
      <c r="G522" s="1863"/>
      <c r="H522" s="1863"/>
      <c r="I522" s="1863"/>
    </row>
    <row r="523" spans="1:9" hidden="1">
      <c r="A523" s="1863"/>
      <c r="B523" s="1863"/>
      <c r="C523" s="1863"/>
      <c r="D523" s="1863"/>
      <c r="E523" s="1863"/>
      <c r="F523" s="1863"/>
      <c r="G523" s="1863"/>
      <c r="H523" s="1863"/>
      <c r="I523" s="1863"/>
    </row>
    <row r="524" spans="1:9" hidden="1">
      <c r="A524" s="1968" t="s">
        <v>1781</v>
      </c>
      <c r="B524" s="1968"/>
      <c r="C524" s="1968"/>
      <c r="D524" s="1968"/>
      <c r="E524" s="1968"/>
      <c r="F524" s="1968"/>
      <c r="G524" s="1968"/>
      <c r="H524" s="1968"/>
      <c r="I524" s="1968"/>
    </row>
    <row r="525" spans="1:9" hidden="1">
      <c r="A525" s="1863" t="s">
        <v>1780</v>
      </c>
      <c r="B525" s="1863"/>
      <c r="C525" s="1863"/>
      <c r="D525" s="1863"/>
      <c r="E525" s="1863"/>
      <c r="F525" s="1863"/>
      <c r="G525" s="1863"/>
      <c r="H525" s="1863"/>
      <c r="I525" s="1863"/>
    </row>
    <row r="526" spans="1:9" hidden="1"/>
    <row r="527" spans="1:9" hidden="1"/>
    <row r="528" spans="1:9"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spans="1:19" hidden="1"/>
    <row r="578" spans="1:19" hidden="1"/>
    <row r="579" spans="1:19" hidden="1">
      <c r="A579" s="1865" t="e">
        <f>+A521</f>
        <v>#REF!</v>
      </c>
      <c r="B579" s="1865"/>
      <c r="C579" s="1865"/>
      <c r="D579" s="1865"/>
      <c r="E579" s="1865"/>
      <c r="F579" s="1865"/>
      <c r="G579" s="1865"/>
      <c r="H579" s="1865"/>
      <c r="I579" s="1865"/>
    </row>
    <row r="580" spans="1:19" hidden="1">
      <c r="A580" s="1863" t="e">
        <f>+A522</f>
        <v>#REF!</v>
      </c>
      <c r="B580" s="1863"/>
      <c r="C580" s="1863"/>
      <c r="D580" s="1863"/>
      <c r="E580" s="1863"/>
      <c r="F580" s="1863"/>
      <c r="G580" s="1863"/>
      <c r="H580" s="1863"/>
      <c r="I580" s="1863"/>
    </row>
    <row r="581" spans="1:19" hidden="1">
      <c r="A581" s="1863"/>
      <c r="B581" s="1863"/>
      <c r="C581" s="1863"/>
      <c r="D581" s="1863"/>
      <c r="E581" s="1863"/>
      <c r="F581" s="1863"/>
      <c r="G581" s="1863"/>
      <c r="H581" s="1863"/>
      <c r="I581" s="1863"/>
    </row>
    <row r="582" spans="1:19" hidden="1">
      <c r="A582" s="1968" t="s">
        <v>1782</v>
      </c>
      <c r="B582" s="1968"/>
      <c r="C582" s="1968"/>
      <c r="D582" s="1968"/>
      <c r="E582" s="1968"/>
      <c r="F582" s="1968"/>
      <c r="G582" s="1968"/>
      <c r="H582" s="1968"/>
      <c r="I582" s="1968"/>
    </row>
    <row r="583" spans="1:19" hidden="1">
      <c r="A583" s="1865" t="s">
        <v>1783</v>
      </c>
      <c r="B583" s="1865"/>
      <c r="C583" s="1865"/>
      <c r="D583" s="1865"/>
      <c r="E583" s="1865"/>
      <c r="F583" s="1865"/>
      <c r="G583" s="1865"/>
      <c r="H583" s="1865"/>
      <c r="I583" s="1865"/>
      <c r="P583" s="691"/>
      <c r="Q583" s="691"/>
      <c r="R583" s="691"/>
      <c r="S583" s="691"/>
    </row>
    <row r="584" spans="1:19" s="691" customFormat="1" ht="30" hidden="1" customHeight="1">
      <c r="A584" s="334"/>
      <c r="B584" s="334"/>
      <c r="C584" s="334"/>
      <c r="D584" s="334"/>
      <c r="E584" s="334"/>
      <c r="F584" s="334"/>
      <c r="G584" s="334"/>
      <c r="H584" s="334"/>
      <c r="I584" s="334"/>
      <c r="J584" s="334"/>
      <c r="K584" s="334"/>
      <c r="L584" s="334"/>
      <c r="M584" s="334"/>
      <c r="N584" s="334"/>
      <c r="P584" s="334"/>
      <c r="Q584" s="334"/>
      <c r="R584" s="334"/>
      <c r="S584" s="751"/>
    </row>
    <row r="585" spans="1:19" ht="18.75" hidden="1" customHeight="1">
      <c r="A585" s="1877" t="s">
        <v>1784</v>
      </c>
      <c r="B585" s="1877"/>
      <c r="C585" s="1877"/>
      <c r="D585" s="1877"/>
      <c r="E585" s="830" t="s">
        <v>1785</v>
      </c>
      <c r="F585" s="1877" t="s">
        <v>1786</v>
      </c>
      <c r="G585" s="1877"/>
      <c r="H585" s="1877"/>
      <c r="I585" s="830" t="s">
        <v>1787</v>
      </c>
      <c r="J585" s="691"/>
      <c r="K585" s="691"/>
      <c r="L585" s="691"/>
      <c r="M585" s="691"/>
      <c r="N585" s="691"/>
      <c r="S585" s="751"/>
    </row>
    <row r="586" spans="1:19" ht="18.75" hidden="1" customHeight="1">
      <c r="A586" s="1965" t="s">
        <v>1852</v>
      </c>
      <c r="B586" s="1966"/>
      <c r="C586" s="1966"/>
      <c r="D586" s="1967"/>
      <c r="E586" s="752" t="s">
        <v>1788</v>
      </c>
      <c r="F586" s="1875" t="s">
        <v>1023</v>
      </c>
      <c r="G586" s="1875"/>
      <c r="H586" s="1875"/>
      <c r="I586" s="753">
        <v>41141</v>
      </c>
      <c r="S586" s="751"/>
    </row>
    <row r="587" spans="1:19" ht="18.75" hidden="1" customHeight="1">
      <c r="A587" s="1965" t="s">
        <v>1792</v>
      </c>
      <c r="B587" s="1966"/>
      <c r="C587" s="1966"/>
      <c r="D587" s="1967"/>
      <c r="E587" s="752" t="s">
        <v>1793</v>
      </c>
      <c r="F587" s="1875" t="s">
        <v>1864</v>
      </c>
      <c r="G587" s="1875"/>
      <c r="H587" s="1875"/>
      <c r="I587" s="753">
        <v>41141</v>
      </c>
      <c r="S587" s="751"/>
    </row>
    <row r="588" spans="1:19" ht="18.75" hidden="1" customHeight="1">
      <c r="A588" s="1965" t="s">
        <v>1789</v>
      </c>
      <c r="B588" s="1966"/>
      <c r="C588" s="1966"/>
      <c r="D588" s="1967"/>
      <c r="E588" s="752" t="s">
        <v>1790</v>
      </c>
      <c r="F588" s="1875" t="s">
        <v>1791</v>
      </c>
      <c r="G588" s="1875"/>
      <c r="H588" s="1875"/>
      <c r="I588" s="753">
        <v>38832</v>
      </c>
      <c r="S588" s="751"/>
    </row>
    <row r="589" spans="1:19" ht="18.75" hidden="1" customHeight="1">
      <c r="A589" s="1965" t="s">
        <v>1794</v>
      </c>
      <c r="B589" s="1966"/>
      <c r="C589" s="1966"/>
      <c r="D589" s="1967"/>
      <c r="E589" s="752" t="s">
        <v>1795</v>
      </c>
      <c r="F589" s="1875" t="s">
        <v>1796</v>
      </c>
      <c r="G589" s="1875"/>
      <c r="H589" s="1875"/>
      <c r="I589" s="753">
        <v>38216</v>
      </c>
      <c r="S589" s="751"/>
    </row>
    <row r="590" spans="1:19" ht="18.75" hidden="1" customHeight="1">
      <c r="A590" s="1965" t="s">
        <v>1853</v>
      </c>
      <c r="B590" s="1966"/>
      <c r="C590" s="1966"/>
      <c r="D590" s="1967"/>
      <c r="E590" s="752" t="s">
        <v>1797</v>
      </c>
      <c r="F590" s="1875" t="s">
        <v>1798</v>
      </c>
      <c r="G590" s="1875"/>
      <c r="H590" s="1875"/>
      <c r="I590" s="753">
        <v>40934</v>
      </c>
      <c r="S590" s="751"/>
    </row>
    <row r="591" spans="1:19" ht="18.75" hidden="1" customHeight="1">
      <c r="A591" s="1965" t="s">
        <v>1799</v>
      </c>
      <c r="B591" s="1966"/>
      <c r="C591" s="1966"/>
      <c r="D591" s="1967"/>
      <c r="E591" s="752" t="s">
        <v>1800</v>
      </c>
      <c r="F591" s="1875" t="s">
        <v>1801</v>
      </c>
      <c r="G591" s="1875"/>
      <c r="H591" s="1875"/>
      <c r="I591" s="753">
        <v>41155</v>
      </c>
      <c r="S591" s="751"/>
    </row>
    <row r="592" spans="1:19" ht="18.75" hidden="1" customHeight="1">
      <c r="A592" s="1965" t="s">
        <v>1854</v>
      </c>
      <c r="B592" s="1966"/>
      <c r="C592" s="1966"/>
      <c r="D592" s="1967"/>
      <c r="E592" s="752" t="s">
        <v>1802</v>
      </c>
      <c r="F592" s="1875" t="s">
        <v>1851</v>
      </c>
      <c r="G592" s="1875"/>
      <c r="H592" s="1875"/>
      <c r="I592" s="753">
        <v>41792</v>
      </c>
      <c r="S592" s="751"/>
    </row>
    <row r="593" spans="1:19" ht="18.75" hidden="1" customHeight="1">
      <c r="A593" s="1965" t="s">
        <v>1855</v>
      </c>
      <c r="B593" s="1966"/>
      <c r="C593" s="1966"/>
      <c r="D593" s="1967"/>
      <c r="E593" s="752" t="s">
        <v>1803</v>
      </c>
      <c r="F593" s="1875" t="s">
        <v>1856</v>
      </c>
      <c r="G593" s="1875"/>
      <c r="H593" s="1875"/>
      <c r="I593" s="753">
        <v>38473</v>
      </c>
      <c r="S593" s="751"/>
    </row>
    <row r="594" spans="1:19" ht="18.75" hidden="1" customHeight="1">
      <c r="A594" s="1965" t="s">
        <v>1804</v>
      </c>
      <c r="B594" s="1966"/>
      <c r="C594" s="1966"/>
      <c r="D594" s="1967"/>
      <c r="E594" s="752" t="s">
        <v>1845</v>
      </c>
      <c r="F594" s="1875" t="s">
        <v>1805</v>
      </c>
      <c r="G594" s="1875"/>
      <c r="H594" s="1875"/>
      <c r="I594" s="753">
        <v>38292</v>
      </c>
      <c r="S594" s="751"/>
    </row>
    <row r="595" spans="1:19" ht="18.75" hidden="1" customHeight="1">
      <c r="A595" s="1965" t="s">
        <v>1806</v>
      </c>
      <c r="B595" s="1966"/>
      <c r="C595" s="1966"/>
      <c r="D595" s="1967"/>
      <c r="E595" s="752" t="s">
        <v>1807</v>
      </c>
      <c r="F595" s="1875" t="s">
        <v>1808</v>
      </c>
      <c r="G595" s="1875"/>
      <c r="H595" s="1875"/>
      <c r="I595" s="753">
        <v>40534</v>
      </c>
      <c r="S595" s="751"/>
    </row>
    <row r="596" spans="1:19" ht="18.75" hidden="1" customHeight="1">
      <c r="A596" s="1965" t="s">
        <v>1862</v>
      </c>
      <c r="B596" s="1966"/>
      <c r="C596" s="1966"/>
      <c r="D596" s="1967"/>
      <c r="E596" s="752" t="s">
        <v>1809</v>
      </c>
      <c r="F596" s="1875" t="s">
        <v>1863</v>
      </c>
      <c r="G596" s="1875"/>
      <c r="H596" s="1875"/>
      <c r="I596" s="753">
        <v>38213</v>
      </c>
      <c r="S596" s="751"/>
    </row>
    <row r="597" spans="1:19" ht="18.75" hidden="1" customHeight="1">
      <c r="A597" s="1965" t="s">
        <v>1857</v>
      </c>
      <c r="B597" s="1966"/>
      <c r="C597" s="1966"/>
      <c r="D597" s="1967"/>
      <c r="E597" s="752" t="s">
        <v>1810</v>
      </c>
      <c r="F597" s="1875" t="s">
        <v>1811</v>
      </c>
      <c r="G597" s="1875"/>
      <c r="H597" s="1875"/>
      <c r="I597" s="753">
        <v>41893</v>
      </c>
      <c r="S597" s="751"/>
    </row>
    <row r="598" spans="1:19" ht="18.75" hidden="1" customHeight="1">
      <c r="A598" s="1965" t="s">
        <v>1847</v>
      </c>
      <c r="B598" s="1966"/>
      <c r="C598" s="1966"/>
      <c r="D598" s="1967"/>
      <c r="E598" s="752" t="s">
        <v>1846</v>
      </c>
      <c r="F598" s="1875" t="s">
        <v>1814</v>
      </c>
      <c r="G598" s="1875"/>
      <c r="H598" s="1875"/>
      <c r="I598" s="753">
        <v>38384</v>
      </c>
      <c r="S598" s="751"/>
    </row>
    <row r="599" spans="1:19" ht="18.75" hidden="1" customHeight="1">
      <c r="A599" s="1965" t="s">
        <v>1812</v>
      </c>
      <c r="B599" s="1966"/>
      <c r="C599" s="1966"/>
      <c r="D599" s="1967"/>
      <c r="E599" s="752" t="s">
        <v>1813</v>
      </c>
      <c r="F599" s="1875" t="s">
        <v>1858</v>
      </c>
      <c r="G599" s="1875"/>
      <c r="H599" s="1875"/>
      <c r="I599" s="753">
        <v>41428</v>
      </c>
      <c r="S599" s="751"/>
    </row>
    <row r="600" spans="1:19" ht="18.75" hidden="1" customHeight="1">
      <c r="A600" s="1965" t="s">
        <v>1859</v>
      </c>
      <c r="B600" s="1966"/>
      <c r="C600" s="1966"/>
      <c r="D600" s="1967"/>
      <c r="E600" s="752" t="s">
        <v>1848</v>
      </c>
      <c r="F600" s="1875" t="s">
        <v>1860</v>
      </c>
      <c r="G600" s="1875"/>
      <c r="H600" s="1875"/>
      <c r="I600" s="753">
        <v>41141</v>
      </c>
    </row>
    <row r="601" spans="1:19" hidden="1">
      <c r="A601" s="1965" t="s">
        <v>1861</v>
      </c>
      <c r="B601" s="1966"/>
      <c r="C601" s="1966"/>
      <c r="D601" s="1967"/>
      <c r="E601" s="752" t="s">
        <v>1849</v>
      </c>
      <c r="F601" s="1875" t="s">
        <v>1850</v>
      </c>
      <c r="G601" s="1875"/>
      <c r="H601" s="1875"/>
      <c r="I601" s="753">
        <v>41141</v>
      </c>
    </row>
    <row r="602" spans="1:19" hidden="1"/>
    <row r="603" spans="1:19" hidden="1"/>
    <row r="604" spans="1:19" hidden="1"/>
    <row r="605" spans="1:19" hidden="1"/>
    <row r="606" spans="1:19" hidden="1"/>
    <row r="607" spans="1:19" hidden="1"/>
    <row r="608" spans="1:19"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sheetData>
  <mergeCells count="147">
    <mergeCell ref="A1:I1"/>
    <mergeCell ref="A2:I2"/>
    <mergeCell ref="A3:I3"/>
    <mergeCell ref="A4:I4"/>
    <mergeCell ref="B14:D14"/>
    <mergeCell ref="B22:D22"/>
    <mergeCell ref="B50:I50"/>
    <mergeCell ref="B51:I51"/>
    <mergeCell ref="B52:I52"/>
    <mergeCell ref="B54:I54"/>
    <mergeCell ref="B56:I56"/>
    <mergeCell ref="B58:I58"/>
    <mergeCell ref="B60:I60"/>
    <mergeCell ref="B63:I63"/>
    <mergeCell ref="B65:I65"/>
    <mergeCell ref="B68:E68"/>
    <mergeCell ref="B70:I70"/>
    <mergeCell ref="B72:I72"/>
    <mergeCell ref="B76:I76"/>
    <mergeCell ref="B79:I79"/>
    <mergeCell ref="B80:I80"/>
    <mergeCell ref="B84:I84"/>
    <mergeCell ref="B86:I86"/>
    <mergeCell ref="B90:I90"/>
    <mergeCell ref="B93:I93"/>
    <mergeCell ref="B94:I94"/>
    <mergeCell ref="B97:I97"/>
    <mergeCell ref="B99:I99"/>
    <mergeCell ref="B100:I100"/>
    <mergeCell ref="B102:I102"/>
    <mergeCell ref="B103:I103"/>
    <mergeCell ref="B106:I106"/>
    <mergeCell ref="B109:I109"/>
    <mergeCell ref="B110:I110"/>
    <mergeCell ref="B112:I112"/>
    <mergeCell ref="B113:I113"/>
    <mergeCell ref="B115:I115"/>
    <mergeCell ref="B117:I117"/>
    <mergeCell ref="B119:I119"/>
    <mergeCell ref="B121:I121"/>
    <mergeCell ref="B127:I127"/>
    <mergeCell ref="B129:I129"/>
    <mergeCell ref="B131:I131"/>
    <mergeCell ref="B133:I133"/>
    <mergeCell ref="B135:I135"/>
    <mergeCell ref="B137:I137"/>
    <mergeCell ref="B139:I139"/>
    <mergeCell ref="B141:I141"/>
    <mergeCell ref="B143:I143"/>
    <mergeCell ref="B145:I145"/>
    <mergeCell ref="B147:I147"/>
    <mergeCell ref="B149:I149"/>
    <mergeCell ref="B151:I151"/>
    <mergeCell ref="B153:I153"/>
    <mergeCell ref="B155:I155"/>
    <mergeCell ref="B159:I159"/>
    <mergeCell ref="B161:I161"/>
    <mergeCell ref="B163:I163"/>
    <mergeCell ref="B166:I166"/>
    <mergeCell ref="B167:I167"/>
    <mergeCell ref="B170:I170"/>
    <mergeCell ref="B173:I173"/>
    <mergeCell ref="B175:I175"/>
    <mergeCell ref="B177:I177"/>
    <mergeCell ref="B179:E179"/>
    <mergeCell ref="B180:I180"/>
    <mergeCell ref="B182:I182"/>
    <mergeCell ref="B183:I183"/>
    <mergeCell ref="B185:I185"/>
    <mergeCell ref="B186:I186"/>
    <mergeCell ref="A368:I368"/>
    <mergeCell ref="A369:I369"/>
    <mergeCell ref="A370:I370"/>
    <mergeCell ref="A371:I371"/>
    <mergeCell ref="A372:I372"/>
    <mergeCell ref="A373:I373"/>
    <mergeCell ref="A411:I411"/>
    <mergeCell ref="A413:I413"/>
    <mergeCell ref="A415:I415"/>
    <mergeCell ref="A422:I422"/>
    <mergeCell ref="A467:I467"/>
    <mergeCell ref="A468:I468"/>
    <mergeCell ref="A469:I469"/>
    <mergeCell ref="A470:I470"/>
    <mergeCell ref="A471:I471"/>
    <mergeCell ref="A472:E472"/>
    <mergeCell ref="A473:E474"/>
    <mergeCell ref="A475:E475"/>
    <mergeCell ref="A476:E476"/>
    <mergeCell ref="A477:E479"/>
    <mergeCell ref="A480:E480"/>
    <mergeCell ref="A481:E481"/>
    <mergeCell ref="A482:E482"/>
    <mergeCell ref="A483:E483"/>
    <mergeCell ref="A484:E484"/>
    <mergeCell ref="A485:E485"/>
    <mergeCell ref="A486:E486"/>
    <mergeCell ref="A487:E487"/>
    <mergeCell ref="A488:E488"/>
    <mergeCell ref="A489:E493"/>
    <mergeCell ref="G489:G493"/>
    <mergeCell ref="A494:I494"/>
    <mergeCell ref="A495:I495"/>
    <mergeCell ref="A521:I521"/>
    <mergeCell ref="A522:I522"/>
    <mergeCell ref="A523:I523"/>
    <mergeCell ref="A524:I524"/>
    <mergeCell ref="A525:I525"/>
    <mergeCell ref="A579:I579"/>
    <mergeCell ref="A580:I580"/>
    <mergeCell ref="A581:I581"/>
    <mergeCell ref="A582:I582"/>
    <mergeCell ref="A583:I583"/>
    <mergeCell ref="A585:D585"/>
    <mergeCell ref="F585:H585"/>
    <mergeCell ref="A586:D586"/>
    <mergeCell ref="F586:H586"/>
    <mergeCell ref="A587:D587"/>
    <mergeCell ref="F587:H587"/>
    <mergeCell ref="A588:D588"/>
    <mergeCell ref="F588:H588"/>
    <mergeCell ref="A589:D589"/>
    <mergeCell ref="F589:H589"/>
    <mergeCell ref="A590:D590"/>
    <mergeCell ref="F590:H590"/>
    <mergeCell ref="A591:D591"/>
    <mergeCell ref="F591:H591"/>
    <mergeCell ref="A592:D592"/>
    <mergeCell ref="F592:H592"/>
    <mergeCell ref="A593:D593"/>
    <mergeCell ref="F593:H593"/>
    <mergeCell ref="A594:D594"/>
    <mergeCell ref="F594:H594"/>
    <mergeCell ref="A595:D595"/>
    <mergeCell ref="F595:H595"/>
    <mergeCell ref="A596:D596"/>
    <mergeCell ref="F596:H596"/>
    <mergeCell ref="A600:D600"/>
    <mergeCell ref="F600:H600"/>
    <mergeCell ref="A601:D601"/>
    <mergeCell ref="F601:H601"/>
    <mergeCell ref="A597:D597"/>
    <mergeCell ref="F597:H597"/>
    <mergeCell ref="A598:D598"/>
    <mergeCell ref="F598:H598"/>
    <mergeCell ref="A599:D599"/>
    <mergeCell ref="F599:H599"/>
  </mergeCells>
  <pageMargins left="0.70866141732283472" right="0.70866141732283472" top="0.74803149606299213" bottom="0.74803149606299213" header="0.31496062992125984" footer="0.31496062992125984"/>
  <pageSetup paperSize="9" scale="85" fitToWidth="0" fitToHeight="0" orientation="portrait" horizontalDpi="4294967294" verticalDpi="4294967294" r:id="rId1"/>
  <headerFooter>
    <oddHeader>&amp;R&amp;"Times New Roman,Normal"&amp;K03+059CORAAMOCA</oddHeader>
    <oddFooter>&amp;L&amp;K00-048Informe de Auditoría Interna 2017&amp;R&amp;K00-048&amp;P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F120"/>
  <sheetViews>
    <sheetView zoomScale="84" zoomScaleNormal="84" workbookViewId="0">
      <selection activeCell="H27" sqref="H27"/>
    </sheetView>
  </sheetViews>
  <sheetFormatPr baseColWidth="10" defaultColWidth="9.140625" defaultRowHeight="15.75"/>
  <cols>
    <col min="1" max="1" width="58.5703125" style="275" customWidth="1"/>
    <col min="2" max="2" width="18.28515625" style="299" bestFit="1" customWidth="1"/>
    <col min="3" max="3" width="4.5703125" style="300" customWidth="1"/>
    <col min="4" max="4" width="16.42578125" style="299" customWidth="1"/>
    <col min="5" max="5" width="3.28515625" style="67" customWidth="1"/>
    <col min="6" max="6" width="14.7109375" style="67" bestFit="1" customWidth="1"/>
    <col min="7" max="16384" width="9.140625" style="67"/>
  </cols>
  <sheetData>
    <row r="1" spans="1:4" ht="15.75" customHeight="1">
      <c r="A1" s="1990" t="str">
        <f>+PATRIMONIO!A2</f>
        <v>GOBIERNO DE LA REPÚBLICA  DOMINICANA</v>
      </c>
      <c r="B1" s="1990"/>
      <c r="C1" s="1990"/>
      <c r="D1" s="1990"/>
    </row>
    <row r="2" spans="1:4" ht="15">
      <c r="A2" s="1993" t="str">
        <f>BALANZA!B1</f>
        <v>CORPORACION DEL ACUEDUCTO Y ALCANTARILLADO DE MOCA</v>
      </c>
      <c r="B2" s="1993"/>
      <c r="C2" s="1993"/>
      <c r="D2" s="1993"/>
    </row>
    <row r="3" spans="1:4" ht="15">
      <c r="A3" s="1994" t="str">
        <f>UPPER("Flujo de efectivo")</f>
        <v>FLUJO DE EFECTIVO</v>
      </c>
      <c r="B3" s="1994"/>
      <c r="C3" s="1994"/>
      <c r="D3" s="1994"/>
    </row>
    <row r="4" spans="1:4" ht="15">
      <c r="A4" s="1994" t="str">
        <f>UPPER(+BALANZA!B2)</f>
        <v>DEL EJERCICIO TERMINADO EL  31 DE MARZO DE 2026  Y  2025</v>
      </c>
      <c r="B4" s="1994"/>
      <c r="C4" s="1994"/>
      <c r="D4" s="1994"/>
    </row>
    <row r="5" spans="1:4" ht="15">
      <c r="A5" s="1994" t="str">
        <f>+RESULTADO!A5</f>
        <v>(VALORES EN RD$)</v>
      </c>
      <c r="B5" s="1994"/>
      <c r="C5" s="1994"/>
      <c r="D5" s="1994"/>
    </row>
    <row r="6" spans="1:4" ht="5.25" customHeight="1">
      <c r="A6" s="277"/>
      <c r="B6" s="285"/>
      <c r="C6" s="286"/>
      <c r="D6" s="285"/>
    </row>
    <row r="7" spans="1:4" ht="5.25" customHeight="1">
      <c r="A7" s="277"/>
      <c r="B7" s="285"/>
      <c r="C7" s="286"/>
      <c r="D7" s="285"/>
    </row>
    <row r="8" spans="1:4">
      <c r="A8" s="277"/>
      <c r="B8" s="287">
        <f>BALANZA!B4</f>
        <v>2026</v>
      </c>
      <c r="C8" s="288"/>
      <c r="D8" s="287">
        <f>BALANZA!C4</f>
        <v>2025</v>
      </c>
    </row>
    <row r="9" spans="1:4">
      <c r="A9" s="276" t="s">
        <v>946</v>
      </c>
      <c r="B9" s="289"/>
      <c r="C9" s="290"/>
      <c r="D9" s="289"/>
    </row>
    <row r="10" spans="1:4">
      <c r="A10" s="276" t="s">
        <v>947</v>
      </c>
      <c r="B10" s="291"/>
      <c r="C10" s="274"/>
      <c r="D10" s="291"/>
    </row>
    <row r="11" spans="1:4" hidden="1">
      <c r="A11" s="278" t="s">
        <v>948</v>
      </c>
      <c r="B11" s="292"/>
      <c r="C11" s="293"/>
      <c r="D11" s="292"/>
    </row>
    <row r="12" spans="1:4" hidden="1">
      <c r="A12" s="278" t="s">
        <v>949</v>
      </c>
      <c r="B12" s="292"/>
      <c r="C12" s="293"/>
      <c r="D12" s="292"/>
    </row>
    <row r="13" spans="1:4">
      <c r="A13" s="278" t="s">
        <v>950</v>
      </c>
      <c r="B13" s="292">
        <f>RESULTADO!C13</f>
        <v>45032091.25</v>
      </c>
      <c r="C13" s="293"/>
      <c r="D13" s="292">
        <f>RESULTADO!E13</f>
        <v>186534488.11000001</v>
      </c>
    </row>
    <row r="14" spans="1:4" hidden="1">
      <c r="A14" s="278" t="s">
        <v>951</v>
      </c>
      <c r="B14" s="292"/>
      <c r="C14" s="293"/>
      <c r="D14" s="292"/>
    </row>
    <row r="15" spans="1:4">
      <c r="A15" s="278" t="s">
        <v>952</v>
      </c>
      <c r="B15" s="292">
        <f>RESULTADO!C10</f>
        <v>25865457</v>
      </c>
      <c r="C15" s="293"/>
      <c r="D15" s="292">
        <f>RESULTADO!E10</f>
        <v>307209103</v>
      </c>
    </row>
    <row r="16" spans="1:4" hidden="1">
      <c r="A16" s="278" t="s">
        <v>953</v>
      </c>
      <c r="B16" s="292"/>
      <c r="C16" s="293"/>
      <c r="D16" s="292"/>
    </row>
    <row r="17" spans="1:4" hidden="1">
      <c r="A17" s="278" t="s">
        <v>954</v>
      </c>
      <c r="B17" s="292"/>
      <c r="C17" s="293"/>
      <c r="D17" s="292"/>
    </row>
    <row r="18" spans="1:4" hidden="1">
      <c r="A18" s="278" t="s">
        <v>955</v>
      </c>
      <c r="B18" s="292"/>
      <c r="C18" s="293"/>
      <c r="D18" s="292"/>
    </row>
    <row r="19" spans="1:4" hidden="1">
      <c r="A19" s="278" t="s">
        <v>956</v>
      </c>
      <c r="B19" s="292"/>
      <c r="C19" s="293"/>
      <c r="D19" s="292"/>
    </row>
    <row r="20" spans="1:4">
      <c r="A20" s="278" t="s">
        <v>957</v>
      </c>
      <c r="B20" s="292"/>
      <c r="C20" s="293"/>
      <c r="D20" s="292"/>
    </row>
    <row r="21" spans="1:4" ht="16.5" hidden="1" thickBot="1">
      <c r="A21" s="278" t="s">
        <v>958</v>
      </c>
      <c r="B21" s="294"/>
      <c r="C21" s="293"/>
      <c r="D21" s="294"/>
    </row>
    <row r="22" spans="1:4" ht="16.5" thickBot="1">
      <c r="A22" s="276" t="s">
        <v>959</v>
      </c>
      <c r="B22" s="295">
        <f>SUM(B11:B21)</f>
        <v>70897548.25</v>
      </c>
      <c r="C22" s="274"/>
      <c r="D22" s="295">
        <f>SUM(D11:D21)</f>
        <v>493743591.11000001</v>
      </c>
    </row>
    <row r="23" spans="1:4" ht="6" customHeight="1">
      <c r="A23" s="279"/>
      <c r="B23" s="292"/>
      <c r="C23" s="293"/>
      <c r="D23" s="292"/>
    </row>
    <row r="24" spans="1:4">
      <c r="A24" s="276" t="s">
        <v>960</v>
      </c>
      <c r="B24" s="292"/>
      <c r="C24" s="293"/>
      <c r="D24" s="292"/>
    </row>
    <row r="25" spans="1:4" hidden="1">
      <c r="A25" s="278" t="s">
        <v>961</v>
      </c>
      <c r="B25" s="292"/>
      <c r="C25" s="293"/>
      <c r="D25" s="292"/>
    </row>
    <row r="26" spans="1:4">
      <c r="A26" s="278" t="s">
        <v>962</v>
      </c>
      <c r="B26" s="292" t="e">
        <f>#REF!-#REF!</f>
        <v>#REF!</v>
      </c>
      <c r="C26" s="293"/>
      <c r="D26" s="292">
        <v>123490232.88000001</v>
      </c>
    </row>
    <row r="27" spans="1:4">
      <c r="A27" s="278" t="s">
        <v>963</v>
      </c>
      <c r="B27" s="292" t="e">
        <f>#REF!</f>
        <v>#REF!</v>
      </c>
      <c r="C27" s="293"/>
      <c r="D27" s="292">
        <v>14131910.859999999</v>
      </c>
    </row>
    <row r="28" spans="1:4" hidden="1">
      <c r="A28" s="278" t="s">
        <v>964</v>
      </c>
      <c r="B28" s="292"/>
      <c r="C28" s="293"/>
      <c r="D28" s="292"/>
    </row>
    <row r="29" spans="1:4">
      <c r="A29" s="278" t="s">
        <v>965</v>
      </c>
      <c r="B29" s="292" t="e">
        <f>RESULTADO!C20-#REF!</f>
        <v>#REF!</v>
      </c>
      <c r="C29" s="293"/>
      <c r="D29" s="292">
        <v>47640933.210000001</v>
      </c>
    </row>
    <row r="30" spans="1:4">
      <c r="A30" s="278" t="s">
        <v>966</v>
      </c>
      <c r="B30" s="292">
        <f>RESULTADO!C21</f>
        <v>2300170.5699999998</v>
      </c>
      <c r="C30" s="293"/>
      <c r="D30" s="292">
        <f>14193208.98-1400</f>
        <v>14191808.98</v>
      </c>
    </row>
    <row r="31" spans="1:4">
      <c r="A31" s="278" t="s">
        <v>967</v>
      </c>
      <c r="B31" s="292" t="e">
        <f>#REF!</f>
        <v>#REF!</v>
      </c>
      <c r="C31" s="293"/>
      <c r="D31" s="292">
        <v>4599719.07</v>
      </c>
    </row>
    <row r="32" spans="1:4">
      <c r="A32" s="278" t="s">
        <v>968</v>
      </c>
      <c r="B32" s="292"/>
      <c r="C32" s="293"/>
      <c r="D32" s="292"/>
    </row>
    <row r="33" spans="1:6" ht="16.5" customHeight="1">
      <c r="A33" s="278" t="s">
        <v>969</v>
      </c>
      <c r="B33" s="292">
        <f>RESULTADO!C22</f>
        <v>0</v>
      </c>
      <c r="C33" s="293"/>
      <c r="D33" s="292">
        <v>6812229.1500000004</v>
      </c>
    </row>
    <row r="34" spans="1:6" ht="5.25" hidden="1" customHeight="1" thickBot="1">
      <c r="A34" s="278" t="s">
        <v>970</v>
      </c>
      <c r="B34" s="294"/>
      <c r="C34" s="293"/>
      <c r="D34" s="294"/>
    </row>
    <row r="35" spans="1:6" ht="16.5" thickBot="1">
      <c r="A35" s="276" t="s">
        <v>971</v>
      </c>
      <c r="B35" s="295" t="e">
        <f>SUM(B26:B34)</f>
        <v>#REF!</v>
      </c>
      <c r="C35" s="274"/>
      <c r="D35" s="295">
        <f>SUM(D26:D34)</f>
        <v>210866834.15000001</v>
      </c>
      <c r="F35" s="67" t="e">
        <f>B35-RESULTADO!C25</f>
        <v>#REF!</v>
      </c>
    </row>
    <row r="36" spans="1:6" s="275" customFormat="1" ht="21.75" customHeight="1" thickBot="1">
      <c r="B36" s="273" t="e">
        <f>+B22-B35</f>
        <v>#REF!</v>
      </c>
      <c r="C36" s="274"/>
      <c r="D36" s="273">
        <f>+D22-D35</f>
        <v>282876756.96000004</v>
      </c>
    </row>
    <row r="37" spans="1:6" ht="16.5" thickTop="1">
      <c r="A37" s="276" t="s">
        <v>972</v>
      </c>
      <c r="B37" s="292"/>
      <c r="C37" s="293"/>
      <c r="D37" s="292"/>
    </row>
    <row r="38" spans="1:6" ht="12.75" customHeight="1">
      <c r="A38" s="276" t="s">
        <v>973</v>
      </c>
      <c r="B38" s="292"/>
      <c r="C38" s="293"/>
      <c r="D38" s="292"/>
    </row>
    <row r="39" spans="1:6" ht="17.25" hidden="1" customHeight="1">
      <c r="A39" s="278" t="s">
        <v>974</v>
      </c>
      <c r="B39" s="292">
        <v>0</v>
      </c>
      <c r="C39" s="293"/>
      <c r="D39" s="292">
        <v>0</v>
      </c>
    </row>
    <row r="40" spans="1:6">
      <c r="A40" s="278" t="s">
        <v>975</v>
      </c>
      <c r="B40" s="292">
        <f>+PATRIMONIO!K25</f>
        <v>-63003.47</v>
      </c>
      <c r="C40" s="293"/>
      <c r="D40" s="292">
        <v>669009.91999995708</v>
      </c>
    </row>
    <row r="41" spans="1:6" ht="15" customHeight="1">
      <c r="A41" s="278" t="s">
        <v>976</v>
      </c>
      <c r="B41" s="292">
        <v>0</v>
      </c>
      <c r="C41" s="293"/>
      <c r="D41" s="292">
        <v>0</v>
      </c>
    </row>
    <row r="42" spans="1:6">
      <c r="A42" s="278" t="s">
        <v>977</v>
      </c>
      <c r="B42" s="292" t="e">
        <f>-'BALANZA G'!#REF!-'BALANZA G'!#REF!-'BALANZA G'!#REF!</f>
        <v>#REF!</v>
      </c>
      <c r="C42" s="293"/>
      <c r="D42" s="292">
        <v>-6886742.1599900005</v>
      </c>
    </row>
    <row r="43" spans="1:6" ht="14.25" customHeight="1" thickBot="1">
      <c r="A43" s="278" t="s">
        <v>978</v>
      </c>
      <c r="B43" s="294">
        <v>0</v>
      </c>
      <c r="C43" s="293"/>
      <c r="D43" s="294">
        <v>0</v>
      </c>
    </row>
    <row r="44" spans="1:6" ht="16.5" thickBot="1">
      <c r="A44" s="276" t="s">
        <v>979</v>
      </c>
      <c r="B44" s="295" t="e">
        <f>SUM(B39:B43)</f>
        <v>#REF!</v>
      </c>
      <c r="C44" s="274"/>
      <c r="D44" s="295">
        <f>SUM(D39:D43)</f>
        <v>-6217732.2399900435</v>
      </c>
    </row>
    <row r="45" spans="1:6">
      <c r="A45" s="276" t="s">
        <v>980</v>
      </c>
      <c r="B45" s="292"/>
      <c r="C45" s="293"/>
      <c r="D45" s="292"/>
    </row>
    <row r="46" spans="1:6">
      <c r="A46" s="278" t="s">
        <v>981</v>
      </c>
      <c r="B46" s="292" t="e">
        <f>+'BALANZA G'!#REF!</f>
        <v>#REF!</v>
      </c>
      <c r="C46" s="293"/>
      <c r="D46" s="292">
        <v>767028.23000013828</v>
      </c>
    </row>
    <row r="47" spans="1:6" hidden="1">
      <c r="A47" s="278" t="s">
        <v>982</v>
      </c>
      <c r="B47" s="292">
        <v>0</v>
      </c>
      <c r="C47" s="293"/>
      <c r="D47" s="292">
        <v>0</v>
      </c>
    </row>
    <row r="48" spans="1:6" hidden="1">
      <c r="A48" s="278" t="s">
        <v>983</v>
      </c>
      <c r="B48" s="292">
        <v>0</v>
      </c>
      <c r="C48" s="293"/>
      <c r="D48" s="292">
        <v>0</v>
      </c>
    </row>
    <row r="49" spans="1:4" hidden="1">
      <c r="A49" s="278" t="s">
        <v>984</v>
      </c>
      <c r="B49" s="292">
        <v>0</v>
      </c>
      <c r="C49" s="293"/>
      <c r="D49" s="292">
        <v>0</v>
      </c>
    </row>
    <row r="50" spans="1:4" hidden="1">
      <c r="A50" s="278" t="s">
        <v>985</v>
      </c>
      <c r="B50" s="292">
        <v>0</v>
      </c>
      <c r="C50" s="293"/>
      <c r="D50" s="292">
        <v>0</v>
      </c>
    </row>
    <row r="51" spans="1:4" hidden="1">
      <c r="A51" s="278" t="s">
        <v>986</v>
      </c>
      <c r="B51" s="292">
        <v>0</v>
      </c>
      <c r="C51" s="293"/>
      <c r="D51" s="292">
        <v>0</v>
      </c>
    </row>
    <row r="52" spans="1:4" hidden="1">
      <c r="A52" s="278" t="s">
        <v>987</v>
      </c>
      <c r="B52" s="292">
        <v>0</v>
      </c>
      <c r="C52" s="293"/>
      <c r="D52" s="292">
        <v>0</v>
      </c>
    </row>
    <row r="53" spans="1:4" ht="13.5" customHeight="1">
      <c r="A53" s="278" t="s">
        <v>988</v>
      </c>
      <c r="B53" s="292">
        <v>0</v>
      </c>
      <c r="C53" s="293"/>
      <c r="D53" s="292">
        <v>0</v>
      </c>
    </row>
    <row r="54" spans="1:4" ht="16.5" thickBot="1">
      <c r="A54" s="276" t="s">
        <v>989</v>
      </c>
      <c r="B54" s="295" t="e">
        <f>SUM(B46:B53)</f>
        <v>#REF!</v>
      </c>
      <c r="C54" s="274"/>
      <c r="D54" s="295">
        <f>SUM(D46:D53)</f>
        <v>767028.23000013828</v>
      </c>
    </row>
    <row r="55" spans="1:4" ht="16.5" thickBot="1">
      <c r="A55" s="1995" t="s">
        <v>990</v>
      </c>
      <c r="B55" s="273" t="e">
        <f>B44-B54</f>
        <v>#REF!</v>
      </c>
      <c r="C55" s="274"/>
      <c r="D55" s="273">
        <f>D44-D54</f>
        <v>-6984760.4699901817</v>
      </c>
    </row>
    <row r="56" spans="1:4" ht="16.5" thickTop="1">
      <c r="A56" s="1995"/>
      <c r="B56" s="292"/>
      <c r="C56" s="293"/>
      <c r="D56" s="292"/>
    </row>
    <row r="57" spans="1:4">
      <c r="A57" s="276" t="s">
        <v>991</v>
      </c>
      <c r="B57" s="292"/>
      <c r="C57" s="293"/>
      <c r="D57" s="292"/>
    </row>
    <row r="58" spans="1:4">
      <c r="A58" s="276" t="s">
        <v>973</v>
      </c>
      <c r="B58" s="292"/>
      <c r="C58" s="293"/>
      <c r="D58" s="292"/>
    </row>
    <row r="59" spans="1:4">
      <c r="A59" s="278" t="s">
        <v>992</v>
      </c>
      <c r="B59" s="292">
        <v>0</v>
      </c>
      <c r="C59" s="293"/>
      <c r="D59" s="292">
        <v>0</v>
      </c>
    </row>
    <row r="60" spans="1:4" ht="11.25" hidden="1" customHeight="1">
      <c r="A60" s="278" t="s">
        <v>993</v>
      </c>
      <c r="B60" s="292">
        <v>0</v>
      </c>
      <c r="C60" s="293"/>
      <c r="D60" s="292">
        <v>0</v>
      </c>
    </row>
    <row r="61" spans="1:4" ht="12.75" hidden="1" customHeight="1">
      <c r="A61" s="278" t="s">
        <v>994</v>
      </c>
      <c r="B61" s="292">
        <v>0</v>
      </c>
      <c r="C61" s="293"/>
      <c r="D61" s="292">
        <v>0</v>
      </c>
    </row>
    <row r="62" spans="1:4" ht="16.5" thickBot="1">
      <c r="A62" s="276" t="s">
        <v>995</v>
      </c>
      <c r="B62" s="273">
        <f>SUM(B59:B61)</f>
        <v>0</v>
      </c>
      <c r="C62" s="274"/>
      <c r="D62" s="273">
        <f>SUM(D59:D61)</f>
        <v>0</v>
      </c>
    </row>
    <row r="63" spans="1:4" ht="16.5" thickTop="1">
      <c r="A63" s="279"/>
      <c r="B63" s="291"/>
      <c r="C63" s="274"/>
      <c r="D63" s="291"/>
    </row>
    <row r="64" spans="1:4" ht="13.5" customHeight="1">
      <c r="A64" s="276" t="s">
        <v>980</v>
      </c>
      <c r="B64" s="292"/>
      <c r="C64" s="293"/>
      <c r="D64" s="292"/>
    </row>
    <row r="65" spans="1:5" ht="13.5" hidden="1" customHeight="1">
      <c r="A65" s="278" t="s">
        <v>996</v>
      </c>
      <c r="B65" s="292">
        <v>0</v>
      </c>
      <c r="C65" s="293"/>
      <c r="D65" s="292">
        <v>0</v>
      </c>
    </row>
    <row r="66" spans="1:5" ht="15" customHeight="1" thickBot="1">
      <c r="A66" s="278" t="s">
        <v>997</v>
      </c>
      <c r="B66" s="292" t="e">
        <f>-'BALANZA G'!#REF!-B65</f>
        <v>#REF!</v>
      </c>
      <c r="C66" s="293"/>
      <c r="D66" s="292">
        <f>14498178.6+1400</f>
        <v>14499578.6</v>
      </c>
    </row>
    <row r="67" spans="1:5" ht="20.25" hidden="1" customHeight="1" thickBot="1">
      <c r="A67" s="278" t="s">
        <v>998</v>
      </c>
      <c r="B67" s="292">
        <v>0</v>
      </c>
      <c r="C67" s="293"/>
      <c r="D67" s="292">
        <v>0</v>
      </c>
    </row>
    <row r="68" spans="1:5" ht="16.5" thickBot="1">
      <c r="A68" s="276" t="s">
        <v>971</v>
      </c>
      <c r="B68" s="296" t="e">
        <f>SUM(B65:B67)</f>
        <v>#REF!</v>
      </c>
      <c r="C68" s="274"/>
      <c r="D68" s="296">
        <f>SUM(D65:D67)</f>
        <v>14499578.6</v>
      </c>
    </row>
    <row r="69" spans="1:5" ht="16.5" thickBot="1">
      <c r="A69" s="276" t="s">
        <v>999</v>
      </c>
      <c r="B69" s="295" t="e">
        <f>B62-B68</f>
        <v>#REF!</v>
      </c>
      <c r="C69" s="274"/>
      <c r="D69" s="295">
        <f>D62-D68</f>
        <v>-14499578.6</v>
      </c>
    </row>
    <row r="70" spans="1:5">
      <c r="A70" s="279"/>
      <c r="B70" s="291"/>
      <c r="C70" s="274"/>
      <c r="D70" s="291"/>
    </row>
    <row r="71" spans="1:5" ht="24" customHeight="1" thickBot="1">
      <c r="A71" s="280" t="s">
        <v>1000</v>
      </c>
      <c r="B71" s="295" t="e">
        <f>B36+B55+B69</f>
        <v>#REF!</v>
      </c>
      <c r="C71" s="274"/>
      <c r="D71" s="295">
        <f>D36+D55+D69</f>
        <v>261392417.89000985</v>
      </c>
    </row>
    <row r="72" spans="1:5">
      <c r="A72" s="279"/>
      <c r="B72" s="292"/>
      <c r="C72" s="293"/>
      <c r="D72" s="292"/>
    </row>
    <row r="73" spans="1:5" ht="16.5" thickBot="1">
      <c r="A73" s="276" t="s">
        <v>1001</v>
      </c>
      <c r="B73" s="295" t="e">
        <f>+'BALANZA G'!#REF!</f>
        <v>#REF!</v>
      </c>
      <c r="C73" s="274"/>
      <c r="D73" s="295">
        <v>1495807.86</v>
      </c>
    </row>
    <row r="74" spans="1:5" ht="16.5" thickBot="1">
      <c r="A74" s="280" t="s">
        <v>1002</v>
      </c>
      <c r="B74" s="295" t="e">
        <f>B71+B73</f>
        <v>#REF!</v>
      </c>
      <c r="C74" s="274"/>
      <c r="D74" s="295">
        <f>D71+D73</f>
        <v>262888225.75000986</v>
      </c>
    </row>
    <row r="75" spans="1:5">
      <c r="B75" s="297"/>
      <c r="C75" s="298"/>
      <c r="D75" s="297"/>
    </row>
    <row r="76" spans="1:5" ht="15">
      <c r="B76" s="362" t="e">
        <f>B74-'BALANZA G'!#REF!</f>
        <v>#REF!</v>
      </c>
      <c r="C76" s="362"/>
      <c r="D76" s="362" t="e">
        <f>D74-'BALANZA G'!#REF!</f>
        <v>#REF!</v>
      </c>
    </row>
    <row r="77" spans="1:5">
      <c r="B77" s="297"/>
      <c r="C77" s="298"/>
      <c r="D77" s="297"/>
    </row>
    <row r="78" spans="1:5" ht="15">
      <c r="A78" s="1960" t="s">
        <v>1025</v>
      </c>
      <c r="B78" s="1960"/>
      <c r="C78" s="1960"/>
      <c r="D78" s="1960"/>
      <c r="E78" s="1960"/>
    </row>
    <row r="79" spans="1:5" ht="15">
      <c r="A79" s="1961" t="s">
        <v>1023</v>
      </c>
      <c r="B79" s="1961"/>
      <c r="C79" s="1961"/>
      <c r="D79" s="1961"/>
      <c r="E79" s="1961"/>
    </row>
    <row r="80" spans="1:5" ht="15">
      <c r="A80" s="281"/>
      <c r="B80" s="179"/>
      <c r="C80" s="179"/>
      <c r="D80" s="179"/>
      <c r="E80"/>
    </row>
    <row r="81" spans="1:5" ht="15">
      <c r="A81" s="282"/>
      <c r="B81" s="282"/>
      <c r="C81" s="282"/>
      <c r="D81" s="282"/>
      <c r="E81" s="57"/>
    </row>
    <row r="82" spans="1:5" ht="15">
      <c r="A82" s="283"/>
      <c r="B82" s="179"/>
      <c r="C82" s="179"/>
      <c r="D82" s="283"/>
      <c r="E82"/>
    </row>
    <row r="83" spans="1:5" ht="15">
      <c r="A83" s="283"/>
      <c r="B83" s="179"/>
      <c r="C83" s="179"/>
      <c r="D83" s="283"/>
      <c r="E83"/>
    </row>
    <row r="84" spans="1:5" ht="15">
      <c r="A84" s="283" t="s">
        <v>1024</v>
      </c>
      <c r="B84" s="1991" t="s">
        <v>1027</v>
      </c>
      <c r="C84" s="1991"/>
      <c r="D84" s="1991"/>
      <c r="E84"/>
    </row>
    <row r="85" spans="1:5" ht="15">
      <c r="A85" s="284" t="s">
        <v>933</v>
      </c>
      <c r="B85" s="1992" t="s">
        <v>1026</v>
      </c>
      <c r="C85" s="1992"/>
      <c r="D85" s="1992"/>
      <c r="E85"/>
    </row>
    <row r="86" spans="1:5">
      <c r="B86" s="297"/>
      <c r="C86" s="298"/>
      <c r="D86" s="297"/>
    </row>
    <row r="87" spans="1:5">
      <c r="B87" s="297"/>
      <c r="C87" s="298"/>
      <c r="D87" s="297"/>
    </row>
    <row r="88" spans="1:5">
      <c r="B88" s="297"/>
      <c r="C88" s="298"/>
      <c r="D88" s="297"/>
    </row>
    <row r="89" spans="1:5">
      <c r="B89" s="297"/>
      <c r="C89" s="298"/>
      <c r="D89" s="297"/>
    </row>
    <row r="90" spans="1:5">
      <c r="B90" s="297"/>
      <c r="C90" s="298"/>
      <c r="D90" s="297"/>
    </row>
    <row r="91" spans="1:5">
      <c r="B91" s="297"/>
      <c r="C91" s="298"/>
      <c r="D91" s="297"/>
    </row>
    <row r="92" spans="1:5">
      <c r="B92" s="297"/>
      <c r="C92" s="298"/>
      <c r="D92" s="297"/>
    </row>
    <row r="93" spans="1:5">
      <c r="B93" s="297"/>
      <c r="C93" s="298"/>
      <c r="D93" s="297"/>
    </row>
    <row r="94" spans="1:5">
      <c r="B94" s="297"/>
      <c r="C94" s="298"/>
      <c r="D94" s="297"/>
    </row>
    <row r="95" spans="1:5">
      <c r="B95" s="297"/>
      <c r="C95" s="298"/>
      <c r="D95" s="297"/>
    </row>
    <row r="96" spans="1:5">
      <c r="B96" s="297"/>
      <c r="C96" s="298"/>
      <c r="D96" s="297"/>
    </row>
    <row r="97" spans="2:4">
      <c r="B97" s="297"/>
      <c r="C97" s="298"/>
      <c r="D97" s="297"/>
    </row>
    <row r="98" spans="2:4">
      <c r="B98" s="297"/>
      <c r="C98" s="298"/>
      <c r="D98" s="297"/>
    </row>
    <row r="99" spans="2:4">
      <c r="B99" s="297"/>
      <c r="C99" s="298"/>
      <c r="D99" s="297"/>
    </row>
    <row r="100" spans="2:4">
      <c r="B100" s="297"/>
      <c r="C100" s="298"/>
      <c r="D100" s="297"/>
    </row>
    <row r="101" spans="2:4">
      <c r="B101" s="297"/>
      <c r="C101" s="298"/>
      <c r="D101" s="297"/>
    </row>
    <row r="102" spans="2:4">
      <c r="B102" s="297"/>
      <c r="C102" s="298"/>
      <c r="D102" s="297"/>
    </row>
    <row r="103" spans="2:4">
      <c r="B103" s="297"/>
      <c r="C103" s="298"/>
      <c r="D103" s="297"/>
    </row>
    <row r="104" spans="2:4">
      <c r="B104" s="297"/>
      <c r="C104" s="298"/>
      <c r="D104" s="297"/>
    </row>
    <row r="105" spans="2:4">
      <c r="B105" s="297"/>
      <c r="C105" s="298"/>
      <c r="D105" s="297"/>
    </row>
    <row r="106" spans="2:4">
      <c r="B106" s="297"/>
      <c r="C106" s="298"/>
      <c r="D106" s="297"/>
    </row>
    <row r="107" spans="2:4">
      <c r="B107" s="297"/>
      <c r="C107" s="298"/>
      <c r="D107" s="297"/>
    </row>
    <row r="108" spans="2:4">
      <c r="B108" s="297"/>
      <c r="C108" s="298"/>
      <c r="D108" s="297"/>
    </row>
    <row r="109" spans="2:4">
      <c r="B109" s="297"/>
      <c r="C109" s="298"/>
      <c r="D109" s="297"/>
    </row>
    <row r="110" spans="2:4">
      <c r="B110" s="297"/>
      <c r="C110" s="298"/>
      <c r="D110" s="297"/>
    </row>
    <row r="111" spans="2:4">
      <c r="B111" s="297"/>
      <c r="C111" s="298"/>
      <c r="D111" s="297"/>
    </row>
    <row r="112" spans="2:4">
      <c r="B112" s="297"/>
      <c r="C112" s="298"/>
      <c r="D112" s="297"/>
    </row>
    <row r="113" spans="2:4">
      <c r="B113" s="297"/>
      <c r="C113" s="298"/>
      <c r="D113" s="297"/>
    </row>
    <row r="114" spans="2:4">
      <c r="B114" s="297"/>
      <c r="C114" s="298"/>
      <c r="D114" s="297"/>
    </row>
    <row r="115" spans="2:4">
      <c r="B115" s="297"/>
      <c r="C115" s="298"/>
      <c r="D115" s="297"/>
    </row>
    <row r="116" spans="2:4">
      <c r="B116" s="297"/>
      <c r="C116" s="298"/>
      <c r="D116" s="297"/>
    </row>
    <row r="117" spans="2:4">
      <c r="B117" s="297"/>
      <c r="C117" s="298"/>
      <c r="D117" s="297"/>
    </row>
    <row r="118" spans="2:4">
      <c r="B118" s="297"/>
      <c r="C118" s="298"/>
      <c r="D118" s="297"/>
    </row>
    <row r="119" spans="2:4">
      <c r="B119" s="297"/>
      <c r="C119" s="298"/>
      <c r="D119" s="297"/>
    </row>
    <row r="120" spans="2:4">
      <c r="B120" s="297"/>
      <c r="C120" s="298"/>
      <c r="D120" s="297"/>
    </row>
  </sheetData>
  <mergeCells count="10">
    <mergeCell ref="A1:D1"/>
    <mergeCell ref="A78:E78"/>
    <mergeCell ref="A79:E79"/>
    <mergeCell ref="B84:D84"/>
    <mergeCell ref="B85:D85"/>
    <mergeCell ref="A2:D2"/>
    <mergeCell ref="A3:D3"/>
    <mergeCell ref="A4:D4"/>
    <mergeCell ref="A5:D5"/>
    <mergeCell ref="A55:A56"/>
  </mergeCells>
  <pageMargins left="0.70866141732283472" right="0.70866141732283472" top="0.74803149606299213" bottom="0.74803149606299213" header="0.31496062992125984" footer="0.31496062992125984"/>
  <pageSetup scale="85" orientation="portrait" horizontalDpi="4294967294" verticalDpi="4294967294"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M40"/>
  <sheetViews>
    <sheetView workbookViewId="0">
      <selection activeCell="K25" sqref="K25"/>
    </sheetView>
  </sheetViews>
  <sheetFormatPr baseColWidth="10" defaultColWidth="9.140625" defaultRowHeight="15"/>
  <cols>
    <col min="1" max="1" width="34.140625" customWidth="1"/>
    <col min="2" max="2" width="13" bestFit="1" customWidth="1"/>
    <col min="3" max="3" width="0.85546875" customWidth="1"/>
    <col min="4" max="4" width="17.42578125" bestFit="1" customWidth="1"/>
    <col min="5" max="5" width="0.7109375" customWidth="1"/>
    <col min="6" max="6" width="18.7109375" customWidth="1"/>
    <col min="7" max="7" width="1" customWidth="1"/>
    <col min="8" max="8" width="17.28515625" customWidth="1"/>
    <col min="9" max="9" width="0.7109375" customWidth="1"/>
    <col min="10" max="10" width="13.28515625" customWidth="1"/>
    <col min="11" max="11" width="14.28515625" customWidth="1"/>
    <col min="12" max="12" width="0.85546875" customWidth="1"/>
    <col min="13" max="13" width="14.140625" customWidth="1"/>
  </cols>
  <sheetData>
    <row r="1" spans="1:13" ht="15.75" thickBot="1"/>
    <row r="2" spans="1:13">
      <c r="A2" s="2006" t="s">
        <v>1003</v>
      </c>
      <c r="B2" s="2007"/>
      <c r="C2" s="2007"/>
      <c r="D2" s="2007"/>
      <c r="E2" s="2007"/>
      <c r="F2" s="2007"/>
      <c r="G2" s="2007"/>
      <c r="H2" s="2007"/>
      <c r="I2" s="2007"/>
      <c r="J2" s="2007"/>
      <c r="K2" s="2007"/>
      <c r="L2" s="2007"/>
      <c r="M2" s="2008"/>
    </row>
    <row r="3" spans="1:13">
      <c r="A3" s="2009" t="str">
        <f>BALANZA!B1</f>
        <v>CORPORACION DEL ACUEDUCTO Y ALCANTARILLADO DE MOCA</v>
      </c>
      <c r="B3" s="2010"/>
      <c r="C3" s="2010"/>
      <c r="D3" s="2010"/>
      <c r="E3" s="2010"/>
      <c r="F3" s="2010"/>
      <c r="G3" s="2010"/>
      <c r="H3" s="2010"/>
      <c r="I3" s="2010"/>
      <c r="J3" s="2010"/>
      <c r="K3" s="2010"/>
      <c r="L3" s="2010"/>
      <c r="M3" s="2011"/>
    </row>
    <row r="4" spans="1:13">
      <c r="A4" s="2009" t="s">
        <v>1004</v>
      </c>
      <c r="B4" s="2010"/>
      <c r="C4" s="2010"/>
      <c r="D4" s="2010"/>
      <c r="E4" s="2010"/>
      <c r="F4" s="2010"/>
      <c r="G4" s="2010"/>
      <c r="H4" s="2010"/>
      <c r="I4" s="2010"/>
      <c r="J4" s="2010"/>
      <c r="K4" s="2010"/>
      <c r="L4" s="2010"/>
      <c r="M4" s="2011"/>
    </row>
    <row r="5" spans="1:13">
      <c r="A5" s="2009"/>
      <c r="B5" s="2010"/>
      <c r="C5" s="2010"/>
      <c r="D5" s="2010"/>
      <c r="E5" s="2010"/>
      <c r="F5" s="2010"/>
      <c r="G5" s="2010"/>
      <c r="H5" s="2010"/>
      <c r="I5" s="2010"/>
      <c r="J5" s="2010"/>
      <c r="K5" s="2010"/>
      <c r="L5" s="2010"/>
      <c r="M5" s="2011"/>
    </row>
    <row r="6" spans="1:13">
      <c r="A6" s="2012" t="str">
        <f>RESULTADO!A4</f>
        <v>DEL EJERCICIO TERMINADO EL  31 DE MARZO DE 2026  Y  2025</v>
      </c>
      <c r="B6" s="2013"/>
      <c r="C6" s="2013"/>
      <c r="D6" s="2013"/>
      <c r="E6" s="2013"/>
      <c r="F6" s="2013"/>
      <c r="G6" s="2013"/>
      <c r="H6" s="2013"/>
      <c r="I6" s="2013"/>
      <c r="J6" s="2013"/>
      <c r="K6" s="2013"/>
      <c r="L6" s="2013"/>
      <c r="M6" s="2014"/>
    </row>
    <row r="7" spans="1:13" ht="15.75" thickBot="1">
      <c r="A7" s="2015" t="s">
        <v>926</v>
      </c>
      <c r="B7" s="2016"/>
      <c r="C7" s="2016"/>
      <c r="D7" s="2016"/>
      <c r="E7" s="2016"/>
      <c r="F7" s="2016"/>
      <c r="G7" s="2016"/>
      <c r="H7" s="2016"/>
      <c r="I7" s="2016"/>
      <c r="J7" s="2016"/>
      <c r="K7" s="2016"/>
      <c r="L7" s="2016"/>
      <c r="M7" s="2017"/>
    </row>
    <row r="8" spans="1:13" ht="14.25" customHeight="1" thickTop="1">
      <c r="A8" s="2004" t="s">
        <v>1005</v>
      </c>
      <c r="B8" s="2000" t="s">
        <v>1006</v>
      </c>
      <c r="C8" s="1998"/>
      <c r="D8" s="2000" t="s">
        <v>1007</v>
      </c>
      <c r="E8" s="1998"/>
      <c r="F8" s="2000" t="s">
        <v>1008</v>
      </c>
      <c r="G8" s="1998"/>
      <c r="H8" s="2000" t="s">
        <v>1009</v>
      </c>
      <c r="I8" s="1998"/>
      <c r="J8" s="1998" t="s">
        <v>1010</v>
      </c>
      <c r="K8" s="1998"/>
      <c r="L8" s="1998"/>
      <c r="M8" s="2002" t="s">
        <v>907</v>
      </c>
    </row>
    <row r="9" spans="1:13" ht="38.25" customHeight="1" thickBot="1">
      <c r="A9" s="2005"/>
      <c r="B9" s="2001"/>
      <c r="C9" s="1999"/>
      <c r="D9" s="2001"/>
      <c r="E9" s="1999"/>
      <c r="F9" s="2001"/>
      <c r="G9" s="1999"/>
      <c r="H9" s="2001"/>
      <c r="I9" s="1999"/>
      <c r="J9" s="117" t="s">
        <v>1011</v>
      </c>
      <c r="K9" s="117" t="s">
        <v>1012</v>
      </c>
      <c r="L9" s="1999"/>
      <c r="M9" s="2003"/>
    </row>
    <row r="10" spans="1:13">
      <c r="A10" s="111" t="s">
        <v>2008</v>
      </c>
      <c r="B10" s="113" t="e">
        <f>'BALANZA G'!#REF!</f>
        <v>#REF!</v>
      </c>
      <c r="C10" s="1999"/>
      <c r="D10" s="118"/>
      <c r="E10" s="1999"/>
      <c r="F10" s="118"/>
      <c r="G10" s="1999"/>
      <c r="H10" s="118"/>
      <c r="I10" s="1999"/>
      <c r="J10" s="118"/>
      <c r="K10" s="119"/>
      <c r="L10" s="1999"/>
      <c r="M10" s="125" t="e">
        <f t="shared" ref="M10:M18" si="0">+K10+J10+H10+F10+D10+B10</f>
        <v>#REF!</v>
      </c>
    </row>
    <row r="11" spans="1:13">
      <c r="A11" s="68" t="s">
        <v>1013</v>
      </c>
      <c r="B11" s="110"/>
      <c r="C11" s="1999"/>
      <c r="D11" s="120"/>
      <c r="E11" s="1999"/>
      <c r="F11" s="120"/>
      <c r="G11" s="1999"/>
      <c r="H11" s="120"/>
      <c r="I11" s="1999"/>
      <c r="J11" s="120"/>
      <c r="K11" s="119"/>
      <c r="L11" s="1999"/>
      <c r="M11" s="125">
        <f t="shared" si="0"/>
        <v>0</v>
      </c>
    </row>
    <row r="12" spans="1:13">
      <c r="A12" s="69" t="s">
        <v>1014</v>
      </c>
      <c r="B12" s="113"/>
      <c r="C12" s="1999"/>
      <c r="D12" s="120"/>
      <c r="E12" s="1999"/>
      <c r="F12" s="120"/>
      <c r="G12" s="1999"/>
      <c r="H12" s="120"/>
      <c r="I12" s="1999"/>
      <c r="J12" s="120"/>
      <c r="K12" s="119"/>
      <c r="L12" s="1999"/>
      <c r="M12" s="125">
        <f t="shared" si="0"/>
        <v>0</v>
      </c>
    </row>
    <row r="13" spans="1:13">
      <c r="A13" s="68" t="s">
        <v>1015</v>
      </c>
      <c r="B13" s="123"/>
      <c r="C13" s="1999"/>
      <c r="D13" s="118"/>
      <c r="E13" s="1999"/>
      <c r="F13" s="120"/>
      <c r="G13" s="1999"/>
      <c r="H13" s="120"/>
      <c r="I13" s="1999"/>
      <c r="J13" s="120"/>
      <c r="K13" s="119"/>
      <c r="L13" s="1999"/>
      <c r="M13" s="125">
        <f t="shared" si="0"/>
        <v>0</v>
      </c>
    </row>
    <row r="14" spans="1:13">
      <c r="A14" s="68" t="s">
        <v>1016</v>
      </c>
      <c r="B14" s="123"/>
      <c r="C14" s="1999"/>
      <c r="D14" s="120"/>
      <c r="E14" s="1999"/>
      <c r="F14" s="118"/>
      <c r="G14" s="1999"/>
      <c r="H14" s="120"/>
      <c r="I14" s="1999"/>
      <c r="J14" s="120"/>
      <c r="K14" s="119"/>
      <c r="L14" s="1999"/>
      <c r="M14" s="125">
        <f t="shared" si="0"/>
        <v>0</v>
      </c>
    </row>
    <row r="15" spans="1:13">
      <c r="A15" s="68" t="s">
        <v>1017</v>
      </c>
      <c r="B15" s="123"/>
      <c r="C15" s="1999"/>
      <c r="D15" s="120"/>
      <c r="E15" s="1999"/>
      <c r="F15" s="120"/>
      <c r="G15" s="1999"/>
      <c r="H15" s="118"/>
      <c r="I15" s="1999"/>
      <c r="J15" s="120"/>
      <c r="K15" s="119"/>
      <c r="L15" s="1999"/>
      <c r="M15" s="125">
        <f t="shared" si="0"/>
        <v>0</v>
      </c>
    </row>
    <row r="16" spans="1:13">
      <c r="A16" s="68" t="s">
        <v>1018</v>
      </c>
      <c r="B16" s="123"/>
      <c r="C16" s="1999"/>
      <c r="D16" s="120"/>
      <c r="E16" s="1999"/>
      <c r="F16" s="120"/>
      <c r="G16" s="1999"/>
      <c r="H16" s="120"/>
      <c r="I16" s="1999"/>
      <c r="J16" s="118"/>
      <c r="K16" s="135">
        <v>674896.55</v>
      </c>
      <c r="L16" s="1999"/>
      <c r="M16" s="125">
        <f t="shared" si="0"/>
        <v>674896.55</v>
      </c>
    </row>
    <row r="17" spans="1:13">
      <c r="A17" s="68" t="s">
        <v>1038</v>
      </c>
      <c r="B17" s="123"/>
      <c r="C17" s="1999"/>
      <c r="D17" s="120"/>
      <c r="E17" s="1999"/>
      <c r="F17" s="123"/>
      <c r="G17" s="1999"/>
      <c r="H17" s="123"/>
      <c r="I17" s="1999"/>
      <c r="J17" s="122" t="e">
        <f>'BALANZA G'!#REF!-K16</f>
        <v>#REF!</v>
      </c>
      <c r="K17" s="124"/>
      <c r="L17" s="1999"/>
      <c r="M17" s="125" t="e">
        <f t="shared" si="0"/>
        <v>#REF!</v>
      </c>
    </row>
    <row r="18" spans="1:13" ht="15.75" thickBot="1">
      <c r="A18" s="68" t="s">
        <v>1020</v>
      </c>
      <c r="B18" s="129"/>
      <c r="C18" s="1999"/>
      <c r="D18" s="129"/>
      <c r="E18" s="1999"/>
      <c r="F18" s="129"/>
      <c r="G18" s="1999"/>
      <c r="H18" s="129"/>
      <c r="I18" s="1999"/>
      <c r="J18" s="121"/>
      <c r="K18" s="130" t="e">
        <f>'BALANZA G'!#REF!</f>
        <v>#REF!</v>
      </c>
      <c r="L18" s="1999"/>
      <c r="M18" s="126" t="e">
        <f t="shared" si="0"/>
        <v>#REF!</v>
      </c>
    </row>
    <row r="19" spans="1:13" ht="15.75" thickBot="1">
      <c r="A19" s="112" t="s">
        <v>2009</v>
      </c>
      <c r="B19" s="128" t="e">
        <f>SUM(B10:B18)</f>
        <v>#REF!</v>
      </c>
      <c r="C19" s="1999"/>
      <c r="D19" s="128">
        <f>SUM(D10:D18)</f>
        <v>0</v>
      </c>
      <c r="E19" s="1999"/>
      <c r="F19" s="128">
        <f>SUM(F10:F18)</f>
        <v>0</v>
      </c>
      <c r="G19" s="1999"/>
      <c r="H19" s="128">
        <f>SUM(H10:H18)</f>
        <v>0</v>
      </c>
      <c r="I19" s="1999"/>
      <c r="J19" s="128" t="e">
        <f>SUM(J10:J18)</f>
        <v>#REF!</v>
      </c>
      <c r="K19" s="128" t="e">
        <f>SUM(K10:K18)</f>
        <v>#REF!</v>
      </c>
      <c r="L19" s="1999"/>
      <c r="M19" s="127" t="e">
        <f>SUM(M10:M18)</f>
        <v>#REF!</v>
      </c>
    </row>
    <row r="20" spans="1:13" ht="15.75" thickTop="1">
      <c r="A20" s="68" t="s">
        <v>1013</v>
      </c>
      <c r="B20" s="123"/>
      <c r="C20" s="1999"/>
      <c r="D20" s="123"/>
      <c r="E20" s="1999"/>
      <c r="F20" s="123"/>
      <c r="G20" s="1999"/>
      <c r="H20" s="123"/>
      <c r="I20" s="1999"/>
      <c r="J20" s="123"/>
      <c r="K20" s="124"/>
      <c r="L20" s="1999"/>
      <c r="M20" s="125">
        <f t="shared" ref="M20:M27" si="1">+K20+J20+H20+F20+D20+B20</f>
        <v>0</v>
      </c>
    </row>
    <row r="21" spans="1:13">
      <c r="A21" s="69" t="s">
        <v>1014</v>
      </c>
      <c r="B21" s="113"/>
      <c r="C21" s="1999"/>
      <c r="D21" s="123"/>
      <c r="E21" s="1999"/>
      <c r="F21" s="123"/>
      <c r="G21" s="1999"/>
      <c r="H21" s="123"/>
      <c r="I21" s="1999"/>
      <c r="J21" s="123"/>
      <c r="K21" s="124"/>
      <c r="L21" s="1999"/>
      <c r="M21" s="125">
        <f t="shared" si="1"/>
        <v>0</v>
      </c>
    </row>
    <row r="22" spans="1:13">
      <c r="A22" s="68" t="s">
        <v>1015</v>
      </c>
      <c r="B22" s="123"/>
      <c r="C22" s="1999"/>
      <c r="D22" s="122"/>
      <c r="E22" s="1999"/>
      <c r="F22" s="123"/>
      <c r="G22" s="1999"/>
      <c r="H22" s="123"/>
      <c r="I22" s="1999"/>
      <c r="J22" s="123"/>
      <c r="K22" s="124"/>
      <c r="L22" s="1999"/>
      <c r="M22" s="125">
        <f t="shared" si="1"/>
        <v>0</v>
      </c>
    </row>
    <row r="23" spans="1:13">
      <c r="A23" s="68" t="s">
        <v>1016</v>
      </c>
      <c r="B23" s="123"/>
      <c r="C23" s="1999"/>
      <c r="D23" s="123"/>
      <c r="E23" s="1999"/>
      <c r="F23" s="122"/>
      <c r="G23" s="1999"/>
      <c r="H23" s="123"/>
      <c r="I23" s="1999"/>
      <c r="J23" s="123"/>
      <c r="K23" s="124"/>
      <c r="L23" s="1999"/>
      <c r="M23" s="125">
        <f t="shared" si="1"/>
        <v>0</v>
      </c>
    </row>
    <row r="24" spans="1:13">
      <c r="A24" s="68" t="s">
        <v>1017</v>
      </c>
      <c r="B24" s="123"/>
      <c r="C24" s="1999"/>
      <c r="D24" s="123"/>
      <c r="E24" s="1999"/>
      <c r="F24" s="123"/>
      <c r="G24" s="1999"/>
      <c r="H24" s="122"/>
      <c r="I24" s="1999"/>
      <c r="J24" s="123"/>
      <c r="K24" s="124"/>
      <c r="L24" s="1999"/>
      <c r="M24" s="125">
        <f t="shared" si="1"/>
        <v>0</v>
      </c>
    </row>
    <row r="25" spans="1:13">
      <c r="A25" s="68" t="s">
        <v>1018</v>
      </c>
      <c r="B25" s="123"/>
      <c r="C25" s="1999"/>
      <c r="D25" s="110"/>
      <c r="E25" s="1999"/>
      <c r="F25" s="123"/>
      <c r="G25" s="1999"/>
      <c r="H25" s="123"/>
      <c r="I25" s="1999"/>
      <c r="J25" s="123"/>
      <c r="K25" s="135">
        <f>-200000+50696.53+32500+53800</f>
        <v>-63003.47</v>
      </c>
      <c r="L25" s="1999"/>
      <c r="M25" s="125">
        <f t="shared" si="1"/>
        <v>-63003.47</v>
      </c>
    </row>
    <row r="26" spans="1:13">
      <c r="A26" s="68" t="s">
        <v>1019</v>
      </c>
      <c r="B26" s="123"/>
      <c r="C26" s="1999"/>
      <c r="D26" s="123"/>
      <c r="E26" s="1999"/>
      <c r="F26" s="123"/>
      <c r="G26" s="1999"/>
      <c r="H26" s="123"/>
      <c r="I26" s="1999"/>
      <c r="J26" s="122" t="e">
        <f>+K18</f>
        <v>#REF!</v>
      </c>
      <c r="K26" s="124" t="e">
        <f>-K18</f>
        <v>#REF!</v>
      </c>
      <c r="L26" s="1999"/>
      <c r="M26" s="125" t="e">
        <f t="shared" si="1"/>
        <v>#REF!</v>
      </c>
    </row>
    <row r="27" spans="1:13" ht="15.75" thickBot="1">
      <c r="A27" s="68" t="s">
        <v>1020</v>
      </c>
      <c r="B27" s="129"/>
      <c r="C27" s="1999"/>
      <c r="D27" s="129"/>
      <c r="E27" s="1999"/>
      <c r="F27" s="129"/>
      <c r="G27" s="1999"/>
      <c r="H27" s="129"/>
      <c r="I27" s="1999"/>
      <c r="J27" s="129"/>
      <c r="K27" s="130" t="e">
        <f>'BALANZA G'!#REF!</f>
        <v>#REF!</v>
      </c>
      <c r="L27" s="1999"/>
      <c r="M27" s="126" t="e">
        <f t="shared" si="1"/>
        <v>#REF!</v>
      </c>
    </row>
    <row r="28" spans="1:13" ht="21.75" customHeight="1" thickBot="1">
      <c r="A28" s="112" t="s">
        <v>2010</v>
      </c>
      <c r="B28" s="128" t="e">
        <f>SUM(B19:B27)</f>
        <v>#REF!</v>
      </c>
      <c r="C28" s="1999"/>
      <c r="D28" s="128">
        <f>SUM(D19:D27)</f>
        <v>0</v>
      </c>
      <c r="E28" s="1999"/>
      <c r="F28" s="128">
        <f>SUM(F19:F27)</f>
        <v>0</v>
      </c>
      <c r="G28" s="1999"/>
      <c r="H28" s="128">
        <f>SUM(H19:H27)</f>
        <v>0</v>
      </c>
      <c r="I28" s="1999"/>
      <c r="J28" s="128" t="e">
        <f>SUM(J19:J27)</f>
        <v>#REF!</v>
      </c>
      <c r="K28" s="128" t="e">
        <f>SUM(K19:K27)</f>
        <v>#REF!</v>
      </c>
      <c r="L28" s="1999"/>
      <c r="M28" s="127" t="e">
        <f>SUM(M19:M27)</f>
        <v>#REF!</v>
      </c>
    </row>
    <row r="29" spans="1:13" ht="15.75" thickTop="1">
      <c r="A29" s="70"/>
      <c r="B29" s="71"/>
      <c r="C29" s="72"/>
      <c r="D29" s="131"/>
      <c r="E29" s="72"/>
      <c r="F29" s="131"/>
      <c r="G29" s="72"/>
      <c r="H29" s="131"/>
      <c r="I29" s="72"/>
      <c r="J29" s="71"/>
      <c r="K29" s="71"/>
      <c r="L29" s="73"/>
      <c r="M29" s="74"/>
    </row>
    <row r="30" spans="1:13">
      <c r="A30" s="75" t="s">
        <v>1021</v>
      </c>
      <c r="B30" s="76"/>
      <c r="C30" s="76"/>
      <c r="D30" s="76"/>
      <c r="E30" s="76"/>
      <c r="F30" s="132"/>
      <c r="G30" s="76"/>
      <c r="H30" s="76"/>
      <c r="I30" s="76"/>
      <c r="J30" s="76"/>
      <c r="K30" s="77"/>
      <c r="L30" s="77"/>
      <c r="M30" s="78"/>
    </row>
    <row r="31" spans="1:13" ht="15.75" thickBot="1">
      <c r="A31" s="1996"/>
      <c r="B31" s="1997"/>
      <c r="C31" s="79"/>
      <c r="D31" s="79"/>
      <c r="E31" s="79"/>
      <c r="F31" s="133"/>
      <c r="G31" s="79"/>
      <c r="H31" s="79"/>
      <c r="I31" s="79"/>
      <c r="J31" s="79"/>
      <c r="K31" s="80"/>
      <c r="L31" s="80"/>
      <c r="M31" s="81" t="s">
        <v>1022</v>
      </c>
    </row>
    <row r="32" spans="1:13">
      <c r="F32" s="134"/>
    </row>
    <row r="33" spans="1:11">
      <c r="A33" s="138"/>
      <c r="F33" s="138"/>
      <c r="G33" s="138"/>
      <c r="H33" s="138"/>
      <c r="I33" s="138"/>
      <c r="J33" s="138"/>
    </row>
    <row r="34" spans="1:11">
      <c r="A34" s="139"/>
      <c r="E34" s="1960" t="s">
        <v>1025</v>
      </c>
      <c r="F34" s="1960"/>
      <c r="G34" s="1960"/>
      <c r="H34" s="1960"/>
      <c r="I34" s="1960"/>
      <c r="J34" s="139"/>
    </row>
    <row r="35" spans="1:11">
      <c r="A35" s="58"/>
      <c r="E35" s="1961" t="s">
        <v>1023</v>
      </c>
      <c r="F35" s="1961"/>
      <c r="G35" s="1961"/>
      <c r="H35" s="1961"/>
      <c r="I35" s="1961"/>
    </row>
    <row r="36" spans="1:11">
      <c r="A36" s="57"/>
    </row>
    <row r="37" spans="1:11">
      <c r="A37" s="59"/>
      <c r="D37" s="59"/>
    </row>
    <row r="38" spans="1:11">
      <c r="B38" s="1960" t="s">
        <v>1024</v>
      </c>
      <c r="C38" s="1960"/>
      <c r="D38" s="1960"/>
      <c r="I38" s="1960" t="s">
        <v>1027</v>
      </c>
      <c r="J38" s="1960"/>
      <c r="K38" s="1960"/>
    </row>
    <row r="39" spans="1:11">
      <c r="B39" s="1961" t="s">
        <v>933</v>
      </c>
      <c r="C39" s="1961"/>
      <c r="D39" s="1961"/>
      <c r="I39" s="1961" t="s">
        <v>1026</v>
      </c>
      <c r="J39" s="1961"/>
      <c r="K39" s="1961"/>
    </row>
    <row r="40" spans="1:11" ht="15.75">
      <c r="A40" s="67"/>
      <c r="B40" s="114"/>
      <c r="C40" s="115"/>
      <c r="D40" s="114"/>
      <c r="E40" s="67"/>
    </row>
  </sheetData>
  <mergeCells count="25">
    <mergeCell ref="A2:M2"/>
    <mergeCell ref="A3:M3"/>
    <mergeCell ref="A4:M4"/>
    <mergeCell ref="A5:M5"/>
    <mergeCell ref="A6:M6"/>
    <mergeCell ref="A7:M7"/>
    <mergeCell ref="M8:M9"/>
    <mergeCell ref="A8:A9"/>
    <mergeCell ref="B8:B9"/>
    <mergeCell ref="C8:C28"/>
    <mergeCell ref="D8:D9"/>
    <mergeCell ref="E8:E28"/>
    <mergeCell ref="F8:F9"/>
    <mergeCell ref="A31:B31"/>
    <mergeCell ref="G8:G28"/>
    <mergeCell ref="H8:H9"/>
    <mergeCell ref="I8:I28"/>
    <mergeCell ref="J8:K8"/>
    <mergeCell ref="L8:L28"/>
    <mergeCell ref="I38:K38"/>
    <mergeCell ref="I39:K39"/>
    <mergeCell ref="E34:I34"/>
    <mergeCell ref="E35:I35"/>
    <mergeCell ref="B38:D38"/>
    <mergeCell ref="B39:D39"/>
  </mergeCells>
  <printOptions horizontalCentered="1" verticalCentered="1"/>
  <pageMargins left="0.70866141732283472" right="0.70866141732283472" top="0.74803149606299213" bottom="0.74803149606299213" header="0.31496062992125984" footer="0.31496062992125984"/>
  <pageSetup scale="80" orientation="landscape" horizontalDpi="4294967294" verticalDpi="4294967294"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K69"/>
  <sheetViews>
    <sheetView workbookViewId="0">
      <selection activeCell="B31" sqref="B31"/>
    </sheetView>
  </sheetViews>
  <sheetFormatPr baseColWidth="10" defaultColWidth="9.140625" defaultRowHeight="15"/>
  <cols>
    <col min="1" max="1" width="33" customWidth="1"/>
    <col min="2" max="2" width="11.5703125" customWidth="1"/>
    <col min="3" max="3" width="3.140625" style="341" customWidth="1"/>
    <col min="4" max="4" width="11.5703125" customWidth="1"/>
    <col min="5" max="5" width="0.85546875" customWidth="1"/>
    <col min="6" max="6" width="56.140625" customWidth="1"/>
    <col min="7" max="7" width="1.42578125" customWidth="1"/>
    <col min="8" max="8" width="35.5703125" customWidth="1"/>
  </cols>
  <sheetData>
    <row r="1" spans="1:8">
      <c r="A1" s="1865" t="str">
        <f>BALANZA!B1</f>
        <v>CORPORACION DEL ACUEDUCTO Y ALCANTARILLADO DE MOCA</v>
      </c>
      <c r="B1" s="1865"/>
      <c r="C1" s="1865"/>
      <c r="D1" s="1865"/>
      <c r="E1" s="1865"/>
      <c r="F1" s="1865"/>
    </row>
    <row r="2" spans="1:8">
      <c r="A2" s="1865" t="s">
        <v>1308</v>
      </c>
      <c r="B2" s="1865"/>
      <c r="C2" s="1865"/>
      <c r="D2" s="1865"/>
      <c r="E2" s="1865"/>
      <c r="F2" s="1865"/>
    </row>
    <row r="3" spans="1:8" ht="7.5" customHeight="1">
      <c r="A3" s="334"/>
      <c r="B3" s="334"/>
      <c r="C3" s="339"/>
      <c r="D3" s="334"/>
      <c r="E3" s="334"/>
      <c r="F3" s="334"/>
    </row>
    <row r="4" spans="1:8" ht="20.25">
      <c r="A4" s="2018" t="s">
        <v>1344</v>
      </c>
      <c r="B4" s="2018"/>
      <c r="C4" s="2018"/>
      <c r="D4" s="2018"/>
      <c r="E4" s="2018"/>
      <c r="F4" s="2018"/>
      <c r="H4" s="27"/>
    </row>
    <row r="5" spans="1:8">
      <c r="A5" s="344" t="s">
        <v>1313</v>
      </c>
      <c r="B5" s="345">
        <f>$B$37</f>
        <v>2026</v>
      </c>
      <c r="C5" s="346"/>
      <c r="D5" s="345">
        <f>$D$37</f>
        <v>2025</v>
      </c>
      <c r="E5" s="345"/>
      <c r="F5" s="347" t="s">
        <v>1282</v>
      </c>
      <c r="H5" s="27"/>
    </row>
    <row r="6" spans="1:8">
      <c r="A6" s="348" t="s">
        <v>927</v>
      </c>
      <c r="B6" s="366">
        <f>+'ES F '!B18/'ES F '!B29</f>
        <v>0.35776534881463229</v>
      </c>
      <c r="C6" s="367">
        <f>B6-D6</f>
        <v>-2.8270502536142383E-3</v>
      </c>
      <c r="D6" s="366">
        <f>+'ES F '!C18/'ES F '!C29</f>
        <v>0.36059239906824653</v>
      </c>
      <c r="E6" s="349"/>
      <c r="F6" s="351" t="s">
        <v>1345</v>
      </c>
      <c r="H6" s="27"/>
    </row>
    <row r="7" spans="1:8">
      <c r="A7" s="348" t="s">
        <v>929</v>
      </c>
      <c r="B7" s="366">
        <f>+'ES F '!B27/'ES F '!B29</f>
        <v>0.64223465118536771</v>
      </c>
      <c r="C7" s="367">
        <f>B7-D7</f>
        <v>2.8270502536141828E-3</v>
      </c>
      <c r="D7" s="366">
        <f>+'ES F '!C27/'ES F '!C29</f>
        <v>0.63940760093175353</v>
      </c>
      <c r="E7" s="349"/>
      <c r="F7" s="351" t="s">
        <v>1346</v>
      </c>
      <c r="H7" s="27"/>
    </row>
    <row r="8" spans="1:8">
      <c r="A8" s="348" t="s">
        <v>930</v>
      </c>
      <c r="B8" s="366">
        <f>+'ES F '!B41/'ES F '!B29</f>
        <v>9.8926100577087124E-3</v>
      </c>
      <c r="C8" s="367">
        <f>-B8+D8</f>
        <v>-2.4258161499337043E-3</v>
      </c>
      <c r="D8" s="366">
        <f>+'ES F '!C41/'ES F '!C29</f>
        <v>7.4667939077750082E-3</v>
      </c>
      <c r="E8" s="349"/>
      <c r="F8" s="351" t="s">
        <v>1347</v>
      </c>
      <c r="H8" s="27"/>
    </row>
    <row r="9" spans="1:8">
      <c r="A9" s="348" t="s">
        <v>931</v>
      </c>
      <c r="B9" s="366">
        <f>+'ES F '!B50/'ES F '!B29</f>
        <v>0</v>
      </c>
      <c r="C9" s="367">
        <f>B9-D9</f>
        <v>0</v>
      </c>
      <c r="D9" s="366">
        <f>+'ES F '!C50/'ES F '!C29</f>
        <v>0</v>
      </c>
      <c r="E9" s="349"/>
      <c r="F9" s="351" t="s">
        <v>1348</v>
      </c>
      <c r="H9" s="27"/>
    </row>
    <row r="10" spans="1:8">
      <c r="A10" s="348" t="s">
        <v>932</v>
      </c>
      <c r="B10" s="366">
        <f>+'ES F '!B60/'ES F '!B29</f>
        <v>0.99010738994212732</v>
      </c>
      <c r="C10" s="367">
        <f>B10-D10</f>
        <v>-2.4258161507548781E-3</v>
      </c>
      <c r="D10" s="366">
        <f>+'ES F '!C60/'ES F '!C29</f>
        <v>0.9925332060928822</v>
      </c>
      <c r="E10" s="349"/>
      <c r="F10" s="351" t="s">
        <v>1349</v>
      </c>
    </row>
    <row r="11" spans="1:8" ht="9" customHeight="1">
      <c r="A11" s="334"/>
      <c r="B11" s="334"/>
      <c r="C11" s="339"/>
      <c r="D11" s="334"/>
      <c r="E11" s="334"/>
      <c r="F11" s="334"/>
    </row>
    <row r="12" spans="1:8" ht="20.25">
      <c r="A12" s="2018" t="s">
        <v>1333</v>
      </c>
      <c r="B12" s="2018"/>
      <c r="C12" s="2018"/>
      <c r="D12" s="2018"/>
      <c r="E12" s="2018"/>
      <c r="F12" s="2018"/>
    </row>
    <row r="13" spans="1:8">
      <c r="A13" s="344" t="s">
        <v>1313</v>
      </c>
      <c r="B13" s="345">
        <f>$B$37</f>
        <v>2026</v>
      </c>
      <c r="C13" s="346"/>
      <c r="D13" s="345">
        <f>$D$37</f>
        <v>2025</v>
      </c>
      <c r="E13" s="345"/>
      <c r="F13" s="347" t="s">
        <v>1282</v>
      </c>
    </row>
    <row r="14" spans="1:8">
      <c r="A14" s="348" t="str">
        <f>RESULTADO!A10</f>
        <v>DEL GOBIERNO CENTRAL</v>
      </c>
      <c r="B14" s="349">
        <f>+ERF!B12/ERF!B14</f>
        <v>0.36482865259025371</v>
      </c>
      <c r="C14" s="350">
        <f>B14-D14</f>
        <v>-0.25737507527860598</v>
      </c>
      <c r="D14" s="349">
        <f>+ERF!C12/ERF!C14</f>
        <v>0.62220372786885969</v>
      </c>
      <c r="E14" s="352"/>
      <c r="F14" s="351" t="s">
        <v>1331</v>
      </c>
    </row>
    <row r="15" spans="1:8">
      <c r="A15" s="348" t="str">
        <f>RESULTADO!A13</f>
        <v>OTROS INGRESOS</v>
      </c>
      <c r="B15" s="349">
        <f>+ERF!B11/ERF!B14</f>
        <v>0.63517134740974623</v>
      </c>
      <c r="C15" s="350">
        <f>B15-D15</f>
        <v>0.25737507527860598</v>
      </c>
      <c r="D15" s="349">
        <f>+ERF!C11/ERF!C14</f>
        <v>0.37779627213114025</v>
      </c>
      <c r="E15" s="352"/>
      <c r="F15" s="351" t="s">
        <v>1332</v>
      </c>
    </row>
    <row r="16" spans="1:8" ht="6.75" customHeight="1">
      <c r="A16" s="334"/>
      <c r="B16" s="334"/>
      <c r="C16" s="339"/>
      <c r="D16" s="334"/>
      <c r="E16" s="334"/>
      <c r="F16" s="334"/>
    </row>
    <row r="17" spans="1:8" ht="20.25">
      <c r="A17" s="2018" t="s">
        <v>1334</v>
      </c>
      <c r="B17" s="2018"/>
      <c r="C17" s="2018"/>
      <c r="D17" s="2018"/>
      <c r="E17" s="2018"/>
      <c r="F17" s="2018"/>
    </row>
    <row r="18" spans="1:8">
      <c r="A18" s="344" t="s">
        <v>1313</v>
      </c>
      <c r="B18" s="345">
        <f>$B$37</f>
        <v>2026</v>
      </c>
      <c r="C18" s="346"/>
      <c r="D18" s="345">
        <f>$D$37</f>
        <v>2025</v>
      </c>
      <c r="E18" s="345"/>
      <c r="F18" s="347" t="s">
        <v>1282</v>
      </c>
    </row>
    <row r="19" spans="1:8">
      <c r="A19" s="348" t="s">
        <v>2747</v>
      </c>
      <c r="B19" s="349">
        <f>ERF!B17/ERF!$B$14</f>
        <v>0.66039412653455198</v>
      </c>
      <c r="C19" s="350">
        <f t="shared" ref="C19:C26" si="0">-B19+D19</f>
        <v>-0.25058072359982803</v>
      </c>
      <c r="D19" s="349">
        <f>ERF!C17/ERF!$C$14</f>
        <v>0.40981340293472396</v>
      </c>
      <c r="E19" s="352"/>
      <c r="F19" s="351" t="s">
        <v>1335</v>
      </c>
    </row>
    <row r="20" spans="1:8">
      <c r="A20" s="348" t="s">
        <v>2748</v>
      </c>
      <c r="B20" s="349">
        <f>ERF!B18/ERF!$B$14</f>
        <v>0</v>
      </c>
      <c r="C20" s="350">
        <f t="shared" si="0"/>
        <v>6.0760282543731021E-5</v>
      </c>
      <c r="D20" s="349">
        <f>ERF!C18/ERF!$C$14</f>
        <v>6.0760282543731021E-5</v>
      </c>
      <c r="E20" s="352"/>
      <c r="F20" s="351" t="s">
        <v>2754</v>
      </c>
    </row>
    <row r="21" spans="1:8">
      <c r="A21" s="348" t="s">
        <v>2749</v>
      </c>
      <c r="B21" s="349">
        <f>ERF!B19/ERF!$B$14</f>
        <v>6.4794690978612235E-2</v>
      </c>
      <c r="C21" s="350">
        <f t="shared" si="0"/>
        <v>-8.9901225424793563E-3</v>
      </c>
      <c r="D21" s="349">
        <f>ERF!C19/ERF!$C$14</f>
        <v>5.5804568436132879E-2</v>
      </c>
      <c r="E21" s="352"/>
      <c r="F21" s="351" t="s">
        <v>1336</v>
      </c>
    </row>
    <row r="22" spans="1:8">
      <c r="A22" s="348" t="s">
        <v>2750</v>
      </c>
      <c r="B22" s="349">
        <f>ERF!B20/ERF!$B$14</f>
        <v>7.3542740598227035E-4</v>
      </c>
      <c r="C22" s="350">
        <f t="shared" si="0"/>
        <v>9.3503789523182265E-2</v>
      </c>
      <c r="D22" s="349">
        <f>ERF!C20/ERF!$C$14</f>
        <v>9.4239216929164538E-2</v>
      </c>
      <c r="E22" s="352"/>
      <c r="F22" s="351" t="s">
        <v>2753</v>
      </c>
    </row>
    <row r="23" spans="1:8">
      <c r="A23" s="348" t="s">
        <v>2751</v>
      </c>
      <c r="B23" s="349">
        <f>ERF!B21/ERF!$B$24</f>
        <v>0</v>
      </c>
      <c r="C23" s="350">
        <f t="shared" si="0"/>
        <v>0</v>
      </c>
      <c r="D23" s="349">
        <f>ERF!C21/ERF!$C$24</f>
        <v>0</v>
      </c>
      <c r="E23" s="352"/>
      <c r="F23" s="351" t="s">
        <v>2755</v>
      </c>
    </row>
    <row r="24" spans="1:8">
      <c r="A24" s="348" t="s">
        <v>2752</v>
      </c>
      <c r="B24" s="349">
        <f>ERF!B22/ERF!$B$24</f>
        <v>0.26947984839540945</v>
      </c>
      <c r="C24" s="350">
        <f t="shared" si="0"/>
        <v>-1.177027259931851E-2</v>
      </c>
      <c r="D24" s="349">
        <f>ERF!C22/ERF!$C$24</f>
        <v>0.25770957579609094</v>
      </c>
      <c r="E24" s="352"/>
      <c r="F24" s="351" t="s">
        <v>2756</v>
      </c>
    </row>
    <row r="25" spans="1:8">
      <c r="A25" s="348"/>
      <c r="B25" s="349"/>
      <c r="C25" s="350">
        <f t="shared" si="0"/>
        <v>0</v>
      </c>
      <c r="D25" s="349"/>
      <c r="E25" s="352"/>
      <c r="F25" s="351"/>
    </row>
    <row r="26" spans="1:8">
      <c r="A26" s="348"/>
      <c r="B26" s="349"/>
      <c r="C26" s="350">
        <f t="shared" si="0"/>
        <v>0</v>
      </c>
      <c r="D26" s="349"/>
      <c r="E26" s="352"/>
      <c r="F26" s="351"/>
    </row>
    <row r="27" spans="1:8" ht="9.75" customHeight="1">
      <c r="A27" s="336"/>
      <c r="B27" s="337"/>
      <c r="C27" s="340"/>
      <c r="D27" s="337"/>
      <c r="E27" s="337"/>
      <c r="F27" s="338"/>
    </row>
    <row r="28" spans="1:8" ht="20.25">
      <c r="A28" s="2018" t="s">
        <v>1337</v>
      </c>
      <c r="B28" s="2018"/>
      <c r="C28" s="2018"/>
      <c r="D28" s="2018"/>
      <c r="E28" s="2018"/>
      <c r="F28" s="2018"/>
    </row>
    <row r="29" spans="1:8">
      <c r="A29" s="344" t="s">
        <v>1313</v>
      </c>
      <c r="B29" s="345">
        <f>$B$37</f>
        <v>2026</v>
      </c>
      <c r="C29" s="346"/>
      <c r="D29" s="345">
        <f>$D$37</f>
        <v>2025</v>
      </c>
      <c r="E29" s="345"/>
      <c r="F29" s="347" t="s">
        <v>1282</v>
      </c>
    </row>
    <row r="30" spans="1:8">
      <c r="A30" s="348" t="s">
        <v>1339</v>
      </c>
      <c r="B30" s="352">
        <f>BALANZA!B5</f>
        <v>0</v>
      </c>
      <c r="C30" s="350">
        <f>-B30+D30</f>
        <v>823</v>
      </c>
      <c r="D30" s="353">
        <f>BALANZA!C5</f>
        <v>823</v>
      </c>
      <c r="E30" s="352"/>
      <c r="F30" s="351" t="s">
        <v>1350</v>
      </c>
      <c r="H30" s="27"/>
    </row>
    <row r="31" spans="1:8">
      <c r="A31" s="348" t="s">
        <v>1340</v>
      </c>
      <c r="B31" s="353">
        <f>'BALANZA G'!C162+'BALANZA G'!C190</f>
        <v>43001298.960000001</v>
      </c>
      <c r="C31" s="350">
        <f>-B31+D31</f>
        <v>124605276.22999999</v>
      </c>
      <c r="D31" s="353">
        <f>'BALANZA G'!D162+'BALANZA G'!D190</f>
        <v>167606575.19</v>
      </c>
      <c r="E31" s="352"/>
      <c r="F31" s="351" t="s">
        <v>1354</v>
      </c>
      <c r="H31" s="335"/>
    </row>
    <row r="32" spans="1:8">
      <c r="A32" s="348" t="s">
        <v>1342</v>
      </c>
      <c r="B32" s="365" t="e">
        <f>B31/B30/8</f>
        <v>#DIV/0!</v>
      </c>
      <c r="C32" s="350" t="e">
        <f>-B32+D32</f>
        <v>#DIV/0!</v>
      </c>
      <c r="D32" s="353">
        <f>D31/D30/12</f>
        <v>16971.099148440666</v>
      </c>
      <c r="E32" s="352"/>
      <c r="F32" s="351" t="s">
        <v>1351</v>
      </c>
      <c r="H32" s="335"/>
    </row>
    <row r="33" spans="1:11">
      <c r="A33" s="348" t="s">
        <v>1353</v>
      </c>
      <c r="B33" s="365" t="e">
        <f>RESULTADO!C13/Rf!B30/8</f>
        <v>#DIV/0!</v>
      </c>
      <c r="C33" s="350" t="e">
        <f>B33-D33</f>
        <v>#DIV/0!</v>
      </c>
      <c r="D33" s="353">
        <f>RESULTADO!E13/Rf!D30/12</f>
        <v>18887.655742203322</v>
      </c>
      <c r="E33" s="352"/>
      <c r="F33" s="351" t="s">
        <v>1352</v>
      </c>
      <c r="H33" s="335"/>
    </row>
    <row r="34" spans="1:11">
      <c r="A34" s="348" t="s">
        <v>1341</v>
      </c>
      <c r="B34" s="349" t="e">
        <f>(+B33-B32)/B32</f>
        <v>#DIV/0!</v>
      </c>
      <c r="C34" s="350" t="e">
        <f>B34-D34</f>
        <v>#DIV/0!</v>
      </c>
      <c r="D34" s="349">
        <f>(+D33-D32)/D32</f>
        <v>0.1129306108578567</v>
      </c>
      <c r="E34" s="352"/>
      <c r="F34" s="351" t="s">
        <v>1343</v>
      </c>
      <c r="H34" s="335"/>
    </row>
    <row r="35" spans="1:11" ht="23.25" customHeight="1">
      <c r="A35" s="2019" t="s">
        <v>1308</v>
      </c>
      <c r="B35" s="2019"/>
      <c r="C35" s="2019"/>
      <c r="D35" s="2019"/>
      <c r="E35" s="2019"/>
      <c r="F35" s="2019"/>
    </row>
    <row r="36" spans="1:11" ht="20.25">
      <c r="A36" s="2018" t="s">
        <v>1281</v>
      </c>
      <c r="B36" s="2018"/>
      <c r="C36" s="2018"/>
      <c r="D36" s="2018"/>
      <c r="E36" s="2018"/>
      <c r="F36" s="2018"/>
    </row>
    <row r="37" spans="1:11" s="333" customFormat="1" ht="12.75">
      <c r="A37" s="344" t="s">
        <v>1313</v>
      </c>
      <c r="B37" s="345">
        <f>BALANZA!B4</f>
        <v>2026</v>
      </c>
      <c r="C37" s="346"/>
      <c r="D37" s="345">
        <f>BALANZA!C4</f>
        <v>2025</v>
      </c>
      <c r="E37" s="345"/>
      <c r="F37" s="347" t="s">
        <v>1282</v>
      </c>
      <c r="H37" s="331"/>
    </row>
    <row r="38" spans="1:11">
      <c r="A38" s="348" t="s">
        <v>1283</v>
      </c>
      <c r="B38" s="354">
        <f>'ES F '!B18-'ES F '!B41</f>
        <v>424660402.46999997</v>
      </c>
      <c r="C38" s="350">
        <f>B38-D38</f>
        <v>-5286780.4089999795</v>
      </c>
      <c r="D38" s="354">
        <f>'ES F '!C18-'ES F '!C41</f>
        <v>429947182.87899995</v>
      </c>
      <c r="E38" s="354"/>
      <c r="F38" s="351" t="s">
        <v>1309</v>
      </c>
      <c r="H38" s="330"/>
    </row>
    <row r="39" spans="1:11">
      <c r="A39" s="348" t="s">
        <v>1307</v>
      </c>
      <c r="B39" s="355">
        <f>'ES F '!B18/'ES F '!B41</f>
        <v>36.164909637355755</v>
      </c>
      <c r="C39" s="350">
        <f>B39-D39</f>
        <v>-12.127892269600537</v>
      </c>
      <c r="D39" s="355">
        <f>'ES F '!C18/'ES F '!C41</f>
        <v>48.292801906956292</v>
      </c>
      <c r="E39" s="355"/>
      <c r="F39" s="351" t="s">
        <v>1310</v>
      </c>
      <c r="H39" s="329"/>
      <c r="I39" s="330"/>
      <c r="J39" s="330"/>
      <c r="K39" s="330"/>
    </row>
    <row r="40" spans="1:11">
      <c r="A40" s="348" t="s">
        <v>1284</v>
      </c>
      <c r="B40" s="355">
        <f>'ES F '!B11/'ES F '!B41</f>
        <v>34.959319464067413</v>
      </c>
      <c r="C40" s="350">
        <f>B40-D40</f>
        <v>-11.544393179238469</v>
      </c>
      <c r="D40" s="355">
        <f>'ES F '!C11/'ES F '!C41</f>
        <v>46.503712643305882</v>
      </c>
      <c r="E40" s="355"/>
      <c r="F40" s="351" t="s">
        <v>1311</v>
      </c>
      <c r="H40" s="329"/>
      <c r="I40" s="330"/>
      <c r="J40" s="330"/>
      <c r="K40" s="330"/>
    </row>
    <row r="41" spans="1:11">
      <c r="A41" s="348" t="s">
        <v>1285</v>
      </c>
      <c r="B41" s="356">
        <f>'ES F '!B18/'ES F '!B29</f>
        <v>0.35776534881463229</v>
      </c>
      <c r="C41" s="350">
        <f>B41-D41</f>
        <v>-2.8270502536142383E-3</v>
      </c>
      <c r="D41" s="356">
        <f>'ES F '!C18/'ES F '!C29</f>
        <v>0.36059239906824653</v>
      </c>
      <c r="E41" s="356"/>
      <c r="F41" s="351" t="s">
        <v>1312</v>
      </c>
      <c r="H41" s="329"/>
      <c r="I41" s="330"/>
      <c r="J41" s="330"/>
      <c r="K41" s="330"/>
    </row>
    <row r="43" spans="1:11" ht="20.25">
      <c r="A43" s="2018" t="s">
        <v>1298</v>
      </c>
      <c r="B43" s="2018"/>
      <c r="C43" s="2018"/>
      <c r="D43" s="2018"/>
      <c r="E43" s="2018"/>
      <c r="F43" s="2018"/>
    </row>
    <row r="44" spans="1:11" s="333" customFormat="1" ht="12.75">
      <c r="A44" s="344" t="s">
        <v>1313</v>
      </c>
      <c r="B44" s="345">
        <f>$B$37</f>
        <v>2026</v>
      </c>
      <c r="C44" s="346"/>
      <c r="D44" s="345">
        <f>$D$37</f>
        <v>2025</v>
      </c>
      <c r="E44" s="345"/>
      <c r="F44" s="347" t="s">
        <v>1282</v>
      </c>
    </row>
    <row r="45" spans="1:11">
      <c r="A45" s="348" t="s">
        <v>1299</v>
      </c>
      <c r="B45" s="356">
        <f>'ES F '!B18/'ES F '!B52</f>
        <v>36.164909637355755</v>
      </c>
      <c r="C45" s="350">
        <f>B45-D45</f>
        <v>-12.127892269600537</v>
      </c>
      <c r="D45" s="356">
        <f>'ES F '!C18/'ES F '!C52</f>
        <v>48.292801906956292</v>
      </c>
      <c r="E45" s="356"/>
      <c r="F45" s="351" t="s">
        <v>1325</v>
      </c>
    </row>
    <row r="46" spans="1:11">
      <c r="A46" s="348" t="s">
        <v>1300</v>
      </c>
      <c r="B46" s="355">
        <f>'ES F '!B52/'ES F '!B60</f>
        <v>9.9914515922226825E-3</v>
      </c>
      <c r="C46" s="350">
        <f>-B46+D46</f>
        <v>-2.468485245164004E-3</v>
      </c>
      <c r="D46" s="355">
        <f>'ES F '!C52/'ES F '!C60</f>
        <v>7.5229663470586785E-3</v>
      </c>
      <c r="E46" s="355"/>
      <c r="F46" s="351" t="s">
        <v>1326</v>
      </c>
    </row>
    <row r="47" spans="1:11">
      <c r="A47" s="348" t="s">
        <v>1301</v>
      </c>
      <c r="B47" s="357">
        <f>'ES F '!B60/'ES F '!B29</f>
        <v>0.99010738994212732</v>
      </c>
      <c r="C47" s="350">
        <f>B47-D47</f>
        <v>-2.4258161507548781E-3</v>
      </c>
      <c r="D47" s="357">
        <f>'ES F '!C60/'ES F '!C29</f>
        <v>0.9925332060928822</v>
      </c>
      <c r="E47" s="357"/>
      <c r="F47" s="351" t="s">
        <v>1327</v>
      </c>
    </row>
    <row r="48" spans="1:11" ht="9" customHeight="1">
      <c r="A48" s="334"/>
      <c r="B48" s="334"/>
      <c r="C48" s="339"/>
      <c r="D48" s="334"/>
      <c r="E48" s="334"/>
      <c r="F48" s="334"/>
    </row>
    <row r="49" spans="1:11" s="29" customFormat="1" ht="21">
      <c r="A49" s="2018" t="s">
        <v>1302</v>
      </c>
      <c r="B49" s="2018"/>
      <c r="C49" s="2018"/>
      <c r="D49" s="2018"/>
      <c r="E49" s="2018"/>
      <c r="F49" s="2018"/>
    </row>
    <row r="50" spans="1:11" s="333" customFormat="1" ht="12.75">
      <c r="A50" s="344" t="s">
        <v>1313</v>
      </c>
      <c r="B50" s="345">
        <f>$B$37</f>
        <v>2026</v>
      </c>
      <c r="C50" s="346"/>
      <c r="D50" s="345">
        <f>$D$37</f>
        <v>2025</v>
      </c>
      <c r="E50" s="345"/>
      <c r="F50" s="347" t="s">
        <v>1282</v>
      </c>
    </row>
    <row r="51" spans="1:11">
      <c r="A51" s="348" t="s">
        <v>1303</v>
      </c>
      <c r="B51" s="356">
        <f>RESULTADO!C30/RESULTADO!C15</f>
        <v>0.27614211356032331</v>
      </c>
      <c r="C51" s="350">
        <f>B51-D51</f>
        <v>-0.26200290414544386</v>
      </c>
      <c r="D51" s="356">
        <f>RESULTADO!E30/RESULTADO!E15</f>
        <v>0.53814501770576717</v>
      </c>
      <c r="E51" s="356"/>
      <c r="F51" s="351" t="s">
        <v>1328</v>
      </c>
    </row>
    <row r="52" spans="1:11">
      <c r="A52" s="348" t="s">
        <v>1304</v>
      </c>
      <c r="B52" s="358">
        <f>'ES F '!B29/ERF!B14</f>
        <v>17.218295377936432</v>
      </c>
      <c r="C52" s="350">
        <f>B52-D52</f>
        <v>14.752344467763006</v>
      </c>
      <c r="D52" s="358">
        <f>'ES F '!C29/ERF!C14</f>
        <v>2.4659509101734249</v>
      </c>
      <c r="E52" s="358"/>
      <c r="F52" s="351" t="s">
        <v>1329</v>
      </c>
    </row>
    <row r="53" spans="1:11">
      <c r="A53" s="348" t="s">
        <v>1305</v>
      </c>
      <c r="B53" s="358">
        <f>ERF!B30/'ES F '!B55</f>
        <v>2.502380168188895E-4</v>
      </c>
      <c r="C53" s="350">
        <f>B53-D53</f>
        <v>-0.1485811987583554</v>
      </c>
      <c r="D53" s="358">
        <f>ERF!C30/'ES F '!C55</f>
        <v>0.1488314367751743</v>
      </c>
      <c r="E53" s="358"/>
      <c r="F53" s="351" t="s">
        <v>1330</v>
      </c>
    </row>
    <row r="54" spans="1:11" ht="6.75" customHeight="1">
      <c r="A54" s="334"/>
      <c r="B54" s="334"/>
      <c r="C54" s="339"/>
      <c r="D54" s="334"/>
      <c r="E54" s="334"/>
      <c r="F54" s="334"/>
    </row>
    <row r="55" spans="1:11" ht="6" customHeight="1">
      <c r="A55" s="334"/>
      <c r="B55" s="334"/>
      <c r="C55" s="339"/>
      <c r="D55" s="334"/>
      <c r="E55" s="334"/>
      <c r="F55" s="334"/>
      <c r="H55" s="329"/>
      <c r="I55" s="330"/>
      <c r="J55" s="330"/>
      <c r="K55" s="330"/>
    </row>
    <row r="56" spans="1:11" ht="20.25">
      <c r="A56" s="2018" t="s">
        <v>1286</v>
      </c>
      <c r="B56" s="2018"/>
      <c r="C56" s="2018"/>
      <c r="D56" s="2018"/>
      <c r="E56" s="2018"/>
      <c r="F56" s="2018"/>
      <c r="H56" s="329"/>
      <c r="I56" s="330"/>
      <c r="J56" s="330"/>
      <c r="K56" s="330"/>
    </row>
    <row r="57" spans="1:11" s="333" customFormat="1" ht="12.75">
      <c r="A57" s="344" t="s">
        <v>1313</v>
      </c>
      <c r="B57" s="345">
        <f>$B$37</f>
        <v>2026</v>
      </c>
      <c r="C57" s="346"/>
      <c r="D57" s="345">
        <f>$D$37</f>
        <v>2025</v>
      </c>
      <c r="E57" s="345"/>
      <c r="F57" s="347" t="s">
        <v>1282</v>
      </c>
    </row>
    <row r="58" spans="1:11">
      <c r="A58" s="348" t="s">
        <v>1287</v>
      </c>
      <c r="B58" s="360" t="s">
        <v>1306</v>
      </c>
      <c r="C58" s="350"/>
      <c r="D58" s="360" t="s">
        <v>1306</v>
      </c>
      <c r="E58" s="359"/>
      <c r="F58" s="351" t="s">
        <v>1314</v>
      </c>
    </row>
    <row r="59" spans="1:11">
      <c r="A59" s="348" t="s">
        <v>1288</v>
      </c>
      <c r="B59" s="360" t="s">
        <v>1306</v>
      </c>
      <c r="C59" s="350"/>
      <c r="D59" s="360" t="s">
        <v>1306</v>
      </c>
      <c r="E59" s="359"/>
      <c r="F59" s="351" t="s">
        <v>1315</v>
      </c>
      <c r="H59" s="332"/>
    </row>
    <row r="60" spans="1:11">
      <c r="A60" s="348" t="s">
        <v>1289</v>
      </c>
      <c r="B60" s="360" t="s">
        <v>1306</v>
      </c>
      <c r="C60" s="350"/>
      <c r="D60" s="360" t="s">
        <v>1306</v>
      </c>
      <c r="E60" s="361"/>
      <c r="F60" s="351" t="s">
        <v>1316</v>
      </c>
      <c r="H60" s="329"/>
    </row>
    <row r="61" spans="1:11">
      <c r="A61" s="348" t="s">
        <v>1290</v>
      </c>
      <c r="B61" s="360" t="s">
        <v>1306</v>
      </c>
      <c r="C61" s="350"/>
      <c r="D61" s="360" t="s">
        <v>1306</v>
      </c>
      <c r="E61" s="361"/>
      <c r="F61" s="351" t="s">
        <v>1317</v>
      </c>
      <c r="H61" s="329"/>
    </row>
    <row r="62" spans="1:11">
      <c r="A62" s="348" t="s">
        <v>1291</v>
      </c>
      <c r="B62" s="360" t="s">
        <v>1306</v>
      </c>
      <c r="C62" s="350"/>
      <c r="D62" s="360" t="s">
        <v>1306</v>
      </c>
      <c r="E62" s="359"/>
      <c r="F62" s="351" t="s">
        <v>1318</v>
      </c>
      <c r="H62" s="329"/>
    </row>
    <row r="63" spans="1:11">
      <c r="A63" s="348" t="s">
        <v>1292</v>
      </c>
      <c r="B63" s="360" t="s">
        <v>1306</v>
      </c>
      <c r="C63" s="350"/>
      <c r="D63" s="360" t="s">
        <v>1306</v>
      </c>
      <c r="E63" s="361"/>
      <c r="F63" s="351" t="s">
        <v>1319</v>
      </c>
      <c r="H63" s="329"/>
    </row>
    <row r="64" spans="1:11">
      <c r="A64" s="348" t="s">
        <v>1293</v>
      </c>
      <c r="B64" s="1186" t="s">
        <v>1306</v>
      </c>
      <c r="C64" s="350"/>
      <c r="D64" s="360" t="s">
        <v>1306</v>
      </c>
      <c r="E64" s="361"/>
      <c r="F64" s="351" t="s">
        <v>1320</v>
      </c>
      <c r="H64" s="329"/>
    </row>
    <row r="65" spans="1:8">
      <c r="A65" s="348" t="s">
        <v>1294</v>
      </c>
      <c r="B65" s="360" t="s">
        <v>1306</v>
      </c>
      <c r="C65" s="350"/>
      <c r="D65" s="360" t="s">
        <v>1306</v>
      </c>
      <c r="E65" s="361"/>
      <c r="F65" s="351" t="s">
        <v>1321</v>
      </c>
      <c r="H65" s="329"/>
    </row>
    <row r="66" spans="1:8">
      <c r="A66" s="348" t="s">
        <v>1295</v>
      </c>
      <c r="B66" s="1187">
        <f>ERF!B14/'ES F '!B27</f>
        <v>9.0430745755844963E-2</v>
      </c>
      <c r="C66" s="350">
        <f>B66-D66</f>
        <v>-0.5437861075857815</v>
      </c>
      <c r="D66" s="1187">
        <f>ERF!C14/'ES F '!C27</f>
        <v>0.63421685334162647</v>
      </c>
      <c r="E66" s="359"/>
      <c r="F66" s="351" t="s">
        <v>1322</v>
      </c>
      <c r="H66" s="329"/>
    </row>
    <row r="67" spans="1:8">
      <c r="A67" s="348" t="s">
        <v>1296</v>
      </c>
      <c r="B67" s="1187">
        <f>ERF!B14/'ES F '!B29</f>
        <v>5.8077758456937766E-2</v>
      </c>
      <c r="C67" s="350">
        <f>B67-D67</f>
        <v>-0.34744531820871744</v>
      </c>
      <c r="D67" s="1187">
        <f>ERF!C14/'ES F '!C29</f>
        <v>0.40552307666565518</v>
      </c>
      <c r="E67" s="359"/>
      <c r="F67" s="351" t="s">
        <v>1323</v>
      </c>
    </row>
    <row r="68" spans="1:8">
      <c r="A68" s="348" t="s">
        <v>1297</v>
      </c>
      <c r="B68" s="1188">
        <f>'ES F '!B11/ERF!B14</f>
        <v>5.9547565975245131</v>
      </c>
      <c r="C68" s="350">
        <f>B68-D68</f>
        <v>5.0984954912293405</v>
      </c>
      <c r="D68" s="1188">
        <f>'ES F '!C11/ERF!C14</f>
        <v>0.8562611062951726</v>
      </c>
      <c r="E68" s="358"/>
      <c r="F68" s="351" t="s">
        <v>1324</v>
      </c>
    </row>
    <row r="69" spans="1:8" ht="5.25" customHeight="1">
      <c r="A69" s="334"/>
      <c r="B69" s="334"/>
      <c r="C69" s="339"/>
      <c r="D69" s="334"/>
      <c r="E69" s="334"/>
      <c r="F69" s="334"/>
    </row>
  </sheetData>
  <mergeCells count="11">
    <mergeCell ref="A28:F28"/>
    <mergeCell ref="A4:F4"/>
    <mergeCell ref="A35:F35"/>
    <mergeCell ref="A1:F1"/>
    <mergeCell ref="A2:F2"/>
    <mergeCell ref="A36:F36"/>
    <mergeCell ref="A56:F56"/>
    <mergeCell ref="A43:F43"/>
    <mergeCell ref="A49:F49"/>
    <mergeCell ref="A12:F12"/>
    <mergeCell ref="A17:F17"/>
  </mergeCells>
  <conditionalFormatting sqref="C6:C10">
    <cfRule type="cellIs" dxfId="18" priority="87" stopIfTrue="1" operator="greaterThan">
      <formula>$B$6&gt;$D$6</formula>
    </cfRule>
  </conditionalFormatting>
  <conditionalFormatting sqref="C6:C10">
    <cfRule type="iconSet" priority="1">
      <iconSet iconSet="3Symbols2">
        <cfvo type="percent" val="0"/>
        <cfvo type="percent" val="33"/>
        <cfvo type="percent" val="67"/>
      </iconSet>
    </cfRule>
  </conditionalFormatting>
  <conditionalFormatting sqref="C14:C15">
    <cfRule type="cellIs" dxfId="17" priority="85" stopIfTrue="1" operator="greaterThan">
      <formula>$B$6&gt;$D$6</formula>
    </cfRule>
  </conditionalFormatting>
  <conditionalFormatting sqref="C14:C15">
    <cfRule type="iconSet" priority="84">
      <iconSet iconSet="3Signs">
        <cfvo type="percent" val="0"/>
        <cfvo type="percent" val="33"/>
        <cfvo type="percent" val="67"/>
      </iconSet>
    </cfRule>
  </conditionalFormatting>
  <conditionalFormatting sqref="C19:C26">
    <cfRule type="cellIs" dxfId="16" priority="83" stopIfTrue="1" operator="greaterThan">
      <formula>$B$6&gt;$D$6</formula>
    </cfRule>
    <cfRule type="iconSet" priority="3">
      <iconSet iconSet="3Symbols2">
        <cfvo type="percent" val="0"/>
        <cfvo type="percent" val="0"/>
        <cfvo type="percent" val="0.01"/>
      </iconSet>
    </cfRule>
  </conditionalFormatting>
  <conditionalFormatting sqref="C19:C26">
    <cfRule type="iconSet" priority="56">
      <iconSet iconSet="3Symbols2">
        <cfvo type="percent" val="0"/>
        <cfvo type="percent" val="33"/>
        <cfvo type="percent" val="67"/>
      </iconSet>
    </cfRule>
  </conditionalFormatting>
  <conditionalFormatting sqref="C30:C34">
    <cfRule type="cellIs" dxfId="15" priority="81" stopIfTrue="1" operator="greaterThan">
      <formula>$B$6&gt;$D$6</formula>
    </cfRule>
    <cfRule type="iconSet" priority="4">
      <iconSet iconSet="3Symbols2">
        <cfvo type="percent" val="0"/>
        <cfvo type="num" val="0"/>
        <cfvo type="num" val="0.01"/>
      </iconSet>
    </cfRule>
    <cfRule type="iconSet" priority="42">
      <iconSet iconSet="3Symbols2">
        <cfvo type="percent" val="0"/>
        <cfvo type="percent" val="0"/>
        <cfvo type="num" val="0.01"/>
      </iconSet>
    </cfRule>
    <cfRule type="iconSet" priority="44">
      <iconSet iconSet="3Symbols2">
        <cfvo type="percent" val="0"/>
        <cfvo type="percent" val="0"/>
        <cfvo type="percent" val="0.01"/>
      </iconSet>
    </cfRule>
  </conditionalFormatting>
  <conditionalFormatting sqref="C30:C34">
    <cfRule type="iconSet" priority="55">
      <iconSet iconSet="3Symbols2">
        <cfvo type="percent" val="0"/>
        <cfvo type="percent" val="33"/>
        <cfvo type="percent" val="67"/>
      </iconSet>
    </cfRule>
  </conditionalFormatting>
  <conditionalFormatting sqref="C38:C41">
    <cfRule type="cellIs" dxfId="14" priority="79" stopIfTrue="1" operator="greaterThan">
      <formula>$B$6&gt;$D$6</formula>
    </cfRule>
    <cfRule type="iconSet" priority="39">
      <iconSet iconSet="3Symbols2">
        <cfvo type="percent" val="0"/>
        <cfvo type="num" val="0"/>
        <cfvo type="num" val="0.01"/>
      </iconSet>
    </cfRule>
  </conditionalFormatting>
  <conditionalFormatting sqref="C38:C41">
    <cfRule type="iconSet" priority="54">
      <iconSet iconSet="3Symbols2">
        <cfvo type="percent" val="0"/>
        <cfvo type="percent" val="33"/>
        <cfvo type="percent" val="67"/>
      </iconSet>
    </cfRule>
  </conditionalFormatting>
  <conditionalFormatting sqref="C45:C47">
    <cfRule type="cellIs" dxfId="13" priority="77" stopIfTrue="1" operator="greaterThan">
      <formula>$B$6&gt;$D$6</formula>
    </cfRule>
    <cfRule type="iconSet" priority="37">
      <iconSet iconSet="3Symbols2">
        <cfvo type="percent" val="0"/>
        <cfvo type="num" val="0"/>
        <cfvo type="num" val="0.01"/>
      </iconSet>
    </cfRule>
  </conditionalFormatting>
  <conditionalFormatting sqref="C45:C47">
    <cfRule type="iconSet" priority="53">
      <iconSet iconSet="3Symbols2">
        <cfvo type="percent" val="0"/>
        <cfvo type="percent" val="33"/>
        <cfvo type="percent" val="67"/>
      </iconSet>
    </cfRule>
  </conditionalFormatting>
  <conditionalFormatting sqref="C51:C53">
    <cfRule type="cellIs" dxfId="12" priority="75" stopIfTrue="1" operator="greaterThan">
      <formula>$B$6&gt;$D$6</formula>
    </cfRule>
    <cfRule type="iconSet" priority="35">
      <iconSet iconSet="3Symbols2">
        <cfvo type="percent" val="0"/>
        <cfvo type="num" val="0"/>
        <cfvo type="num" val="0.01"/>
      </iconSet>
    </cfRule>
  </conditionalFormatting>
  <conditionalFormatting sqref="C51:C53">
    <cfRule type="iconSet" priority="52">
      <iconSet iconSet="3Symbols2">
        <cfvo type="percent" val="0"/>
        <cfvo type="percent" val="33"/>
        <cfvo type="percent" val="67"/>
      </iconSet>
    </cfRule>
  </conditionalFormatting>
  <conditionalFormatting sqref="C58:C68">
    <cfRule type="cellIs" dxfId="11" priority="73" stopIfTrue="1" operator="greaterThan">
      <formula>$B$6&gt;$D$6</formula>
    </cfRule>
    <cfRule type="iconSet" priority="6">
      <iconSet iconSet="3Symbols2">
        <cfvo type="percent" val="0"/>
        <cfvo type="num" val="0"/>
        <cfvo type="num" val="0.01"/>
      </iconSet>
    </cfRule>
    <cfRule type="iconSet" priority="34">
      <iconSet>
        <cfvo type="percent" val="0"/>
        <cfvo type="num" val="0"/>
        <cfvo type="num" val="0.01"/>
      </iconSet>
    </cfRule>
  </conditionalFormatting>
  <conditionalFormatting sqref="C58:C68">
    <cfRule type="iconSet" priority="51">
      <iconSet iconSet="3Symbols2">
        <cfvo type="percent" val="0"/>
        <cfvo type="percent" val="33"/>
        <cfvo type="percent" val="67"/>
      </iconSet>
    </cfRule>
  </conditionalFormatting>
  <conditionalFormatting sqref="C36:C41 C1:C34 C43:C65536">
    <cfRule type="iconSet" priority="69">
      <iconSet iconSet="3Symbols2">
        <cfvo type="percent" val="0"/>
        <cfvo type="num" val="0"/>
        <cfvo type="num" val="0.01"/>
      </iconSet>
    </cfRule>
    <cfRule type="iconSet" priority="71">
      <iconSet>
        <cfvo type="percent" val="0"/>
        <cfvo type="percent" val="0"/>
        <cfvo type="percent" val="0.02"/>
      </iconSet>
    </cfRule>
  </conditionalFormatting>
  <conditionalFormatting sqref="C35">
    <cfRule type="iconSet" priority="67">
      <iconSet iconSet="3Symbols2">
        <cfvo type="percent" val="0"/>
        <cfvo type="num" val="0"/>
        <cfvo type="num" val="0.01"/>
      </iconSet>
    </cfRule>
    <cfRule type="iconSet" priority="68">
      <iconSet>
        <cfvo type="percent" val="0"/>
        <cfvo type="percent" val="0"/>
        <cfvo type="percent" val="0.02"/>
      </iconSet>
    </cfRule>
  </conditionalFormatting>
  <conditionalFormatting sqref="C14:C15">
    <cfRule type="cellIs" dxfId="10" priority="66" stopIfTrue="1" operator="greaterThan">
      <formula>$B$6&gt;$D$6</formula>
    </cfRule>
  </conditionalFormatting>
  <conditionalFormatting sqref="C14:C15">
    <cfRule type="iconSet" priority="65">
      <iconSet iconSet="3Signs">
        <cfvo type="percent" val="0"/>
        <cfvo type="percent" val="33"/>
        <cfvo type="percent" val="67"/>
      </iconSet>
    </cfRule>
  </conditionalFormatting>
  <conditionalFormatting sqref="C14:C15">
    <cfRule type="cellIs" dxfId="9" priority="64" stopIfTrue="1" operator="greaterThan">
      <formula>$B$6&gt;$D$6</formula>
    </cfRule>
  </conditionalFormatting>
  <conditionalFormatting sqref="C14:C15">
    <cfRule type="iconSet" priority="2">
      <iconSet iconSet="3Symbols2">
        <cfvo type="percent" val="0"/>
        <cfvo type="percent" val="33"/>
        <cfvo type="percent" val="67"/>
      </iconSet>
    </cfRule>
  </conditionalFormatting>
  <conditionalFormatting sqref="C42">
    <cfRule type="iconSet" priority="61">
      <iconSet iconSet="3Symbols2">
        <cfvo type="percent" val="0"/>
        <cfvo type="num" val="0"/>
        <cfvo type="num" val="0.01"/>
      </iconSet>
    </cfRule>
    <cfRule type="iconSet" priority="62">
      <iconSet>
        <cfvo type="percent" val="0"/>
        <cfvo type="percent" val="0"/>
        <cfvo type="percent" val="0.02"/>
      </iconSet>
    </cfRule>
  </conditionalFormatting>
  <conditionalFormatting sqref="C1:C1048576">
    <cfRule type="iconSet" priority="41">
      <iconSet>
        <cfvo type="percent" val="0"/>
        <cfvo type="num" val="0"/>
        <cfvo type="num" val="0.01"/>
      </iconSet>
    </cfRule>
    <cfRule type="iconSet" priority="59">
      <iconSet iconSet="3Symbols2">
        <cfvo type="percent" val="0"/>
        <cfvo type="percent" val="33"/>
        <cfvo type="percent" val="67"/>
      </iconSet>
    </cfRule>
  </conditionalFormatting>
  <conditionalFormatting sqref="C30:C34">
    <cfRule type="cellIs" dxfId="8" priority="48" stopIfTrue="1" operator="greaterThan">
      <formula>$B$6&gt;$D$6</formula>
    </cfRule>
    <cfRule type="iconSet" priority="47">
      <iconSet iconSet="3Symbols2">
        <cfvo type="percent" val="0"/>
        <cfvo type="percent" val="0"/>
        <cfvo type="percent" val="0.01"/>
      </iconSet>
    </cfRule>
  </conditionalFormatting>
  <conditionalFormatting sqref="C30:C34">
    <cfRule type="iconSet" priority="46">
      <iconSet iconSet="3Symbols2">
        <cfvo type="percent" val="0"/>
        <cfvo type="percent" val="33"/>
        <cfvo type="percent" val="67"/>
      </iconSet>
    </cfRule>
  </conditionalFormatting>
  <conditionalFormatting sqref="C58:C68">
    <cfRule type="cellIs" dxfId="7" priority="33" stopIfTrue="1" operator="greaterThan">
      <formula>$B$6&gt;$D$6</formula>
    </cfRule>
    <cfRule type="iconSet" priority="32">
      <iconSet iconSet="3Symbols2">
        <cfvo type="percent" val="0"/>
        <cfvo type="num" val="0"/>
        <cfvo type="num" val="0.01"/>
      </iconSet>
    </cfRule>
  </conditionalFormatting>
  <conditionalFormatting sqref="C58:C68">
    <cfRule type="iconSet" priority="29">
      <iconSet>
        <cfvo type="percent" val="0"/>
        <cfvo type="percent" val="33"/>
        <cfvo type="percent" val="67"/>
      </iconSet>
    </cfRule>
  </conditionalFormatting>
  <conditionalFormatting sqref="C58">
    <cfRule type="cellIs" dxfId="6" priority="28" stopIfTrue="1" operator="greaterThan">
      <formula>$B$6&gt;$D$6</formula>
    </cfRule>
    <cfRule type="iconSet" priority="27">
      <iconSet iconSet="3Symbols2">
        <cfvo type="percent" val="0"/>
        <cfvo type="num" val="0"/>
        <cfvo type="num" val="0.01"/>
      </iconSet>
    </cfRule>
  </conditionalFormatting>
  <conditionalFormatting sqref="C58">
    <cfRule type="iconSet" priority="26">
      <iconSet iconSet="3Symbols2">
        <cfvo type="percent" val="0"/>
        <cfvo type="percent" val="33"/>
        <cfvo type="percent" val="67"/>
      </iconSet>
    </cfRule>
  </conditionalFormatting>
  <conditionalFormatting sqref="C59">
    <cfRule type="cellIs" dxfId="5" priority="25" stopIfTrue="1" operator="greaterThan">
      <formula>$B$6&gt;$D$6</formula>
    </cfRule>
    <cfRule type="iconSet" priority="24">
      <iconSet iconSet="3Symbols2">
        <cfvo type="percent" val="0"/>
        <cfvo type="num" val="0"/>
        <cfvo type="num" val="0.01"/>
      </iconSet>
    </cfRule>
  </conditionalFormatting>
  <conditionalFormatting sqref="C59">
    <cfRule type="iconSet" priority="23">
      <iconSet iconSet="3Symbols2">
        <cfvo type="percent" val="0"/>
        <cfvo type="percent" val="33"/>
        <cfvo type="percent" val="67"/>
      </iconSet>
    </cfRule>
  </conditionalFormatting>
  <conditionalFormatting sqref="C60:C68">
    <cfRule type="cellIs" dxfId="4" priority="22" stopIfTrue="1" operator="greaterThan">
      <formula>$B$6&gt;$D$6</formula>
    </cfRule>
    <cfRule type="iconSet" priority="21">
      <iconSet iconSet="3Symbols2">
        <cfvo type="percent" val="0"/>
        <cfvo type="num" val="0"/>
        <cfvo type="num" val="0.01"/>
      </iconSet>
    </cfRule>
  </conditionalFormatting>
  <conditionalFormatting sqref="C60:C68">
    <cfRule type="iconSet" priority="20">
      <iconSet iconSet="3Symbols2">
        <cfvo type="percent" val="0"/>
        <cfvo type="percent" val="33"/>
        <cfvo type="percent" val="67"/>
      </iconSet>
    </cfRule>
  </conditionalFormatting>
  <conditionalFormatting sqref="C62">
    <cfRule type="cellIs" dxfId="3" priority="19" stopIfTrue="1" operator="greaterThan">
      <formula>$B$6&gt;$D$6</formula>
    </cfRule>
    <cfRule type="iconSet" priority="18">
      <iconSet iconSet="3Symbols2">
        <cfvo type="percent" val="0"/>
        <cfvo type="num" val="0"/>
        <cfvo type="num" val="0.01"/>
      </iconSet>
    </cfRule>
  </conditionalFormatting>
  <conditionalFormatting sqref="C62">
    <cfRule type="iconSet" priority="17">
      <iconSet iconSet="3Symbols2">
        <cfvo type="percent" val="0"/>
        <cfvo type="percent" val="33"/>
        <cfvo type="percent" val="67"/>
      </iconSet>
    </cfRule>
  </conditionalFormatting>
  <conditionalFormatting sqref="C66">
    <cfRule type="cellIs" dxfId="2" priority="16" stopIfTrue="1" operator="greaterThan">
      <formula>$B$6&gt;$D$6</formula>
    </cfRule>
    <cfRule type="iconSet" priority="15">
      <iconSet iconSet="3Symbols2">
        <cfvo type="percent" val="0"/>
        <cfvo type="num" val="0"/>
        <cfvo type="num" val="0.01"/>
      </iconSet>
    </cfRule>
  </conditionalFormatting>
  <conditionalFormatting sqref="C66">
    <cfRule type="iconSet" priority="14">
      <iconSet iconSet="3Symbols2">
        <cfvo type="percent" val="0"/>
        <cfvo type="percent" val="33"/>
        <cfvo type="percent" val="67"/>
      </iconSet>
    </cfRule>
  </conditionalFormatting>
  <conditionalFormatting sqref="C67">
    <cfRule type="cellIs" dxfId="1" priority="13" stopIfTrue="1" operator="greaterThan">
      <formula>$B$6&gt;$D$6</formula>
    </cfRule>
    <cfRule type="iconSet" priority="12">
      <iconSet iconSet="3Symbols2">
        <cfvo type="percent" val="0"/>
        <cfvo type="num" val="0"/>
        <cfvo type="num" val="0.01"/>
      </iconSet>
    </cfRule>
  </conditionalFormatting>
  <conditionalFormatting sqref="C67">
    <cfRule type="iconSet" priority="11">
      <iconSet iconSet="3Symbols2">
        <cfvo type="percent" val="0"/>
        <cfvo type="percent" val="33"/>
        <cfvo type="percent" val="67"/>
      </iconSet>
    </cfRule>
  </conditionalFormatting>
  <conditionalFormatting sqref="C68">
    <cfRule type="cellIs" dxfId="0" priority="10" stopIfTrue="1" operator="greaterThan">
      <formula>$B$6&gt;$D$6</formula>
    </cfRule>
    <cfRule type="iconSet" priority="9">
      <iconSet iconSet="3Symbols2">
        <cfvo type="percent" val="0"/>
        <cfvo type="num" val="0"/>
        <cfvo type="num" val="0.01"/>
      </iconSet>
    </cfRule>
  </conditionalFormatting>
  <conditionalFormatting sqref="C68">
    <cfRule type="iconSet" priority="8">
      <iconSet iconSet="3Symbols2">
        <cfvo type="percent" val="0"/>
        <cfvo type="percent" val="33"/>
        <cfvo type="percent" val="67"/>
      </iconSet>
    </cfRule>
  </conditionalFormatting>
  <pageMargins left="0.70866141732283472" right="0.70866141732283472" top="0.74803149606299213" bottom="0.74803149606299213" header="0.31496062992125984" footer="0.31496062992125984"/>
  <pageSetup orientation="landscape" horizontalDpi="4294967294" verticalDpi="4294967294"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0"/>
  <sheetViews>
    <sheetView workbookViewId="0">
      <pane xSplit="10" ySplit="20" topLeftCell="K39" activePane="bottomRight" state="frozen"/>
      <selection activeCell="B259" sqref="B259:I259"/>
      <selection pane="topRight" activeCell="B259" sqref="B259:I259"/>
      <selection pane="bottomLeft" activeCell="B259" sqref="B259:I259"/>
      <selection pane="bottomRight" activeCell="C10" sqref="C10"/>
    </sheetView>
  </sheetViews>
  <sheetFormatPr baseColWidth="10" defaultColWidth="9.140625" defaultRowHeight="15"/>
  <cols>
    <col min="1" max="2" width="11.42578125" customWidth="1"/>
    <col min="3" max="3" width="79.7109375" customWidth="1"/>
  </cols>
  <sheetData>
    <row r="3" spans="2:3">
      <c r="B3" s="2020" t="s">
        <v>1493</v>
      </c>
      <c r="C3" s="2020"/>
    </row>
    <row r="4" spans="2:3">
      <c r="B4" s="377"/>
      <c r="C4" s="377"/>
    </row>
    <row r="5" spans="2:3" ht="20.25" customHeight="1">
      <c r="B5" s="382" t="s">
        <v>1494</v>
      </c>
      <c r="C5" s="382" t="s">
        <v>1495</v>
      </c>
    </row>
    <row r="6" spans="2:3" ht="18.75" customHeight="1">
      <c r="B6" s="473" t="s">
        <v>1405</v>
      </c>
      <c r="C6" s="409" t="s">
        <v>1496</v>
      </c>
    </row>
    <row r="7" spans="2:3" ht="18.75" customHeight="1">
      <c r="B7" s="474" t="s">
        <v>1428</v>
      </c>
      <c r="C7" s="470" t="s">
        <v>1497</v>
      </c>
    </row>
    <row r="8" spans="2:3" ht="18.75" customHeight="1">
      <c r="B8" s="475" t="s">
        <v>1417</v>
      </c>
      <c r="C8" s="470" t="s">
        <v>1498</v>
      </c>
    </row>
    <row r="9" spans="2:3" ht="18.75" customHeight="1">
      <c r="B9" s="474" t="s">
        <v>1419</v>
      </c>
      <c r="C9" s="470" t="s">
        <v>1499</v>
      </c>
    </row>
    <row r="10" spans="2:3" ht="18.75" customHeight="1">
      <c r="B10" s="476" t="s">
        <v>1500</v>
      </c>
      <c r="C10" s="470" t="s">
        <v>1501</v>
      </c>
    </row>
    <row r="11" spans="2:3" ht="18.75" customHeight="1">
      <c r="B11" s="477" t="s">
        <v>1575</v>
      </c>
      <c r="C11" s="470" t="s">
        <v>1502</v>
      </c>
    </row>
    <row r="12" spans="2:3" ht="18.75" customHeight="1">
      <c r="B12" s="476" t="s">
        <v>1409</v>
      </c>
      <c r="C12" s="470" t="s">
        <v>1503</v>
      </c>
    </row>
    <row r="13" spans="2:3" ht="18.75" customHeight="1">
      <c r="B13" s="476" t="s">
        <v>12</v>
      </c>
      <c r="C13" s="470" t="s">
        <v>1504</v>
      </c>
    </row>
    <row r="14" spans="2:3" ht="18.75" customHeight="1">
      <c r="B14" s="476" t="s">
        <v>16</v>
      </c>
      <c r="C14" s="470" t="s">
        <v>1505</v>
      </c>
    </row>
    <row r="15" spans="2:3" ht="18.75" customHeight="1">
      <c r="B15" s="478" t="s">
        <v>1506</v>
      </c>
      <c r="C15" s="470" t="s">
        <v>1507</v>
      </c>
    </row>
    <row r="16" spans="2:3" ht="18.75" customHeight="1">
      <c r="B16" s="479" t="s">
        <v>1416</v>
      </c>
      <c r="C16" s="471" t="s">
        <v>1508</v>
      </c>
    </row>
    <row r="17" spans="2:3" ht="18.75" customHeight="1">
      <c r="B17" s="408" t="s">
        <v>1426</v>
      </c>
      <c r="C17" s="471" t="s">
        <v>1509</v>
      </c>
    </row>
    <row r="18" spans="2:3" ht="18.75" customHeight="1">
      <c r="B18" s="480" t="s">
        <v>1510</v>
      </c>
      <c r="C18" s="471" t="s">
        <v>1511</v>
      </c>
    </row>
    <row r="19" spans="2:3" ht="18.75" customHeight="1">
      <c r="B19" s="480" t="s">
        <v>1512</v>
      </c>
      <c r="C19" s="471" t="s">
        <v>1513</v>
      </c>
    </row>
    <row r="20" spans="2:3" ht="18.75" customHeight="1">
      <c r="B20" s="481" t="s">
        <v>1407</v>
      </c>
      <c r="C20" s="472" t="s">
        <v>1514</v>
      </c>
    </row>
  </sheetData>
  <mergeCells count="1">
    <mergeCell ref="B3:C3"/>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154"/>
  <sheetViews>
    <sheetView topLeftCell="A27" workbookViewId="0">
      <selection activeCell="D39" sqref="D39"/>
    </sheetView>
  </sheetViews>
  <sheetFormatPr baseColWidth="10" defaultColWidth="9.140625" defaultRowHeight="15"/>
  <cols>
    <col min="1" max="1" width="3.5703125" style="179" customWidth="1"/>
    <col min="2" max="2" width="35.5703125" style="179" customWidth="1"/>
    <col min="3" max="3" width="14.42578125" style="179" bestFit="1" customWidth="1"/>
    <col min="4" max="4" width="13.7109375" style="179" bestFit="1" customWidth="1"/>
    <col min="5" max="5" width="13.42578125" style="179" bestFit="1" customWidth="1"/>
    <col min="6" max="6" width="13.28515625" style="179" bestFit="1" customWidth="1"/>
    <col min="7" max="7" width="13.42578125" style="179" bestFit="1" customWidth="1"/>
    <col min="8" max="10" width="12.42578125" style="179" bestFit="1" customWidth="1"/>
    <col min="11" max="13" width="12.140625" style="179" customWidth="1"/>
    <col min="14" max="14" width="10.85546875" style="179" bestFit="1" customWidth="1"/>
    <col min="15" max="15" width="11.42578125" style="179" bestFit="1" customWidth="1"/>
    <col min="16" max="16" width="11.7109375" style="179" bestFit="1" customWidth="1"/>
    <col min="17" max="17" width="9.140625" style="179"/>
    <col min="18" max="18" width="11" style="179" customWidth="1"/>
    <col min="19" max="21" width="11" style="179" bestFit="1" customWidth="1"/>
    <col min="22" max="16384" width="9.140625" style="179"/>
  </cols>
  <sheetData>
    <row r="1" spans="1:16" ht="15" customHeight="1">
      <c r="A1" s="504"/>
      <c r="B1" s="574" t="str">
        <f>BALANZA!B1</f>
        <v>CORPORACION DEL ACUEDUCTO Y ALCANTARILLADO DE MOCA</v>
      </c>
      <c r="F1" s="369"/>
      <c r="K1" s="370"/>
      <c r="L1" s="371"/>
      <c r="M1" s="371"/>
      <c r="O1" s="1895" t="str">
        <f>IPT!$F$5</f>
        <v>AUDITOR: JJSM</v>
      </c>
      <c r="P1" s="1895"/>
    </row>
    <row r="2" spans="1:16" s="469" customFormat="1" ht="15" customHeight="1">
      <c r="B2" s="574" t="str">
        <f>BALANZA!B2</f>
        <v>Del Ejercicio terminado el  31 de marzo de 2026  y  2025</v>
      </c>
      <c r="F2" s="369"/>
      <c r="K2" s="370"/>
      <c r="L2" s="371"/>
      <c r="M2" s="371"/>
    </row>
    <row r="3" spans="1:16" s="469" customFormat="1" ht="15" hidden="1" customHeight="1">
      <c r="A3" s="504"/>
      <c r="F3" s="369"/>
      <c r="G3" s="469" t="s">
        <v>1532</v>
      </c>
      <c r="K3" s="370"/>
      <c r="L3" s="371"/>
      <c r="M3" s="371"/>
    </row>
    <row r="4" spans="1:16" s="469" customFormat="1" ht="15" hidden="1" customHeight="1">
      <c r="A4" s="504"/>
      <c r="F4" s="369"/>
      <c r="G4" s="469" t="s">
        <v>1533</v>
      </c>
      <c r="K4" s="370"/>
      <c r="L4" s="371"/>
      <c r="M4" s="371"/>
    </row>
    <row r="5" spans="1:16" ht="15" hidden="1" customHeight="1">
      <c r="G5" s="469" t="s">
        <v>1531</v>
      </c>
    </row>
    <row r="6" spans="1:16" customFormat="1">
      <c r="A6" s="179"/>
      <c r="B6" s="397" t="s">
        <v>1527</v>
      </c>
      <c r="D6" s="397"/>
      <c r="E6" s="397"/>
      <c r="F6" s="397"/>
      <c r="G6" s="469"/>
      <c r="H6" s="469"/>
    </row>
    <row r="7" spans="1:16" customFormat="1" ht="6.75" customHeight="1">
      <c r="A7" s="469"/>
      <c r="B7" s="469"/>
      <c r="C7" s="469"/>
      <c r="D7" s="469"/>
      <c r="E7" s="469"/>
      <c r="F7" s="469"/>
      <c r="G7" s="469"/>
      <c r="H7" s="469"/>
    </row>
    <row r="8" spans="1:16" customFormat="1">
      <c r="A8" s="469"/>
      <c r="B8" s="2021" t="s">
        <v>1475</v>
      </c>
      <c r="C8" s="2021"/>
      <c r="D8" s="2021"/>
      <c r="E8" s="469"/>
      <c r="F8" s="469"/>
      <c r="G8" s="469"/>
      <c r="H8" s="469"/>
    </row>
    <row r="9" spans="1:16" customFormat="1">
      <c r="A9" s="469"/>
      <c r="B9" s="469"/>
      <c r="C9" s="469"/>
      <c r="D9" s="469"/>
      <c r="E9" s="539" t="s">
        <v>1355</v>
      </c>
      <c r="F9" s="536" t="str">
        <f>IPT!C7</f>
        <v>A</v>
      </c>
      <c r="G9" s="529" t="str">
        <f>IF(C39=0,"Verificado","Pendiente")</f>
        <v>Verificado</v>
      </c>
      <c r="H9" s="469"/>
    </row>
    <row r="10" spans="1:16" customFormat="1" ht="30">
      <c r="B10" s="200" t="s">
        <v>1149</v>
      </c>
      <c r="C10" s="201">
        <f>BALANZA!B4</f>
        <v>2026</v>
      </c>
      <c r="D10" s="201">
        <f>BALANZA!C4</f>
        <v>2025</v>
      </c>
      <c r="E10" s="616" t="s">
        <v>1213</v>
      </c>
      <c r="F10" s="494" t="s">
        <v>1465</v>
      </c>
      <c r="G10" s="494" t="s">
        <v>1476</v>
      </c>
    </row>
    <row r="11" spans="1:16" customFormat="1" ht="27.75" customHeight="1">
      <c r="A11">
        <v>1</v>
      </c>
      <c r="B11" s="495" t="s">
        <v>3792</v>
      </c>
      <c r="C11" s="512">
        <f>'Notas NF'!C119</f>
        <v>0</v>
      </c>
      <c r="D11" s="512">
        <f>+'Notas NF'!D119</f>
        <v>0</v>
      </c>
      <c r="E11" s="253">
        <f t="shared" ref="E11:E18" si="0">+C11-D11</f>
        <v>0</v>
      </c>
      <c r="F11" s="647" t="e">
        <f>E11/D11</f>
        <v>#DIV/0!</v>
      </c>
      <c r="G11" s="450" t="s">
        <v>1428</v>
      </c>
    </row>
    <row r="12" spans="1:16" customFormat="1" ht="27.75" customHeight="1">
      <c r="B12" s="495" t="s">
        <v>3793</v>
      </c>
      <c r="C12" s="512">
        <f>'Notas NF'!C120</f>
        <v>95000</v>
      </c>
      <c r="D12" s="512">
        <f>+'Notas NF'!D120</f>
        <v>95000</v>
      </c>
      <c r="E12" s="253">
        <f t="shared" si="0"/>
        <v>0</v>
      </c>
      <c r="F12" s="647">
        <f>E12/D12</f>
        <v>0</v>
      </c>
      <c r="G12" s="450" t="s">
        <v>1428</v>
      </c>
      <c r="N12">
        <v>110000</v>
      </c>
      <c r="O12" s="11">
        <f t="shared" ref="O12:O17" si="1">+D12-N12</f>
        <v>-15000</v>
      </c>
    </row>
    <row r="13" spans="1:16" customFormat="1" ht="27.75" customHeight="1">
      <c r="A13">
        <v>2</v>
      </c>
      <c r="B13" s="495" t="str">
        <f>Notas!B158</f>
        <v xml:space="preserve"> RESERVAS CTA. 100011701025466</v>
      </c>
      <c r="C13" s="512">
        <f>'Notas NF'!C121</f>
        <v>0</v>
      </c>
      <c r="D13" s="512">
        <f>Notas!D158</f>
        <v>1391.2</v>
      </c>
      <c r="E13" s="253">
        <f t="shared" si="0"/>
        <v>-1391.2</v>
      </c>
      <c r="F13" s="647">
        <f>E13/D13</f>
        <v>-1</v>
      </c>
      <c r="G13" s="450" t="s">
        <v>1428</v>
      </c>
      <c r="N13">
        <v>254050.45</v>
      </c>
      <c r="O13" s="11">
        <f t="shared" si="1"/>
        <v>-252659.25</v>
      </c>
    </row>
    <row r="14" spans="1:16" customFormat="1" ht="27.75" customHeight="1">
      <c r="A14">
        <v>3</v>
      </c>
      <c r="B14" s="495" t="str">
        <f>Notas!B160</f>
        <v xml:space="preserve"> RESERVAS CTA. 100011701024303</v>
      </c>
      <c r="C14" s="512">
        <f>'Notas NF'!C123</f>
        <v>0</v>
      </c>
      <c r="D14" s="512">
        <f>+'Notas NF'!D123</f>
        <v>0</v>
      </c>
      <c r="E14" s="253">
        <f t="shared" si="0"/>
        <v>0</v>
      </c>
      <c r="F14" s="647" t="e">
        <f>E14/D14</f>
        <v>#DIV/0!</v>
      </c>
      <c r="G14" s="450" t="s">
        <v>1428</v>
      </c>
      <c r="I14" s="2025" t="s">
        <v>2826</v>
      </c>
      <c r="J14" s="2025"/>
      <c r="K14" s="2025"/>
      <c r="L14" s="2025"/>
      <c r="N14">
        <v>62922140.32</v>
      </c>
      <c r="O14" s="11">
        <f t="shared" si="1"/>
        <v>-62922140.32</v>
      </c>
    </row>
    <row r="15" spans="1:16" customFormat="1" ht="27.75" customHeight="1">
      <c r="A15">
        <v>4</v>
      </c>
      <c r="B15" s="495" t="s">
        <v>52</v>
      </c>
      <c r="C15" s="512">
        <f>'Notas NF'!C122</f>
        <v>717555.3</v>
      </c>
      <c r="D15" s="512">
        <f>+'Notas NF'!D122</f>
        <v>814839.56</v>
      </c>
      <c r="E15" s="253">
        <f t="shared" si="0"/>
        <v>-97284.260000000009</v>
      </c>
      <c r="F15" s="647">
        <f>E15/D15</f>
        <v>-0.11939069330409044</v>
      </c>
      <c r="G15" s="450" t="s">
        <v>1428</v>
      </c>
      <c r="I15" s="1252" t="s">
        <v>2822</v>
      </c>
      <c r="J15" s="1252" t="s">
        <v>2823</v>
      </c>
      <c r="K15" s="1252" t="s">
        <v>2824</v>
      </c>
      <c r="L15" s="1252" t="s">
        <v>2825</v>
      </c>
      <c r="N15">
        <v>1407193.25</v>
      </c>
      <c r="O15" s="11">
        <f t="shared" si="1"/>
        <v>-592353.68999999994</v>
      </c>
    </row>
    <row r="16" spans="1:16" customFormat="1" ht="27.75" customHeight="1">
      <c r="B16" s="495" t="s">
        <v>3794</v>
      </c>
      <c r="C16" s="512">
        <f>+'Notas NF'!C124</f>
        <v>1036622.3</v>
      </c>
      <c r="D16" s="512">
        <f>+'Notas NF'!D124</f>
        <v>331933.27</v>
      </c>
      <c r="E16" s="253">
        <f t="shared" si="0"/>
        <v>704689.03</v>
      </c>
      <c r="F16" s="647">
        <f>IFERROR(E16/D16,0)</f>
        <v>2.1229840262773298</v>
      </c>
      <c r="G16" s="450" t="s">
        <v>1428</v>
      </c>
      <c r="I16" s="1252"/>
      <c r="J16" s="1252"/>
      <c r="K16" s="1252"/>
      <c r="L16" s="1252"/>
      <c r="N16">
        <v>669885.98</v>
      </c>
      <c r="O16" s="11">
        <f t="shared" si="1"/>
        <v>-337952.70999999996</v>
      </c>
    </row>
    <row r="17" spans="1:16" customFormat="1" ht="27.75" customHeight="1">
      <c r="B17" s="495" t="s">
        <v>3795</v>
      </c>
      <c r="C17" s="512">
        <f>+'Notas NF'!C125</f>
        <v>420328465.58999997</v>
      </c>
      <c r="D17" s="512">
        <f>+'Notas NF'!D125</f>
        <v>421530269.51999998</v>
      </c>
      <c r="E17" s="253">
        <f t="shared" si="0"/>
        <v>-1201803.9300000072</v>
      </c>
      <c r="F17" s="647">
        <f>IFERROR(E17/D17,0)</f>
        <v>-2.851050130678661E-3</v>
      </c>
      <c r="G17" s="450" t="s">
        <v>1428</v>
      </c>
      <c r="I17" s="1252"/>
      <c r="J17" s="1252"/>
      <c r="K17" s="1252"/>
      <c r="L17" s="1252"/>
      <c r="N17">
        <v>111832960.74000001</v>
      </c>
      <c r="O17" s="11">
        <f t="shared" si="1"/>
        <v>309697308.77999997</v>
      </c>
    </row>
    <row r="18" spans="1:16" customFormat="1" ht="27.75" customHeight="1">
      <c r="B18" s="495" t="s">
        <v>3796</v>
      </c>
      <c r="C18" s="512">
        <f>+'Notas NF'!C126</f>
        <v>0</v>
      </c>
      <c r="D18" s="512">
        <f>+'Notas NF'!D126</f>
        <v>0</v>
      </c>
      <c r="E18" s="253">
        <f t="shared" si="0"/>
        <v>0</v>
      </c>
      <c r="F18" s="647">
        <f>IFERROR(E18/D18,0)</f>
        <v>0</v>
      </c>
      <c r="G18" s="450"/>
      <c r="I18" s="1252"/>
      <c r="J18" s="1252"/>
      <c r="K18" s="1252"/>
      <c r="L18" s="1252"/>
    </row>
    <row r="19" spans="1:16" customFormat="1" ht="27.75" customHeight="1">
      <c r="B19" s="644" t="s">
        <v>2830</v>
      </c>
      <c r="C19" s="645">
        <f>SUM(C11:C17)</f>
        <v>422177643.19</v>
      </c>
      <c r="D19" s="645">
        <f>SUM(D11:D17)</f>
        <v>422773433.54999995</v>
      </c>
      <c r="E19" s="648">
        <f>SUM(E11:E14)</f>
        <v>-1391.2</v>
      </c>
      <c r="F19" s="649">
        <f>E19/D19</f>
        <v>-3.2906514213019198E-6</v>
      </c>
      <c r="G19" s="500" t="s">
        <v>1419</v>
      </c>
      <c r="I19" s="904">
        <f>SUM(D37:F37)</f>
        <v>606013.57000000123</v>
      </c>
      <c r="J19" s="904">
        <f>SUM(D37:I37)</f>
        <v>606013.57000000123</v>
      </c>
      <c r="K19" s="904">
        <f>SUM(D37:L37)</f>
        <v>606013.57000000123</v>
      </c>
      <c r="L19" s="904">
        <f>SUM(D37:O37)</f>
        <v>606013.57000000123</v>
      </c>
    </row>
    <row r="20" spans="1:16" customFormat="1" ht="12.75" customHeight="1">
      <c r="B20" s="158"/>
      <c r="E20" s="206"/>
    </row>
    <row r="21" spans="1:16" s="5" customFormat="1" ht="23.25" customHeight="1">
      <c r="B21" s="1881" t="str">
        <f>("Cambio porcentual con relación al "&amp;D10&amp;"")</f>
        <v>Cambio porcentual con relación al 2025</v>
      </c>
      <c r="C21" s="1882"/>
      <c r="D21" s="304" t="str">
        <f>IF(E21&gt;=0,"Aumento","Disminución")</f>
        <v>Disminución</v>
      </c>
      <c r="E21" s="228">
        <f>+E19/D19</f>
        <v>-3.2906514213019198E-6</v>
      </c>
    </row>
    <row r="22" spans="1:16" customFormat="1" ht="15.75">
      <c r="B22" s="158"/>
      <c r="E22" s="206"/>
    </row>
    <row r="23" spans="1:16" customFormat="1" ht="5.25" customHeight="1">
      <c r="A23" s="469"/>
      <c r="B23" s="469"/>
      <c r="C23" s="469"/>
      <c r="D23" s="469"/>
      <c r="E23" s="469"/>
      <c r="F23" s="469"/>
      <c r="G23" s="469"/>
      <c r="H23" s="469"/>
    </row>
    <row r="24" spans="1:16" customFormat="1" ht="9" customHeight="1">
      <c r="A24" s="469"/>
      <c r="B24" s="469"/>
      <c r="C24" s="469"/>
      <c r="D24" s="469"/>
      <c r="E24" s="469"/>
      <c r="F24" s="469"/>
      <c r="G24" s="469"/>
      <c r="H24" s="469"/>
    </row>
    <row r="25" spans="1:16" customFormat="1">
      <c r="A25" s="469"/>
      <c r="B25" s="397" t="s">
        <v>1528</v>
      </c>
      <c r="C25" s="1668">
        <v>273021921.98000002</v>
      </c>
      <c r="D25" s="1668">
        <v>177196230.74000001</v>
      </c>
      <c r="E25" s="469"/>
      <c r="F25" s="469"/>
      <c r="G25" s="469"/>
      <c r="H25" s="469"/>
    </row>
    <row r="26" spans="1:16" customFormat="1">
      <c r="A26" s="469"/>
      <c r="B26" s="482" t="s">
        <v>1467</v>
      </c>
      <c r="C26" s="482"/>
      <c r="D26" s="482"/>
      <c r="E26" s="469"/>
      <c r="G26" s="469"/>
      <c r="H26" s="469"/>
      <c r="I26" s="469"/>
      <c r="J26" s="469"/>
      <c r="K26" s="469"/>
    </row>
    <row r="27" spans="1:16" customFormat="1" ht="21" customHeight="1">
      <c r="A27" s="469"/>
      <c r="B27" s="462"/>
      <c r="C27" s="1879">
        <f>C10</f>
        <v>2026</v>
      </c>
      <c r="D27" s="1880"/>
      <c r="E27" s="1880"/>
      <c r="F27" s="1880"/>
      <c r="G27" s="1880"/>
      <c r="H27" s="1880"/>
      <c r="I27" s="1880"/>
      <c r="J27" s="1880"/>
      <c r="K27" s="1880"/>
      <c r="L27" s="1880"/>
      <c r="M27" s="1880"/>
      <c r="N27" s="1880"/>
      <c r="O27" s="1880"/>
      <c r="P27" s="502">
        <f>D10</f>
        <v>2025</v>
      </c>
    </row>
    <row r="28" spans="1:16" customFormat="1">
      <c r="A28" s="469"/>
      <c r="B28" s="462" t="s">
        <v>1149</v>
      </c>
      <c r="C28" s="463" t="s">
        <v>1415</v>
      </c>
      <c r="D28" s="463" t="s">
        <v>1418</v>
      </c>
      <c r="E28" s="463" t="s">
        <v>1434</v>
      </c>
      <c r="F28" s="463" t="s">
        <v>1435</v>
      </c>
      <c r="G28" s="463" t="s">
        <v>1436</v>
      </c>
      <c r="H28" s="463" t="s">
        <v>1437</v>
      </c>
      <c r="I28" s="463" t="s">
        <v>1438</v>
      </c>
      <c r="J28" s="463" t="s">
        <v>1439</v>
      </c>
      <c r="K28" s="463" t="s">
        <v>1440</v>
      </c>
      <c r="L28" s="463" t="s">
        <v>1441</v>
      </c>
      <c r="M28" s="463" t="s">
        <v>1410</v>
      </c>
      <c r="N28" s="463" t="s">
        <v>1411</v>
      </c>
      <c r="O28" s="463" t="s">
        <v>1412</v>
      </c>
      <c r="P28" s="502" t="s">
        <v>1526</v>
      </c>
    </row>
    <row r="29" spans="1:16" customFormat="1" ht="27.75" customHeight="1">
      <c r="A29">
        <v>1</v>
      </c>
      <c r="B29" s="622" t="str">
        <f>B11</f>
        <v>EECTIVO EN CAJA</v>
      </c>
      <c r="C29" s="629">
        <f t="shared" ref="C29:C36" si="2">SUM(D29:P29)</f>
        <v>0</v>
      </c>
      <c r="D29" s="635">
        <f>SUM(BALANZA!N8)</f>
        <v>0</v>
      </c>
      <c r="E29" s="635">
        <f>SUM(BALANZA!O8)</f>
        <v>0</v>
      </c>
      <c r="F29" s="635">
        <f>SUM(BALANZA!P8)</f>
        <v>0</v>
      </c>
      <c r="G29" s="635">
        <f>SUM(BALANZA!Q8)</f>
        <v>0</v>
      </c>
      <c r="H29" s="635">
        <f>SUM(BALANZA!R8)</f>
        <v>0</v>
      </c>
      <c r="I29" s="635">
        <f>SUM(BALANZA!S8)</f>
        <v>0</v>
      </c>
      <c r="J29" s="635">
        <f>SUM(BALANZA!T8)</f>
        <v>0</v>
      </c>
      <c r="K29" s="635">
        <f>SUM(BALANZA!U8)</f>
        <v>0</v>
      </c>
      <c r="L29" s="635">
        <f>SUM(BALANZA!V8)</f>
        <v>0</v>
      </c>
      <c r="M29" s="635">
        <f>SUM(BALANZA!W8)</f>
        <v>0</v>
      </c>
      <c r="N29" s="635">
        <f>SUM(BALANZA!X8)</f>
        <v>0</v>
      </c>
      <c r="O29" s="635">
        <f>SUM(BALANZA!Y8)</f>
        <v>0</v>
      </c>
      <c r="P29" s="807">
        <f>D11</f>
        <v>0</v>
      </c>
    </row>
    <row r="30" spans="1:16" customFormat="1" ht="27.75" customHeight="1">
      <c r="B30" s="622" t="str">
        <f>B12</f>
        <v>EECTIVO EN CAJA CHICA</v>
      </c>
      <c r="C30" s="629">
        <f t="shared" si="2"/>
        <v>95000</v>
      </c>
      <c r="D30" s="635">
        <f>SUM(BALANZA!N9:N15)</f>
        <v>0</v>
      </c>
      <c r="E30" s="635">
        <f>SUM(BALANZA!O9:O15)</f>
        <v>0</v>
      </c>
      <c r="F30" s="635">
        <f>SUM(BALANZA!P9:P15)</f>
        <v>0</v>
      </c>
      <c r="G30" s="635">
        <f>SUM(BALANZA!Q9:Q15)</f>
        <v>0</v>
      </c>
      <c r="H30" s="635">
        <f>SUM(BALANZA!R9:R15)</f>
        <v>0</v>
      </c>
      <c r="I30" s="635">
        <f>SUM(BALANZA!S9:S15)</f>
        <v>0</v>
      </c>
      <c r="J30" s="635">
        <f>SUM(BALANZA!T9:T15)</f>
        <v>0</v>
      </c>
      <c r="K30" s="635">
        <f>SUM(BALANZA!U9:U15)</f>
        <v>0</v>
      </c>
      <c r="L30" s="635">
        <f>SUM(BALANZA!V9:V15)</f>
        <v>0</v>
      </c>
      <c r="M30" s="635">
        <f>SUM(BALANZA!W9:W15)</f>
        <v>0</v>
      </c>
      <c r="N30" s="635">
        <f>SUM(BALANZA!X9:X15)</f>
        <v>0</v>
      </c>
      <c r="O30" s="635">
        <f>SUM(BALANZA!Y9:Y15)</f>
        <v>0</v>
      </c>
      <c r="P30" s="807">
        <f>D12</f>
        <v>95000</v>
      </c>
    </row>
    <row r="31" spans="1:16" customFormat="1" ht="27.75" customHeight="1">
      <c r="A31">
        <v>2</v>
      </c>
      <c r="B31" s="622" t="str">
        <f>B13</f>
        <v xml:space="preserve"> RESERVAS CTA. 100011701025466</v>
      </c>
      <c r="C31" s="629">
        <f t="shared" si="2"/>
        <v>0</v>
      </c>
      <c r="D31" s="635">
        <f>BALANZA!N18</f>
        <v>-1391.2</v>
      </c>
      <c r="E31" s="635">
        <f>BALANZA!O18</f>
        <v>0</v>
      </c>
      <c r="F31" s="635">
        <f>BALANZA!P18</f>
        <v>0</v>
      </c>
      <c r="G31" s="635">
        <f>BALANZA!Q18</f>
        <v>0</v>
      </c>
      <c r="H31" s="635">
        <f>BALANZA!R18</f>
        <v>0</v>
      </c>
      <c r="I31" s="635">
        <f>BALANZA!S18</f>
        <v>0</v>
      </c>
      <c r="J31" s="635">
        <f>BALANZA!T18</f>
        <v>0</v>
      </c>
      <c r="K31" s="635">
        <f>BALANZA!U18</f>
        <v>0</v>
      </c>
      <c r="L31" s="635">
        <f>BALANZA!V18</f>
        <v>0</v>
      </c>
      <c r="M31" s="635">
        <f>BALANZA!W18</f>
        <v>0</v>
      </c>
      <c r="N31" s="635">
        <f>BALANZA!X18</f>
        <v>0</v>
      </c>
      <c r="O31" s="635">
        <f>BALANZA!Y18</f>
        <v>0</v>
      </c>
      <c r="P31" s="807">
        <f t="shared" ref="P31:P36" si="3">D13</f>
        <v>1391.2</v>
      </c>
    </row>
    <row r="32" spans="1:16" customFormat="1" ht="27.75" customHeight="1">
      <c r="A32">
        <v>3</v>
      </c>
      <c r="B32" s="622" t="str">
        <f>B14</f>
        <v xml:space="preserve"> RESERVAS CTA. 100011701024303</v>
      </c>
      <c r="C32" s="629">
        <f t="shared" si="2"/>
        <v>0</v>
      </c>
      <c r="D32" s="635">
        <f>BALANZA!N19</f>
        <v>0</v>
      </c>
      <c r="E32" s="635">
        <f>BALANZA!O19</f>
        <v>0</v>
      </c>
      <c r="F32" s="635">
        <f>BALANZA!P19</f>
        <v>0</v>
      </c>
      <c r="G32" s="635">
        <f>BALANZA!Q19</f>
        <v>0</v>
      </c>
      <c r="H32" s="635">
        <f>BALANZA!R19</f>
        <v>0</v>
      </c>
      <c r="I32" s="635">
        <f>BALANZA!S19</f>
        <v>0</v>
      </c>
      <c r="J32" s="635">
        <f>BALANZA!T19</f>
        <v>0</v>
      </c>
      <c r="K32" s="635">
        <f>BALANZA!U19</f>
        <v>0</v>
      </c>
      <c r="L32" s="635">
        <f>BALANZA!V19</f>
        <v>0</v>
      </c>
      <c r="M32" s="635">
        <f>BALANZA!W19</f>
        <v>0</v>
      </c>
      <c r="N32" s="635">
        <f>BALANZA!X19</f>
        <v>0</v>
      </c>
      <c r="O32" s="635">
        <f>BALANZA!Y19</f>
        <v>0</v>
      </c>
      <c r="P32" s="807">
        <f t="shared" si="3"/>
        <v>0</v>
      </c>
    </row>
    <row r="33" spans="1:21" customFormat="1" ht="27.75" customHeight="1">
      <c r="A33">
        <v>4</v>
      </c>
      <c r="B33" s="622" t="str">
        <f>+B15</f>
        <v xml:space="preserve"> RESERVAS CTA. 100011701027264</v>
      </c>
      <c r="C33" s="629">
        <f t="shared" si="2"/>
        <v>717555.3</v>
      </c>
      <c r="D33" s="635">
        <f>BALANZA!N20</f>
        <v>-62234.6</v>
      </c>
      <c r="E33" s="635">
        <f>BALANZA!O20</f>
        <v>-22658.98</v>
      </c>
      <c r="F33" s="635">
        <f>BALANZA!P20</f>
        <v>-12390.68</v>
      </c>
      <c r="G33" s="635">
        <f>BALANZA!Q20</f>
        <v>0</v>
      </c>
      <c r="H33" s="635">
        <f>BALANZA!R20</f>
        <v>0</v>
      </c>
      <c r="I33" s="635">
        <f>BALANZA!S20</f>
        <v>0</v>
      </c>
      <c r="J33" s="635">
        <f>BALANZA!T20</f>
        <v>0</v>
      </c>
      <c r="K33" s="635">
        <f>BALANZA!U20</f>
        <v>0</v>
      </c>
      <c r="L33" s="635">
        <f>BALANZA!V20</f>
        <v>0</v>
      </c>
      <c r="M33" s="635">
        <f>BALANZA!W20</f>
        <v>0</v>
      </c>
      <c r="N33" s="635">
        <f>BALANZA!X20</f>
        <v>0</v>
      </c>
      <c r="O33" s="635">
        <f>BALANZA!Y20</f>
        <v>0</v>
      </c>
      <c r="P33" s="807">
        <f t="shared" si="3"/>
        <v>814839.56</v>
      </c>
      <c r="R33" s="179"/>
      <c r="S33" s="179"/>
      <c r="T33" s="179"/>
      <c r="U33" s="179"/>
    </row>
    <row r="34" spans="1:21" customFormat="1" ht="27.75" customHeight="1">
      <c r="A34">
        <v>5</v>
      </c>
      <c r="B34" s="622" t="str">
        <f>+B16</f>
        <v>CUENTA  9604127870</v>
      </c>
      <c r="C34" s="629">
        <f t="shared" si="2"/>
        <v>1036622.3000000012</v>
      </c>
      <c r="D34" s="635">
        <f>BALANZA!N21</f>
        <v>1559481.6500000004</v>
      </c>
      <c r="E34" s="635">
        <f>BALANZA!O21</f>
        <v>-497063.31000000052</v>
      </c>
      <c r="F34" s="635">
        <f>BALANZA!P21</f>
        <v>-357729.30999999866</v>
      </c>
      <c r="G34" s="635">
        <f>BALANZA!Q21</f>
        <v>0</v>
      </c>
      <c r="H34" s="635">
        <f>BALANZA!R21</f>
        <v>0</v>
      </c>
      <c r="I34" s="635">
        <f>BALANZA!S21</f>
        <v>0</v>
      </c>
      <c r="J34" s="635">
        <f>BALANZA!T21</f>
        <v>0</v>
      </c>
      <c r="K34" s="635">
        <f>BALANZA!U21</f>
        <v>0</v>
      </c>
      <c r="L34" s="635">
        <f>BALANZA!V21</f>
        <v>0</v>
      </c>
      <c r="M34" s="635">
        <f>BALANZA!W21</f>
        <v>0</v>
      </c>
      <c r="N34" s="635">
        <f>BALANZA!X21</f>
        <v>0</v>
      </c>
      <c r="O34" s="635">
        <f>BALANZA!Y21</f>
        <v>0</v>
      </c>
      <c r="P34" s="807">
        <f t="shared" si="3"/>
        <v>331933.27</v>
      </c>
      <c r="R34" s="1542"/>
      <c r="S34" s="1542"/>
      <c r="T34" s="1542"/>
      <c r="U34" s="1542"/>
    </row>
    <row r="35" spans="1:21" customFormat="1" ht="27.75" customHeight="1">
      <c r="A35">
        <v>6</v>
      </c>
      <c r="B35" s="622" t="str">
        <f>+B17</f>
        <v>CUENTA  9995095001</v>
      </c>
      <c r="C35" s="629">
        <f t="shared" si="2"/>
        <v>420328465.58999997</v>
      </c>
      <c r="D35" s="635">
        <f>BALANZA!N22+BALANZA!N16</f>
        <v>16527961.869999997</v>
      </c>
      <c r="E35" s="635">
        <f>BALANZA!O22+BALANZA!O16</f>
        <v>-13613490.240000002</v>
      </c>
      <c r="F35" s="635">
        <f>BALANZA!P22+BALANZA!P16</f>
        <v>-4116275.5599999987</v>
      </c>
      <c r="G35" s="635">
        <f>BALANZA!Q22+BALANZA!Q16</f>
        <v>0</v>
      </c>
      <c r="H35" s="635">
        <f>BALANZA!R22+BALANZA!R16</f>
        <v>0</v>
      </c>
      <c r="I35" s="635">
        <f>BALANZA!S22+BALANZA!S16</f>
        <v>0</v>
      </c>
      <c r="J35" s="635">
        <f>BALANZA!T22+BALANZA!T16</f>
        <v>0</v>
      </c>
      <c r="K35" s="635">
        <f>BALANZA!U22+BALANZA!U16</f>
        <v>0</v>
      </c>
      <c r="L35" s="635">
        <f>BALANZA!V22+BALANZA!V16</f>
        <v>0</v>
      </c>
      <c r="M35" s="635">
        <f>BALANZA!W22+BALANZA!W16</f>
        <v>0</v>
      </c>
      <c r="N35" s="635">
        <f>BALANZA!X22+BALANZA!X16</f>
        <v>0</v>
      </c>
      <c r="O35" s="635">
        <f>BALANZA!Y22+BALANZA!Y16</f>
        <v>0</v>
      </c>
      <c r="P35" s="807">
        <f t="shared" si="3"/>
        <v>421530269.51999998</v>
      </c>
      <c r="R35" s="1509"/>
      <c r="S35" s="1509"/>
      <c r="T35" s="1509"/>
      <c r="U35" s="1509"/>
    </row>
    <row r="36" spans="1:21" customFormat="1" ht="27.75" customHeight="1">
      <c r="B36" s="622" t="str">
        <f>+B18</f>
        <v xml:space="preserve"> CTA FONDO 100  0100255001 </v>
      </c>
      <c r="C36" s="629">
        <f t="shared" si="2"/>
        <v>0</v>
      </c>
      <c r="D36" s="635">
        <f>+BALANZA!N23</f>
        <v>0</v>
      </c>
      <c r="E36" s="635">
        <f>+BALANZA!O23</f>
        <v>0</v>
      </c>
      <c r="F36" s="635">
        <f>+BALANZA!P23</f>
        <v>0</v>
      </c>
      <c r="G36" s="635">
        <f>+BALANZA!Q23</f>
        <v>0</v>
      </c>
      <c r="H36" s="635">
        <f>+BALANZA!R23</f>
        <v>0</v>
      </c>
      <c r="I36" s="635">
        <f>+BALANZA!S23</f>
        <v>0</v>
      </c>
      <c r="J36" s="635">
        <f>+BALANZA!T23</f>
        <v>0</v>
      </c>
      <c r="K36" s="635">
        <f>+BALANZA!U23</f>
        <v>0</v>
      </c>
      <c r="L36" s="635">
        <f>+BALANZA!V23</f>
        <v>0</v>
      </c>
      <c r="M36" s="635">
        <f>+BALANZA!W23</f>
        <v>0</v>
      </c>
      <c r="N36" s="635">
        <f>+BALANZA!X23</f>
        <v>0</v>
      </c>
      <c r="O36" s="635">
        <f>+BALANZA!Y23</f>
        <v>0</v>
      </c>
      <c r="P36" s="807">
        <f t="shared" si="3"/>
        <v>0</v>
      </c>
      <c r="R36" s="1555"/>
      <c r="S36" s="1555"/>
      <c r="T36" s="1555"/>
      <c r="U36" s="1555"/>
    </row>
    <row r="37" spans="1:21" customFormat="1" ht="22.5" customHeight="1">
      <c r="A37" s="469"/>
      <c r="B37" s="632" t="s">
        <v>1415</v>
      </c>
      <c r="C37" s="633">
        <f>SUM(C29:C35)</f>
        <v>422177643.19</v>
      </c>
      <c r="D37" s="633">
        <f t="shared" ref="D37:O37" si="4">SUM(D29:D34)</f>
        <v>1495855.8500000003</v>
      </c>
      <c r="E37" s="633">
        <f t="shared" si="4"/>
        <v>-519722.2900000005</v>
      </c>
      <c r="F37" s="633">
        <f t="shared" si="4"/>
        <v>-370119.98999999865</v>
      </c>
      <c r="G37" s="633">
        <f t="shared" si="4"/>
        <v>0</v>
      </c>
      <c r="H37" s="633">
        <f t="shared" si="4"/>
        <v>0</v>
      </c>
      <c r="I37" s="633">
        <f t="shared" si="4"/>
        <v>0</v>
      </c>
      <c r="J37" s="633">
        <f t="shared" si="4"/>
        <v>0</v>
      </c>
      <c r="K37" s="633">
        <f t="shared" si="4"/>
        <v>0</v>
      </c>
      <c r="L37" s="633">
        <f t="shared" si="4"/>
        <v>0</v>
      </c>
      <c r="M37" s="633">
        <f t="shared" si="4"/>
        <v>0</v>
      </c>
      <c r="N37" s="633">
        <f t="shared" si="4"/>
        <v>0</v>
      </c>
      <c r="O37" s="633">
        <f t="shared" si="4"/>
        <v>0</v>
      </c>
      <c r="P37" s="633">
        <f>SUM(P29:P35)</f>
        <v>422773433.54999995</v>
      </c>
      <c r="R37" s="179"/>
      <c r="S37" s="179"/>
      <c r="T37" s="179"/>
      <c r="U37" s="179"/>
    </row>
    <row r="38" spans="1:21" customFormat="1">
      <c r="A38" s="469"/>
      <c r="B38" s="483"/>
      <c r="C38" s="484"/>
      <c r="D38" s="484"/>
      <c r="E38" s="469"/>
      <c r="F38" s="469"/>
      <c r="G38" s="469"/>
    </row>
    <row r="39" spans="1:21" customFormat="1">
      <c r="A39" s="469"/>
      <c r="B39" s="485" t="s">
        <v>1406</v>
      </c>
      <c r="C39" s="486">
        <f>+C19-C37</f>
        <v>0</v>
      </c>
      <c r="D39" s="11">
        <f>103776585.4+11500826.23-18805092.14</f>
        <v>96472319.49000001</v>
      </c>
      <c r="E39" s="11">
        <f>+C32-C14</f>
        <v>0</v>
      </c>
      <c r="F39" s="11"/>
      <c r="G39" s="11"/>
      <c r="H39" s="11"/>
      <c r="I39" s="11">
        <v>1138290.5900000001</v>
      </c>
      <c r="J39" s="11"/>
      <c r="K39" s="11"/>
      <c r="L39" s="11"/>
    </row>
    <row r="40" spans="1:21" customFormat="1">
      <c r="A40" s="469"/>
      <c r="B40" s="393"/>
      <c r="C40" s="450" t="str">
        <f>IF(C39=0,m!$B$7,m!$B$11)</f>
        <v>P</v>
      </c>
      <c r="I40" s="11">
        <f>+I39+I32</f>
        <v>1138290.5900000001</v>
      </c>
      <c r="K40" s="11"/>
    </row>
    <row r="41" spans="1:21" customFormat="1" ht="6.75" customHeight="1">
      <c r="A41" s="469"/>
      <c r="B41" s="469"/>
      <c r="C41" s="469"/>
      <c r="D41" s="469"/>
      <c r="E41" s="469"/>
      <c r="F41" s="469"/>
      <c r="G41" s="469"/>
      <c r="H41" s="469"/>
    </row>
    <row r="42" spans="1:21" customFormat="1" ht="18.75" customHeight="1" thickBot="1">
      <c r="B42" s="596" t="s">
        <v>1573</v>
      </c>
      <c r="D42" s="11"/>
    </row>
    <row r="43" spans="1:21" ht="15.75" thickBot="1">
      <c r="B43" s="2022"/>
      <c r="C43" s="555" t="s">
        <v>1425</v>
      </c>
    </row>
    <row r="44" spans="1:21" ht="18.75" customHeight="1">
      <c r="B44" s="2023"/>
      <c r="C44" s="556" t="s">
        <v>1477</v>
      </c>
      <c r="D44" s="557" t="s">
        <v>1478</v>
      </c>
      <c r="E44" s="557" t="s">
        <v>6</v>
      </c>
      <c r="F44" s="1891" t="s">
        <v>1356</v>
      </c>
      <c r="G44" s="1891"/>
      <c r="H44" s="1891"/>
      <c r="I44" s="1891"/>
      <c r="J44" s="1891"/>
      <c r="K44" s="559" t="s">
        <v>1357</v>
      </c>
      <c r="L44" s="560" t="s">
        <v>1358</v>
      </c>
    </row>
    <row r="45" spans="1:21" ht="9.75" customHeight="1">
      <c r="B45" s="2023"/>
      <c r="C45" s="540"/>
      <c r="D45" s="451"/>
      <c r="E45" s="451"/>
      <c r="F45" s="451"/>
      <c r="G45" s="457"/>
      <c r="H45" s="457"/>
      <c r="I45" s="393"/>
      <c r="J45" s="393"/>
      <c r="K45" s="393"/>
      <c r="L45" s="418"/>
    </row>
    <row r="46" spans="1:21" ht="18.75" customHeight="1">
      <c r="B46" s="2023"/>
      <c r="C46" s="542">
        <v>1</v>
      </c>
      <c r="D46" s="543" t="str">
        <f>F9</f>
        <v>A</v>
      </c>
      <c r="E46" s="543"/>
      <c r="F46" s="545" t="s">
        <v>1563</v>
      </c>
      <c r="G46" s="546"/>
      <c r="H46" s="546"/>
      <c r="I46" s="546"/>
      <c r="J46" s="547"/>
      <c r="K46" s="544">
        <v>0</v>
      </c>
      <c r="L46" s="548"/>
    </row>
    <row r="47" spans="1:21" ht="18.75" customHeight="1">
      <c r="B47" s="2023"/>
      <c r="C47" s="549"/>
      <c r="D47" s="550"/>
      <c r="E47" s="544"/>
      <c r="F47" s="545" t="s">
        <v>1563</v>
      </c>
      <c r="G47" s="546"/>
      <c r="H47" s="546"/>
      <c r="I47" s="546"/>
      <c r="J47" s="547"/>
      <c r="K47" s="544"/>
      <c r="L47" s="551">
        <f>K46</f>
        <v>0</v>
      </c>
    </row>
    <row r="48" spans="1:21" ht="18.75" customHeight="1" thickBot="1">
      <c r="B48" s="2023"/>
      <c r="C48" s="552" t="s">
        <v>1562</v>
      </c>
      <c r="D48" s="553"/>
      <c r="E48" s="553"/>
      <c r="F48" s="553"/>
      <c r="G48" s="553"/>
      <c r="H48" s="553"/>
      <c r="I48" s="553"/>
      <c r="J48" s="553"/>
      <c r="K48" s="553"/>
      <c r="L48" s="554"/>
    </row>
    <row r="49" spans="1:12" ht="5.25" customHeight="1">
      <c r="B49" s="2023"/>
    </row>
    <row r="50" spans="1:12" ht="6" customHeight="1" thickBot="1">
      <c r="B50" s="2023"/>
    </row>
    <row r="51" spans="1:12" s="525" customFormat="1" ht="15.75" thickBot="1">
      <c r="B51" s="2023"/>
      <c r="C51" s="555" t="s">
        <v>1561</v>
      </c>
    </row>
    <row r="52" spans="1:12" s="525" customFormat="1" ht="18.75" customHeight="1">
      <c r="B52" s="2023"/>
      <c r="C52" s="556" t="s">
        <v>1477</v>
      </c>
      <c r="D52" s="557" t="s">
        <v>1478</v>
      </c>
      <c r="E52" s="557" t="s">
        <v>6</v>
      </c>
      <c r="F52" s="1891" t="s">
        <v>1356</v>
      </c>
      <c r="G52" s="1891"/>
      <c r="H52" s="1891"/>
      <c r="I52" s="1891"/>
      <c r="J52" s="1891"/>
      <c r="K52" s="559" t="s">
        <v>1357</v>
      </c>
      <c r="L52" s="560" t="s">
        <v>1358</v>
      </c>
    </row>
    <row r="53" spans="1:12" s="525" customFormat="1" ht="9.75" customHeight="1">
      <c r="B53" s="2023"/>
      <c r="C53" s="540"/>
      <c r="D53" s="451"/>
      <c r="E53" s="451"/>
      <c r="F53" s="451"/>
      <c r="G53" s="457"/>
      <c r="H53" s="457"/>
      <c r="I53" s="393"/>
      <c r="J53" s="393"/>
      <c r="K53" s="393"/>
      <c r="L53" s="418"/>
    </row>
    <row r="54" spans="1:12" s="525" customFormat="1" ht="18.75" customHeight="1">
      <c r="B54" s="2023"/>
      <c r="C54" s="543">
        <f>C46</f>
        <v>1</v>
      </c>
      <c r="D54" s="543" t="str">
        <f>D46</f>
        <v>A</v>
      </c>
      <c r="E54" s="544"/>
      <c r="F54" s="545" t="s">
        <v>1563</v>
      </c>
      <c r="G54" s="546"/>
      <c r="H54" s="546"/>
      <c r="I54" s="546"/>
      <c r="J54" s="547"/>
      <c r="K54" s="544"/>
      <c r="L54" s="548"/>
    </row>
    <row r="55" spans="1:12" s="525" customFormat="1" ht="18.75" customHeight="1">
      <c r="B55" s="2023"/>
      <c r="C55" s="549"/>
      <c r="D55" s="550"/>
      <c r="E55" s="544"/>
      <c r="F55" s="545" t="s">
        <v>1563</v>
      </c>
      <c r="G55" s="546"/>
      <c r="H55" s="546"/>
      <c r="I55" s="546"/>
      <c r="J55" s="547"/>
      <c r="K55" s="544"/>
      <c r="L55" s="551">
        <f>K54</f>
        <v>0</v>
      </c>
    </row>
    <row r="56" spans="1:12" s="525" customFormat="1" ht="18.75" customHeight="1" thickBot="1">
      <c r="B56" s="2024"/>
      <c r="C56" s="552" t="s">
        <v>1569</v>
      </c>
      <c r="D56" s="553"/>
      <c r="E56" s="553"/>
      <c r="F56" s="553"/>
      <c r="G56" s="553"/>
      <c r="H56" s="553"/>
      <c r="I56" s="553"/>
      <c r="J56" s="553"/>
      <c r="K56" s="553"/>
      <c r="L56" s="554"/>
    </row>
    <row r="57" spans="1:12" s="525" customFormat="1" ht="6.75" customHeight="1"/>
    <row r="61" spans="1:12">
      <c r="B61" s="981" t="s">
        <v>2401</v>
      </c>
      <c r="D61" s="400"/>
    </row>
    <row r="62" spans="1:12">
      <c r="C62" s="809"/>
      <c r="D62" s="400"/>
      <c r="E62" s="400"/>
    </row>
    <row r="63" spans="1:12">
      <c r="A63" s="982"/>
      <c r="B63" s="983" t="s">
        <v>2402</v>
      </c>
      <c r="C63" s="984"/>
      <c r="D63" s="954"/>
      <c r="E63" s="984"/>
      <c r="F63" s="954"/>
      <c r="G63" s="954"/>
      <c r="H63" s="954"/>
      <c r="I63" s="954"/>
      <c r="J63" s="984"/>
      <c r="K63" s="954"/>
      <c r="L63" s="954"/>
    </row>
    <row r="64" spans="1:12" ht="36" customHeight="1">
      <c r="A64" s="982"/>
      <c r="B64" s="2026" t="s">
        <v>2461</v>
      </c>
      <c r="C64" s="2026"/>
      <c r="D64" s="2026"/>
      <c r="E64" s="2026"/>
      <c r="F64" s="2026"/>
      <c r="G64" s="2026"/>
      <c r="H64" s="2026"/>
      <c r="I64" s="2026"/>
      <c r="J64" s="2026"/>
      <c r="K64" s="2026"/>
      <c r="L64" s="2026"/>
    </row>
    <row r="65" spans="1:12">
      <c r="A65" s="982"/>
      <c r="B65" s="985"/>
      <c r="C65" s="984"/>
      <c r="D65" s="954"/>
      <c r="E65" s="984"/>
      <c r="F65" s="954"/>
      <c r="G65" s="954"/>
      <c r="H65" s="954"/>
      <c r="I65" s="954"/>
      <c r="J65" s="984"/>
      <c r="K65" s="954"/>
      <c r="L65" s="954"/>
    </row>
    <row r="66" spans="1:12">
      <c r="A66" s="982"/>
      <c r="B66" s="983" t="s">
        <v>2403</v>
      </c>
      <c r="C66" s="984"/>
      <c r="D66" s="954"/>
      <c r="E66" s="984"/>
      <c r="F66" s="954"/>
      <c r="G66" s="954"/>
      <c r="H66" s="954"/>
      <c r="I66" s="954"/>
      <c r="J66" s="984"/>
      <c r="K66" s="954"/>
      <c r="L66" s="954"/>
    </row>
    <row r="67" spans="1:12" ht="15" customHeight="1">
      <c r="A67" s="982"/>
      <c r="B67" s="2027" t="s">
        <v>2462</v>
      </c>
      <c r="C67" s="2027"/>
      <c r="D67" s="2027"/>
      <c r="E67" s="2027"/>
      <c r="F67" s="2027"/>
      <c r="G67" s="2027"/>
      <c r="H67" s="2027"/>
      <c r="I67" s="2027"/>
      <c r="J67" s="2027"/>
      <c r="K67" s="2027"/>
      <c r="L67" s="2027"/>
    </row>
    <row r="68" spans="1:12" ht="15" customHeight="1">
      <c r="A68" s="982"/>
      <c r="B68" s="2027" t="s">
        <v>2463</v>
      </c>
      <c r="C68" s="2027"/>
      <c r="D68" s="2027"/>
      <c r="E68" s="2027"/>
      <c r="F68" s="2027"/>
      <c r="G68" s="2027"/>
      <c r="H68" s="2027"/>
      <c r="I68" s="2027"/>
      <c r="J68" s="2027"/>
      <c r="K68" s="2027"/>
      <c r="L68" s="2027"/>
    </row>
    <row r="69" spans="1:12" ht="15" customHeight="1">
      <c r="A69" s="982"/>
      <c r="B69" s="2027" t="s">
        <v>2464</v>
      </c>
      <c r="C69" s="2027"/>
      <c r="D69" s="2027"/>
      <c r="E69" s="2027"/>
      <c r="F69" s="2027"/>
      <c r="G69" s="2027"/>
      <c r="H69" s="2027"/>
      <c r="I69" s="2027"/>
      <c r="J69" s="2027"/>
      <c r="K69" s="2027"/>
      <c r="L69" s="2027"/>
    </row>
    <row r="70" spans="1:12" ht="15" customHeight="1">
      <c r="A70" s="982"/>
      <c r="B70" s="2027" t="s">
        <v>2404</v>
      </c>
      <c r="C70" s="2027"/>
      <c r="D70" s="2027"/>
      <c r="E70" s="2027"/>
      <c r="F70" s="2027"/>
      <c r="G70" s="2027"/>
      <c r="H70" s="2027"/>
      <c r="I70" s="2027"/>
      <c r="J70" s="2027"/>
      <c r="K70" s="2027"/>
      <c r="L70" s="2027"/>
    </row>
    <row r="71" spans="1:12">
      <c r="A71" s="982"/>
      <c r="B71" s="986"/>
      <c r="C71" s="986"/>
      <c r="D71" s="986"/>
      <c r="E71" s="986"/>
      <c r="F71" s="986"/>
      <c r="G71" s="986"/>
      <c r="H71" s="986"/>
      <c r="I71" s="986"/>
      <c r="J71" s="986"/>
      <c r="K71" s="986"/>
      <c r="L71" s="986"/>
    </row>
    <row r="72" spans="1:12">
      <c r="A72" s="982"/>
      <c r="B72" s="983" t="s">
        <v>2405</v>
      </c>
      <c r="C72" s="984"/>
      <c r="D72" s="954"/>
      <c r="E72" s="984"/>
      <c r="F72" s="954"/>
      <c r="G72" s="954"/>
      <c r="H72" s="954"/>
      <c r="I72" s="954"/>
      <c r="J72" s="984"/>
      <c r="K72" s="954"/>
      <c r="L72" s="954"/>
    </row>
    <row r="73" spans="1:12" ht="38.25" customHeight="1">
      <c r="A73" s="954"/>
      <c r="B73" s="2028" t="s">
        <v>2465</v>
      </c>
      <c r="C73" s="2028"/>
      <c r="D73" s="2028"/>
      <c r="E73" s="2028"/>
      <c r="F73" s="2028"/>
      <c r="G73" s="2028"/>
      <c r="H73" s="2028"/>
      <c r="I73" s="2028"/>
      <c r="J73" s="2028"/>
      <c r="K73" s="2028"/>
      <c r="L73" s="2028"/>
    </row>
    <row r="74" spans="1:12">
      <c r="A74" s="982"/>
      <c r="B74" s="987"/>
      <c r="C74" s="988"/>
      <c r="D74" s="493"/>
      <c r="E74" s="988"/>
      <c r="F74" s="493"/>
      <c r="G74" s="493"/>
      <c r="H74" s="493"/>
      <c r="I74" s="493"/>
      <c r="J74" s="988"/>
      <c r="K74" s="493"/>
      <c r="L74" s="493"/>
    </row>
    <row r="75" spans="1:12">
      <c r="A75" s="982"/>
      <c r="B75" s="983" t="s">
        <v>2406</v>
      </c>
      <c r="C75" s="984"/>
      <c r="D75" s="954"/>
      <c r="E75" s="984"/>
      <c r="F75" s="954"/>
      <c r="G75" s="954"/>
      <c r="H75" s="954"/>
      <c r="I75" s="954"/>
      <c r="J75" s="984"/>
      <c r="K75" s="954"/>
      <c r="L75" s="954"/>
    </row>
    <row r="76" spans="1:12">
      <c r="A76" s="982"/>
      <c r="B76" s="955" t="s">
        <v>2407</v>
      </c>
      <c r="C76" s="984"/>
      <c r="D76" s="954"/>
      <c r="E76" s="984"/>
      <c r="F76" s="954"/>
      <c r="G76" s="954"/>
      <c r="H76" s="954"/>
      <c r="I76" s="954"/>
      <c r="J76" s="984"/>
      <c r="K76" s="954"/>
      <c r="L76" s="954"/>
    </row>
    <row r="77" spans="1:12">
      <c r="A77" s="982"/>
      <c r="B77" s="985"/>
      <c r="C77" s="984"/>
      <c r="D77" s="954"/>
      <c r="E77" s="984"/>
      <c r="F77" s="954"/>
      <c r="G77" s="954"/>
      <c r="H77" s="954"/>
      <c r="I77" s="954"/>
      <c r="J77" s="984"/>
      <c r="K77" s="954"/>
      <c r="L77" s="954"/>
    </row>
    <row r="78" spans="1:12" ht="15" customHeight="1">
      <c r="A78" s="982"/>
      <c r="B78" s="2029" t="s">
        <v>2408</v>
      </c>
      <c r="C78" s="2029"/>
      <c r="D78" s="2029"/>
      <c r="E78" s="2029"/>
      <c r="F78" s="2029"/>
      <c r="G78" s="2029"/>
      <c r="H78" s="2029"/>
      <c r="I78" s="2029"/>
      <c r="J78" s="2029"/>
      <c r="K78" s="2029"/>
      <c r="L78" s="2029"/>
    </row>
    <row r="79" spans="1:12" ht="15" customHeight="1">
      <c r="A79" s="982"/>
      <c r="B79" s="2029" t="s">
        <v>2409</v>
      </c>
      <c r="C79" s="2029"/>
      <c r="D79" s="2029"/>
      <c r="E79" s="2029"/>
      <c r="F79" s="2029"/>
      <c r="G79" s="2029"/>
      <c r="H79" s="2029"/>
      <c r="I79" s="2029"/>
      <c r="J79" s="2029"/>
      <c r="K79" s="2029"/>
      <c r="L79" s="2029"/>
    </row>
    <row r="80" spans="1:12" ht="15" customHeight="1">
      <c r="A80" s="982"/>
      <c r="B80" s="2029" t="s">
        <v>2410</v>
      </c>
      <c r="C80" s="2029"/>
      <c r="D80" s="2029"/>
      <c r="E80" s="2029"/>
      <c r="F80" s="2029"/>
      <c r="G80" s="2029"/>
      <c r="H80" s="2029"/>
      <c r="I80" s="2029"/>
      <c r="J80" s="2029"/>
      <c r="K80" s="2029"/>
      <c r="L80" s="2029"/>
    </row>
    <row r="81" spans="1:12" ht="15" customHeight="1">
      <c r="A81" s="982"/>
      <c r="B81" s="2029" t="s">
        <v>2411</v>
      </c>
      <c r="C81" s="2029"/>
      <c r="D81" s="2029"/>
      <c r="E81" s="2029"/>
      <c r="F81" s="2029"/>
      <c r="G81" s="2029"/>
      <c r="H81" s="2029"/>
      <c r="I81" s="2029"/>
      <c r="J81" s="2029"/>
      <c r="K81" s="2029"/>
      <c r="L81" s="2029"/>
    </row>
    <row r="82" spans="1:12">
      <c r="A82" s="982"/>
      <c r="B82" s="985"/>
      <c r="C82" s="984"/>
      <c r="D82" s="954"/>
      <c r="E82" s="984"/>
      <c r="F82" s="954"/>
      <c r="G82" s="954"/>
      <c r="H82" s="954"/>
      <c r="I82" s="954"/>
      <c r="J82" s="984"/>
      <c r="K82" s="954"/>
      <c r="L82" s="954"/>
    </row>
    <row r="83" spans="1:12" ht="15.75" thickBot="1">
      <c r="A83" s="982"/>
      <c r="B83" s="954" t="s">
        <v>2412</v>
      </c>
      <c r="C83" s="984"/>
      <c r="D83" s="954"/>
      <c r="E83" s="984"/>
      <c r="F83" s="954"/>
      <c r="G83" s="954"/>
      <c r="H83" s="954"/>
      <c r="I83" s="954"/>
      <c r="J83" s="984"/>
      <c r="K83" s="954"/>
      <c r="L83" s="954"/>
    </row>
    <row r="84" spans="1:12" ht="15.75" thickBot="1">
      <c r="A84" s="989"/>
      <c r="B84" s="989"/>
      <c r="C84" s="1887" t="s">
        <v>2413</v>
      </c>
      <c r="D84" s="1888"/>
      <c r="E84" s="1889"/>
      <c r="F84" s="1889"/>
      <c r="G84" s="1890"/>
      <c r="H84" s="1883" t="s">
        <v>2414</v>
      </c>
      <c r="I84" s="1884"/>
      <c r="J84" s="1884"/>
      <c r="K84" s="1884"/>
      <c r="L84" s="1885"/>
    </row>
    <row r="85" spans="1:12" ht="26.25" thickBot="1">
      <c r="A85" s="990" t="s">
        <v>1481</v>
      </c>
      <c r="B85" s="990" t="s">
        <v>8</v>
      </c>
      <c r="C85" s="991" t="s">
        <v>2415</v>
      </c>
      <c r="D85" s="992" t="s">
        <v>2416</v>
      </c>
      <c r="E85" s="993" t="s">
        <v>2417</v>
      </c>
      <c r="F85" s="992" t="s">
        <v>2416</v>
      </c>
      <c r="G85" s="994" t="s">
        <v>2418</v>
      </c>
      <c r="H85" s="995" t="s">
        <v>2415</v>
      </c>
      <c r="I85" s="995" t="s">
        <v>2416</v>
      </c>
      <c r="J85" s="996" t="s">
        <v>2417</v>
      </c>
      <c r="K85" s="995" t="s">
        <v>2416</v>
      </c>
      <c r="L85" s="997" t="s">
        <v>2418</v>
      </c>
    </row>
    <row r="86" spans="1:12" ht="15.75" thickBot="1">
      <c r="A86"/>
      <c r="B86"/>
      <c r="C86"/>
      <c r="D86"/>
      <c r="E86"/>
      <c r="F86"/>
      <c r="G86"/>
      <c r="H86" s="4"/>
      <c r="I86" s="5"/>
      <c r="J86" s="5"/>
      <c r="K86" s="5"/>
      <c r="L86" s="6"/>
    </row>
    <row r="87" spans="1:12" ht="45.75" thickBot="1">
      <c r="A87" s="998">
        <v>1</v>
      </c>
      <c r="B87" s="999" t="s">
        <v>2419</v>
      </c>
      <c r="C87" s="1000"/>
      <c r="D87" s="1001"/>
      <c r="E87" s="1000"/>
      <c r="F87" s="1000"/>
      <c r="G87" s="1014"/>
      <c r="H87" s="1015"/>
      <c r="I87" s="1000"/>
      <c r="J87" s="1000"/>
      <c r="K87" s="1000"/>
      <c r="L87" s="1002"/>
    </row>
    <row r="88" spans="1:12" ht="16.5" thickBot="1">
      <c r="A88" s="1003"/>
      <c r="B88"/>
      <c r="C88"/>
      <c r="D88"/>
      <c r="E88"/>
      <c r="F88"/>
      <c r="G88"/>
      <c r="H88" s="4"/>
      <c r="I88" s="5"/>
      <c r="J88" s="5"/>
      <c r="K88" s="5"/>
      <c r="L88" s="6"/>
    </row>
    <row r="89" spans="1:12" ht="120.75" thickBot="1">
      <c r="A89" s="998">
        <v>2</v>
      </c>
      <c r="B89" s="999" t="s">
        <v>2420</v>
      </c>
      <c r="C89" s="1000"/>
      <c r="D89" s="1001"/>
      <c r="E89" s="1000"/>
      <c r="F89" s="1000"/>
      <c r="G89" s="1014"/>
      <c r="H89" s="1015"/>
      <c r="I89" s="1001"/>
      <c r="J89" s="1000"/>
      <c r="K89" s="1000"/>
      <c r="L89" s="1002"/>
    </row>
    <row r="90" spans="1:12" ht="16.5" thickBot="1">
      <c r="A90" s="1003"/>
      <c r="B90"/>
      <c r="C90"/>
      <c r="D90"/>
      <c r="E90"/>
      <c r="F90"/>
      <c r="G90"/>
      <c r="H90" s="4"/>
      <c r="I90" s="5"/>
      <c r="J90" s="5"/>
      <c r="K90" s="5"/>
      <c r="L90" s="6"/>
    </row>
    <row r="91" spans="1:12" ht="39.75" thickBot="1">
      <c r="A91" s="998">
        <v>3</v>
      </c>
      <c r="B91" s="1004" t="s">
        <v>2421</v>
      </c>
      <c r="C91" s="1000"/>
      <c r="D91" s="1001"/>
      <c r="E91" s="1000"/>
      <c r="F91" s="1000"/>
      <c r="G91" s="1014"/>
      <c r="H91" s="1015"/>
      <c r="I91" s="1001"/>
      <c r="J91" s="1000"/>
      <c r="K91" s="1000"/>
      <c r="L91" s="1002"/>
    </row>
    <row r="92" spans="1:12" ht="16.5" thickBot="1">
      <c r="A92" s="1003"/>
      <c r="B92"/>
      <c r="C92"/>
      <c r="D92"/>
      <c r="E92"/>
      <c r="F92"/>
      <c r="G92"/>
      <c r="H92" s="4"/>
      <c r="I92" s="5"/>
      <c r="J92" s="5"/>
      <c r="K92" s="5"/>
      <c r="L92" s="6"/>
    </row>
    <row r="93" spans="1:12" ht="15.75">
      <c r="A93" s="1003">
        <v>4</v>
      </c>
      <c r="B93" s="1005" t="s">
        <v>2422</v>
      </c>
      <c r="C93" s="1006"/>
      <c r="D93" s="2"/>
      <c r="E93" s="1006"/>
      <c r="F93" s="2"/>
      <c r="G93" s="1016"/>
      <c r="H93" s="1005"/>
      <c r="I93" s="2"/>
      <c r="J93" s="1006"/>
      <c r="K93" s="2"/>
      <c r="L93" s="1007"/>
    </row>
    <row r="94" spans="1:12" ht="15.75">
      <c r="A94" s="1003"/>
      <c r="B94" s="1008" t="s">
        <v>2423</v>
      </c>
      <c r="C94" s="1009"/>
      <c r="D94"/>
      <c r="E94" s="1009"/>
      <c r="F94"/>
      <c r="G94" s="1017"/>
      <c r="H94" s="1008"/>
      <c r="I94" s="5"/>
      <c r="J94" s="1009"/>
      <c r="K94" s="5"/>
      <c r="L94" s="1010"/>
    </row>
    <row r="95" spans="1:12" ht="15.75">
      <c r="A95" s="1003"/>
      <c r="B95" s="1008" t="s">
        <v>2424</v>
      </c>
      <c r="C95" s="1009"/>
      <c r="D95"/>
      <c r="E95" s="1009"/>
      <c r="F95"/>
      <c r="G95" s="1017"/>
      <c r="H95" s="1008"/>
      <c r="I95" s="5"/>
      <c r="J95" s="1009"/>
      <c r="K95" s="5"/>
      <c r="L95" s="1010"/>
    </row>
    <row r="96" spans="1:12" ht="16.5" thickBot="1">
      <c r="A96" s="1003"/>
      <c r="B96" s="1011" t="s">
        <v>2425</v>
      </c>
      <c r="C96" s="1012"/>
      <c r="D96" s="8"/>
      <c r="E96" s="1012"/>
      <c r="F96" s="8"/>
      <c r="G96" s="1018"/>
      <c r="H96" s="1011"/>
      <c r="I96" s="8"/>
      <c r="J96" s="1012"/>
      <c r="K96" s="8"/>
      <c r="L96" s="1013"/>
    </row>
    <row r="97" spans="1:12" ht="16.5" thickBot="1">
      <c r="A97" s="1003"/>
      <c r="B97"/>
      <c r="C97"/>
      <c r="D97"/>
      <c r="E97"/>
      <c r="F97"/>
      <c r="G97"/>
      <c r="H97" s="4"/>
      <c r="I97" s="5"/>
      <c r="J97" s="5"/>
      <c r="K97" s="5"/>
      <c r="L97" s="6"/>
    </row>
    <row r="98" spans="1:12" ht="15.75">
      <c r="A98" s="1003">
        <v>5</v>
      </c>
      <c r="B98" s="1005" t="s">
        <v>2426</v>
      </c>
      <c r="C98" s="1006"/>
      <c r="D98" s="2"/>
      <c r="E98" s="1006"/>
      <c r="F98" s="2"/>
      <c r="G98" s="1016"/>
      <c r="H98" s="1005"/>
      <c r="I98" s="2"/>
      <c r="J98" s="1006"/>
      <c r="K98" s="2"/>
      <c r="L98" s="1007"/>
    </row>
    <row r="99" spans="1:12" ht="15.75">
      <c r="A99" s="1003"/>
      <c r="B99" s="1008" t="s">
        <v>2427</v>
      </c>
      <c r="C99" s="1009"/>
      <c r="D99"/>
      <c r="E99" s="1009"/>
      <c r="F99"/>
      <c r="G99" s="1017"/>
      <c r="H99" s="1008"/>
      <c r="I99" s="5"/>
      <c r="J99" s="1009"/>
      <c r="K99" s="5"/>
      <c r="L99" s="1010"/>
    </row>
    <row r="100" spans="1:12" ht="15.75">
      <c r="A100" s="1003"/>
      <c r="B100" s="1008" t="s">
        <v>2428</v>
      </c>
      <c r="C100" s="1009"/>
      <c r="D100"/>
      <c r="E100" s="1009"/>
      <c r="F100"/>
      <c r="G100" s="1017"/>
      <c r="H100" s="1008"/>
      <c r="I100" s="5"/>
      <c r="J100" s="1009"/>
      <c r="K100" s="5"/>
      <c r="L100" s="1010"/>
    </row>
    <row r="101" spans="1:12" ht="16.5" thickBot="1">
      <c r="A101" s="1003"/>
      <c r="B101" s="1011" t="s">
        <v>2429</v>
      </c>
      <c r="C101" s="1012"/>
      <c r="D101" s="8"/>
      <c r="E101" s="1012"/>
      <c r="F101" s="8"/>
      <c r="G101" s="1018"/>
      <c r="H101" s="1011"/>
      <c r="I101" s="8"/>
      <c r="J101" s="1012"/>
      <c r="K101" s="8"/>
      <c r="L101" s="1013"/>
    </row>
    <row r="102" spans="1:12" ht="16.5" thickBot="1">
      <c r="A102" s="1003"/>
      <c r="B102"/>
      <c r="C102"/>
      <c r="D102"/>
      <c r="E102"/>
      <c r="F102"/>
      <c r="G102"/>
      <c r="H102" s="4"/>
      <c r="I102" s="5"/>
      <c r="J102" s="5"/>
      <c r="K102" s="5"/>
      <c r="L102" s="6"/>
    </row>
    <row r="103" spans="1:12" ht="15.75">
      <c r="A103" s="1003">
        <v>6</v>
      </c>
      <c r="B103" s="1005" t="s">
        <v>2430</v>
      </c>
      <c r="C103" s="1006"/>
      <c r="D103" s="2"/>
      <c r="E103" s="1006"/>
      <c r="F103" s="2"/>
      <c r="G103" s="1016"/>
      <c r="H103" s="1005"/>
      <c r="I103" s="2"/>
      <c r="J103" s="1006"/>
      <c r="K103" s="2"/>
      <c r="L103" s="1007"/>
    </row>
    <row r="104" spans="1:12" ht="15.75">
      <c r="A104" s="1003"/>
      <c r="B104" s="1008" t="s">
        <v>2431</v>
      </c>
      <c r="C104" s="1009"/>
      <c r="D104"/>
      <c r="E104" s="1009"/>
      <c r="F104"/>
      <c r="G104" s="1017"/>
      <c r="H104" s="1008"/>
      <c r="I104" s="5"/>
      <c r="J104" s="1009"/>
      <c r="K104" s="5"/>
      <c r="L104" s="1010"/>
    </row>
    <row r="105" spans="1:12" ht="15.75">
      <c r="A105" s="1003"/>
      <c r="B105" s="1008" t="s">
        <v>2432</v>
      </c>
      <c r="C105" s="1009"/>
      <c r="D105"/>
      <c r="E105" s="1009"/>
      <c r="F105"/>
      <c r="G105" s="1017"/>
      <c r="H105" s="1008"/>
      <c r="I105" s="5"/>
      <c r="J105" s="1009"/>
      <c r="K105" s="5"/>
      <c r="L105" s="1010"/>
    </row>
    <row r="106" spans="1:12" ht="16.5" thickBot="1">
      <c r="A106" s="1003"/>
      <c r="B106" s="1011" t="s">
        <v>2433</v>
      </c>
      <c r="C106" s="1012"/>
      <c r="D106" s="8"/>
      <c r="E106" s="1012"/>
      <c r="F106" s="8"/>
      <c r="G106" s="1018"/>
      <c r="H106" s="1011"/>
      <c r="I106" s="8"/>
      <c r="J106" s="1012"/>
      <c r="K106" s="8"/>
      <c r="L106" s="1013"/>
    </row>
    <row r="107" spans="1:12" ht="16.5" thickBot="1">
      <c r="A107" s="1003"/>
      <c r="B107"/>
      <c r="C107"/>
      <c r="D107"/>
      <c r="E107"/>
      <c r="F107"/>
      <c r="G107"/>
      <c r="H107" s="4"/>
      <c r="I107" s="5"/>
      <c r="J107" s="5"/>
      <c r="K107" s="5"/>
      <c r="L107" s="6"/>
    </row>
    <row r="108" spans="1:12" ht="15.75">
      <c r="A108" s="1003">
        <v>7</v>
      </c>
      <c r="B108" s="1005" t="s">
        <v>2434</v>
      </c>
      <c r="C108" s="1006"/>
      <c r="D108" s="2"/>
      <c r="E108" s="1006"/>
      <c r="F108" s="2"/>
      <c r="G108" s="1016"/>
      <c r="H108" s="1005"/>
      <c r="I108" s="2"/>
      <c r="J108" s="1006"/>
      <c r="K108" s="2"/>
      <c r="L108" s="1007"/>
    </row>
    <row r="109" spans="1:12">
      <c r="A109"/>
      <c r="B109" s="1008" t="s">
        <v>2435</v>
      </c>
      <c r="C109" s="1009"/>
      <c r="D109"/>
      <c r="E109" s="1009"/>
      <c r="F109"/>
      <c r="G109" s="1017"/>
      <c r="H109" s="1008"/>
      <c r="I109" s="5"/>
      <c r="J109" s="1009"/>
      <c r="K109" s="5"/>
      <c r="L109" s="1010"/>
    </row>
    <row r="110" spans="1:12">
      <c r="A110"/>
      <c r="B110" s="1008" t="s">
        <v>2436</v>
      </c>
      <c r="C110" s="1009"/>
      <c r="D110"/>
      <c r="E110" s="1009"/>
      <c r="F110"/>
      <c r="G110" s="1017"/>
      <c r="H110" s="1008"/>
      <c r="I110" s="5"/>
      <c r="J110" s="1009"/>
      <c r="K110" s="5"/>
      <c r="L110" s="1010"/>
    </row>
    <row r="111" spans="1:12" ht="16.5" thickBot="1">
      <c r="A111" s="1003"/>
      <c r="B111" s="1011" t="s">
        <v>2437</v>
      </c>
      <c r="C111" s="1012"/>
      <c r="D111" s="8"/>
      <c r="E111" s="1012"/>
      <c r="F111" s="8"/>
      <c r="G111" s="1018"/>
      <c r="H111" s="1011"/>
      <c r="I111" s="8"/>
      <c r="J111" s="1012"/>
      <c r="K111" s="8"/>
      <c r="L111" s="1013"/>
    </row>
    <row r="112" spans="1:12" ht="15.75" thickBot="1">
      <c r="A112"/>
      <c r="B112"/>
      <c r="C112"/>
      <c r="D112"/>
      <c r="E112"/>
      <c r="F112"/>
      <c r="G112"/>
      <c r="H112" s="4"/>
      <c r="I112" s="5"/>
      <c r="J112" s="5"/>
      <c r="K112" s="5"/>
      <c r="L112" s="6"/>
    </row>
    <row r="113" spans="1:12" ht="15.75">
      <c r="A113" s="1003">
        <v>8</v>
      </c>
      <c r="B113" s="1005" t="s">
        <v>2438</v>
      </c>
      <c r="C113" s="1006"/>
      <c r="D113" s="2"/>
      <c r="E113" s="1006"/>
      <c r="F113" s="2"/>
      <c r="G113" s="1016"/>
      <c r="H113" s="1005"/>
      <c r="I113" s="2"/>
      <c r="J113" s="1006"/>
      <c r="K113" s="2"/>
      <c r="L113" s="1007"/>
    </row>
    <row r="114" spans="1:12" ht="15.75">
      <c r="A114" s="1003"/>
      <c r="B114" s="1008" t="s">
        <v>2439</v>
      </c>
      <c r="C114" s="1009"/>
      <c r="D114"/>
      <c r="E114" s="1009"/>
      <c r="F114"/>
      <c r="G114" s="1017"/>
      <c r="H114" s="1008"/>
      <c r="I114" s="5"/>
      <c r="J114" s="1009"/>
      <c r="K114" s="5"/>
      <c r="L114" s="1010"/>
    </row>
    <row r="115" spans="1:12" ht="16.5" thickBot="1">
      <c r="A115" s="1003"/>
      <c r="B115" s="1011" t="s">
        <v>2440</v>
      </c>
      <c r="C115" s="1012"/>
      <c r="D115" s="8"/>
      <c r="E115" s="1012"/>
      <c r="F115" s="8"/>
      <c r="G115" s="1018"/>
      <c r="H115" s="1011"/>
      <c r="I115" s="8"/>
      <c r="J115" s="1012"/>
      <c r="K115" s="8"/>
      <c r="L115" s="1013"/>
    </row>
    <row r="116" spans="1:12" ht="16.5" thickBot="1">
      <c r="A116" s="1003"/>
      <c r="B116"/>
      <c r="C116"/>
      <c r="D116"/>
      <c r="E116"/>
      <c r="F116"/>
      <c r="G116"/>
      <c r="H116" s="4"/>
      <c r="I116" s="5"/>
      <c r="J116" s="5"/>
      <c r="K116" s="5"/>
      <c r="L116" s="6"/>
    </row>
    <row r="117" spans="1:12" ht="15.75">
      <c r="A117" s="1003">
        <v>9</v>
      </c>
      <c r="B117" s="1005" t="s">
        <v>2441</v>
      </c>
      <c r="C117" s="1006"/>
      <c r="D117" s="2"/>
      <c r="E117" s="1006"/>
      <c r="F117" s="2"/>
      <c r="G117" s="1016"/>
      <c r="H117" s="1005"/>
      <c r="I117" s="2"/>
      <c r="J117" s="1006"/>
      <c r="K117" s="2"/>
      <c r="L117" s="1007"/>
    </row>
    <row r="118" spans="1:12" ht="15.75">
      <c r="A118" s="1003"/>
      <c r="B118" s="1008" t="s">
        <v>2442</v>
      </c>
      <c r="C118" s="1009"/>
      <c r="D118"/>
      <c r="E118" s="1009"/>
      <c r="F118"/>
      <c r="G118" s="1017"/>
      <c r="H118" s="1008"/>
      <c r="I118" s="5"/>
      <c r="J118" s="1009"/>
      <c r="K118" s="5"/>
      <c r="L118" s="1010"/>
    </row>
    <row r="119" spans="1:12" ht="15.75">
      <c r="A119" s="1003"/>
      <c r="B119" s="1008" t="s">
        <v>2443</v>
      </c>
      <c r="C119" s="1009"/>
      <c r="D119"/>
      <c r="E119" s="1009"/>
      <c r="F119"/>
      <c r="G119" s="1017"/>
      <c r="H119" s="1008"/>
      <c r="I119" s="5"/>
      <c r="J119" s="1009"/>
      <c r="K119" s="5"/>
      <c r="L119" s="1010"/>
    </row>
    <row r="120" spans="1:12" ht="15.75">
      <c r="A120" s="1003"/>
      <c r="B120" s="1008" t="s">
        <v>2444</v>
      </c>
      <c r="C120" s="1009"/>
      <c r="D120"/>
      <c r="E120" s="1009"/>
      <c r="F120"/>
      <c r="G120" s="1017"/>
      <c r="H120" s="1008"/>
      <c r="I120" s="5"/>
      <c r="J120" s="1009"/>
      <c r="K120" s="5"/>
      <c r="L120" s="1010"/>
    </row>
    <row r="121" spans="1:12" ht="16.5" thickBot="1">
      <c r="A121" s="1003"/>
      <c r="B121" s="1011" t="s">
        <v>2445</v>
      </c>
      <c r="C121" s="1012"/>
      <c r="D121" s="8"/>
      <c r="E121" s="1012"/>
      <c r="F121" s="8"/>
      <c r="G121" s="1018"/>
      <c r="H121" s="1011"/>
      <c r="I121" s="8"/>
      <c r="J121" s="1012"/>
      <c r="K121" s="8"/>
      <c r="L121" s="1013"/>
    </row>
    <row r="122" spans="1:12">
      <c r="A122"/>
      <c r="B122"/>
      <c r="C122"/>
      <c r="D122"/>
      <c r="E122"/>
      <c r="F122"/>
      <c r="G122"/>
      <c r="H122"/>
      <c r="I122"/>
      <c r="J122"/>
      <c r="K122"/>
      <c r="L122"/>
    </row>
    <row r="123" spans="1:12">
      <c r="A123"/>
      <c r="B123" s="954" t="s">
        <v>2446</v>
      </c>
      <c r="C123"/>
      <c r="D123"/>
      <c r="E123"/>
      <c r="F123"/>
      <c r="G123"/>
      <c r="H123"/>
      <c r="I123"/>
      <c r="J123"/>
      <c r="K123"/>
      <c r="L123"/>
    </row>
    <row r="124" spans="1:12">
      <c r="A124"/>
      <c r="B124"/>
      <c r="C124"/>
      <c r="D124"/>
      <c r="E124"/>
      <c r="F124"/>
      <c r="G124"/>
      <c r="H124"/>
      <c r="I124"/>
      <c r="J124"/>
      <c r="K124"/>
      <c r="L124"/>
    </row>
    <row r="125" spans="1:12" ht="29.25" customHeight="1">
      <c r="A125"/>
      <c r="B125" s="2027" t="s">
        <v>2466</v>
      </c>
      <c r="C125" s="2027"/>
      <c r="D125" s="2027"/>
      <c r="E125" s="2027"/>
      <c r="F125" s="2027"/>
      <c r="G125" s="2027"/>
      <c r="H125" s="2027"/>
      <c r="I125" s="2027"/>
      <c r="J125" s="2027"/>
      <c r="K125" s="2027"/>
      <c r="L125" s="2027"/>
    </row>
    <row r="126" spans="1:12" ht="33" customHeight="1">
      <c r="A126"/>
      <c r="B126" s="2027" t="s">
        <v>2467</v>
      </c>
      <c r="C126" s="2027"/>
      <c r="D126" s="2027"/>
      <c r="E126" s="2027"/>
      <c r="F126" s="2027"/>
      <c r="G126" s="2027"/>
      <c r="H126" s="2027"/>
      <c r="I126" s="2027"/>
      <c r="J126" s="2027"/>
      <c r="K126" s="2027"/>
      <c r="L126" s="2027"/>
    </row>
    <row r="127" spans="1:12">
      <c r="A127"/>
      <c r="B127" s="2027" t="s">
        <v>2468</v>
      </c>
      <c r="C127" s="2027"/>
      <c r="D127" s="2027"/>
      <c r="E127" s="2027"/>
      <c r="F127" s="2027"/>
      <c r="G127" s="2027"/>
      <c r="H127" s="2027"/>
      <c r="I127" s="2027"/>
      <c r="J127" s="2027"/>
      <c r="K127" s="2027"/>
      <c r="L127" s="2027"/>
    </row>
    <row r="128" spans="1:12">
      <c r="A128"/>
      <c r="B128"/>
      <c r="C128"/>
      <c r="D128"/>
      <c r="E128"/>
      <c r="F128"/>
      <c r="G128"/>
      <c r="H128"/>
      <c r="I128"/>
      <c r="J128"/>
      <c r="K128"/>
      <c r="L128"/>
    </row>
    <row r="129" spans="1:12">
      <c r="A129"/>
      <c r="B129" s="954" t="s">
        <v>2447</v>
      </c>
      <c r="C129"/>
      <c r="D129"/>
      <c r="E129"/>
      <c r="F129"/>
      <c r="G129"/>
      <c r="H129"/>
      <c r="I129"/>
      <c r="J129"/>
      <c r="K129"/>
      <c r="L129"/>
    </row>
    <row r="130" spans="1:12">
      <c r="A130"/>
      <c r="B130"/>
      <c r="C130"/>
      <c r="D130"/>
      <c r="E130"/>
      <c r="F130"/>
      <c r="G130"/>
      <c r="H130"/>
      <c r="I130"/>
      <c r="J130"/>
      <c r="K130"/>
      <c r="L130"/>
    </row>
    <row r="131" spans="1:12">
      <c r="A131" s="956"/>
      <c r="B131" s="2028" t="s">
        <v>2448</v>
      </c>
      <c r="C131" s="2032"/>
      <c r="D131" s="2032"/>
      <c r="E131" s="2032"/>
      <c r="F131" s="2032"/>
      <c r="G131" s="2032"/>
      <c r="H131" s="2032"/>
      <c r="I131" s="2032"/>
      <c r="J131" s="2032"/>
      <c r="K131" s="2032"/>
      <c r="L131" s="2032"/>
    </row>
    <row r="132" spans="1:12" ht="18" customHeight="1">
      <c r="A132"/>
      <c r="B132" s="2030" t="s">
        <v>2449</v>
      </c>
      <c r="C132" s="2030"/>
      <c r="D132" s="2030"/>
      <c r="E132" s="2030"/>
      <c r="F132" s="2030"/>
      <c r="G132" s="2030"/>
      <c r="H132" s="2030"/>
      <c r="I132" s="2030"/>
      <c r="J132" s="2030"/>
      <c r="K132" s="2030"/>
      <c r="L132" s="2030"/>
    </row>
    <row r="133" spans="1:12" ht="30.75" customHeight="1">
      <c r="A133"/>
      <c r="B133" s="2027" t="s">
        <v>2856</v>
      </c>
      <c r="C133" s="1930"/>
      <c r="D133" s="1930"/>
      <c r="E133" s="1930"/>
      <c r="F133" s="1930"/>
      <c r="G133" s="1930"/>
      <c r="H133" s="1930"/>
      <c r="I133" s="1930"/>
      <c r="J133" s="1930"/>
      <c r="K133" s="1930"/>
      <c r="L133" s="1930"/>
    </row>
    <row r="134" spans="1:12">
      <c r="A134"/>
      <c r="B134" s="2030"/>
      <c r="C134" s="2031"/>
      <c r="D134" s="2031"/>
      <c r="E134" s="2031"/>
      <c r="F134" s="2031"/>
      <c r="G134" s="2031"/>
      <c r="H134" s="2031"/>
      <c r="I134" s="2031"/>
      <c r="J134" s="2031"/>
      <c r="K134" s="2031"/>
      <c r="L134" s="2031"/>
    </row>
    <row r="135" spans="1:12">
      <c r="A135"/>
      <c r="B135" s="2030"/>
      <c r="C135" s="2031"/>
      <c r="D135" s="2031"/>
      <c r="E135" s="2031"/>
      <c r="F135" s="2031"/>
      <c r="G135" s="2031"/>
      <c r="H135" s="2031"/>
      <c r="I135" s="2031"/>
      <c r="J135" s="2031"/>
      <c r="K135" s="2031"/>
      <c r="L135" s="2031"/>
    </row>
    <row r="136" spans="1:12">
      <c r="A136"/>
      <c r="B136" s="2031"/>
      <c r="C136" s="2031"/>
      <c r="D136" s="2031"/>
      <c r="E136" s="2031"/>
      <c r="F136" s="2031"/>
      <c r="G136" s="2031"/>
      <c r="H136" s="2031"/>
      <c r="I136" s="2031"/>
      <c r="J136" s="2031"/>
      <c r="K136" s="2031"/>
      <c r="L136" s="2031"/>
    </row>
    <row r="137" spans="1:12">
      <c r="A137"/>
      <c r="B137" s="2027" t="s">
        <v>2469</v>
      </c>
      <c r="C137" s="1930"/>
      <c r="D137" s="1930"/>
      <c r="E137" s="1930"/>
      <c r="F137" s="1930"/>
      <c r="G137" s="1930"/>
      <c r="H137" s="1930"/>
      <c r="I137" s="1930"/>
      <c r="J137" s="1930"/>
      <c r="K137" s="1930"/>
      <c r="L137" s="1930"/>
    </row>
    <row r="138" spans="1:12">
      <c r="A138"/>
      <c r="B138"/>
      <c r="C138"/>
      <c r="D138"/>
      <c r="E138"/>
      <c r="F138"/>
      <c r="G138"/>
      <c r="H138"/>
      <c r="I138"/>
      <c r="J138"/>
      <c r="K138"/>
      <c r="L138"/>
    </row>
    <row r="139" spans="1:12">
      <c r="A139"/>
      <c r="B139" t="s">
        <v>2450</v>
      </c>
      <c r="C139"/>
      <c r="D139"/>
      <c r="E139"/>
      <c r="F139"/>
      <c r="G139"/>
      <c r="H139"/>
      <c r="I139"/>
      <c r="J139"/>
      <c r="K139"/>
      <c r="L139"/>
    </row>
    <row r="140" spans="1:12">
      <c r="A140"/>
      <c r="B140" t="s">
        <v>2451</v>
      </c>
      <c r="C140"/>
      <c r="D140"/>
      <c r="E140"/>
      <c r="F140"/>
      <c r="G140"/>
      <c r="H140"/>
      <c r="I140"/>
      <c r="J140"/>
      <c r="K140"/>
      <c r="L140"/>
    </row>
    <row r="141" spans="1:12">
      <c r="A141"/>
      <c r="B141" t="s">
        <v>2452</v>
      </c>
      <c r="C141"/>
      <c r="D141"/>
      <c r="E141"/>
      <c r="F141"/>
      <c r="G141"/>
      <c r="H141"/>
      <c r="I141"/>
      <c r="J141"/>
      <c r="K141"/>
      <c r="L141"/>
    </row>
    <row r="142" spans="1:12">
      <c r="A142"/>
      <c r="B142" t="s">
        <v>2453</v>
      </c>
      <c r="C142"/>
      <c r="D142"/>
      <c r="E142"/>
      <c r="F142"/>
      <c r="G142"/>
      <c r="H142"/>
      <c r="I142"/>
      <c r="J142"/>
      <c r="K142"/>
      <c r="L142"/>
    </row>
    <row r="143" spans="1:12">
      <c r="A143"/>
      <c r="B143" t="s">
        <v>2454</v>
      </c>
      <c r="C143"/>
      <c r="D143"/>
      <c r="E143"/>
      <c r="F143"/>
      <c r="G143"/>
      <c r="H143"/>
      <c r="I143"/>
      <c r="J143"/>
      <c r="K143"/>
      <c r="L143"/>
    </row>
    <row r="144" spans="1:12">
      <c r="A144"/>
      <c r="B144" t="s">
        <v>2455</v>
      </c>
      <c r="C144"/>
      <c r="D144"/>
      <c r="E144"/>
      <c r="F144"/>
      <c r="G144"/>
      <c r="H144"/>
      <c r="I144"/>
      <c r="J144"/>
      <c r="K144"/>
      <c r="L144"/>
    </row>
    <row r="145" spans="1:12">
      <c r="A145"/>
      <c r="B145"/>
      <c r="C145"/>
      <c r="D145"/>
      <c r="E145"/>
      <c r="F145"/>
      <c r="G145"/>
      <c r="H145"/>
      <c r="I145"/>
      <c r="J145"/>
      <c r="K145"/>
      <c r="L145"/>
    </row>
    <row r="146" spans="1:12">
      <c r="A146"/>
      <c r="B146" t="s">
        <v>2456</v>
      </c>
      <c r="C146"/>
      <c r="D146"/>
      <c r="E146"/>
      <c r="F146"/>
      <c r="G146"/>
      <c r="H146"/>
      <c r="I146"/>
      <c r="J146"/>
      <c r="K146"/>
      <c r="L146"/>
    </row>
    <row r="147" spans="1:12">
      <c r="A147"/>
      <c r="B147" s="63" t="s">
        <v>2470</v>
      </c>
      <c r="C147"/>
      <c r="D147"/>
      <c r="E147"/>
      <c r="F147"/>
      <c r="G147"/>
      <c r="H147"/>
      <c r="I147"/>
      <c r="J147"/>
      <c r="K147"/>
      <c r="L147"/>
    </row>
    <row r="148" spans="1:12">
      <c r="A148"/>
      <c r="B148" t="s">
        <v>2457</v>
      </c>
      <c r="C148"/>
      <c r="D148"/>
      <c r="E148"/>
      <c r="F148"/>
      <c r="G148"/>
      <c r="H148"/>
      <c r="I148"/>
      <c r="J148"/>
      <c r="K148"/>
      <c r="L148"/>
    </row>
    <row r="149" spans="1:12">
      <c r="A149"/>
      <c r="B149"/>
      <c r="C149"/>
      <c r="D149"/>
      <c r="E149"/>
      <c r="F149"/>
      <c r="G149"/>
      <c r="H149"/>
      <c r="I149"/>
      <c r="J149"/>
      <c r="K149"/>
      <c r="L149"/>
    </row>
    <row r="150" spans="1:12">
      <c r="A150"/>
      <c r="B150" t="s">
        <v>2458</v>
      </c>
      <c r="C150"/>
      <c r="D150"/>
      <c r="E150"/>
      <c r="F150"/>
      <c r="G150"/>
      <c r="H150"/>
      <c r="I150"/>
      <c r="J150"/>
      <c r="K150"/>
      <c r="L150"/>
    </row>
    <row r="151" spans="1:12">
      <c r="A151"/>
      <c r="B151" t="s">
        <v>2471</v>
      </c>
      <c r="C151"/>
      <c r="D151"/>
      <c r="E151"/>
      <c r="F151"/>
      <c r="G151"/>
      <c r="H151"/>
      <c r="I151"/>
      <c r="J151"/>
      <c r="K151"/>
      <c r="L151"/>
    </row>
    <row r="152" spans="1:12">
      <c r="A152"/>
      <c r="B152" t="s">
        <v>2459</v>
      </c>
      <c r="C152"/>
      <c r="D152"/>
      <c r="E152"/>
      <c r="F152"/>
      <c r="G152"/>
      <c r="H152"/>
      <c r="I152"/>
      <c r="J152"/>
      <c r="K152"/>
      <c r="L152"/>
    </row>
    <row r="153" spans="1:12">
      <c r="A153"/>
      <c r="B153" t="s">
        <v>2460</v>
      </c>
      <c r="C153"/>
      <c r="D153"/>
      <c r="E153"/>
      <c r="F153"/>
      <c r="G153"/>
      <c r="H153"/>
      <c r="I153"/>
      <c r="J153"/>
      <c r="K153"/>
      <c r="L153"/>
    </row>
    <row r="154" spans="1:12">
      <c r="A154"/>
      <c r="B154"/>
      <c r="C154"/>
      <c r="D154"/>
      <c r="E154"/>
      <c r="F154"/>
      <c r="G154"/>
      <c r="H154"/>
      <c r="I154"/>
      <c r="J154"/>
      <c r="K154"/>
      <c r="L154"/>
    </row>
  </sheetData>
  <mergeCells count="30">
    <mergeCell ref="B134:L134"/>
    <mergeCell ref="B135:L135"/>
    <mergeCell ref="B136:L136"/>
    <mergeCell ref="B137:L137"/>
    <mergeCell ref="B125:L125"/>
    <mergeCell ref="B126:L126"/>
    <mergeCell ref="B127:L127"/>
    <mergeCell ref="B131:L131"/>
    <mergeCell ref="B132:L132"/>
    <mergeCell ref="B133:L133"/>
    <mergeCell ref="B78:L78"/>
    <mergeCell ref="B79:L79"/>
    <mergeCell ref="B80:L80"/>
    <mergeCell ref="B81:L81"/>
    <mergeCell ref="C84:G84"/>
    <mergeCell ref="H84:L84"/>
    <mergeCell ref="B64:L64"/>
    <mergeCell ref="B67:L67"/>
    <mergeCell ref="B68:L68"/>
    <mergeCell ref="B69:L69"/>
    <mergeCell ref="B70:L70"/>
    <mergeCell ref="B73:L73"/>
    <mergeCell ref="O1:P1"/>
    <mergeCell ref="F52:J52"/>
    <mergeCell ref="B8:D8"/>
    <mergeCell ref="B21:C21"/>
    <mergeCell ref="C27:O27"/>
    <mergeCell ref="F44:J44"/>
    <mergeCell ref="B43:B56"/>
    <mergeCell ref="I14:L14"/>
  </mergeCells>
  <conditionalFormatting sqref="D21">
    <cfRule type="expression" priority="1" stopIfTrue="1">
      <formula>"$E$165&gt;=1,¨Aumento¨"</formula>
    </cfRule>
  </conditionalFormatting>
  <dataValidations disablePrompts="1" count="1">
    <dataValidation type="list" allowBlank="1" showInputMessage="1" showErrorMessage="1" sqref="G9">
      <formula1>$G$3:$G$5</formula1>
    </dataValidation>
  </dataValidations>
  <hyperlinks>
    <hyperlink ref="E9" location="IPT!A1" display="INDICE"/>
  </hyperlinks>
  <printOptions horizontalCentered="1" verticalCentered="1"/>
  <pageMargins left="0.51181102362204722" right="0.51181102362204722" top="0.74803149606299213" bottom="0.94488188976377963" header="0.31496062992125984" footer="0.31496062992125984"/>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F22"/>
  <sheetViews>
    <sheetView workbookViewId="0">
      <selection activeCell="C13" sqref="C13"/>
    </sheetView>
  </sheetViews>
  <sheetFormatPr baseColWidth="10" defaultRowHeight="18.75"/>
  <cols>
    <col min="1" max="1" width="5.140625" style="1752" customWidth="1"/>
    <col min="2" max="2" width="13.5703125" style="867" customWidth="1"/>
    <col min="3" max="3" width="65.140625" style="867" customWidth="1"/>
    <col min="4" max="4" width="1.28515625" style="867" customWidth="1"/>
    <col min="5" max="5" width="1.42578125" style="867" customWidth="1"/>
    <col min="6" max="16384" width="11.42578125" style="867"/>
  </cols>
  <sheetData>
    <row r="1" spans="1:6">
      <c r="A1" s="867"/>
      <c r="F1" s="1766"/>
    </row>
    <row r="2" spans="1:6" ht="20.25">
      <c r="A2" s="1834" t="s">
        <v>899</v>
      </c>
      <c r="B2" s="1834"/>
      <c r="C2" s="1834"/>
      <c r="D2" s="1834"/>
    </row>
    <row r="3" spans="1:6">
      <c r="A3" s="1835" t="s">
        <v>1558</v>
      </c>
      <c r="B3" s="1835"/>
      <c r="C3" s="1835"/>
      <c r="D3" s="1835"/>
    </row>
    <row r="4" spans="1:6">
      <c r="A4" s="1835" t="s">
        <v>4057</v>
      </c>
      <c r="B4" s="1835"/>
      <c r="C4" s="1835"/>
      <c r="D4" s="1835"/>
    </row>
    <row r="5" spans="1:6">
      <c r="A5" s="1767"/>
      <c r="B5" s="1768">
        <v>45643</v>
      </c>
      <c r="D5" s="1769" t="s">
        <v>4058</v>
      </c>
    </row>
    <row r="6" spans="1:6" ht="42.75" customHeight="1">
      <c r="A6" s="1770">
        <v>1</v>
      </c>
      <c r="B6" s="1771" t="s">
        <v>4059</v>
      </c>
      <c r="C6" s="1772" t="s">
        <v>4066</v>
      </c>
      <c r="D6" s="1773"/>
    </row>
    <row r="7" spans="1:6" ht="42.75" customHeight="1">
      <c r="A7" s="1770">
        <v>2</v>
      </c>
      <c r="B7" s="1774" t="s">
        <v>4060</v>
      </c>
      <c r="C7" s="1775" t="s">
        <v>4067</v>
      </c>
      <c r="D7" s="1773"/>
    </row>
    <row r="8" spans="1:6" ht="42.75" customHeight="1">
      <c r="A8" s="1770">
        <v>3</v>
      </c>
      <c r="B8" s="1774" t="s">
        <v>4061</v>
      </c>
      <c r="C8" s="1775" t="s">
        <v>4070</v>
      </c>
      <c r="D8" s="1773"/>
    </row>
    <row r="9" spans="1:6" ht="42.75" customHeight="1">
      <c r="A9" s="1770">
        <v>4</v>
      </c>
      <c r="B9" s="1774" t="s">
        <v>4062</v>
      </c>
      <c r="C9" s="1775" t="s">
        <v>4068</v>
      </c>
      <c r="D9" s="1773"/>
    </row>
    <row r="10" spans="1:6" ht="42.75" customHeight="1">
      <c r="A10" s="1770">
        <v>5</v>
      </c>
      <c r="B10" s="1774" t="s">
        <v>4063</v>
      </c>
      <c r="C10" s="1775" t="s">
        <v>1458</v>
      </c>
      <c r="D10" s="1773"/>
    </row>
    <row r="11" spans="1:6" ht="42.75" customHeight="1">
      <c r="A11" s="1770">
        <v>6</v>
      </c>
      <c r="B11" s="1774" t="s">
        <v>4064</v>
      </c>
      <c r="C11" s="1775" t="s">
        <v>4069</v>
      </c>
      <c r="D11" s="1773"/>
    </row>
    <row r="12" spans="1:6" ht="104.25" customHeight="1">
      <c r="A12" s="1770">
        <v>7</v>
      </c>
      <c r="B12" s="1774" t="s">
        <v>8</v>
      </c>
      <c r="C12" s="1775" t="s">
        <v>4077</v>
      </c>
      <c r="D12" s="1773"/>
    </row>
    <row r="13" spans="1:6" ht="88.5" customHeight="1">
      <c r="A13" s="1770">
        <v>8</v>
      </c>
      <c r="B13" s="1774" t="s">
        <v>4065</v>
      </c>
      <c r="C13" s="1775" t="s">
        <v>4071</v>
      </c>
      <c r="D13" s="1773"/>
    </row>
    <row r="14" spans="1:6">
      <c r="A14" s="1776"/>
      <c r="B14" s="1777"/>
      <c r="C14" s="1778"/>
      <c r="D14" s="1779"/>
    </row>
    <row r="15" spans="1:6">
      <c r="A15" s="1776"/>
      <c r="B15" s="1777"/>
      <c r="C15" s="1778"/>
      <c r="D15" s="1779"/>
    </row>
    <row r="16" spans="1:6">
      <c r="A16" s="1776"/>
      <c r="B16" s="1777"/>
      <c r="C16" s="1778"/>
      <c r="D16" s="1779"/>
    </row>
    <row r="18" spans="2:3">
      <c r="B18" s="1836" t="s">
        <v>1789</v>
      </c>
      <c r="C18" s="1836"/>
    </row>
    <row r="19" spans="2:3">
      <c r="B19" s="1837" t="s">
        <v>2808</v>
      </c>
      <c r="C19" s="1837"/>
    </row>
    <row r="21" spans="2:3">
      <c r="B21" s="867" t="s">
        <v>4072</v>
      </c>
    </row>
    <row r="22" spans="2:3">
      <c r="B22" s="867" t="s">
        <v>4076</v>
      </c>
    </row>
  </sheetData>
  <mergeCells count="5">
    <mergeCell ref="A2:D2"/>
    <mergeCell ref="A3:D3"/>
    <mergeCell ref="A4:D4"/>
    <mergeCell ref="B18:C18"/>
    <mergeCell ref="B19:C19"/>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98"/>
  <sheetViews>
    <sheetView workbookViewId="0">
      <selection activeCell="B26" sqref="B26"/>
    </sheetView>
  </sheetViews>
  <sheetFormatPr baseColWidth="10" defaultColWidth="9.140625" defaultRowHeight="15"/>
  <cols>
    <col min="1" max="1" width="4.28515625" style="179" customWidth="1"/>
    <col min="2" max="2" width="39.85546875" style="179" customWidth="1"/>
    <col min="3" max="3" width="29" style="179" customWidth="1"/>
    <col min="4" max="4" width="22.140625" style="179" customWidth="1"/>
    <col min="5" max="5" width="17.85546875" style="179" customWidth="1"/>
    <col min="6" max="6" width="13.85546875" style="179" customWidth="1"/>
    <col min="7" max="8" width="11.28515625" style="179" bestFit="1" customWidth="1"/>
    <col min="9" max="10" width="9.7109375" style="179" customWidth="1"/>
    <col min="11" max="12" width="13.85546875" style="179" customWidth="1"/>
    <col min="13" max="16" width="11.7109375" style="179" customWidth="1"/>
    <col min="17" max="16384" width="9.140625" style="179"/>
  </cols>
  <sheetData>
    <row r="1" spans="1:16" ht="15" customHeight="1">
      <c r="A1" s="504"/>
      <c r="B1" s="574" t="str">
        <f>BALANZA!B1</f>
        <v>CORPORACION DEL ACUEDUCTO Y ALCANTARILLADO DE MOCA</v>
      </c>
      <c r="L1" s="376"/>
      <c r="O1" s="1895" t="str">
        <f>IPT!$F$5</f>
        <v>AUDITOR: JJSM</v>
      </c>
      <c r="P1" s="1895"/>
    </row>
    <row r="2" spans="1:16" ht="15" customHeight="1">
      <c r="B2" s="574" t="str">
        <f>BALANZA!B2</f>
        <v>Del Ejercicio terminado el  31 de marzo de 2026  y  2025</v>
      </c>
    </row>
    <row r="3" spans="1:16" s="469" customFormat="1" ht="15" hidden="1" customHeight="1">
      <c r="I3" s="469" t="s">
        <v>1532</v>
      </c>
    </row>
    <row r="4" spans="1:16" s="469" customFormat="1" ht="15" hidden="1" customHeight="1">
      <c r="I4" s="469" t="s">
        <v>1533</v>
      </c>
    </row>
    <row r="5" spans="1:16" s="469" customFormat="1" ht="15" hidden="1" customHeight="1">
      <c r="I5" s="469" t="s">
        <v>1531</v>
      </c>
    </row>
    <row r="6" spans="1:16" s="469" customFormat="1" ht="15" customHeight="1"/>
    <row r="7" spans="1:16" customFormat="1">
      <c r="A7" s="396"/>
      <c r="B7" s="369" t="s">
        <v>1408</v>
      </c>
      <c r="C7" s="369"/>
      <c r="D7" s="369"/>
      <c r="E7" s="369"/>
      <c r="F7" s="369"/>
      <c r="G7" s="369"/>
      <c r="H7" s="369"/>
    </row>
    <row r="8" spans="1:16" customFormat="1" ht="5.25" customHeight="1">
      <c r="A8" s="469"/>
      <c r="B8" s="469"/>
      <c r="C8" s="469"/>
      <c r="D8" s="469"/>
      <c r="E8" s="469"/>
      <c r="F8" s="469"/>
      <c r="G8" s="469"/>
      <c r="H8" s="469"/>
    </row>
    <row r="9" spans="1:16" customFormat="1">
      <c r="A9" s="469"/>
      <c r="B9" s="2021" t="s">
        <v>1475</v>
      </c>
      <c r="C9" s="2021"/>
      <c r="D9" s="2021"/>
      <c r="E9" s="469"/>
      <c r="F9" s="469"/>
      <c r="G9" s="469"/>
      <c r="H9" s="469"/>
    </row>
    <row r="10" spans="1:16" customFormat="1" ht="18.75" customHeight="1">
      <c r="A10" s="469"/>
      <c r="B10" s="469"/>
      <c r="C10" s="469"/>
      <c r="D10" s="469"/>
      <c r="E10" s="539" t="s">
        <v>1355</v>
      </c>
      <c r="F10" s="538" t="str">
        <f>IPT!C8</f>
        <v>B</v>
      </c>
      <c r="G10" s="529" t="str">
        <f>IF(C29=0,"Verificado","Pendiente")</f>
        <v>Verificado</v>
      </c>
    </row>
    <row r="11" spans="1:16" customFormat="1" ht="30">
      <c r="B11" s="200" t="s">
        <v>1149</v>
      </c>
      <c r="C11" s="201">
        <f>BALANZA!B4</f>
        <v>2026</v>
      </c>
      <c r="D11" s="201">
        <f>BALANZA!C4</f>
        <v>2025</v>
      </c>
      <c r="E11" s="464" t="s">
        <v>1213</v>
      </c>
      <c r="F11" s="494" t="s">
        <v>1465</v>
      </c>
      <c r="G11" s="494" t="s">
        <v>1476</v>
      </c>
    </row>
    <row r="12" spans="1:16" customFormat="1" ht="27.75" customHeight="1">
      <c r="A12">
        <v>1</v>
      </c>
      <c r="B12" s="489" t="str">
        <f>Notas!B177</f>
        <v>Cuentas por Cobrar empleados</v>
      </c>
      <c r="C12" s="204">
        <f>Notas!C177</f>
        <v>0</v>
      </c>
      <c r="D12" s="204">
        <f>Notas!D177</f>
        <v>0</v>
      </c>
      <c r="E12" s="650">
        <f>+C12-D12</f>
        <v>0</v>
      </c>
      <c r="F12" s="651">
        <f>IFERROR(E12/D12,0)</f>
        <v>0</v>
      </c>
      <c r="G12" s="450" t="s">
        <v>1428</v>
      </c>
    </row>
    <row r="13" spans="1:16" customFormat="1" ht="27.75" customHeight="1">
      <c r="A13">
        <v>2</v>
      </c>
      <c r="B13" s="489" t="str">
        <f>Notas!B178</f>
        <v>Deposito a plazo fijo</v>
      </c>
      <c r="C13" s="204">
        <f>Notas!C178</f>
        <v>0</v>
      </c>
      <c r="D13" s="204">
        <f>Notas!D178</f>
        <v>0</v>
      </c>
      <c r="E13" s="650">
        <f>+C13-D13</f>
        <v>0</v>
      </c>
      <c r="F13" s="651">
        <f>IFERROR(E13/D13,0)</f>
        <v>0</v>
      </c>
      <c r="G13" s="450" t="s">
        <v>1428</v>
      </c>
    </row>
    <row r="14" spans="1:16" customFormat="1" ht="27.75" customHeight="1">
      <c r="B14" s="489" t="str">
        <f>+'BALANZA G'!A46</f>
        <v xml:space="preserve"> DEPóSITOS EN GARANTíA  </v>
      </c>
      <c r="C14" s="204"/>
      <c r="D14" s="204"/>
      <c r="E14" s="650"/>
      <c r="F14" s="651"/>
      <c r="G14" s="450"/>
    </row>
    <row r="15" spans="1:16" customFormat="1" ht="27.75" customHeight="1">
      <c r="B15" s="205" t="s">
        <v>1160</v>
      </c>
      <c r="C15" s="199">
        <f>SUM(C12:C13)</f>
        <v>0</v>
      </c>
      <c r="D15" s="498">
        <f>SUM(D12:D13)</f>
        <v>0</v>
      </c>
      <c r="E15" s="652">
        <f>SUM(E12:E13)</f>
        <v>0</v>
      </c>
      <c r="F15" s="653" t="e">
        <f>E15/D15</f>
        <v>#DIV/0!</v>
      </c>
      <c r="G15" s="500" t="s">
        <v>1419</v>
      </c>
    </row>
    <row r="16" spans="1:16" customFormat="1" ht="15.75" customHeight="1">
      <c r="B16" s="158"/>
      <c r="E16" s="206"/>
    </row>
    <row r="17" spans="1:16" s="5" customFormat="1" ht="18.75" customHeight="1">
      <c r="B17" s="1881" t="str">
        <f>+'1'!B21:C21</f>
        <v>Cambio porcentual con relación al 2025</v>
      </c>
      <c r="C17" s="1882"/>
      <c r="D17" s="304" t="e">
        <f>IF(E17&gt;=0,"Aumento","Disminución")</f>
        <v>#DIV/0!</v>
      </c>
      <c r="E17" s="228" t="e">
        <f>+E15/D15</f>
        <v>#DIV/0!</v>
      </c>
    </row>
    <row r="18" spans="1:16" customFormat="1" ht="15.75">
      <c r="B18" s="158"/>
      <c r="E18" s="206"/>
    </row>
    <row r="19" spans="1:16" customFormat="1" ht="3.75" customHeight="1">
      <c r="A19" s="469"/>
      <c r="B19" s="469"/>
      <c r="C19" s="469"/>
      <c r="D19" s="469"/>
      <c r="E19" s="469"/>
      <c r="F19" s="469"/>
      <c r="G19" s="469"/>
      <c r="H19" s="469"/>
    </row>
    <row r="20" spans="1:16" customFormat="1">
      <c r="A20" s="469"/>
      <c r="B20" s="469"/>
      <c r="C20" s="469"/>
      <c r="D20" s="469"/>
      <c r="E20" s="469"/>
      <c r="F20" s="469"/>
      <c r="G20" s="469"/>
      <c r="H20" s="469"/>
    </row>
    <row r="21" spans="1:16" customFormat="1">
      <c r="A21" s="469"/>
      <c r="B21" s="397" t="s">
        <v>1523</v>
      </c>
      <c r="C21" s="469"/>
      <c r="D21" s="469"/>
      <c r="E21" s="469"/>
      <c r="F21" s="469"/>
      <c r="G21" s="469"/>
      <c r="H21" s="469"/>
    </row>
    <row r="22" spans="1:16" customFormat="1">
      <c r="A22" s="469"/>
      <c r="B22" s="482" t="s">
        <v>1467</v>
      </c>
      <c r="C22" s="482"/>
      <c r="D22" s="482"/>
      <c r="E22" s="469"/>
      <c r="G22" s="469"/>
      <c r="H22" s="469"/>
      <c r="I22" s="469"/>
      <c r="J22" s="469"/>
      <c r="K22" s="469"/>
    </row>
    <row r="23" spans="1:16" customFormat="1" ht="21" customHeight="1">
      <c r="A23" s="469"/>
      <c r="B23" s="462"/>
      <c r="C23" s="1879">
        <f>C11</f>
        <v>2026</v>
      </c>
      <c r="D23" s="1880"/>
      <c r="E23" s="1880"/>
      <c r="F23" s="1880"/>
      <c r="G23" s="1880"/>
      <c r="H23" s="1880"/>
      <c r="I23" s="1880"/>
      <c r="J23" s="1880"/>
      <c r="K23" s="1880"/>
      <c r="L23" s="1880"/>
      <c r="M23" s="1880"/>
      <c r="N23" s="1880"/>
      <c r="O23" s="1880"/>
      <c r="P23" s="501">
        <f>D11</f>
        <v>2025</v>
      </c>
    </row>
    <row r="24" spans="1:16" customFormat="1">
      <c r="A24" s="469"/>
      <c r="B24" s="462" t="s">
        <v>1149</v>
      </c>
      <c r="C24" s="463" t="s">
        <v>1415</v>
      </c>
      <c r="D24" s="463" t="s">
        <v>1418</v>
      </c>
      <c r="E24" s="463" t="s">
        <v>1434</v>
      </c>
      <c r="F24" s="463" t="s">
        <v>1435</v>
      </c>
      <c r="G24" s="463" t="s">
        <v>1436</v>
      </c>
      <c r="H24" s="463" t="s">
        <v>1437</v>
      </c>
      <c r="I24" s="463" t="s">
        <v>1438</v>
      </c>
      <c r="J24" s="463" t="s">
        <v>1439</v>
      </c>
      <c r="K24" s="463" t="s">
        <v>1440</v>
      </c>
      <c r="L24" s="463" t="s">
        <v>1441</v>
      </c>
      <c r="M24" s="463" t="s">
        <v>1410</v>
      </c>
      <c r="N24" s="463" t="s">
        <v>1411</v>
      </c>
      <c r="O24" s="463" t="s">
        <v>1412</v>
      </c>
      <c r="P24" s="585" t="s">
        <v>1526</v>
      </c>
    </row>
    <row r="25" spans="1:16" customFormat="1" ht="27.75" customHeight="1">
      <c r="A25">
        <v>1</v>
      </c>
      <c r="B25" s="490" t="str">
        <f>B12</f>
        <v>Cuentas por Cobrar empleados</v>
      </c>
      <c r="C25" s="213">
        <f>SUM(D25:P25)</f>
        <v>0</v>
      </c>
      <c r="D25" s="512">
        <f>BALANZA!N36</f>
        <v>0</v>
      </c>
      <c r="E25" s="512">
        <f>BALANZA!O36</f>
        <v>0</v>
      </c>
      <c r="F25" s="512">
        <f>BALANZA!P36</f>
        <v>0</v>
      </c>
      <c r="G25" s="512">
        <f>BALANZA!Q36</f>
        <v>0</v>
      </c>
      <c r="H25" s="512">
        <f>BALANZA!R36</f>
        <v>0</v>
      </c>
      <c r="I25" s="512">
        <f>BALANZA!S36</f>
        <v>0</v>
      </c>
      <c r="J25" s="512">
        <f>BALANZA!T36</f>
        <v>0</v>
      </c>
      <c r="K25" s="512">
        <f>BALANZA!U36</f>
        <v>0</v>
      </c>
      <c r="L25" s="512">
        <f>BALANZA!V36</f>
        <v>0</v>
      </c>
      <c r="M25" s="512">
        <f>BALANZA!W36</f>
        <v>0</v>
      </c>
      <c r="N25" s="512">
        <f>BALANZA!X36</f>
        <v>0</v>
      </c>
      <c r="O25" s="512">
        <f>BALANZA!Y36</f>
        <v>0</v>
      </c>
      <c r="P25" s="513">
        <f>D12</f>
        <v>0</v>
      </c>
    </row>
    <row r="26" spans="1:16" customFormat="1" ht="27.75" customHeight="1">
      <c r="A26">
        <v>2</v>
      </c>
      <c r="B26" s="490" t="str">
        <f>B13</f>
        <v>Deposito a plazo fijo</v>
      </c>
      <c r="C26" s="213">
        <f>SUM(D26:P26)</f>
        <v>0</v>
      </c>
      <c r="D26" s="512">
        <f>BALANZA!N24</f>
        <v>0</v>
      </c>
      <c r="E26" s="512">
        <f>BALANZA!O24</f>
        <v>0</v>
      </c>
      <c r="F26" s="512">
        <f>BALANZA!P24</f>
        <v>0</v>
      </c>
      <c r="G26" s="512">
        <f>BALANZA!Q24</f>
        <v>0</v>
      </c>
      <c r="H26" s="512">
        <f>BALANZA!R24</f>
        <v>0</v>
      </c>
      <c r="I26" s="512">
        <f>BALANZA!S24</f>
        <v>0</v>
      </c>
      <c r="J26" s="512">
        <f>BALANZA!T24</f>
        <v>0</v>
      </c>
      <c r="K26" s="512">
        <f>BALANZA!U24</f>
        <v>0</v>
      </c>
      <c r="L26" s="512">
        <f>BALANZA!V24</f>
        <v>0</v>
      </c>
      <c r="M26" s="512">
        <f>BALANZA!W24</f>
        <v>0</v>
      </c>
      <c r="N26" s="512">
        <f>BALANZA!X24</f>
        <v>0</v>
      </c>
      <c r="O26" s="512">
        <f>BALANZA!Y24</f>
        <v>0</v>
      </c>
      <c r="P26" s="513">
        <f>D13</f>
        <v>0</v>
      </c>
    </row>
    <row r="27" spans="1:16" customFormat="1" ht="22.5" customHeight="1">
      <c r="A27" s="469"/>
      <c r="B27" s="192" t="s">
        <v>3846</v>
      </c>
      <c r="C27" s="214">
        <f t="shared" ref="C27:P27" si="0">SUM(C25:C26)</f>
        <v>0</v>
      </c>
      <c r="D27" s="514">
        <f t="shared" si="0"/>
        <v>0</v>
      </c>
      <c r="E27" s="514">
        <f t="shared" si="0"/>
        <v>0</v>
      </c>
      <c r="F27" s="514">
        <f t="shared" si="0"/>
        <v>0</v>
      </c>
      <c r="G27" s="514">
        <f t="shared" si="0"/>
        <v>0</v>
      </c>
      <c r="H27" s="514">
        <f t="shared" si="0"/>
        <v>0</v>
      </c>
      <c r="I27" s="514">
        <f t="shared" si="0"/>
        <v>0</v>
      </c>
      <c r="J27" s="514">
        <f t="shared" si="0"/>
        <v>0</v>
      </c>
      <c r="K27" s="514">
        <f t="shared" si="0"/>
        <v>0</v>
      </c>
      <c r="L27" s="514">
        <f t="shared" si="0"/>
        <v>0</v>
      </c>
      <c r="M27" s="514">
        <f t="shared" si="0"/>
        <v>0</v>
      </c>
      <c r="N27" s="514">
        <f t="shared" si="0"/>
        <v>0</v>
      </c>
      <c r="O27" s="514">
        <f t="shared" si="0"/>
        <v>0</v>
      </c>
      <c r="P27" s="514">
        <f t="shared" si="0"/>
        <v>0</v>
      </c>
    </row>
    <row r="28" spans="1:16" customFormat="1">
      <c r="A28" s="469"/>
      <c r="B28" s="483"/>
      <c r="C28" s="1437">
        <f>+C15-C27</f>
        <v>0</v>
      </c>
      <c r="D28" s="484"/>
      <c r="E28" s="469"/>
      <c r="F28" s="469"/>
      <c r="G28" s="469"/>
    </row>
    <row r="29" spans="1:16" customFormat="1">
      <c r="A29" s="469"/>
      <c r="B29" s="485" t="s">
        <v>1406</v>
      </c>
      <c r="C29" s="1672">
        <f>ROUND(C28,2)</f>
        <v>0</v>
      </c>
      <c r="D29" s="11"/>
    </row>
    <row r="30" spans="1:16" customFormat="1">
      <c r="A30" s="469"/>
      <c r="B30" s="393"/>
      <c r="C30" s="450" t="str">
        <f>IF(C29=0,m!$B$7,m!$B$11)</f>
        <v>P</v>
      </c>
    </row>
    <row r="31" spans="1:16" customFormat="1">
      <c r="A31" s="469"/>
      <c r="B31" s="469"/>
      <c r="C31" s="469"/>
      <c r="D31" s="469"/>
      <c r="E31" s="469"/>
      <c r="F31" s="469"/>
      <c r="G31" s="469"/>
      <c r="H31" s="469"/>
    </row>
    <row r="33" spans="2:12" ht="15.75" thickBot="1">
      <c r="B33" s="596" t="s">
        <v>1573</v>
      </c>
    </row>
    <row r="34" spans="2:12" s="525" customFormat="1" ht="15.75" thickBot="1">
      <c r="B34" s="2022"/>
      <c r="C34" s="555" t="s">
        <v>1425</v>
      </c>
    </row>
    <row r="35" spans="2:12" s="525" customFormat="1" ht="18.75" customHeight="1">
      <c r="B35" s="2023"/>
      <c r="C35" s="556" t="s">
        <v>1477</v>
      </c>
      <c r="D35" s="557" t="s">
        <v>1478</v>
      </c>
      <c r="E35" s="557" t="s">
        <v>6</v>
      </c>
      <c r="F35" s="1891" t="s">
        <v>1356</v>
      </c>
      <c r="G35" s="1891"/>
      <c r="H35" s="1891"/>
      <c r="I35" s="1891"/>
      <c r="J35" s="1891"/>
      <c r="K35" s="559" t="s">
        <v>1357</v>
      </c>
      <c r="L35" s="560" t="s">
        <v>1358</v>
      </c>
    </row>
    <row r="36" spans="2:12" s="525" customFormat="1" ht="9.75" customHeight="1">
      <c r="B36" s="2023"/>
      <c r="C36" s="540"/>
      <c r="D36" s="451"/>
      <c r="E36" s="451"/>
      <c r="F36" s="451"/>
      <c r="G36" s="457"/>
      <c r="H36" s="457"/>
      <c r="I36" s="393"/>
      <c r="J36" s="393"/>
      <c r="K36" s="393"/>
      <c r="L36" s="418"/>
    </row>
    <row r="37" spans="2:12" s="525" customFormat="1" ht="18.75" customHeight="1">
      <c r="B37" s="2023"/>
      <c r="C37" s="542">
        <v>2</v>
      </c>
      <c r="D37" s="543" t="str">
        <f>F10</f>
        <v>B</v>
      </c>
      <c r="E37" s="586"/>
      <c r="F37" s="587" t="s">
        <v>1570</v>
      </c>
      <c r="G37" s="588"/>
      <c r="H37" s="588"/>
      <c r="I37" s="588"/>
      <c r="J37" s="589"/>
      <c r="K37" s="594">
        <v>0</v>
      </c>
      <c r="L37" s="548"/>
    </row>
    <row r="38" spans="2:12" s="525" customFormat="1" ht="18.75" customHeight="1">
      <c r="B38" s="2023"/>
      <c r="C38" s="549"/>
      <c r="D38" s="550"/>
      <c r="E38" s="590"/>
      <c r="F38" s="587" t="s">
        <v>1570</v>
      </c>
      <c r="G38" s="588"/>
      <c r="H38" s="588"/>
      <c r="I38" s="588"/>
      <c r="J38" s="589"/>
      <c r="K38" s="594"/>
      <c r="L38" s="551">
        <f>K37</f>
        <v>0</v>
      </c>
    </row>
    <row r="39" spans="2:12" s="525" customFormat="1" ht="18.75" customHeight="1" thickBot="1">
      <c r="B39" s="2023"/>
      <c r="C39" s="591" t="s">
        <v>1562</v>
      </c>
      <c r="D39" s="592"/>
      <c r="E39" s="592"/>
      <c r="F39" s="592"/>
      <c r="G39" s="592"/>
      <c r="H39" s="592"/>
      <c r="I39" s="592"/>
      <c r="J39" s="592"/>
      <c r="K39" s="595"/>
      <c r="L39" s="593"/>
    </row>
    <row r="40" spans="2:12" s="525" customFormat="1">
      <c r="B40" s="2023"/>
      <c r="K40" s="400"/>
    </row>
    <row r="41" spans="2:12" s="525" customFormat="1" ht="15.75" thickBot="1">
      <c r="B41" s="2023"/>
      <c r="K41" s="400"/>
    </row>
    <row r="42" spans="2:12" s="525" customFormat="1" ht="15.75" thickBot="1">
      <c r="B42" s="2023"/>
      <c r="C42" s="555" t="s">
        <v>1561</v>
      </c>
      <c r="K42" s="400"/>
    </row>
    <row r="43" spans="2:12" s="525" customFormat="1" ht="18.75" customHeight="1">
      <c r="B43" s="2023"/>
      <c r="C43" s="556" t="s">
        <v>1477</v>
      </c>
      <c r="D43" s="557" t="s">
        <v>1478</v>
      </c>
      <c r="E43" s="557" t="s">
        <v>6</v>
      </c>
      <c r="F43" s="1891" t="s">
        <v>1356</v>
      </c>
      <c r="G43" s="1891"/>
      <c r="H43" s="1891"/>
      <c r="I43" s="1891"/>
      <c r="J43" s="1891"/>
      <c r="K43" s="578" t="s">
        <v>1357</v>
      </c>
      <c r="L43" s="560" t="s">
        <v>1358</v>
      </c>
    </row>
    <row r="44" spans="2:12" s="525" customFormat="1" ht="9.75" customHeight="1">
      <c r="B44" s="2023"/>
      <c r="C44" s="540"/>
      <c r="D44" s="451"/>
      <c r="E44" s="451"/>
      <c r="F44" s="451"/>
      <c r="G44" s="457"/>
      <c r="H44" s="457"/>
      <c r="I44" s="393"/>
      <c r="J44" s="393"/>
      <c r="K44" s="410"/>
      <c r="L44" s="418"/>
    </row>
    <row r="45" spans="2:12" s="525" customFormat="1" ht="18.75" customHeight="1">
      <c r="B45" s="2023"/>
      <c r="C45" s="543">
        <f>C37</f>
        <v>2</v>
      </c>
      <c r="D45" s="543" t="str">
        <f>D37</f>
        <v>B</v>
      </c>
      <c r="E45" s="590"/>
      <c r="F45" s="587" t="s">
        <v>1570</v>
      </c>
      <c r="G45" s="588"/>
      <c r="H45" s="588"/>
      <c r="I45" s="588"/>
      <c r="J45" s="589"/>
      <c r="K45" s="594">
        <v>5</v>
      </c>
      <c r="L45" s="548"/>
    </row>
    <row r="46" spans="2:12" s="525" customFormat="1" ht="18.75" customHeight="1">
      <c r="B46" s="2023"/>
      <c r="C46" s="549"/>
      <c r="D46" s="550"/>
      <c r="E46" s="590"/>
      <c r="F46" s="587" t="s">
        <v>1570</v>
      </c>
      <c r="G46" s="588"/>
      <c r="H46" s="588"/>
      <c r="I46" s="588"/>
      <c r="J46" s="589"/>
      <c r="K46" s="594"/>
      <c r="L46" s="551">
        <f>K45</f>
        <v>5</v>
      </c>
    </row>
    <row r="47" spans="2:12" s="525" customFormat="1" ht="18.75" customHeight="1" thickBot="1">
      <c r="B47" s="2024"/>
      <c r="C47" s="591" t="s">
        <v>1569</v>
      </c>
      <c r="D47" s="592"/>
      <c r="E47" s="592"/>
      <c r="F47" s="592"/>
      <c r="G47" s="592"/>
      <c r="H47" s="592"/>
      <c r="I47" s="592"/>
      <c r="J47" s="592"/>
      <c r="K47" s="592"/>
      <c r="L47" s="593"/>
    </row>
    <row r="48" spans="2:12" s="525" customFormat="1"/>
    <row r="51" spans="1:12">
      <c r="A51" s="1026"/>
      <c r="B51" s="1026"/>
      <c r="C51" s="1026"/>
      <c r="D51" s="1026"/>
      <c r="E51" s="1026"/>
      <c r="F51" s="1026"/>
      <c r="G51" s="1026"/>
      <c r="H51" s="1026"/>
      <c r="I51" s="1026"/>
      <c r="J51" s="1026"/>
      <c r="K51" s="1026"/>
      <c r="L51" s="1026"/>
    </row>
    <row r="52" spans="1:12">
      <c r="A52" s="1026"/>
      <c r="B52" s="1027" t="s">
        <v>2472</v>
      </c>
      <c r="C52" s="1026"/>
      <c r="D52" s="1026"/>
      <c r="E52" s="1026"/>
      <c r="F52" s="1026"/>
      <c r="G52" s="1026"/>
      <c r="H52" s="1026"/>
      <c r="I52" s="1026"/>
      <c r="J52" s="1026"/>
      <c r="K52" s="1026"/>
      <c r="L52" s="1026"/>
    </row>
    <row r="53" spans="1:12">
      <c r="A53" s="1026"/>
      <c r="B53" s="1026"/>
      <c r="C53" s="1026"/>
      <c r="D53" s="1026"/>
      <c r="E53" s="1026"/>
      <c r="F53" s="1026"/>
      <c r="G53" s="1026"/>
      <c r="H53" s="1026"/>
      <c r="I53" s="1026"/>
      <c r="J53" s="1026"/>
      <c r="K53" s="1026"/>
      <c r="L53" s="1026"/>
    </row>
    <row r="54" spans="1:12">
      <c r="A54" s="1026"/>
      <c r="B54" s="1028" t="s">
        <v>2402</v>
      </c>
      <c r="C54" s="1029"/>
      <c r="D54" s="1030"/>
      <c r="E54" s="1029"/>
      <c r="F54" s="1030"/>
      <c r="G54" s="1030"/>
      <c r="H54" s="1030"/>
      <c r="I54" s="1030"/>
      <c r="J54" s="1029"/>
      <c r="K54" s="1030"/>
      <c r="L54" s="1030"/>
    </row>
    <row r="55" spans="1:12" ht="32.25" customHeight="1">
      <c r="A55" s="1026"/>
      <c r="B55" s="2042" t="s">
        <v>2473</v>
      </c>
      <c r="C55" s="2042"/>
      <c r="D55" s="2042"/>
      <c r="E55" s="2042"/>
      <c r="F55" s="2042"/>
      <c r="G55" s="2042"/>
      <c r="H55" s="2042"/>
      <c r="I55" s="2042"/>
      <c r="J55" s="2042"/>
      <c r="K55" s="2042"/>
      <c r="L55" s="2042"/>
    </row>
    <row r="56" spans="1:12">
      <c r="A56" s="1026"/>
      <c r="B56" s="1031"/>
      <c r="C56" s="1029"/>
      <c r="D56" s="1030"/>
      <c r="E56" s="1029"/>
      <c r="F56" s="1030"/>
      <c r="G56" s="1030"/>
      <c r="H56" s="1030"/>
      <c r="I56" s="1030"/>
      <c r="J56" s="1029"/>
      <c r="K56" s="1030"/>
      <c r="L56" s="1030"/>
    </row>
    <row r="57" spans="1:12">
      <c r="A57" s="1026"/>
      <c r="B57" s="1028" t="s">
        <v>2403</v>
      </c>
      <c r="C57" s="1029"/>
      <c r="D57" s="1030"/>
      <c r="E57" s="1029"/>
      <c r="F57" s="1030"/>
      <c r="G57" s="1030"/>
      <c r="H57" s="1030"/>
      <c r="I57" s="1030"/>
      <c r="J57" s="1029"/>
      <c r="K57" s="1030"/>
      <c r="L57" s="1030"/>
    </row>
    <row r="58" spans="1:12">
      <c r="A58" s="1026"/>
      <c r="B58" s="2043" t="s">
        <v>2474</v>
      </c>
      <c r="C58" s="2043"/>
      <c r="D58" s="2043"/>
      <c r="E58" s="2043"/>
      <c r="F58" s="2043"/>
      <c r="G58" s="2043"/>
      <c r="H58" s="2043"/>
      <c r="I58" s="2043"/>
      <c r="J58" s="2043"/>
      <c r="K58" s="2043"/>
      <c r="L58" s="2043"/>
    </row>
    <row r="59" spans="1:12" ht="15.75" customHeight="1">
      <c r="A59" s="1026"/>
      <c r="B59" s="2044"/>
      <c r="C59" s="2044"/>
      <c r="D59" s="2044"/>
      <c r="E59" s="2044"/>
      <c r="F59" s="2044"/>
      <c r="G59" s="2044"/>
      <c r="H59" s="2044"/>
      <c r="I59" s="2044"/>
      <c r="J59" s="2044"/>
      <c r="K59" s="2044"/>
      <c r="L59" s="2044"/>
    </row>
    <row r="60" spans="1:12" ht="30" customHeight="1">
      <c r="A60" s="1026"/>
      <c r="B60" s="2045" t="s">
        <v>2475</v>
      </c>
      <c r="C60" s="2045"/>
      <c r="D60" s="2045"/>
      <c r="E60" s="2045"/>
      <c r="F60" s="2045"/>
      <c r="G60" s="2045"/>
      <c r="H60" s="2045"/>
      <c r="I60" s="2045"/>
      <c r="J60" s="2045"/>
      <c r="K60" s="2045"/>
      <c r="L60" s="2045"/>
    </row>
    <row r="61" spans="1:12">
      <c r="A61" s="1026"/>
      <c r="B61" s="1032"/>
      <c r="C61" s="1032"/>
      <c r="D61" s="1032"/>
      <c r="E61" s="1032"/>
      <c r="F61" s="1032"/>
      <c r="G61" s="1032"/>
      <c r="H61" s="1032"/>
      <c r="I61" s="1032"/>
      <c r="J61" s="1032"/>
      <c r="K61" s="1032"/>
      <c r="L61" s="1032"/>
    </row>
    <row r="62" spans="1:12">
      <c r="A62" s="1026"/>
      <c r="B62" s="1028" t="s">
        <v>2405</v>
      </c>
      <c r="C62" s="1029"/>
      <c r="D62" s="1030"/>
      <c r="E62" s="1029"/>
      <c r="F62" s="1030"/>
      <c r="G62" s="1030"/>
      <c r="H62" s="1030"/>
      <c r="I62" s="1030"/>
      <c r="J62" s="1029"/>
      <c r="K62" s="1030"/>
      <c r="L62" s="1030"/>
    </row>
    <row r="63" spans="1:12">
      <c r="A63" s="1026"/>
      <c r="B63" s="2046" t="e">
        <f>#REF!</f>
        <v>#REF!</v>
      </c>
      <c r="C63" s="2046"/>
      <c r="D63" s="2046"/>
      <c r="E63" s="2046"/>
      <c r="F63" s="2046"/>
      <c r="G63" s="2046"/>
      <c r="H63" s="2046"/>
      <c r="I63" s="2046"/>
      <c r="J63" s="2046"/>
      <c r="K63" s="2046"/>
      <c r="L63" s="2046"/>
    </row>
    <row r="64" spans="1:12">
      <c r="A64" s="1026"/>
      <c r="B64" s="1033"/>
      <c r="C64" s="1034"/>
      <c r="D64" s="1035"/>
      <c r="E64" s="1034"/>
      <c r="F64" s="1035"/>
      <c r="G64" s="1035"/>
      <c r="H64" s="1035"/>
      <c r="I64" s="1035"/>
      <c r="J64" s="1034"/>
      <c r="K64" s="1035"/>
      <c r="L64" s="1035"/>
    </row>
    <row r="65" spans="1:12">
      <c r="A65" s="1026"/>
      <c r="B65" s="1036" t="s">
        <v>2406</v>
      </c>
      <c r="C65" s="1029"/>
      <c r="D65" s="1030"/>
      <c r="E65" s="1029"/>
      <c r="F65" s="1030"/>
      <c r="G65" s="1030"/>
      <c r="H65" s="1030"/>
      <c r="I65" s="1030"/>
      <c r="J65" s="1029"/>
      <c r="K65" s="1030"/>
      <c r="L65" s="1030"/>
    </row>
    <row r="66" spans="1:12">
      <c r="A66" s="1026"/>
      <c r="B66" s="1028" t="s">
        <v>2407</v>
      </c>
      <c r="C66" s="1029"/>
      <c r="D66" s="1030"/>
      <c r="E66" s="1029"/>
      <c r="F66" s="1030"/>
      <c r="G66" s="1030"/>
      <c r="H66" s="1030"/>
      <c r="I66" s="1030"/>
      <c r="J66" s="1029"/>
      <c r="K66" s="1030"/>
      <c r="L66" s="1030"/>
    </row>
    <row r="67" spans="1:12">
      <c r="A67" s="1026"/>
      <c r="B67" s="2047" t="s">
        <v>2476</v>
      </c>
      <c r="C67" s="2047"/>
      <c r="D67" s="2047"/>
      <c r="E67" s="2047"/>
      <c r="F67" s="2047"/>
      <c r="G67" s="2047"/>
      <c r="H67" s="2047"/>
      <c r="I67" s="2047"/>
      <c r="J67" s="2047"/>
      <c r="K67" s="2047"/>
      <c r="L67" s="2047"/>
    </row>
    <row r="68" spans="1:12">
      <c r="A68" s="1026"/>
      <c r="B68" s="2047"/>
      <c r="C68" s="2047"/>
      <c r="D68" s="2047"/>
      <c r="E68" s="2047"/>
      <c r="F68" s="2047"/>
      <c r="G68" s="2047"/>
      <c r="H68" s="2047"/>
      <c r="I68" s="2047"/>
      <c r="J68" s="2047"/>
      <c r="K68" s="2047"/>
      <c r="L68" s="2047"/>
    </row>
    <row r="69" spans="1:12">
      <c r="A69" s="1026"/>
      <c r="B69" s="1037"/>
      <c r="C69" s="1037"/>
      <c r="D69" s="1037"/>
      <c r="E69" s="1037"/>
      <c r="F69" s="1037"/>
      <c r="G69" s="1037"/>
      <c r="H69" s="1037"/>
      <c r="I69" s="1037"/>
      <c r="J69" s="1037"/>
      <c r="K69" s="1037"/>
      <c r="L69" s="1037"/>
    </row>
    <row r="70" spans="1:12" ht="15.75" thickBot="1">
      <c r="A70" s="1026"/>
      <c r="B70" s="1030" t="s">
        <v>2412</v>
      </c>
      <c r="C70" s="1037"/>
      <c r="D70" s="1037"/>
      <c r="E70" s="1037"/>
      <c r="F70" s="1037"/>
      <c r="G70" s="1037"/>
      <c r="H70" s="1037"/>
      <c r="I70" s="1037"/>
      <c r="J70" s="1037"/>
      <c r="K70" s="1037"/>
      <c r="L70" s="1037"/>
    </row>
    <row r="71" spans="1:12" ht="15.75" thickBot="1">
      <c r="A71" s="1026"/>
      <c r="B71" s="1038"/>
      <c r="C71" s="2033" t="s">
        <v>2413</v>
      </c>
      <c r="D71" s="2034"/>
      <c r="E71" s="2035"/>
      <c r="F71" s="2035"/>
      <c r="G71" s="2036"/>
      <c r="H71" s="2039" t="s">
        <v>2414</v>
      </c>
      <c r="I71" s="2040"/>
      <c r="J71" s="2040"/>
      <c r="K71" s="2040"/>
      <c r="L71" s="2041"/>
    </row>
    <row r="72" spans="1:12" ht="26.25" thickBot="1">
      <c r="A72" s="1026"/>
      <c r="B72" s="1039" t="s">
        <v>8</v>
      </c>
      <c r="C72" s="1040" t="s">
        <v>2415</v>
      </c>
      <c r="D72" s="1041" t="s">
        <v>2416</v>
      </c>
      <c r="E72" s="1042" t="s">
        <v>2417</v>
      </c>
      <c r="F72" s="1041" t="s">
        <v>2416</v>
      </c>
      <c r="G72" s="1043" t="s">
        <v>2418</v>
      </c>
      <c r="H72" s="1044" t="s">
        <v>2415</v>
      </c>
      <c r="I72" s="1044" t="s">
        <v>2416</v>
      </c>
      <c r="J72" s="1045" t="s">
        <v>2417</v>
      </c>
      <c r="K72" s="1044" t="s">
        <v>2416</v>
      </c>
      <c r="L72" s="1046" t="s">
        <v>2418</v>
      </c>
    </row>
    <row r="73" spans="1:12" ht="15.75" thickBot="1">
      <c r="A73" s="1026"/>
      <c r="B73" s="962"/>
      <c r="C73" s="962"/>
      <c r="D73" s="962"/>
      <c r="E73" s="962"/>
      <c r="F73" s="962"/>
      <c r="G73" s="962"/>
      <c r="H73" s="1087"/>
      <c r="I73" s="1088"/>
      <c r="J73" s="1088"/>
      <c r="K73" s="1088"/>
      <c r="L73" s="1089"/>
    </row>
    <row r="74" spans="1:12">
      <c r="A74" s="1026"/>
      <c r="B74" s="1047" t="s">
        <v>2477</v>
      </c>
      <c r="C74" s="1048"/>
      <c r="D74" s="1049"/>
      <c r="E74" s="1048"/>
      <c r="F74" s="1048"/>
      <c r="G74" s="1080"/>
      <c r="H74" s="1047"/>
      <c r="I74" s="1048"/>
      <c r="J74" s="1048"/>
      <c r="K74" s="1048"/>
      <c r="L74" s="1050"/>
    </row>
    <row r="75" spans="1:12" ht="15.75" thickBot="1">
      <c r="A75" s="1026"/>
      <c r="B75" s="1051" t="s">
        <v>2478</v>
      </c>
      <c r="C75" s="1052"/>
      <c r="D75" s="1053"/>
      <c r="E75" s="1052"/>
      <c r="F75" s="1052"/>
      <c r="G75" s="1081"/>
      <c r="H75" s="1051"/>
      <c r="I75" s="1053"/>
      <c r="J75" s="1052"/>
      <c r="K75" s="1052"/>
      <c r="L75" s="1054"/>
    </row>
    <row r="76" spans="1:12" ht="15.75" thickBot="1">
      <c r="A76" s="1026"/>
      <c r="B76" s="962"/>
      <c r="C76" s="962"/>
      <c r="D76" s="962"/>
      <c r="E76" s="962"/>
      <c r="F76" s="962"/>
      <c r="G76" s="962"/>
      <c r="H76" s="1087"/>
      <c r="I76" s="1088"/>
      <c r="J76" s="1088"/>
      <c r="K76" s="1088"/>
      <c r="L76" s="1089"/>
    </row>
    <row r="77" spans="1:12">
      <c r="A77" s="1026"/>
      <c r="B77" s="1047" t="s">
        <v>2479</v>
      </c>
      <c r="C77" s="1048"/>
      <c r="D77" s="1049"/>
      <c r="E77" s="1048"/>
      <c r="F77" s="1048"/>
      <c r="G77" s="1080"/>
      <c r="H77" s="1047"/>
      <c r="I77" s="1049"/>
      <c r="J77" s="1048"/>
      <c r="K77" s="1048"/>
      <c r="L77" s="1050"/>
    </row>
    <row r="78" spans="1:12">
      <c r="A78" s="1026"/>
      <c r="B78" s="1055" t="s">
        <v>2480</v>
      </c>
      <c r="C78" s="1056"/>
      <c r="D78" s="1057"/>
      <c r="E78" s="1056"/>
      <c r="F78" s="1056"/>
      <c r="G78" s="1082"/>
      <c r="H78" s="1055"/>
      <c r="I78" s="1057"/>
      <c r="J78" s="1056"/>
      <c r="K78" s="1056"/>
      <c r="L78" s="1058"/>
    </row>
    <row r="79" spans="1:12">
      <c r="A79" s="1026"/>
      <c r="B79" s="1055" t="s">
        <v>2481</v>
      </c>
      <c r="C79" s="1056"/>
      <c r="D79" s="1057"/>
      <c r="E79" s="1056"/>
      <c r="F79" s="1056"/>
      <c r="G79" s="1082"/>
      <c r="H79" s="1055"/>
      <c r="I79" s="1057"/>
      <c r="J79" s="1056"/>
      <c r="K79" s="1056"/>
      <c r="L79" s="1058"/>
    </row>
    <row r="80" spans="1:12">
      <c r="A80" s="1026"/>
      <c r="B80" s="1055" t="s">
        <v>2482</v>
      </c>
      <c r="C80" s="1056"/>
      <c r="D80" s="1057"/>
      <c r="E80" s="1056"/>
      <c r="F80" s="1056"/>
      <c r="G80" s="1082"/>
      <c r="H80" s="1055"/>
      <c r="I80" s="1057"/>
      <c r="J80" s="1056"/>
      <c r="K80" s="1056"/>
      <c r="L80" s="1058"/>
    </row>
    <row r="81" spans="1:12">
      <c r="A81" s="1026"/>
      <c r="B81" s="1055" t="s">
        <v>2483</v>
      </c>
      <c r="C81" s="1056"/>
      <c r="D81" s="1057"/>
      <c r="E81" s="1056"/>
      <c r="F81" s="1056"/>
      <c r="G81" s="1082"/>
      <c r="H81" s="1055"/>
      <c r="I81" s="1057"/>
      <c r="J81" s="1056"/>
      <c r="K81" s="1056"/>
      <c r="L81" s="1058"/>
    </row>
    <row r="82" spans="1:12" ht="15.75" thickBot="1">
      <c r="A82" s="1026"/>
      <c r="B82" s="1051" t="s">
        <v>2484</v>
      </c>
      <c r="C82" s="1052"/>
      <c r="D82" s="1053"/>
      <c r="E82" s="1052"/>
      <c r="F82" s="1052"/>
      <c r="G82" s="1081"/>
      <c r="H82" s="1051"/>
      <c r="I82" s="1053"/>
      <c r="J82" s="1052"/>
      <c r="K82" s="1052"/>
      <c r="L82" s="1054"/>
    </row>
    <row r="83" spans="1:12" ht="15.75" thickBot="1">
      <c r="A83" s="1026"/>
      <c r="B83" s="962"/>
      <c r="C83" s="962"/>
      <c r="D83" s="962"/>
      <c r="E83" s="962"/>
      <c r="F83" s="962"/>
      <c r="G83" s="962"/>
      <c r="H83" s="1087"/>
      <c r="I83" s="1088"/>
      <c r="J83" s="1088"/>
      <c r="K83" s="1088"/>
      <c r="L83" s="1089"/>
    </row>
    <row r="84" spans="1:12">
      <c r="A84" s="1026"/>
      <c r="B84" s="1047" t="s">
        <v>2485</v>
      </c>
      <c r="C84" s="1048"/>
      <c r="D84" s="1049"/>
      <c r="E84" s="1048"/>
      <c r="F84" s="1048"/>
      <c r="G84" s="1080"/>
      <c r="H84" s="1047"/>
      <c r="I84" s="1049"/>
      <c r="J84" s="1048"/>
      <c r="K84" s="1048"/>
      <c r="L84" s="1050"/>
    </row>
    <row r="85" spans="1:12">
      <c r="A85" s="1026"/>
      <c r="B85" s="1055" t="s">
        <v>2486</v>
      </c>
      <c r="C85" s="1056"/>
      <c r="D85" s="1057"/>
      <c r="E85" s="1056"/>
      <c r="F85" s="1056"/>
      <c r="G85" s="1082"/>
      <c r="H85" s="1055"/>
      <c r="I85" s="1057"/>
      <c r="J85" s="1056"/>
      <c r="K85" s="1056"/>
      <c r="L85" s="1058"/>
    </row>
    <row r="86" spans="1:12" ht="15.75" thickBot="1">
      <c r="A86" s="1026"/>
      <c r="B86" s="1051" t="s">
        <v>2487</v>
      </c>
      <c r="C86" s="1052"/>
      <c r="D86" s="1053"/>
      <c r="E86" s="1052"/>
      <c r="F86" s="1052"/>
      <c r="G86" s="1081"/>
      <c r="H86" s="1051"/>
      <c r="I86" s="1053"/>
      <c r="J86" s="1052"/>
      <c r="K86" s="1052"/>
      <c r="L86" s="1054"/>
    </row>
    <row r="87" spans="1:12" ht="15.75" thickBot="1">
      <c r="A87" s="1026"/>
      <c r="B87" s="962"/>
      <c r="C87" s="962"/>
      <c r="D87" s="962"/>
      <c r="E87" s="962"/>
      <c r="F87" s="962"/>
      <c r="G87" s="962"/>
      <c r="H87" s="1087"/>
      <c r="I87" s="1088"/>
      <c r="J87" s="1088"/>
      <c r="K87" s="1088"/>
      <c r="L87" s="1089"/>
    </row>
    <row r="88" spans="1:12">
      <c r="A88" s="1026"/>
      <c r="B88" s="1047" t="s">
        <v>2488</v>
      </c>
      <c r="C88" s="1048"/>
      <c r="D88" s="1049"/>
      <c r="E88" s="1048"/>
      <c r="F88" s="1048"/>
      <c r="G88" s="1080"/>
      <c r="H88" s="1047"/>
      <c r="I88" s="1049"/>
      <c r="J88" s="1048"/>
      <c r="K88" s="1048"/>
      <c r="L88" s="1050"/>
    </row>
    <row r="89" spans="1:12">
      <c r="A89" s="1026"/>
      <c r="B89" s="1059" t="s">
        <v>2489</v>
      </c>
      <c r="C89" s="1060"/>
      <c r="D89" s="1061"/>
      <c r="E89" s="1060"/>
      <c r="F89" s="1060"/>
      <c r="G89" s="1083"/>
      <c r="H89" s="1059"/>
      <c r="I89" s="1061"/>
      <c r="J89" s="1060"/>
      <c r="K89" s="1060"/>
      <c r="L89" s="1062"/>
    </row>
    <row r="90" spans="1:12">
      <c r="A90" s="1026"/>
      <c r="B90" s="1059" t="s">
        <v>2490</v>
      </c>
      <c r="C90" s="1060"/>
      <c r="D90" s="1061"/>
      <c r="E90" s="1060"/>
      <c r="F90" s="1060"/>
      <c r="G90" s="1083"/>
      <c r="H90" s="1059"/>
      <c r="I90" s="1061"/>
      <c r="J90" s="1060"/>
      <c r="K90" s="1060"/>
      <c r="L90" s="1062"/>
    </row>
    <row r="91" spans="1:12">
      <c r="A91" s="1026"/>
      <c r="B91" s="1055" t="s">
        <v>2491</v>
      </c>
      <c r="C91" s="1056"/>
      <c r="D91" s="1057"/>
      <c r="E91" s="1056"/>
      <c r="F91" s="1056"/>
      <c r="G91" s="1082"/>
      <c r="H91" s="1055"/>
      <c r="I91" s="1057"/>
      <c r="J91" s="1056"/>
      <c r="K91" s="1056"/>
      <c r="L91" s="1058"/>
    </row>
    <row r="92" spans="1:12">
      <c r="A92" s="1026"/>
      <c r="B92" s="1055" t="s">
        <v>2492</v>
      </c>
      <c r="C92" s="1056"/>
      <c r="D92" s="1057"/>
      <c r="E92" s="1056"/>
      <c r="F92" s="1056"/>
      <c r="G92" s="1082"/>
      <c r="H92" s="1055"/>
      <c r="I92" s="1057"/>
      <c r="J92" s="1056"/>
      <c r="K92" s="1056"/>
      <c r="L92" s="1058"/>
    </row>
    <row r="93" spans="1:12">
      <c r="A93" s="1026"/>
      <c r="B93" s="1059" t="s">
        <v>2493</v>
      </c>
      <c r="C93" s="1060"/>
      <c r="D93" s="1061"/>
      <c r="E93" s="1060"/>
      <c r="F93" s="1060"/>
      <c r="G93" s="1083"/>
      <c r="H93" s="1059"/>
      <c r="I93" s="1061"/>
      <c r="J93" s="1060"/>
      <c r="K93" s="1060"/>
      <c r="L93" s="1062"/>
    </row>
    <row r="94" spans="1:12">
      <c r="A94" s="1026"/>
      <c r="B94" s="1055" t="s">
        <v>2494</v>
      </c>
      <c r="C94" s="1056"/>
      <c r="D94" s="1057"/>
      <c r="E94" s="1056"/>
      <c r="F94" s="1056"/>
      <c r="G94" s="1082"/>
      <c r="H94" s="1055"/>
      <c r="I94" s="1057"/>
      <c r="J94" s="1056"/>
      <c r="K94" s="1056"/>
      <c r="L94" s="1058"/>
    </row>
    <row r="95" spans="1:12">
      <c r="A95" s="1026"/>
      <c r="B95" s="1059" t="s">
        <v>2495</v>
      </c>
      <c r="C95" s="1060"/>
      <c r="D95" s="1061"/>
      <c r="E95" s="1060"/>
      <c r="F95" s="1060"/>
      <c r="G95" s="1083"/>
      <c r="H95" s="1059"/>
      <c r="I95" s="1061"/>
      <c r="J95" s="1060"/>
      <c r="K95" s="1060"/>
      <c r="L95" s="1062"/>
    </row>
    <row r="96" spans="1:12">
      <c r="A96" s="1026"/>
      <c r="B96" s="1055" t="s">
        <v>2496</v>
      </c>
      <c r="C96" s="1056"/>
      <c r="D96" s="1057"/>
      <c r="E96" s="1056"/>
      <c r="F96" s="1056"/>
      <c r="G96" s="1082"/>
      <c r="H96" s="1055"/>
      <c r="I96" s="1057"/>
      <c r="J96" s="1056"/>
      <c r="K96" s="1056"/>
      <c r="L96" s="1058"/>
    </row>
    <row r="97" spans="1:12">
      <c r="A97" s="1026"/>
      <c r="B97" s="1059" t="s">
        <v>2497</v>
      </c>
      <c r="C97" s="1060"/>
      <c r="D97" s="1061"/>
      <c r="E97" s="1060"/>
      <c r="F97" s="1060"/>
      <c r="G97" s="1083"/>
      <c r="H97" s="1059"/>
      <c r="I97" s="1061"/>
      <c r="J97" s="1060"/>
      <c r="K97" s="1060"/>
      <c r="L97" s="1062"/>
    </row>
    <row r="98" spans="1:12">
      <c r="A98" s="1026"/>
      <c r="B98" s="1063" t="s">
        <v>2498</v>
      </c>
      <c r="C98" s="1060"/>
      <c r="D98" s="1060"/>
      <c r="E98" s="1060"/>
      <c r="F98" s="1060"/>
      <c r="G98" s="1083"/>
      <c r="H98" s="1059"/>
      <c r="I98" s="1060"/>
      <c r="J98" s="1060"/>
      <c r="K98" s="1060"/>
      <c r="L98" s="1062"/>
    </row>
    <row r="99" spans="1:12">
      <c r="A99" s="1026"/>
      <c r="B99" s="1055" t="s">
        <v>2499</v>
      </c>
      <c r="C99" s="1056"/>
      <c r="D99" s="1057"/>
      <c r="E99" s="1056"/>
      <c r="F99" s="1056"/>
      <c r="G99" s="1082"/>
      <c r="H99" s="1055"/>
      <c r="I99" s="1057"/>
      <c r="J99" s="1056"/>
      <c r="K99" s="1056"/>
      <c r="L99" s="1058"/>
    </row>
    <row r="100" spans="1:12">
      <c r="A100" s="1026"/>
      <c r="B100" s="1055" t="s">
        <v>2500</v>
      </c>
      <c r="C100" s="1056"/>
      <c r="D100" s="1057"/>
      <c r="E100" s="1056"/>
      <c r="F100" s="1056"/>
      <c r="G100" s="1082"/>
      <c r="H100" s="1055"/>
      <c r="I100" s="1057"/>
      <c r="J100" s="1056"/>
      <c r="K100" s="1056"/>
      <c r="L100" s="1058"/>
    </row>
    <row r="101" spans="1:12">
      <c r="A101" s="1026"/>
      <c r="B101" s="1055" t="s">
        <v>2501</v>
      </c>
      <c r="C101" s="1056"/>
      <c r="D101" s="1057"/>
      <c r="E101" s="1056"/>
      <c r="F101" s="1056"/>
      <c r="G101" s="1082"/>
      <c r="H101" s="1055"/>
      <c r="I101" s="1057"/>
      <c r="J101" s="1056"/>
      <c r="K101" s="1056"/>
      <c r="L101" s="1058"/>
    </row>
    <row r="102" spans="1:12">
      <c r="A102" s="1026"/>
      <c r="B102" s="1055" t="s">
        <v>2502</v>
      </c>
      <c r="C102" s="1056"/>
      <c r="D102" s="1057"/>
      <c r="E102" s="1056"/>
      <c r="F102" s="1056"/>
      <c r="G102" s="1082"/>
      <c r="H102" s="1055"/>
      <c r="I102" s="1057"/>
      <c r="J102" s="1056"/>
      <c r="K102" s="1056"/>
      <c r="L102" s="1058"/>
    </row>
    <row r="103" spans="1:12" ht="15.75" thickBot="1">
      <c r="A103" s="1026"/>
      <c r="B103" s="1051" t="s">
        <v>2503</v>
      </c>
      <c r="C103" s="1052"/>
      <c r="D103" s="1053"/>
      <c r="E103" s="1052"/>
      <c r="F103" s="1052"/>
      <c r="G103" s="1081"/>
      <c r="H103" s="1051"/>
      <c r="I103" s="1053"/>
      <c r="J103" s="1052"/>
      <c r="K103" s="1052"/>
      <c r="L103" s="1054"/>
    </row>
    <row r="104" spans="1:12" ht="15.75" thickBot="1">
      <c r="A104" s="1026"/>
      <c r="B104" s="962" t="s">
        <v>1022</v>
      </c>
      <c r="C104" s="962"/>
      <c r="D104" s="962"/>
      <c r="E104" s="962"/>
      <c r="F104" s="962"/>
      <c r="G104" s="962"/>
      <c r="H104" s="1087"/>
      <c r="I104" s="1088"/>
      <c r="J104" s="1088"/>
      <c r="K104" s="1088"/>
      <c r="L104" s="1089"/>
    </row>
    <row r="105" spans="1:12">
      <c r="A105" s="1026"/>
      <c r="B105" s="1047" t="s">
        <v>2504</v>
      </c>
      <c r="C105" s="1048"/>
      <c r="D105" s="1049"/>
      <c r="E105" s="1048"/>
      <c r="F105" s="1048"/>
      <c r="G105" s="1080"/>
      <c r="H105" s="1047"/>
      <c r="I105" s="1049"/>
      <c r="J105" s="1048"/>
      <c r="K105" s="1048"/>
      <c r="L105" s="1050"/>
    </row>
    <row r="106" spans="1:12">
      <c r="A106" s="1026"/>
      <c r="B106" s="1055" t="s">
        <v>2505</v>
      </c>
      <c r="C106" s="1056"/>
      <c r="D106" s="1057"/>
      <c r="E106" s="1056"/>
      <c r="F106" s="1056"/>
      <c r="G106" s="1082"/>
      <c r="H106" s="1055"/>
      <c r="I106" s="1057"/>
      <c r="J106" s="1056"/>
      <c r="K106" s="1056"/>
      <c r="L106" s="1058"/>
    </row>
    <row r="107" spans="1:12" ht="15.75" thickBot="1">
      <c r="A107" s="1026"/>
      <c r="B107" s="1051" t="s">
        <v>2506</v>
      </c>
      <c r="C107" s="1052"/>
      <c r="D107" s="1053"/>
      <c r="E107" s="1052"/>
      <c r="F107" s="1052"/>
      <c r="G107" s="1081"/>
      <c r="H107" s="1051"/>
      <c r="I107" s="1053"/>
      <c r="J107" s="1052"/>
      <c r="K107" s="1052"/>
      <c r="L107" s="1054"/>
    </row>
    <row r="108" spans="1:12" ht="15.75" thickBot="1">
      <c r="A108" s="1026"/>
      <c r="B108" s="962"/>
      <c r="C108" s="962"/>
      <c r="D108" s="962"/>
      <c r="E108" s="962"/>
      <c r="F108" s="962"/>
      <c r="G108" s="962"/>
      <c r="H108" s="1087"/>
      <c r="I108" s="1088"/>
      <c r="J108" s="1088"/>
      <c r="K108" s="1088"/>
      <c r="L108" s="1089"/>
    </row>
    <row r="109" spans="1:12">
      <c r="A109" s="1026"/>
      <c r="B109" s="1047" t="s">
        <v>2507</v>
      </c>
      <c r="C109" s="1048"/>
      <c r="D109" s="1064"/>
      <c r="E109" s="1048"/>
      <c r="F109" s="1064"/>
      <c r="G109" s="1080"/>
      <c r="H109" s="1047"/>
      <c r="I109" s="1064"/>
      <c r="J109" s="1048"/>
      <c r="K109" s="1064"/>
      <c r="L109" s="1050"/>
    </row>
    <row r="110" spans="1:12">
      <c r="A110" s="1026"/>
      <c r="B110" s="1055" t="s">
        <v>2508</v>
      </c>
      <c r="C110" s="1056"/>
      <c r="D110" s="962"/>
      <c r="E110" s="1056"/>
      <c r="F110" s="962"/>
      <c r="G110" s="1082"/>
      <c r="H110" s="1055"/>
      <c r="I110" s="1088"/>
      <c r="J110" s="1056"/>
      <c r="K110" s="1088"/>
      <c r="L110" s="1058"/>
    </row>
    <row r="111" spans="1:12">
      <c r="A111" s="1026"/>
      <c r="B111" s="1055" t="s">
        <v>2509</v>
      </c>
      <c r="C111" s="1056"/>
      <c r="D111" s="962"/>
      <c r="E111" s="1056"/>
      <c r="F111" s="962"/>
      <c r="G111" s="1082"/>
      <c r="H111" s="1055"/>
      <c r="I111" s="1088"/>
      <c r="J111" s="1056"/>
      <c r="K111" s="1088"/>
      <c r="L111" s="1058"/>
    </row>
    <row r="112" spans="1:12" ht="15.75" thickBot="1">
      <c r="A112" s="1026"/>
      <c r="B112" s="1051" t="s">
        <v>2510</v>
      </c>
      <c r="C112" s="1052"/>
      <c r="D112" s="1065"/>
      <c r="E112" s="1052"/>
      <c r="F112" s="1065"/>
      <c r="G112" s="1081"/>
      <c r="H112" s="1051"/>
      <c r="I112" s="1065"/>
      <c r="J112" s="1052"/>
      <c r="K112" s="1065"/>
      <c r="L112" s="1054"/>
    </row>
    <row r="113" spans="1:12" ht="15.75" thickBot="1">
      <c r="A113" s="1026"/>
      <c r="B113" s="962"/>
      <c r="C113" s="962"/>
      <c r="D113" s="962"/>
      <c r="E113" s="962"/>
      <c r="F113" s="962"/>
      <c r="G113" s="962"/>
      <c r="H113" s="1087"/>
      <c r="I113" s="1088"/>
      <c r="J113" s="1088"/>
      <c r="K113" s="1088"/>
      <c r="L113" s="1089"/>
    </row>
    <row r="114" spans="1:12">
      <c r="A114" s="1026"/>
      <c r="B114" s="1047" t="s">
        <v>2511</v>
      </c>
      <c r="C114" s="1048"/>
      <c r="D114" s="1064"/>
      <c r="E114" s="1048"/>
      <c r="F114" s="1064"/>
      <c r="G114" s="1080"/>
      <c r="H114" s="1047"/>
      <c r="I114" s="1064"/>
      <c r="J114" s="1048"/>
      <c r="K114" s="1064"/>
      <c r="L114" s="1050"/>
    </row>
    <row r="115" spans="1:12">
      <c r="A115" s="1026"/>
      <c r="B115" s="1055" t="s">
        <v>2512</v>
      </c>
      <c r="C115" s="1056"/>
      <c r="D115" s="962"/>
      <c r="E115" s="1056"/>
      <c r="F115" s="962"/>
      <c r="G115" s="1082"/>
      <c r="H115" s="1055"/>
      <c r="I115" s="1088"/>
      <c r="J115" s="1056"/>
      <c r="K115" s="1088"/>
      <c r="L115" s="1058"/>
    </row>
    <row r="116" spans="1:12">
      <c r="A116" s="1026"/>
      <c r="B116" s="1055" t="s">
        <v>2513</v>
      </c>
      <c r="C116" s="1056"/>
      <c r="D116" s="962"/>
      <c r="E116" s="1056"/>
      <c r="F116" s="962"/>
      <c r="G116" s="1082"/>
      <c r="H116" s="1055"/>
      <c r="I116" s="1088"/>
      <c r="J116" s="1056"/>
      <c r="K116" s="1088"/>
      <c r="L116" s="1058"/>
    </row>
    <row r="117" spans="1:12" ht="15.75" thickBot="1">
      <c r="A117" s="1026"/>
      <c r="B117" s="1051" t="s">
        <v>2514</v>
      </c>
      <c r="C117" s="1052"/>
      <c r="D117" s="1065"/>
      <c r="E117" s="1052"/>
      <c r="F117" s="1065"/>
      <c r="G117" s="1081"/>
      <c r="H117" s="1051"/>
      <c r="I117" s="1065"/>
      <c r="J117" s="1052"/>
      <c r="K117" s="1065"/>
      <c r="L117" s="1054"/>
    </row>
    <row r="118" spans="1:12" ht="15.75" thickBot="1">
      <c r="A118" s="1026"/>
      <c r="B118" s="962"/>
      <c r="C118" s="962"/>
      <c r="D118" s="962"/>
      <c r="E118" s="962"/>
      <c r="F118" s="962"/>
      <c r="G118" s="962"/>
      <c r="H118" s="1087"/>
      <c r="I118" s="1088"/>
      <c r="J118" s="1088"/>
      <c r="K118" s="1088"/>
      <c r="L118" s="1089"/>
    </row>
    <row r="119" spans="1:12">
      <c r="A119" s="1026"/>
      <c r="B119" s="1047" t="s">
        <v>2515</v>
      </c>
      <c r="C119" s="1048"/>
      <c r="D119" s="1064"/>
      <c r="E119" s="1048"/>
      <c r="F119" s="1064"/>
      <c r="G119" s="1080"/>
      <c r="H119" s="1047"/>
      <c r="I119" s="1064"/>
      <c r="J119" s="1048"/>
      <c r="K119" s="1064"/>
      <c r="L119" s="1050"/>
    </row>
    <row r="120" spans="1:12">
      <c r="A120" s="1026"/>
      <c r="B120" s="1055" t="s">
        <v>2516</v>
      </c>
      <c r="C120" s="1056"/>
      <c r="D120" s="962"/>
      <c r="E120" s="1056"/>
      <c r="F120" s="962"/>
      <c r="G120" s="1082"/>
      <c r="H120" s="1055"/>
      <c r="I120" s="1088"/>
      <c r="J120" s="1056"/>
      <c r="K120" s="1088"/>
      <c r="L120" s="1058"/>
    </row>
    <row r="121" spans="1:12">
      <c r="A121" s="1026"/>
      <c r="B121" s="1055" t="s">
        <v>2517</v>
      </c>
      <c r="C121" s="1056"/>
      <c r="D121" s="962"/>
      <c r="E121" s="1056"/>
      <c r="F121" s="962"/>
      <c r="G121" s="1082"/>
      <c r="H121" s="1055"/>
      <c r="I121" s="1088"/>
      <c r="J121" s="1056"/>
      <c r="K121" s="1088"/>
      <c r="L121" s="1058"/>
    </row>
    <row r="122" spans="1:12" ht="15.75" thickBot="1">
      <c r="A122" s="1026"/>
      <c r="B122" s="1051" t="s">
        <v>2518</v>
      </c>
      <c r="C122" s="1052"/>
      <c r="D122" s="1065"/>
      <c r="E122" s="1052"/>
      <c r="F122" s="1065"/>
      <c r="G122" s="1081"/>
      <c r="H122" s="1051"/>
      <c r="I122" s="1065"/>
      <c r="J122" s="1052"/>
      <c r="K122" s="1065"/>
      <c r="L122" s="1054"/>
    </row>
    <row r="123" spans="1:12" ht="15.75" thickBot="1">
      <c r="A123" s="1026"/>
      <c r="B123" s="962"/>
      <c r="C123" s="962"/>
      <c r="D123" s="962"/>
      <c r="E123" s="962"/>
      <c r="F123" s="962"/>
      <c r="G123" s="962"/>
      <c r="H123" s="1087"/>
      <c r="I123" s="1088"/>
      <c r="J123" s="1088"/>
      <c r="K123" s="1088"/>
      <c r="L123" s="1089"/>
    </row>
    <row r="124" spans="1:12">
      <c r="A124" s="1026"/>
      <c r="B124" s="1047" t="s">
        <v>2519</v>
      </c>
      <c r="C124" s="1048"/>
      <c r="D124" s="1064"/>
      <c r="E124" s="1048"/>
      <c r="F124" s="1064"/>
      <c r="G124" s="1080"/>
      <c r="H124" s="1047"/>
      <c r="I124" s="1064"/>
      <c r="J124" s="1048"/>
      <c r="K124" s="1064"/>
      <c r="L124" s="1050"/>
    </row>
    <row r="125" spans="1:12">
      <c r="A125" s="1026"/>
      <c r="B125" s="1055" t="s">
        <v>2520</v>
      </c>
      <c r="C125" s="1056"/>
      <c r="D125" s="962"/>
      <c r="E125" s="1056"/>
      <c r="F125" s="962"/>
      <c r="G125" s="1082"/>
      <c r="H125" s="1055"/>
      <c r="I125" s="1088"/>
      <c r="J125" s="1056"/>
      <c r="K125" s="1088"/>
      <c r="L125" s="1058"/>
    </row>
    <row r="126" spans="1:12" ht="15.75" thickBot="1">
      <c r="A126" s="1026"/>
      <c r="B126" s="1051" t="s">
        <v>2521</v>
      </c>
      <c r="C126" s="1052"/>
      <c r="D126" s="1065"/>
      <c r="E126" s="1052"/>
      <c r="F126" s="1065"/>
      <c r="G126" s="1081"/>
      <c r="H126" s="1051"/>
      <c r="I126" s="1065"/>
      <c r="J126" s="1052"/>
      <c r="K126" s="1065"/>
      <c r="L126" s="1054"/>
    </row>
    <row r="127" spans="1:12" ht="15.75" thickBot="1">
      <c r="A127" s="1026"/>
      <c r="B127" s="962"/>
      <c r="C127" s="962"/>
      <c r="D127" s="962"/>
      <c r="E127" s="962"/>
      <c r="F127" s="962"/>
      <c r="G127" s="962"/>
      <c r="H127" s="1087"/>
      <c r="I127" s="1088"/>
      <c r="J127" s="1088"/>
      <c r="K127" s="1088"/>
      <c r="L127" s="1089"/>
    </row>
    <row r="128" spans="1:12">
      <c r="A128" s="1026"/>
      <c r="B128" s="1047" t="s">
        <v>2522</v>
      </c>
      <c r="C128" s="1048"/>
      <c r="D128" s="1064"/>
      <c r="E128" s="1048"/>
      <c r="F128" s="1064"/>
      <c r="G128" s="1080"/>
      <c r="H128" s="1047"/>
      <c r="I128" s="1064"/>
      <c r="J128" s="1048"/>
      <c r="K128" s="1064"/>
      <c r="L128" s="1050"/>
    </row>
    <row r="129" spans="1:12">
      <c r="A129" s="1026"/>
      <c r="B129" s="1055" t="s">
        <v>2523</v>
      </c>
      <c r="C129" s="1056"/>
      <c r="D129" s="962"/>
      <c r="E129" s="1056"/>
      <c r="F129" s="962"/>
      <c r="G129" s="1082"/>
      <c r="H129" s="1055"/>
      <c r="I129" s="1088"/>
      <c r="J129" s="1056"/>
      <c r="K129" s="1088"/>
      <c r="L129" s="1058"/>
    </row>
    <row r="130" spans="1:12">
      <c r="A130" s="1026"/>
      <c r="B130" s="1055" t="s">
        <v>2524</v>
      </c>
      <c r="C130" s="1056"/>
      <c r="D130" s="962"/>
      <c r="E130" s="1056"/>
      <c r="F130" s="962"/>
      <c r="G130" s="1082"/>
      <c r="H130" s="1055"/>
      <c r="I130" s="1088"/>
      <c r="J130" s="1056"/>
      <c r="K130" s="1088"/>
      <c r="L130" s="1058"/>
    </row>
    <row r="131" spans="1:12" ht="15.75" thickBot="1">
      <c r="A131" s="1026"/>
      <c r="B131" s="1051" t="s">
        <v>2525</v>
      </c>
      <c r="C131" s="1052"/>
      <c r="D131" s="1065"/>
      <c r="E131" s="1052"/>
      <c r="F131" s="1065"/>
      <c r="G131" s="1081"/>
      <c r="H131" s="1051"/>
      <c r="I131" s="1065"/>
      <c r="J131" s="1052"/>
      <c r="K131" s="1065"/>
      <c r="L131" s="1054"/>
    </row>
    <row r="132" spans="1:12" ht="15.75" thickBot="1">
      <c r="A132" s="1026"/>
      <c r="B132" s="962"/>
      <c r="C132" s="962"/>
      <c r="D132" s="962"/>
      <c r="E132" s="962"/>
      <c r="F132" s="962"/>
      <c r="G132" s="962"/>
      <c r="H132" s="1087"/>
      <c r="I132" s="1088"/>
      <c r="J132" s="1088"/>
      <c r="K132" s="1088"/>
      <c r="L132" s="1089"/>
    </row>
    <row r="133" spans="1:12" ht="42.75">
      <c r="A133" s="1026"/>
      <c r="B133" s="1066" t="s">
        <v>2526</v>
      </c>
      <c r="C133" s="1067"/>
      <c r="D133" s="1068"/>
      <c r="E133" s="1067"/>
      <c r="F133" s="1068"/>
      <c r="G133" s="1084"/>
      <c r="H133" s="1090"/>
      <c r="I133" s="1068"/>
      <c r="J133" s="1067"/>
      <c r="K133" s="1068"/>
      <c r="L133" s="1069"/>
    </row>
    <row r="134" spans="1:12">
      <c r="A134" s="1026"/>
      <c r="B134" s="1063" t="s">
        <v>2527</v>
      </c>
      <c r="C134" s="969"/>
      <c r="D134" s="1070"/>
      <c r="E134" s="969"/>
      <c r="F134" s="1070"/>
      <c r="G134" s="1085"/>
      <c r="H134" s="1063"/>
      <c r="I134" s="1070"/>
      <c r="J134" s="969"/>
      <c r="K134" s="1070"/>
      <c r="L134" s="1071"/>
    </row>
    <row r="135" spans="1:12">
      <c r="A135" s="1026"/>
      <c r="B135" s="1055" t="s">
        <v>2528</v>
      </c>
      <c r="C135" s="1056"/>
      <c r="D135" s="962"/>
      <c r="E135" s="1056"/>
      <c r="F135" s="962"/>
      <c r="G135" s="1082"/>
      <c r="H135" s="1055"/>
      <c r="I135" s="1088"/>
      <c r="J135" s="1056"/>
      <c r="K135" s="1088"/>
      <c r="L135" s="1058"/>
    </row>
    <row r="136" spans="1:12">
      <c r="A136" s="1026"/>
      <c r="B136" s="1055" t="s">
        <v>2529</v>
      </c>
      <c r="C136" s="1056"/>
      <c r="D136" s="962"/>
      <c r="E136" s="1056"/>
      <c r="F136" s="962"/>
      <c r="G136" s="1082"/>
      <c r="H136" s="1055"/>
      <c r="I136" s="1088"/>
      <c r="J136" s="1056"/>
      <c r="K136" s="1088"/>
      <c r="L136" s="1058"/>
    </row>
    <row r="137" spans="1:12">
      <c r="A137" s="1026"/>
      <c r="B137" s="1059" t="s">
        <v>2530</v>
      </c>
      <c r="C137" s="1060"/>
      <c r="D137" s="1072"/>
      <c r="E137" s="1060"/>
      <c r="F137" s="1072"/>
      <c r="G137" s="1083"/>
      <c r="H137" s="1059"/>
      <c r="I137" s="1072"/>
      <c r="J137" s="1060"/>
      <c r="K137" s="1072"/>
      <c r="L137" s="1062"/>
    </row>
    <row r="138" spans="1:12">
      <c r="A138" s="1026"/>
      <c r="B138" s="1055" t="s">
        <v>2531</v>
      </c>
      <c r="C138" s="1056"/>
      <c r="D138" s="962"/>
      <c r="E138" s="1056"/>
      <c r="F138" s="962"/>
      <c r="G138" s="1082"/>
      <c r="H138" s="1055"/>
      <c r="I138" s="1088"/>
      <c r="J138" s="1056"/>
      <c r="K138" s="1088"/>
      <c r="L138" s="1058"/>
    </row>
    <row r="139" spans="1:12">
      <c r="A139" s="1026"/>
      <c r="B139" s="1055" t="s">
        <v>2532</v>
      </c>
      <c r="C139" s="1056"/>
      <c r="D139" s="962"/>
      <c r="E139" s="1056"/>
      <c r="F139" s="962"/>
      <c r="G139" s="1082"/>
      <c r="H139" s="1055"/>
      <c r="I139" s="1088"/>
      <c r="J139" s="1056"/>
      <c r="K139" s="1088"/>
      <c r="L139" s="1058"/>
    </row>
    <row r="140" spans="1:12" ht="15.75" thickBot="1">
      <c r="A140" s="1026"/>
      <c r="B140" s="1051" t="s">
        <v>2533</v>
      </c>
      <c r="C140" s="1065"/>
      <c r="D140" s="1052"/>
      <c r="E140" s="1065"/>
      <c r="F140" s="1052"/>
      <c r="G140" s="1065"/>
      <c r="H140" s="1051"/>
      <c r="I140" s="1065"/>
      <c r="J140" s="1052"/>
      <c r="K140" s="1052"/>
      <c r="L140" s="1073"/>
    </row>
    <row r="141" spans="1:12" ht="15.75" thickBot="1">
      <c r="A141" s="1026"/>
      <c r="B141" s="962"/>
      <c r="C141" s="962"/>
      <c r="D141" s="962"/>
      <c r="E141" s="962"/>
      <c r="F141" s="962"/>
      <c r="G141" s="962"/>
      <c r="H141" s="1087"/>
      <c r="I141" s="1088"/>
      <c r="J141" s="1088"/>
      <c r="K141" s="1088"/>
      <c r="L141" s="1089"/>
    </row>
    <row r="142" spans="1:12" ht="100.5" thickBot="1">
      <c r="A142" s="1026"/>
      <c r="B142" s="1074" t="s">
        <v>2534</v>
      </c>
      <c r="C142" s="1075"/>
      <c r="D142" s="1076"/>
      <c r="E142" s="1075"/>
      <c r="F142" s="1076"/>
      <c r="G142" s="1086"/>
      <c r="H142" s="1091"/>
      <c r="I142" s="1076"/>
      <c r="J142" s="1075"/>
      <c r="K142" s="1076"/>
      <c r="L142" s="1077"/>
    </row>
    <row r="143" spans="1:12" ht="15.75" thickBot="1">
      <c r="A143" s="1026"/>
      <c r="B143" s="1078"/>
      <c r="C143" s="962"/>
      <c r="D143" s="962"/>
      <c r="E143" s="962"/>
      <c r="F143" s="962"/>
      <c r="G143" s="962"/>
      <c r="H143" s="1087"/>
      <c r="I143" s="1088"/>
      <c r="J143" s="1088"/>
      <c r="K143" s="1088"/>
      <c r="L143" s="1089"/>
    </row>
    <row r="144" spans="1:12" ht="86.25" thickBot="1">
      <c r="A144" s="1026"/>
      <c r="B144" s="1074" t="s">
        <v>2535</v>
      </c>
      <c r="C144" s="1075"/>
      <c r="D144" s="1076"/>
      <c r="E144" s="1075"/>
      <c r="F144" s="1076"/>
      <c r="G144" s="1086"/>
      <c r="H144" s="1091"/>
      <c r="I144" s="1076"/>
      <c r="J144" s="1075"/>
      <c r="K144" s="1076"/>
      <c r="L144" s="1077"/>
    </row>
    <row r="145" spans="1:12" ht="15.75" thickBot="1">
      <c r="A145" s="1026"/>
      <c r="B145" s="1078"/>
      <c r="C145" s="962"/>
      <c r="D145" s="962"/>
      <c r="E145" s="962"/>
      <c r="F145" s="962"/>
      <c r="G145" s="962"/>
      <c r="H145" s="1087"/>
      <c r="I145" s="1088"/>
      <c r="J145" s="1088"/>
      <c r="K145" s="1088"/>
      <c r="L145" s="1089"/>
    </row>
    <row r="146" spans="1:12" ht="86.25" thickBot="1">
      <c r="A146" s="1026"/>
      <c r="B146" s="1079" t="s">
        <v>2536</v>
      </c>
      <c r="C146" s="1075"/>
      <c r="D146" s="1076"/>
      <c r="E146" s="1075"/>
      <c r="F146" s="1076"/>
      <c r="G146" s="1086"/>
      <c r="H146" s="1091"/>
      <c r="I146" s="1076"/>
      <c r="J146" s="1075"/>
      <c r="K146" s="1076"/>
      <c r="L146" s="1077"/>
    </row>
    <row r="147" spans="1:12" ht="15.75" thickBot="1">
      <c r="A147" s="1026"/>
      <c r="B147" s="1078"/>
      <c r="C147" s="962"/>
      <c r="D147" s="962"/>
      <c r="E147" s="962"/>
      <c r="F147" s="962"/>
      <c r="G147" s="962"/>
      <c r="H147" s="1087"/>
      <c r="I147" s="1088"/>
      <c r="J147" s="1088"/>
      <c r="K147" s="1088"/>
      <c r="L147" s="1089"/>
    </row>
    <row r="148" spans="1:12" ht="43.5" thickBot="1">
      <c r="A148" s="1026"/>
      <c r="B148" s="1074" t="s">
        <v>2537</v>
      </c>
      <c r="C148" s="1075"/>
      <c r="D148" s="1076"/>
      <c r="E148" s="1075"/>
      <c r="F148" s="1076"/>
      <c r="G148" s="1086"/>
      <c r="H148" s="1091"/>
      <c r="I148" s="1076"/>
      <c r="J148" s="1075"/>
      <c r="K148" s="1076"/>
      <c r="L148" s="1077"/>
    </row>
    <row r="149" spans="1:12" ht="15.75" thickBot="1">
      <c r="A149" s="1026"/>
      <c r="B149" s="1078"/>
      <c r="C149" s="962"/>
      <c r="D149" s="962"/>
      <c r="E149" s="962"/>
      <c r="F149" s="962"/>
      <c r="G149" s="962"/>
      <c r="H149" s="1087"/>
      <c r="I149" s="1088"/>
      <c r="J149" s="1088"/>
      <c r="K149" s="1088"/>
      <c r="L149" s="1089"/>
    </row>
    <row r="150" spans="1:12" ht="86.25" thickBot="1">
      <c r="A150" s="1026"/>
      <c r="B150" s="1074" t="s">
        <v>2538</v>
      </c>
      <c r="C150" s="1075"/>
      <c r="D150" s="1076"/>
      <c r="E150" s="1075"/>
      <c r="F150" s="1076"/>
      <c r="G150" s="1086"/>
      <c r="H150" s="1091"/>
      <c r="I150" s="1076"/>
      <c r="J150" s="1075"/>
      <c r="K150" s="1076"/>
      <c r="L150" s="1077"/>
    </row>
    <row r="151" spans="1:12" ht="15.75" thickBot="1">
      <c r="A151" s="1026"/>
      <c r="B151" s="1078"/>
      <c r="C151" s="962"/>
      <c r="D151" s="962"/>
      <c r="E151" s="962"/>
      <c r="F151" s="962"/>
      <c r="G151" s="962"/>
      <c r="H151" s="1087"/>
      <c r="I151" s="1088"/>
      <c r="J151" s="1088"/>
      <c r="K151" s="1088"/>
      <c r="L151" s="1089"/>
    </row>
    <row r="152" spans="1:12">
      <c r="A152" s="1026"/>
      <c r="B152" s="1047" t="s">
        <v>2539</v>
      </c>
      <c r="C152" s="1048"/>
      <c r="D152" s="1064"/>
      <c r="E152" s="1048"/>
      <c r="F152" s="1064"/>
      <c r="G152" s="1080"/>
      <c r="H152" s="1047"/>
      <c r="I152" s="1064"/>
      <c r="J152" s="1048"/>
      <c r="K152" s="1064"/>
      <c r="L152" s="1050"/>
    </row>
    <row r="153" spans="1:12">
      <c r="A153" s="1026"/>
      <c r="B153" s="1055" t="s">
        <v>2540</v>
      </c>
      <c r="C153" s="1056"/>
      <c r="D153" s="962"/>
      <c r="E153" s="1056"/>
      <c r="F153" s="962"/>
      <c r="G153" s="1082"/>
      <c r="H153" s="1055"/>
      <c r="I153" s="1088"/>
      <c r="J153" s="1056"/>
      <c r="K153" s="1088"/>
      <c r="L153" s="1058"/>
    </row>
    <row r="154" spans="1:12" ht="15.75" thickBot="1">
      <c r="A154" s="1026"/>
      <c r="B154" s="1051" t="s">
        <v>2440</v>
      </c>
      <c r="C154" s="1052"/>
      <c r="D154" s="1065"/>
      <c r="E154" s="1052"/>
      <c r="F154" s="1065"/>
      <c r="G154" s="1081"/>
      <c r="H154" s="1051"/>
      <c r="I154" s="1065"/>
      <c r="J154" s="1052"/>
      <c r="K154" s="1065"/>
      <c r="L154" s="1054"/>
    </row>
    <row r="155" spans="1:12" ht="15.75" thickBot="1">
      <c r="A155" s="1026"/>
      <c r="B155" s="962"/>
      <c r="C155" s="962"/>
      <c r="D155" s="962"/>
      <c r="E155" s="962"/>
      <c r="F155" s="962"/>
      <c r="G155" s="962"/>
      <c r="H155" s="1087"/>
      <c r="I155" s="1088"/>
      <c r="J155" s="1088"/>
      <c r="K155" s="1088"/>
      <c r="L155" s="1089"/>
    </row>
    <row r="156" spans="1:12" ht="100.5" thickBot="1">
      <c r="A156" s="1026"/>
      <c r="B156" s="1074" t="s">
        <v>2541</v>
      </c>
      <c r="C156" s="1075"/>
      <c r="D156" s="1076"/>
      <c r="E156" s="1075"/>
      <c r="F156" s="1076"/>
      <c r="G156" s="1086"/>
      <c r="H156" s="1091"/>
      <c r="I156" s="1076"/>
      <c r="J156" s="1075"/>
      <c r="K156" s="1076"/>
      <c r="L156" s="1077"/>
    </row>
    <row r="157" spans="1:12">
      <c r="A157" s="1026"/>
      <c r="B157" s="962"/>
      <c r="C157" s="962"/>
      <c r="D157" s="962"/>
      <c r="E157" s="962"/>
      <c r="F157" s="962"/>
      <c r="G157" s="962"/>
      <c r="H157" s="962"/>
      <c r="I157" s="962"/>
      <c r="J157" s="962"/>
      <c r="K157" s="962"/>
      <c r="L157" s="962"/>
    </row>
    <row r="158" spans="1:12">
      <c r="A158" s="1026"/>
      <c r="B158" s="1030" t="s">
        <v>2446</v>
      </c>
      <c r="C158" s="962"/>
      <c r="D158" s="962"/>
      <c r="E158" s="962"/>
      <c r="F158" s="962"/>
      <c r="G158" s="962"/>
      <c r="H158" s="962"/>
      <c r="I158" s="962"/>
      <c r="J158" s="962"/>
      <c r="K158" s="962"/>
      <c r="L158" s="962"/>
    </row>
    <row r="159" spans="1:12">
      <c r="A159" s="1026"/>
      <c r="B159" s="962"/>
      <c r="C159" s="962"/>
      <c r="D159" s="962"/>
      <c r="E159" s="962"/>
      <c r="F159" s="962"/>
      <c r="G159" s="962"/>
      <c r="H159" s="962"/>
      <c r="I159" s="962"/>
      <c r="J159" s="962"/>
      <c r="K159" s="962"/>
      <c r="L159" s="962"/>
    </row>
    <row r="160" spans="1:12">
      <c r="A160" s="1026"/>
      <c r="B160" s="2037" t="s">
        <v>2556</v>
      </c>
      <c r="C160" s="2037"/>
      <c r="D160" s="2037"/>
      <c r="E160" s="2037"/>
      <c r="F160" s="2037"/>
      <c r="G160" s="2037"/>
      <c r="H160" s="2037"/>
      <c r="I160" s="2037"/>
      <c r="J160" s="2037"/>
      <c r="K160" s="2037"/>
      <c r="L160" s="2037"/>
    </row>
    <row r="161" spans="1:12">
      <c r="A161" s="1026"/>
      <c r="B161" s="2037" t="s">
        <v>2554</v>
      </c>
      <c r="C161" s="2037"/>
      <c r="D161" s="2037"/>
      <c r="E161" s="2037"/>
      <c r="F161" s="2037"/>
      <c r="G161" s="2037"/>
      <c r="H161" s="2037"/>
      <c r="I161" s="2037"/>
      <c r="J161" s="2037"/>
      <c r="K161" s="2037"/>
      <c r="L161" s="2037"/>
    </row>
    <row r="162" spans="1:12">
      <c r="A162" s="1026"/>
      <c r="B162" s="2037" t="s">
        <v>2551</v>
      </c>
      <c r="C162" s="2037"/>
      <c r="D162" s="2037"/>
      <c r="E162" s="2037"/>
      <c r="F162" s="2037"/>
      <c r="G162" s="2037"/>
      <c r="H162" s="2037"/>
      <c r="I162" s="2037"/>
      <c r="J162" s="2037"/>
      <c r="K162" s="2037"/>
      <c r="L162" s="2037"/>
    </row>
    <row r="163" spans="1:12">
      <c r="A163" s="1026"/>
      <c r="B163" s="2037" t="s">
        <v>2552</v>
      </c>
      <c r="C163" s="2037"/>
      <c r="D163" s="2037"/>
      <c r="E163" s="2037"/>
      <c r="F163" s="2037"/>
      <c r="G163" s="2037"/>
      <c r="H163" s="2037"/>
      <c r="I163" s="2037"/>
      <c r="J163" s="2037"/>
      <c r="K163" s="2037"/>
      <c r="L163" s="2037"/>
    </row>
    <row r="164" spans="1:12">
      <c r="A164" s="1026"/>
    </row>
    <row r="165" spans="1:12">
      <c r="A165" s="1026"/>
      <c r="B165" s="2037" t="s">
        <v>2542</v>
      </c>
      <c r="C165" s="2037"/>
      <c r="D165" s="2037"/>
      <c r="E165" s="2037"/>
      <c r="F165" s="2037"/>
      <c r="G165" s="2037"/>
      <c r="H165" s="2037"/>
      <c r="I165" s="2037"/>
      <c r="J165" s="2037"/>
      <c r="K165" s="2037"/>
      <c r="L165" s="2037"/>
    </row>
    <row r="166" spans="1:12">
      <c r="A166" s="1026"/>
      <c r="B166" s="2037"/>
      <c r="C166" s="2037"/>
      <c r="D166" s="2037"/>
      <c r="E166" s="2037"/>
      <c r="F166" s="2037"/>
      <c r="G166" s="2037"/>
      <c r="H166" s="2037"/>
      <c r="I166" s="2037"/>
      <c r="J166" s="2037"/>
      <c r="K166" s="2037"/>
      <c r="L166" s="2037"/>
    </row>
    <row r="167" spans="1:12">
      <c r="A167" s="1026"/>
      <c r="B167" s="2037" t="s">
        <v>2553</v>
      </c>
      <c r="C167" s="2037"/>
      <c r="D167" s="2037"/>
      <c r="E167" s="2037"/>
      <c r="F167" s="2037"/>
      <c r="G167" s="2037"/>
      <c r="H167" s="2037"/>
      <c r="I167" s="2037"/>
      <c r="J167" s="2037"/>
      <c r="K167" s="2037"/>
      <c r="L167" s="2037"/>
    </row>
    <row r="168" spans="1:12">
      <c r="A168" s="1026"/>
      <c r="B168" s="2037" t="s">
        <v>2543</v>
      </c>
      <c r="C168" s="2037"/>
      <c r="D168" s="2037"/>
      <c r="E168" s="2037"/>
      <c r="F168" s="2037"/>
      <c r="G168" s="2037"/>
      <c r="H168" s="2037"/>
      <c r="I168" s="2037"/>
      <c r="J168" s="2037"/>
      <c r="K168" s="2037"/>
      <c r="L168" s="2037"/>
    </row>
    <row r="169" spans="1:12">
      <c r="A169" s="1026"/>
      <c r="B169" s="2037" t="s">
        <v>2544</v>
      </c>
      <c r="C169" s="2037"/>
      <c r="D169" s="2037"/>
      <c r="E169" s="2037"/>
      <c r="F169" s="2037"/>
      <c r="G169" s="2037"/>
      <c r="H169" s="2037"/>
      <c r="I169" s="2037"/>
      <c r="J169" s="2037"/>
      <c r="K169" s="2037"/>
      <c r="L169" s="2037"/>
    </row>
    <row r="170" spans="1:12">
      <c r="A170" s="1026"/>
      <c r="B170" s="2037" t="s">
        <v>2545</v>
      </c>
      <c r="C170" s="2037"/>
      <c r="D170" s="2037"/>
      <c r="E170" s="2037"/>
      <c r="F170" s="2037"/>
      <c r="G170" s="2037"/>
      <c r="H170" s="2037"/>
      <c r="I170" s="2037"/>
      <c r="J170" s="2037"/>
      <c r="K170" s="2037"/>
      <c r="L170" s="2037"/>
    </row>
    <row r="171" spans="1:12">
      <c r="A171" s="1026"/>
      <c r="B171" s="2037" t="s">
        <v>2546</v>
      </c>
      <c r="C171" s="2037"/>
      <c r="D171" s="2037"/>
      <c r="E171" s="2037"/>
      <c r="F171" s="2037"/>
      <c r="G171" s="2037"/>
      <c r="H171" s="2037"/>
      <c r="I171" s="2037"/>
      <c r="J171" s="2037"/>
      <c r="K171" s="2037"/>
      <c r="L171" s="2037"/>
    </row>
    <row r="172" spans="1:12" ht="16.5" customHeight="1">
      <c r="A172" s="1026"/>
      <c r="B172" s="2038" t="s">
        <v>2555</v>
      </c>
      <c r="C172" s="2038"/>
      <c r="D172" s="2038"/>
      <c r="E172" s="2038"/>
      <c r="F172" s="2038"/>
      <c r="G172" s="2038"/>
      <c r="H172" s="2038"/>
      <c r="I172" s="2038"/>
      <c r="J172" s="2038"/>
      <c r="K172" s="2038"/>
      <c r="L172" s="2038"/>
    </row>
    <row r="173" spans="1:12" ht="15.75">
      <c r="A173" s="1026"/>
      <c r="B173" s="2038" t="s">
        <v>2547</v>
      </c>
      <c r="C173" s="2038"/>
      <c r="D173" s="2038"/>
      <c r="E173" s="2038"/>
      <c r="F173" s="2038"/>
      <c r="G173" s="2038"/>
      <c r="H173" s="2038"/>
      <c r="I173" s="2038"/>
      <c r="J173" s="2038"/>
      <c r="K173" s="2038"/>
      <c r="L173" s="2038"/>
    </row>
    <row r="174" spans="1:12" ht="15.75">
      <c r="A174" s="1026"/>
      <c r="B174" s="2038" t="s">
        <v>2548</v>
      </c>
      <c r="C174" s="2038"/>
      <c r="D174" s="2038"/>
      <c r="E174" s="2038"/>
      <c r="F174" s="2038"/>
      <c r="G174" s="2038"/>
      <c r="H174" s="2038"/>
      <c r="I174" s="2038"/>
      <c r="J174" s="2038"/>
      <c r="K174" s="2038"/>
      <c r="L174" s="2038"/>
    </row>
    <row r="175" spans="1:12" ht="15.75">
      <c r="A175" s="1026"/>
      <c r="B175" s="2038" t="s">
        <v>2549</v>
      </c>
      <c r="C175" s="2038"/>
      <c r="D175" s="2038"/>
      <c r="E175" s="2038"/>
      <c r="F175" s="2038"/>
      <c r="G175" s="2038"/>
      <c r="H175" s="2038"/>
      <c r="I175" s="2038"/>
      <c r="J175" s="2038"/>
      <c r="K175" s="2038"/>
      <c r="L175" s="2038"/>
    </row>
    <row r="176" spans="1:12" ht="15.75">
      <c r="A176" s="1026"/>
      <c r="B176" s="2038" t="s">
        <v>2550</v>
      </c>
      <c r="C176" s="2038"/>
      <c r="D176" s="2038"/>
      <c r="E176" s="2038"/>
      <c r="F176" s="2038"/>
      <c r="G176" s="2038"/>
      <c r="H176" s="2038"/>
      <c r="I176" s="2038"/>
      <c r="J176" s="2038"/>
      <c r="K176" s="2038"/>
      <c r="L176" s="2038"/>
    </row>
    <row r="177" spans="1:12">
      <c r="A177" s="1026"/>
      <c r="B177" s="2038"/>
      <c r="C177" s="2038"/>
      <c r="D177" s="2038"/>
      <c r="E177" s="2038"/>
      <c r="F177" s="2038"/>
      <c r="G177" s="2038"/>
      <c r="H177" s="2038"/>
      <c r="I177" s="2038"/>
      <c r="J177" s="2038"/>
      <c r="K177" s="2038"/>
      <c r="L177" s="2038"/>
    </row>
    <row r="178" spans="1:12">
      <c r="A178" s="1026"/>
      <c r="B178" s="1030" t="s">
        <v>2447</v>
      </c>
      <c r="C178" s="962"/>
      <c r="D178" s="962"/>
      <c r="E178" s="962"/>
      <c r="F178" s="962"/>
      <c r="G178" s="962"/>
      <c r="H178" s="962"/>
      <c r="I178" s="962"/>
      <c r="J178" s="962"/>
      <c r="K178" s="962"/>
      <c r="L178" s="962"/>
    </row>
    <row r="179" spans="1:12">
      <c r="A179" s="1026"/>
      <c r="B179" s="962"/>
      <c r="C179" s="962"/>
      <c r="D179" s="962"/>
      <c r="E179" s="962"/>
      <c r="F179" s="962"/>
      <c r="G179" s="962"/>
      <c r="H179" s="962"/>
      <c r="I179" s="962"/>
      <c r="J179" s="962"/>
      <c r="K179" s="962"/>
      <c r="L179" s="962"/>
    </row>
    <row r="180" spans="1:12">
      <c r="A180" s="1026"/>
      <c r="B180" s="962" t="s">
        <v>2558</v>
      </c>
      <c r="C180" s="962"/>
      <c r="D180" s="962"/>
      <c r="E180" s="962"/>
      <c r="F180" s="962"/>
      <c r="G180" s="962"/>
      <c r="H180" s="962"/>
      <c r="I180" s="962"/>
      <c r="J180" s="962"/>
      <c r="K180" s="962"/>
      <c r="L180" s="962"/>
    </row>
    <row r="181" spans="1:12">
      <c r="A181" s="1026"/>
      <c r="B181" s="962" t="s">
        <v>2559</v>
      </c>
      <c r="C181" s="962"/>
      <c r="D181" s="962"/>
      <c r="E181" s="962"/>
      <c r="F181" s="962"/>
      <c r="G181" s="962"/>
      <c r="H181" s="962"/>
      <c r="I181" s="962"/>
      <c r="J181" s="962"/>
      <c r="K181" s="962"/>
      <c r="L181" s="962"/>
    </row>
    <row r="182" spans="1:12">
      <c r="A182" s="1026"/>
      <c r="B182" s="962" t="s">
        <v>2560</v>
      </c>
      <c r="C182" s="962"/>
      <c r="D182" s="962"/>
      <c r="E182" s="962"/>
      <c r="F182" s="962"/>
      <c r="G182" s="962"/>
      <c r="H182" s="962"/>
      <c r="I182" s="962"/>
      <c r="J182" s="962"/>
      <c r="K182" s="962"/>
      <c r="L182" s="962"/>
    </row>
    <row r="183" spans="1:12">
      <c r="A183" s="1026"/>
      <c r="B183" s="962" t="s">
        <v>2561</v>
      </c>
      <c r="C183" s="962"/>
      <c r="D183" s="962"/>
      <c r="E183" s="962"/>
      <c r="F183" s="962"/>
      <c r="G183" s="962"/>
      <c r="H183" s="962"/>
      <c r="I183" s="962"/>
      <c r="J183" s="962"/>
      <c r="K183" s="962"/>
      <c r="L183" s="962"/>
    </row>
    <row r="184" spans="1:12">
      <c r="A184" s="1026"/>
      <c r="B184" s="962" t="s">
        <v>2562</v>
      </c>
      <c r="C184" s="962"/>
      <c r="D184" s="962"/>
      <c r="E184" s="962"/>
      <c r="F184" s="962"/>
      <c r="G184" s="962"/>
      <c r="H184" s="962"/>
      <c r="I184" s="962"/>
      <c r="J184" s="962"/>
      <c r="K184" s="962"/>
      <c r="L184" s="962"/>
    </row>
    <row r="185" spans="1:12">
      <c r="A185" s="1026"/>
      <c r="B185" s="962" t="s">
        <v>2563</v>
      </c>
      <c r="C185" s="962"/>
      <c r="D185" s="962"/>
      <c r="E185" s="962"/>
      <c r="F185" s="962"/>
      <c r="G185" s="962"/>
      <c r="H185" s="962"/>
      <c r="I185" s="962"/>
      <c r="J185" s="962"/>
      <c r="K185" s="962"/>
      <c r="L185" s="962"/>
    </row>
    <row r="186" spans="1:12">
      <c r="A186" s="1026"/>
      <c r="B186" s="962" t="s">
        <v>2564</v>
      </c>
      <c r="C186" s="962"/>
      <c r="D186" s="962"/>
      <c r="E186" s="962"/>
      <c r="F186" s="962"/>
      <c r="G186" s="962"/>
      <c r="H186" s="962"/>
      <c r="I186" s="962"/>
      <c r="J186" s="962"/>
      <c r="K186" s="962"/>
      <c r="L186" s="962"/>
    </row>
    <row r="187" spans="1:12">
      <c r="A187" s="1026"/>
      <c r="C187" s="962"/>
      <c r="D187" s="962"/>
      <c r="E187" s="962"/>
      <c r="F187" s="962"/>
      <c r="G187" s="962"/>
      <c r="H187" s="962"/>
      <c r="I187" s="962"/>
      <c r="J187" s="962"/>
      <c r="K187" s="962"/>
      <c r="L187" s="962"/>
    </row>
    <row r="188" spans="1:12">
      <c r="A188" s="1026"/>
      <c r="B188" s="962"/>
      <c r="C188" s="962"/>
      <c r="D188" s="962"/>
      <c r="E188" s="962"/>
      <c r="F188" s="962"/>
      <c r="G188" s="962"/>
      <c r="H188" s="962"/>
      <c r="I188" s="962"/>
      <c r="J188" s="962"/>
      <c r="K188" s="962"/>
      <c r="L188" s="962"/>
    </row>
    <row r="189" spans="1:12">
      <c r="A189" s="1026"/>
      <c r="B189" s="962" t="s">
        <v>2557</v>
      </c>
      <c r="C189" s="962"/>
      <c r="D189" s="962"/>
      <c r="E189" s="962"/>
      <c r="F189" s="962"/>
      <c r="G189" s="962"/>
      <c r="H189" s="962"/>
      <c r="I189" s="962"/>
      <c r="J189" s="962"/>
      <c r="K189" s="962"/>
      <c r="L189" s="962"/>
    </row>
    <row r="190" spans="1:12">
      <c r="A190" s="1026"/>
      <c r="B190" s="962"/>
      <c r="C190" s="962"/>
      <c r="D190" s="962"/>
      <c r="E190" s="962"/>
      <c r="F190" s="962"/>
      <c r="G190" s="962"/>
      <c r="H190" s="962"/>
      <c r="I190" s="962"/>
      <c r="J190" s="962"/>
      <c r="K190" s="962"/>
      <c r="L190" s="962"/>
    </row>
    <row r="191" spans="1:12">
      <c r="A191" s="1026"/>
      <c r="B191" s="962" t="s">
        <v>2566</v>
      </c>
      <c r="C191" s="962"/>
      <c r="D191" s="962"/>
      <c r="E191" s="962"/>
      <c r="F191" s="962"/>
      <c r="G191" s="962"/>
      <c r="H191" s="962"/>
      <c r="I191" s="962"/>
      <c r="J191" s="962"/>
      <c r="K191" s="962"/>
      <c r="L191" s="962"/>
    </row>
    <row r="192" spans="1:12">
      <c r="A192" s="1026"/>
      <c r="B192" s="962" t="s">
        <v>2565</v>
      </c>
      <c r="C192" s="962"/>
      <c r="D192" s="962"/>
      <c r="E192" s="962"/>
      <c r="F192" s="962"/>
      <c r="G192" s="962"/>
      <c r="H192" s="962"/>
      <c r="I192" s="962"/>
      <c r="J192" s="962"/>
      <c r="K192" s="962"/>
      <c r="L192" s="962"/>
    </row>
    <row r="193" spans="1:12">
      <c r="A193" s="1026"/>
      <c r="B193" s="962" t="s">
        <v>2567</v>
      </c>
      <c r="C193" s="962"/>
      <c r="D193" s="962"/>
      <c r="E193" s="962"/>
      <c r="F193" s="962"/>
      <c r="G193" s="962"/>
      <c r="H193" s="962"/>
      <c r="I193" s="962"/>
      <c r="J193" s="962"/>
      <c r="K193" s="962"/>
      <c r="L193" s="962"/>
    </row>
    <row r="194" spans="1:12">
      <c r="A194" s="1026"/>
      <c r="B194" s="962" t="s">
        <v>2568</v>
      </c>
      <c r="C194" s="962"/>
      <c r="D194" s="962"/>
      <c r="E194" s="962"/>
      <c r="F194" s="962"/>
      <c r="G194" s="962"/>
      <c r="H194" s="962"/>
      <c r="I194" s="962"/>
      <c r="J194" s="962"/>
      <c r="K194" s="962"/>
      <c r="L194" s="962"/>
    </row>
    <row r="195" spans="1:12">
      <c r="A195" s="1026"/>
      <c r="C195" s="962"/>
      <c r="D195" s="962"/>
      <c r="E195" s="962"/>
      <c r="F195" s="962"/>
      <c r="G195" s="962"/>
      <c r="H195" s="962"/>
      <c r="I195" s="962"/>
      <c r="J195" s="962"/>
      <c r="K195" s="962"/>
      <c r="L195" s="962"/>
    </row>
    <row r="196" spans="1:12">
      <c r="A196" s="1026"/>
      <c r="B196" s="962"/>
      <c r="C196" s="962"/>
      <c r="D196" s="962"/>
      <c r="E196" s="962"/>
      <c r="F196" s="962"/>
      <c r="G196" s="962"/>
      <c r="H196" s="962"/>
      <c r="I196" s="962"/>
      <c r="J196" s="962"/>
      <c r="K196" s="962"/>
      <c r="L196" s="962"/>
    </row>
    <row r="197" spans="1:12">
      <c r="A197" s="1026"/>
      <c r="B197" s="1026"/>
      <c r="C197" s="1026"/>
      <c r="D197" s="1026"/>
      <c r="E197" s="1026"/>
      <c r="F197" s="1026"/>
      <c r="G197" s="1026"/>
      <c r="H197" s="1026"/>
      <c r="I197" s="1026"/>
      <c r="J197" s="1026"/>
      <c r="K197" s="1026"/>
      <c r="L197" s="1026"/>
    </row>
    <row r="198" spans="1:12">
      <c r="A198" s="1026"/>
      <c r="B198" s="1026"/>
      <c r="C198" s="1026"/>
      <c r="D198" s="1026"/>
      <c r="E198" s="1026"/>
      <c r="F198" s="1026"/>
      <c r="G198" s="1026"/>
      <c r="H198" s="1026"/>
      <c r="I198" s="1026"/>
      <c r="J198" s="1026"/>
      <c r="K198" s="1026"/>
      <c r="L198" s="1026"/>
    </row>
  </sheetData>
  <mergeCells count="32">
    <mergeCell ref="B173:L173"/>
    <mergeCell ref="B174:L174"/>
    <mergeCell ref="B175:L175"/>
    <mergeCell ref="B176:L176"/>
    <mergeCell ref="B177:L177"/>
    <mergeCell ref="B162:L162"/>
    <mergeCell ref="B163:L163"/>
    <mergeCell ref="B165:L165"/>
    <mergeCell ref="B166:L166"/>
    <mergeCell ref="B167:L167"/>
    <mergeCell ref="B55:L55"/>
    <mergeCell ref="B58:L58"/>
    <mergeCell ref="B59:L59"/>
    <mergeCell ref="B60:L60"/>
    <mergeCell ref="B63:L63"/>
    <mergeCell ref="B67:L68"/>
    <mergeCell ref="C71:G71"/>
    <mergeCell ref="B169:L169"/>
    <mergeCell ref="B170:L170"/>
    <mergeCell ref="B171:L171"/>
    <mergeCell ref="B172:L172"/>
    <mergeCell ref="B168:L168"/>
    <mergeCell ref="H71:L71"/>
    <mergeCell ref="B160:L160"/>
    <mergeCell ref="B161:L161"/>
    <mergeCell ref="O1:P1"/>
    <mergeCell ref="F43:J43"/>
    <mergeCell ref="B9:D9"/>
    <mergeCell ref="B17:C17"/>
    <mergeCell ref="C23:O23"/>
    <mergeCell ref="F35:J35"/>
    <mergeCell ref="B34:B47"/>
  </mergeCells>
  <conditionalFormatting sqref="D17">
    <cfRule type="expression" priority="1" stopIfTrue="1">
      <formula>"$E$165&gt;=1,¨Aumento¨"</formula>
    </cfRule>
  </conditionalFormatting>
  <dataValidations count="1">
    <dataValidation type="list" allowBlank="1" showInputMessage="1" showErrorMessage="1" sqref="G10">
      <formula1>$I$3:$I$5</formula1>
    </dataValidation>
  </dataValidations>
  <hyperlinks>
    <hyperlink ref="E10" location="IPT!A1" display="INDICE"/>
  </hyperlinks>
  <pageMargins left="0.70866141732283472" right="0.70866141732283472" top="0.74803149606299213" bottom="0.74803149606299213" header="0.31496062992125984" footer="0.31496062992125984"/>
  <pageSetup paperSize="5" scale="65"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71"/>
  <sheetViews>
    <sheetView topLeftCell="A19" workbookViewId="0"/>
  </sheetViews>
  <sheetFormatPr baseColWidth="10" defaultColWidth="9.140625" defaultRowHeight="15"/>
  <cols>
    <col min="1" max="1" width="4.140625" style="179" customWidth="1"/>
    <col min="2" max="2" width="34" style="179" customWidth="1"/>
    <col min="3" max="3" width="13.7109375" style="179" customWidth="1"/>
    <col min="4" max="4" width="12.5703125" style="179" customWidth="1"/>
    <col min="5" max="5" width="11.85546875" style="179" customWidth="1"/>
    <col min="6" max="6" width="13.28515625" style="179" customWidth="1"/>
    <col min="7" max="7" width="10.7109375" style="179" customWidth="1"/>
    <col min="8" max="8" width="12.5703125" style="179" customWidth="1"/>
    <col min="9" max="16" width="9.85546875" style="179" bestFit="1" customWidth="1"/>
    <col min="17" max="16384" width="9.140625" style="179"/>
  </cols>
  <sheetData>
    <row r="1" spans="1:16" ht="15.75" customHeight="1">
      <c r="A1" s="396"/>
      <c r="B1" s="574" t="str">
        <f>BALANZA!B1</f>
        <v>CORPORACION DEL ACUEDUCTO Y ALCANTARILLADO DE MOCA</v>
      </c>
      <c r="C1" s="397"/>
      <c r="D1" s="377"/>
      <c r="E1" s="377"/>
      <c r="F1" s="377"/>
      <c r="G1" s="377"/>
      <c r="O1" s="1895" t="str">
        <f>IPT!$F$5</f>
        <v>AUDITOR: JJSM</v>
      </c>
      <c r="P1" s="1895"/>
    </row>
    <row r="2" spans="1:16" s="535" customFormat="1" ht="15.75" customHeight="1">
      <c r="A2" s="396"/>
      <c r="B2" s="522" t="str">
        <f>BALANZA!B2</f>
        <v>Del Ejercicio terminado el  31 de marzo de 2026  y  2025</v>
      </c>
      <c r="C2" s="397"/>
      <c r="D2" s="377"/>
      <c r="E2" s="377"/>
      <c r="F2" s="377"/>
      <c r="G2" s="377"/>
    </row>
    <row r="3" spans="1:16" s="492" customFormat="1" ht="15" hidden="1" customHeight="1">
      <c r="A3" s="396"/>
      <c r="B3" s="522"/>
      <c r="C3" s="491"/>
      <c r="D3" s="379"/>
      <c r="E3" s="379"/>
      <c r="F3" s="379"/>
      <c r="G3" s="379"/>
      <c r="I3" s="492" t="s">
        <v>1532</v>
      </c>
    </row>
    <row r="4" spans="1:16" s="492" customFormat="1" ht="15" hidden="1" customHeight="1">
      <c r="A4" s="396"/>
      <c r="B4" s="522">
        <f>BALANZA!B4</f>
        <v>2026</v>
      </c>
      <c r="C4" s="491"/>
      <c r="D4" s="379"/>
      <c r="E4" s="379"/>
      <c r="F4" s="379"/>
      <c r="G4" s="379"/>
      <c r="I4" s="492" t="s">
        <v>1533</v>
      </c>
    </row>
    <row r="5" spans="1:16" s="492" customFormat="1" ht="15" hidden="1" customHeight="1">
      <c r="A5" s="396"/>
      <c r="B5" s="522">
        <f>BALANZA!B5</f>
        <v>0</v>
      </c>
      <c r="C5" s="491"/>
      <c r="D5" s="379"/>
      <c r="E5" s="379"/>
      <c r="F5" s="379"/>
      <c r="G5" s="379"/>
      <c r="I5" s="492" t="s">
        <v>1531</v>
      </c>
    </row>
    <row r="6" spans="1:16" s="492" customFormat="1" ht="15" hidden="1" customHeight="1">
      <c r="A6" s="396"/>
      <c r="B6" s="522"/>
      <c r="C6" s="491"/>
      <c r="D6" s="379"/>
      <c r="E6" s="379"/>
      <c r="F6" s="379"/>
      <c r="G6" s="379"/>
    </row>
    <row r="7" spans="1:16" ht="15" customHeight="1"/>
    <row r="8" spans="1:16" customFormat="1">
      <c r="A8" s="396"/>
      <c r="B8" s="397" t="s">
        <v>1529</v>
      </c>
      <c r="D8" s="397"/>
      <c r="E8" s="397"/>
      <c r="F8" s="397"/>
      <c r="G8" s="469"/>
      <c r="H8" s="469"/>
    </row>
    <row r="9" spans="1:16" customFormat="1">
      <c r="A9" s="469"/>
      <c r="B9" s="469"/>
      <c r="C9" s="469"/>
      <c r="D9" s="469"/>
      <c r="E9" s="469"/>
      <c r="F9" s="469"/>
      <c r="G9" s="469"/>
      <c r="H9" s="469"/>
    </row>
    <row r="10" spans="1:16" customFormat="1">
      <c r="A10" s="469"/>
      <c r="B10" s="2021" t="s">
        <v>1475</v>
      </c>
      <c r="C10" s="2021"/>
      <c r="D10" s="2021"/>
      <c r="E10" s="469"/>
      <c r="F10" s="469"/>
      <c r="G10" s="469"/>
      <c r="H10" s="469"/>
    </row>
    <row r="11" spans="1:16" customFormat="1" ht="18.75" customHeight="1">
      <c r="A11" s="469"/>
      <c r="B11" s="469"/>
      <c r="C11" s="469"/>
      <c r="D11" s="469"/>
      <c r="E11" s="469"/>
      <c r="F11" s="469"/>
      <c r="G11" s="539" t="s">
        <v>1355</v>
      </c>
      <c r="H11" s="538" t="str">
        <f>IPT!C9</f>
        <v>B-1</v>
      </c>
      <c r="I11" s="529" t="str">
        <f>IF(E27=0,"Verificado","Pendiente")</f>
        <v>Verificado</v>
      </c>
    </row>
    <row r="12" spans="1:16" customFormat="1" ht="30">
      <c r="B12" s="200" t="s">
        <v>1149</v>
      </c>
      <c r="C12" s="201">
        <f>BALANZA!B4</f>
        <v>2026</v>
      </c>
      <c r="D12" s="201">
        <f>BALANZA!C4</f>
        <v>2025</v>
      </c>
      <c r="E12" s="616" t="s">
        <v>1213</v>
      </c>
      <c r="F12" s="494" t="s">
        <v>1465</v>
      </c>
      <c r="G12" s="494" t="s">
        <v>1524</v>
      </c>
      <c r="H12" s="494" t="s">
        <v>1525</v>
      </c>
      <c r="I12" s="494" t="s">
        <v>1476</v>
      </c>
    </row>
    <row r="13" spans="1:16" customFormat="1" ht="27.75" customHeight="1">
      <c r="A13">
        <v>1</v>
      </c>
      <c r="B13" s="489" t="str">
        <f>Notas!B178</f>
        <v>Deposito a plazo fijo</v>
      </c>
      <c r="C13" s="204">
        <f>Notas!C178</f>
        <v>0</v>
      </c>
      <c r="D13" s="204">
        <f>Notas!D178</f>
        <v>0</v>
      </c>
      <c r="E13" s="191">
        <f>+C13-D13</f>
        <v>0</v>
      </c>
      <c r="F13" s="466" t="e">
        <f>E13/D13</f>
        <v>#DIV/0!</v>
      </c>
      <c r="G13" s="497"/>
      <c r="H13" s="497"/>
      <c r="I13" s="450" t="s">
        <v>1428</v>
      </c>
    </row>
    <row r="14" spans="1:16" customFormat="1" ht="27.75" customHeight="1">
      <c r="B14" s="205" t="s">
        <v>1160</v>
      </c>
      <c r="C14" s="199">
        <f>SUM(C13:C13)</f>
        <v>0</v>
      </c>
      <c r="D14" s="498">
        <f>SUM(D13:D13)</f>
        <v>0</v>
      </c>
      <c r="E14" s="499">
        <f>SUM(E13:E13)</f>
        <v>0</v>
      </c>
      <c r="F14" s="497" t="e">
        <f>E14/D14</f>
        <v>#DIV/0!</v>
      </c>
      <c r="G14" s="497"/>
      <c r="H14" s="499">
        <f>SUM(H13:H13)</f>
        <v>0</v>
      </c>
      <c r="I14" s="500" t="s">
        <v>1419</v>
      </c>
    </row>
    <row r="15" spans="1:16" customFormat="1" ht="27.75" customHeight="1">
      <c r="B15" s="158"/>
      <c r="E15" s="206"/>
      <c r="G15" s="503"/>
      <c r="H15" s="503"/>
    </row>
    <row r="16" spans="1:16" s="5" customFormat="1" ht="27.75" customHeight="1">
      <c r="B16" s="1881" t="str">
        <f>+'1'!B21:C21</f>
        <v>Cambio porcentual con relación al 2025</v>
      </c>
      <c r="C16" s="1882"/>
      <c r="D16" s="304" t="e">
        <f>IF(E16&gt;=0,"Aumento","Disminución")</f>
        <v>#DIV/0!</v>
      </c>
      <c r="E16" s="228" t="e">
        <f>+E14/D14</f>
        <v>#DIV/0!</v>
      </c>
    </row>
    <row r="17" spans="1:16" customFormat="1" ht="15.75">
      <c r="B17" s="158"/>
      <c r="E17" s="206"/>
    </row>
    <row r="18" spans="1:16" customFormat="1">
      <c r="A18" s="469"/>
      <c r="B18" s="469"/>
      <c r="C18" s="469"/>
      <c r="D18" s="469"/>
      <c r="E18" s="469"/>
      <c r="F18" s="469"/>
      <c r="G18" s="469"/>
      <c r="H18" s="469"/>
    </row>
    <row r="19" spans="1:16" customFormat="1">
      <c r="A19" s="469"/>
      <c r="B19" s="469"/>
      <c r="C19" s="469"/>
      <c r="D19" s="469"/>
      <c r="E19" s="469"/>
      <c r="F19" s="469"/>
      <c r="G19" s="469"/>
      <c r="H19" s="469"/>
    </row>
    <row r="20" spans="1:16" customFormat="1">
      <c r="A20" s="469"/>
      <c r="B20" s="397" t="s">
        <v>1530</v>
      </c>
      <c r="C20" s="469"/>
      <c r="D20" s="469"/>
      <c r="E20" s="469"/>
      <c r="F20" s="469"/>
      <c r="G20" s="469"/>
      <c r="H20" s="469"/>
    </row>
    <row r="21" spans="1:16" customFormat="1">
      <c r="A21" s="469"/>
      <c r="B21" s="482" t="s">
        <v>1467</v>
      </c>
      <c r="C21" s="482"/>
      <c r="D21" s="482"/>
      <c r="E21" s="469"/>
      <c r="G21" s="469"/>
      <c r="H21" s="469"/>
      <c r="I21" s="469"/>
      <c r="J21" s="469"/>
      <c r="K21" s="469"/>
    </row>
    <row r="22" spans="1:16" customFormat="1" ht="21" customHeight="1">
      <c r="A22" s="469"/>
      <c r="B22" s="462"/>
      <c r="C22" s="1879">
        <f>C12</f>
        <v>2026</v>
      </c>
      <c r="D22" s="1880"/>
      <c r="E22" s="1880"/>
      <c r="F22" s="1880"/>
      <c r="G22" s="1880"/>
      <c r="H22" s="1880"/>
      <c r="I22" s="1880"/>
      <c r="J22" s="1880"/>
      <c r="K22" s="1880"/>
      <c r="L22" s="1880"/>
      <c r="M22" s="1880"/>
      <c r="N22" s="1880"/>
      <c r="O22" s="1880"/>
      <c r="P22" s="502">
        <f>D12</f>
        <v>2025</v>
      </c>
    </row>
    <row r="23" spans="1:16" customFormat="1">
      <c r="A23" s="469"/>
      <c r="B23" s="462" t="s">
        <v>1149</v>
      </c>
      <c r="C23" s="463" t="s">
        <v>1415</v>
      </c>
      <c r="D23" s="463" t="s">
        <v>1418</v>
      </c>
      <c r="E23" s="463" t="s">
        <v>1434</v>
      </c>
      <c r="F23" s="463" t="s">
        <v>1435</v>
      </c>
      <c r="G23" s="463" t="s">
        <v>1436</v>
      </c>
      <c r="H23" s="463" t="s">
        <v>1437</v>
      </c>
      <c r="I23" s="463" t="s">
        <v>1438</v>
      </c>
      <c r="J23" s="463" t="s">
        <v>1439</v>
      </c>
      <c r="K23" s="463" t="s">
        <v>1440</v>
      </c>
      <c r="L23" s="463" t="s">
        <v>1441</v>
      </c>
      <c r="M23" s="463" t="s">
        <v>1410</v>
      </c>
      <c r="N23" s="463" t="s">
        <v>1411</v>
      </c>
      <c r="O23" s="463" t="s">
        <v>1412</v>
      </c>
      <c r="P23" s="502" t="s">
        <v>1526</v>
      </c>
    </row>
    <row r="24" spans="1:16" customFormat="1" ht="27.75" customHeight="1">
      <c r="A24">
        <v>1</v>
      </c>
      <c r="B24" s="490" t="str">
        <f>B13</f>
        <v>Deposito a plazo fijo</v>
      </c>
      <c r="C24" s="213">
        <f>SUM(D24:P24)</f>
        <v>0</v>
      </c>
      <c r="D24" s="204">
        <f>BALANZA!N24</f>
        <v>0</v>
      </c>
      <c r="E24" s="512">
        <f>BALANZA!O24</f>
        <v>0</v>
      </c>
      <c r="F24" s="512">
        <f>BALANZA!P24</f>
        <v>0</v>
      </c>
      <c r="G24" s="512">
        <f>BALANZA!Q24</f>
        <v>0</v>
      </c>
      <c r="H24" s="512">
        <f>BALANZA!R24</f>
        <v>0</v>
      </c>
      <c r="I24" s="512">
        <f>BALANZA!S24</f>
        <v>0</v>
      </c>
      <c r="J24" s="512">
        <f>BALANZA!T24</f>
        <v>0</v>
      </c>
      <c r="K24" s="512">
        <f>BALANZA!U24</f>
        <v>0</v>
      </c>
      <c r="L24" s="512">
        <f>BALANZA!V24</f>
        <v>0</v>
      </c>
      <c r="M24" s="512">
        <f>BALANZA!W24</f>
        <v>0</v>
      </c>
      <c r="N24" s="512">
        <f>BALANZA!X24</f>
        <v>0</v>
      </c>
      <c r="O24" s="512">
        <f>BALANZA!Y24</f>
        <v>0</v>
      </c>
      <c r="P24" s="517">
        <f>D13</f>
        <v>0</v>
      </c>
    </row>
    <row r="25" spans="1:16" customFormat="1" ht="22.5" customHeight="1">
      <c r="A25" s="469"/>
      <c r="B25" s="192" t="s">
        <v>1152</v>
      </c>
      <c r="C25" s="214">
        <f t="shared" ref="C25:P25" si="0">SUM(C24:C24)</f>
        <v>0</v>
      </c>
      <c r="D25" s="214">
        <f t="shared" si="0"/>
        <v>0</v>
      </c>
      <c r="E25" s="514">
        <f t="shared" si="0"/>
        <v>0</v>
      </c>
      <c r="F25" s="514">
        <f t="shared" si="0"/>
        <v>0</v>
      </c>
      <c r="G25" s="514">
        <f t="shared" si="0"/>
        <v>0</v>
      </c>
      <c r="H25" s="514">
        <f t="shared" si="0"/>
        <v>0</v>
      </c>
      <c r="I25" s="514">
        <f t="shared" si="0"/>
        <v>0</v>
      </c>
      <c r="J25" s="514">
        <f t="shared" si="0"/>
        <v>0</v>
      </c>
      <c r="K25" s="514">
        <f t="shared" si="0"/>
        <v>0</v>
      </c>
      <c r="L25" s="514">
        <f t="shared" si="0"/>
        <v>0</v>
      </c>
      <c r="M25" s="514">
        <f t="shared" si="0"/>
        <v>0</v>
      </c>
      <c r="N25" s="514">
        <f t="shared" si="0"/>
        <v>0</v>
      </c>
      <c r="O25" s="514">
        <f t="shared" si="0"/>
        <v>0</v>
      </c>
      <c r="P25" s="514">
        <f t="shared" si="0"/>
        <v>0</v>
      </c>
    </row>
    <row r="26" spans="1:16" customFormat="1">
      <c r="A26" s="469"/>
      <c r="B26" s="483"/>
      <c r="C26" s="484"/>
      <c r="D26" s="484"/>
      <c r="E26" s="469"/>
      <c r="F26" s="469"/>
      <c r="G26" s="469"/>
    </row>
    <row r="27" spans="1:16" customFormat="1">
      <c r="A27" s="469"/>
      <c r="B27" s="485" t="s">
        <v>1406</v>
      </c>
      <c r="C27" s="486">
        <f>C25-C14</f>
        <v>0</v>
      </c>
    </row>
    <row r="28" spans="1:16" customFormat="1">
      <c r="A28" s="469"/>
      <c r="B28" s="393"/>
      <c r="C28" s="450" t="str">
        <f>IF(C27=0,m!$B$7,m!$B$11)</f>
        <v>P</v>
      </c>
    </row>
    <row r="29" spans="1:16" customFormat="1">
      <c r="A29" s="469"/>
      <c r="B29" s="469"/>
      <c r="C29" s="463" t="s">
        <v>1415</v>
      </c>
      <c r="D29" s="463" t="s">
        <v>1418</v>
      </c>
      <c r="E29" s="463" t="s">
        <v>1434</v>
      </c>
      <c r="F29" s="463" t="s">
        <v>1435</v>
      </c>
      <c r="G29" s="463" t="s">
        <v>1436</v>
      </c>
      <c r="H29" s="463" t="s">
        <v>1437</v>
      </c>
      <c r="I29" s="463" t="s">
        <v>1438</v>
      </c>
      <c r="J29" s="463" t="s">
        <v>1439</v>
      </c>
      <c r="K29" s="463" t="s">
        <v>1440</v>
      </c>
      <c r="L29" s="463" t="s">
        <v>1441</v>
      </c>
      <c r="M29" s="463" t="s">
        <v>1410</v>
      </c>
      <c r="N29" s="463" t="s">
        <v>1411</v>
      </c>
      <c r="O29" s="463" t="s">
        <v>1412</v>
      </c>
    </row>
    <row r="30" spans="1:16" customFormat="1" ht="15.75">
      <c r="B30" s="494" t="s">
        <v>1525</v>
      </c>
      <c r="C30" s="213">
        <f>SUM(D30:P30)</f>
        <v>0</v>
      </c>
      <c r="D30" s="501"/>
      <c r="E30" s="501"/>
      <c r="F30" s="501"/>
      <c r="G30" s="501"/>
      <c r="H30" s="501"/>
      <c r="I30" s="501"/>
      <c r="J30" s="501"/>
      <c r="K30" s="501"/>
      <c r="L30" s="501"/>
      <c r="M30" s="501"/>
      <c r="N30" s="501"/>
      <c r="O30" s="501"/>
    </row>
    <row r="31" spans="1:16" s="469" customFormat="1"/>
    <row r="33" spans="2:12" ht="15.75" thickBot="1">
      <c r="B33" s="596" t="s">
        <v>1573</v>
      </c>
    </row>
    <row r="34" spans="2:12" s="525" customFormat="1" ht="15.75" thickBot="1">
      <c r="B34" s="2022"/>
      <c r="C34" s="555" t="s">
        <v>1425</v>
      </c>
    </row>
    <row r="35" spans="2:12" s="525" customFormat="1" ht="18.75" customHeight="1">
      <c r="B35" s="2023"/>
      <c r="C35" s="556" t="s">
        <v>1477</v>
      </c>
      <c r="D35" s="557" t="s">
        <v>1478</v>
      </c>
      <c r="E35" s="557" t="s">
        <v>6</v>
      </c>
      <c r="F35" s="1891" t="s">
        <v>1356</v>
      </c>
      <c r="G35" s="1891"/>
      <c r="H35" s="1891"/>
      <c r="I35" s="1891"/>
      <c r="J35" s="1891"/>
      <c r="K35" s="559" t="s">
        <v>1357</v>
      </c>
      <c r="L35" s="560" t="s">
        <v>1358</v>
      </c>
    </row>
    <row r="36" spans="2:12" s="525" customFormat="1" ht="9.75" customHeight="1">
      <c r="B36" s="2023"/>
      <c r="C36" s="540"/>
      <c r="D36" s="451"/>
      <c r="E36" s="451"/>
      <c r="F36" s="451"/>
      <c r="G36" s="457"/>
      <c r="H36" s="457"/>
      <c r="I36" s="393"/>
      <c r="J36" s="393"/>
      <c r="K36" s="393"/>
      <c r="L36" s="418"/>
    </row>
    <row r="37" spans="2:12" s="525" customFormat="1" ht="18.75" customHeight="1">
      <c r="B37" s="2023"/>
      <c r="C37" s="542">
        <v>3</v>
      </c>
      <c r="D37" s="543" t="str">
        <f>H11</f>
        <v>B-1</v>
      </c>
      <c r="E37" s="544"/>
      <c r="F37" s="576" t="s">
        <v>1570</v>
      </c>
      <c r="G37" s="546"/>
      <c r="H37" s="546"/>
      <c r="I37" s="546"/>
      <c r="J37" s="547"/>
      <c r="K37" s="544">
        <v>0</v>
      </c>
      <c r="L37" s="548"/>
    </row>
    <row r="38" spans="2:12" s="525" customFormat="1" ht="18.75" customHeight="1">
      <c r="B38" s="2023"/>
      <c r="C38" s="549"/>
      <c r="D38" s="550"/>
      <c r="E38" s="544"/>
      <c r="F38" s="576" t="s">
        <v>1570</v>
      </c>
      <c r="G38" s="546"/>
      <c r="H38" s="546"/>
      <c r="I38" s="546"/>
      <c r="J38" s="547"/>
      <c r="K38" s="544"/>
      <c r="L38" s="551">
        <f>K37</f>
        <v>0</v>
      </c>
    </row>
    <row r="39" spans="2:12" s="525" customFormat="1" ht="18.75" customHeight="1" thickBot="1">
      <c r="B39" s="2023"/>
      <c r="C39" s="552" t="s">
        <v>1562</v>
      </c>
      <c r="D39" s="553"/>
      <c r="E39" s="553"/>
      <c r="F39" s="553"/>
      <c r="G39" s="553"/>
      <c r="H39" s="553"/>
      <c r="I39" s="553"/>
      <c r="J39" s="553"/>
      <c r="K39" s="553"/>
      <c r="L39" s="554"/>
    </row>
    <row r="40" spans="2:12" s="525" customFormat="1">
      <c r="B40" s="2023"/>
    </row>
    <row r="41" spans="2:12" s="525" customFormat="1" ht="15.75" thickBot="1">
      <c r="B41" s="2023"/>
    </row>
    <row r="42" spans="2:12" s="525" customFormat="1" ht="15.75" thickBot="1">
      <c r="B42" s="2023"/>
      <c r="C42" s="555" t="s">
        <v>1561</v>
      </c>
    </row>
    <row r="43" spans="2:12" s="525" customFormat="1" ht="18.75" customHeight="1">
      <c r="B43" s="2023"/>
      <c r="C43" s="556" t="s">
        <v>1477</v>
      </c>
      <c r="D43" s="557" t="s">
        <v>1478</v>
      </c>
      <c r="E43" s="557" t="s">
        <v>6</v>
      </c>
      <c r="F43" s="1891" t="s">
        <v>1356</v>
      </c>
      <c r="G43" s="1891"/>
      <c r="H43" s="1891"/>
      <c r="I43" s="1891"/>
      <c r="J43" s="1891"/>
      <c r="K43" s="559" t="s">
        <v>1357</v>
      </c>
      <c r="L43" s="560" t="s">
        <v>1358</v>
      </c>
    </row>
    <row r="44" spans="2:12" s="525" customFormat="1" ht="9.75" customHeight="1">
      <c r="B44" s="2023"/>
      <c r="C44" s="540"/>
      <c r="D44" s="451"/>
      <c r="E44" s="451"/>
      <c r="F44" s="451"/>
      <c r="G44" s="457"/>
      <c r="H44" s="457"/>
      <c r="I44" s="393"/>
      <c r="J44" s="393"/>
      <c r="K44" s="393"/>
      <c r="L44" s="418"/>
    </row>
    <row r="45" spans="2:12" s="525" customFormat="1" ht="18.75" customHeight="1">
      <c r="B45" s="2023"/>
      <c r="C45" s="543">
        <f>C37</f>
        <v>3</v>
      </c>
      <c r="D45" s="543" t="str">
        <f>D37</f>
        <v>B-1</v>
      </c>
      <c r="E45" s="544"/>
      <c r="F45" s="545" t="s">
        <v>1570</v>
      </c>
      <c r="G45" s="546"/>
      <c r="H45" s="546"/>
      <c r="I45" s="546"/>
      <c r="J45" s="547"/>
      <c r="K45" s="544"/>
      <c r="L45" s="548"/>
    </row>
    <row r="46" spans="2:12" s="525" customFormat="1" ht="18.75" customHeight="1">
      <c r="B46" s="2023"/>
      <c r="C46" s="549"/>
      <c r="D46" s="550"/>
      <c r="E46" s="544"/>
      <c r="F46" s="545" t="s">
        <v>1570</v>
      </c>
      <c r="G46" s="546"/>
      <c r="H46" s="546"/>
      <c r="I46" s="546"/>
      <c r="J46" s="547"/>
      <c r="K46" s="544"/>
      <c r="L46" s="551">
        <f>K45</f>
        <v>0</v>
      </c>
    </row>
    <row r="47" spans="2:12" s="525" customFormat="1" ht="18.75" customHeight="1" thickBot="1">
      <c r="B47" s="2024"/>
      <c r="C47" s="552" t="s">
        <v>1569</v>
      </c>
      <c r="D47" s="553"/>
      <c r="E47" s="553"/>
      <c r="F47" s="553"/>
      <c r="G47" s="553"/>
      <c r="H47" s="553"/>
      <c r="I47" s="553"/>
      <c r="J47" s="553"/>
      <c r="K47" s="553"/>
      <c r="L47" s="554"/>
    </row>
    <row r="48" spans="2:12" s="525" customFormat="1"/>
    <row r="54" spans="1:12" ht="15.75" thickBot="1">
      <c r="A54"/>
      <c r="B54"/>
      <c r="C54"/>
      <c r="D54"/>
      <c r="E54"/>
      <c r="F54"/>
      <c r="G54"/>
      <c r="H54"/>
      <c r="I54"/>
      <c r="J54"/>
      <c r="K54"/>
      <c r="L54"/>
    </row>
    <row r="55" spans="1:12" ht="15.75" thickBot="1">
      <c r="A55" s="989"/>
      <c r="B55" s="989"/>
      <c r="C55" s="1887" t="s">
        <v>2413</v>
      </c>
      <c r="D55" s="1888"/>
      <c r="E55" s="1889"/>
      <c r="F55" s="1889"/>
      <c r="G55" s="1890"/>
      <c r="H55" s="1883" t="s">
        <v>2414</v>
      </c>
      <c r="I55" s="1884"/>
      <c r="J55" s="1884"/>
      <c r="K55" s="1884"/>
      <c r="L55" s="1885"/>
    </row>
    <row r="56" spans="1:12" ht="26.25" thickBot="1">
      <c r="A56" s="990" t="s">
        <v>1481</v>
      </c>
      <c r="B56" s="990" t="s">
        <v>8</v>
      </c>
      <c r="C56" s="991" t="s">
        <v>2415</v>
      </c>
      <c r="D56" s="992" t="s">
        <v>2416</v>
      </c>
      <c r="E56" s="993" t="s">
        <v>2417</v>
      </c>
      <c r="F56" s="992" t="s">
        <v>2416</v>
      </c>
      <c r="G56" s="994" t="s">
        <v>2418</v>
      </c>
      <c r="H56" s="995" t="s">
        <v>2415</v>
      </c>
      <c r="I56" s="995" t="s">
        <v>2416</v>
      </c>
      <c r="J56" s="996" t="s">
        <v>2417</v>
      </c>
      <c r="K56" s="995" t="s">
        <v>2416</v>
      </c>
      <c r="L56" s="997" t="s">
        <v>2418</v>
      </c>
    </row>
    <row r="57" spans="1:12" ht="15.75" thickBot="1">
      <c r="A57"/>
      <c r="B57"/>
      <c r="C57"/>
      <c r="D57"/>
      <c r="E57"/>
      <c r="F57"/>
      <c r="G57"/>
      <c r="H57"/>
      <c r="I57"/>
      <c r="J57"/>
      <c r="K57"/>
      <c r="L57"/>
    </row>
    <row r="58" spans="1:12" ht="60.75" thickBot="1">
      <c r="A58" s="1092">
        <v>1</v>
      </c>
      <c r="B58" s="1093" t="s">
        <v>2569</v>
      </c>
      <c r="C58" s="1000"/>
      <c r="D58" s="1025"/>
      <c r="E58" s="1000"/>
      <c r="F58" s="1025"/>
      <c r="G58" s="1000"/>
      <c r="H58" s="1025"/>
      <c r="I58" s="1000"/>
      <c r="J58" s="1025"/>
      <c r="K58" s="1000"/>
      <c r="L58" s="1094"/>
    </row>
    <row r="59" spans="1:12" ht="15.75" thickBot="1">
      <c r="A59" s="1092"/>
      <c r="B59"/>
      <c r="C59" s="1025"/>
      <c r="D59" s="1025"/>
      <c r="E59" s="1025"/>
      <c r="F59" s="1025"/>
      <c r="G59" s="1025"/>
      <c r="H59" s="1025"/>
      <c r="I59" s="1025"/>
      <c r="J59" s="1025"/>
      <c r="K59" s="1025"/>
      <c r="L59" s="1025"/>
    </row>
    <row r="60" spans="1:12" ht="60.75" thickBot="1">
      <c r="A60" s="1092">
        <v>2</v>
      </c>
      <c r="B60" s="1093" t="s">
        <v>2570</v>
      </c>
      <c r="C60" s="1000"/>
      <c r="D60" s="1025"/>
      <c r="E60" s="1000"/>
      <c r="F60" s="1025"/>
      <c r="G60" s="1000"/>
      <c r="H60" s="1025"/>
      <c r="I60" s="1000"/>
      <c r="J60" s="1025"/>
      <c r="K60" s="1000"/>
      <c r="L60" s="1094"/>
    </row>
    <row r="61" spans="1:12" ht="15.75" thickBot="1">
      <c r="A61" s="1092"/>
      <c r="B61"/>
      <c r="C61" s="8"/>
      <c r="D61" s="8"/>
      <c r="E61" s="8"/>
      <c r="F61" s="8"/>
      <c r="G61" s="8"/>
      <c r="H61" s="8"/>
      <c r="I61" s="8"/>
      <c r="J61" s="8"/>
      <c r="K61" s="8"/>
      <c r="L61"/>
    </row>
    <row r="62" spans="1:12" ht="60.75" thickBot="1">
      <c r="A62" s="1092">
        <v>3</v>
      </c>
      <c r="B62" s="1093" t="s">
        <v>2571</v>
      </c>
      <c r="C62" s="1000"/>
      <c r="D62" s="1025"/>
      <c r="E62" s="1000"/>
      <c r="F62" s="1025"/>
      <c r="G62" s="1000"/>
      <c r="H62" s="1025"/>
      <c r="I62" s="1000"/>
      <c r="J62" s="1025"/>
      <c r="K62" s="1000"/>
      <c r="L62" s="1094"/>
    </row>
    <row r="63" spans="1:12" ht="15.75" thickBot="1">
      <c r="A63" s="1092"/>
      <c r="B63"/>
      <c r="C63" s="8"/>
      <c r="D63" s="8"/>
      <c r="E63" s="8"/>
      <c r="F63" s="8"/>
      <c r="G63" s="8"/>
      <c r="H63" s="8"/>
      <c r="I63" s="8"/>
      <c r="J63" s="8"/>
      <c r="K63" s="8"/>
      <c r="L63"/>
    </row>
    <row r="64" spans="1:12" ht="135.75" thickBot="1">
      <c r="A64" s="1092">
        <v>4</v>
      </c>
      <c r="B64" s="1093" t="s">
        <v>2572</v>
      </c>
      <c r="C64" s="1000"/>
      <c r="D64" s="1025"/>
      <c r="E64" s="1000"/>
      <c r="F64" s="1025"/>
      <c r="G64" s="1000"/>
      <c r="H64" s="1025"/>
      <c r="I64" s="1000"/>
      <c r="J64" s="1025"/>
      <c r="K64" s="1000"/>
      <c r="L64" s="1094"/>
    </row>
    <row r="65" spans="1:12" ht="15.75" thickBot="1">
      <c r="A65" s="1092"/>
      <c r="B65"/>
      <c r="C65" s="8"/>
      <c r="D65" s="8"/>
      <c r="E65" s="8"/>
      <c r="F65" s="8"/>
      <c r="G65" s="8"/>
      <c r="H65" s="8"/>
      <c r="I65" s="8"/>
      <c r="J65" s="8"/>
      <c r="K65" s="8"/>
      <c r="L65"/>
    </row>
    <row r="66" spans="1:12" ht="90.75" thickBot="1">
      <c r="A66" s="1092">
        <v>5</v>
      </c>
      <c r="B66" s="1093" t="s">
        <v>2573</v>
      </c>
      <c r="C66" s="1000"/>
      <c r="D66" s="1025"/>
      <c r="E66" s="1000"/>
      <c r="F66" s="1025"/>
      <c r="G66" s="1000"/>
      <c r="H66" s="1025"/>
      <c r="I66" s="1000"/>
      <c r="J66" s="1025"/>
      <c r="K66" s="1000"/>
      <c r="L66" s="1094"/>
    </row>
    <row r="67" spans="1:12" ht="15.75" thickBot="1">
      <c r="A67" s="1092"/>
      <c r="B67"/>
      <c r="C67" s="8"/>
      <c r="D67" s="8"/>
      <c r="E67" s="8"/>
      <c r="F67" s="8"/>
      <c r="G67" s="8"/>
      <c r="H67" s="8"/>
      <c r="I67" s="8"/>
      <c r="J67" s="8"/>
      <c r="K67" s="8"/>
      <c r="L67"/>
    </row>
    <row r="68" spans="1:12" ht="105.75" thickBot="1">
      <c r="A68" s="1092">
        <v>6</v>
      </c>
      <c r="B68" s="1093" t="s">
        <v>2574</v>
      </c>
      <c r="C68" s="1000"/>
      <c r="D68" s="1025"/>
      <c r="E68" s="1000"/>
      <c r="F68" s="1025"/>
      <c r="G68" s="1000"/>
      <c r="H68" s="1025"/>
      <c r="I68" s="1000"/>
      <c r="J68" s="1025"/>
      <c r="K68" s="1000"/>
      <c r="L68" s="1094"/>
    </row>
    <row r="69" spans="1:12" ht="15.75" thickBot="1">
      <c r="A69" s="1092"/>
      <c r="B69"/>
      <c r="C69" s="8"/>
      <c r="D69" s="8"/>
      <c r="E69" s="8"/>
      <c r="F69" s="8"/>
      <c r="G69" s="8"/>
      <c r="H69" s="8"/>
      <c r="I69" s="8"/>
      <c r="J69" s="8"/>
      <c r="K69" s="8"/>
      <c r="L69"/>
    </row>
    <row r="70" spans="1:12" ht="60.75" thickBot="1">
      <c r="A70" s="1092">
        <v>7</v>
      </c>
      <c r="B70" s="1093" t="s">
        <v>2575</v>
      </c>
      <c r="C70" s="1012"/>
      <c r="D70" s="8"/>
      <c r="E70" s="1012"/>
      <c r="F70" s="8"/>
      <c r="G70" s="1012"/>
      <c r="H70" s="8"/>
      <c r="I70" s="1012"/>
      <c r="J70" s="8"/>
      <c r="K70" s="1012"/>
      <c r="L70" s="1094"/>
    </row>
    <row r="71" spans="1:12">
      <c r="A71" s="65"/>
      <c r="B71" s="1902" t="s">
        <v>2576</v>
      </c>
      <c r="C71" s="1902"/>
      <c r="D71" s="1902"/>
      <c r="E71" s="1902"/>
      <c r="F71" s="1902"/>
      <c r="G71" s="1902"/>
      <c r="H71" s="1902"/>
      <c r="I71" s="1902"/>
      <c r="J71" s="1902"/>
      <c r="K71" s="1902"/>
      <c r="L71" s="1902"/>
    </row>
  </sheetData>
  <mergeCells count="10">
    <mergeCell ref="C55:G55"/>
    <mergeCell ref="H55:L55"/>
    <mergeCell ref="B71:L71"/>
    <mergeCell ref="O1:P1"/>
    <mergeCell ref="F43:J43"/>
    <mergeCell ref="B10:D10"/>
    <mergeCell ref="B16:C16"/>
    <mergeCell ref="C22:O22"/>
    <mergeCell ref="F35:J35"/>
    <mergeCell ref="B34:B47"/>
  </mergeCells>
  <conditionalFormatting sqref="D16">
    <cfRule type="expression" priority="1" stopIfTrue="1">
      <formula>"$E$165&gt;=1,¨Aumento¨"</formula>
    </cfRule>
  </conditionalFormatting>
  <dataValidations count="1">
    <dataValidation type="list" allowBlank="1" showInputMessage="1" showErrorMessage="1" sqref="I11">
      <formula1>$I$3:$I$5</formula1>
    </dataValidation>
  </dataValidations>
  <hyperlinks>
    <hyperlink ref="G11" location="IPT!A1" display="INDICE"/>
  </hyperlinks>
  <pageMargins left="0.51181102362204722" right="0.51181102362204722" top="0.74803149606299213" bottom="0.94488188976377963" header="0.31496062992125984" footer="0.31496062992125984"/>
  <pageSetup scale="6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22"/>
  <sheetViews>
    <sheetView workbookViewId="0">
      <selection activeCell="C26" sqref="C26"/>
    </sheetView>
  </sheetViews>
  <sheetFormatPr baseColWidth="10" defaultColWidth="9.140625" defaultRowHeight="15"/>
  <cols>
    <col min="1" max="1" width="3.85546875" customWidth="1"/>
    <col min="2" max="2" width="33.85546875" customWidth="1"/>
    <col min="3" max="3" width="15.28515625" bestFit="1" customWidth="1"/>
    <col min="4" max="4" width="15" customWidth="1"/>
    <col min="5" max="5" width="14" customWidth="1"/>
    <col min="6" max="6" width="14.140625" customWidth="1"/>
    <col min="7" max="7" width="12.85546875" customWidth="1"/>
    <col min="8" max="8" width="13" customWidth="1"/>
    <col min="9" max="9" width="12.42578125" bestFit="1" customWidth="1"/>
    <col min="10" max="10" width="13.7109375" customWidth="1"/>
    <col min="11" max="11" width="13.42578125" customWidth="1"/>
    <col min="12" max="12" width="12.42578125" customWidth="1"/>
    <col min="13" max="13" width="12.42578125" bestFit="1" customWidth="1"/>
    <col min="14" max="14" width="11.42578125" customWidth="1"/>
    <col min="15" max="15" width="11.85546875" bestFit="1" customWidth="1"/>
    <col min="16" max="16" width="11.28515625" bestFit="1" customWidth="1"/>
  </cols>
  <sheetData>
    <row r="1" spans="1:16">
      <c r="A1" s="504"/>
      <c r="B1" s="522" t="str">
        <f>BALANZA!B1</f>
        <v>CORPORACION DEL ACUEDUCTO Y ALCANTARILLADO DE MOCA</v>
      </c>
      <c r="C1" s="179"/>
      <c r="D1" s="398"/>
      <c r="E1" s="2048"/>
      <c r="F1" s="2048"/>
      <c r="G1" s="2048"/>
      <c r="H1" s="179"/>
      <c r="I1" s="179"/>
      <c r="J1" s="179"/>
      <c r="K1" s="398"/>
      <c r="O1" s="1895" t="str">
        <f>IPT!$F$5</f>
        <v>AUDITOR: JJSM</v>
      </c>
      <c r="P1" s="1895"/>
    </row>
    <row r="2" spans="1:16">
      <c r="A2" s="179"/>
      <c r="B2" s="522" t="str">
        <f>BALANZA!B2</f>
        <v>Del Ejercicio terminado el  31 de marzo de 2026  y  2025</v>
      </c>
      <c r="C2" s="179"/>
      <c r="D2" s="398"/>
      <c r="E2" s="397"/>
      <c r="F2" s="179"/>
      <c r="G2" s="179"/>
      <c r="H2" s="179"/>
      <c r="I2" s="179"/>
      <c r="J2" s="179"/>
      <c r="K2" s="398"/>
    </row>
    <row r="3" spans="1:16" s="492" customFormat="1" ht="15" customHeight="1">
      <c r="A3" s="504"/>
      <c r="F3" s="369"/>
      <c r="K3" s="370"/>
      <c r="L3" s="371"/>
      <c r="M3" s="371"/>
    </row>
    <row r="4" spans="1:16" s="492" customFormat="1" ht="15" hidden="1" customHeight="1">
      <c r="A4" s="504"/>
      <c r="F4" s="369"/>
      <c r="G4" s="492" t="s">
        <v>1532</v>
      </c>
      <c r="K4" s="370"/>
      <c r="L4" s="371"/>
      <c r="M4" s="371"/>
    </row>
    <row r="5" spans="1:16" s="492" customFormat="1" ht="15" hidden="1" customHeight="1">
      <c r="A5" s="504"/>
      <c r="F5" s="369"/>
      <c r="G5" s="492" t="s">
        <v>1533</v>
      </c>
      <c r="K5" s="370"/>
      <c r="L5" s="371"/>
      <c r="M5" s="371"/>
    </row>
    <row r="6" spans="1:16" s="492" customFormat="1" ht="15" hidden="1" customHeight="1">
      <c r="G6" s="492" t="s">
        <v>1531</v>
      </c>
    </row>
    <row r="7" spans="1:16">
      <c r="A7" s="396"/>
      <c r="B7" s="397" t="s">
        <v>1413</v>
      </c>
      <c r="C7" s="397"/>
      <c r="D7" s="397"/>
      <c r="E7" s="397"/>
      <c r="F7" s="397"/>
      <c r="G7" s="492"/>
      <c r="H7" s="492"/>
    </row>
    <row r="8" spans="1:16">
      <c r="A8" s="492"/>
      <c r="B8" s="492"/>
      <c r="C8" s="492"/>
      <c r="D8" s="492"/>
      <c r="E8" s="492"/>
      <c r="F8" s="492"/>
      <c r="G8" s="492"/>
      <c r="H8" s="492"/>
    </row>
    <row r="9" spans="1:16">
      <c r="A9" s="492"/>
      <c r="B9" s="2021" t="s">
        <v>1475</v>
      </c>
      <c r="C9" s="2021"/>
      <c r="D9" s="2021"/>
      <c r="E9" s="492"/>
      <c r="F9" s="492"/>
      <c r="G9" s="492"/>
      <c r="H9" s="492"/>
    </row>
    <row r="10" spans="1:16" ht="18.75" customHeight="1">
      <c r="A10" s="492"/>
      <c r="B10" s="492"/>
      <c r="C10" s="492"/>
      <c r="D10" s="492"/>
      <c r="E10" s="539" t="s">
        <v>1355</v>
      </c>
      <c r="F10" s="538" t="str">
        <f>IPT!C10</f>
        <v>C</v>
      </c>
      <c r="G10" s="529" t="str">
        <f>IF(C26=0,"Verificado","Pendiente")</f>
        <v>Verificado</v>
      </c>
      <c r="H10" s="492"/>
    </row>
    <row r="11" spans="1:16" ht="30">
      <c r="B11" s="200" t="s">
        <v>1149</v>
      </c>
      <c r="C11" s="201">
        <f>BALANZA!B4</f>
        <v>2026</v>
      </c>
      <c r="D11" s="201">
        <f>BALANZA!C4</f>
        <v>2025</v>
      </c>
      <c r="E11" s="615" t="s">
        <v>1213</v>
      </c>
      <c r="F11" s="494" t="s">
        <v>1465</v>
      </c>
      <c r="G11" s="494" t="s">
        <v>1476</v>
      </c>
    </row>
    <row r="12" spans="1:16" ht="27.75" customHeight="1">
      <c r="A12">
        <v>1</v>
      </c>
      <c r="B12" s="489" t="str">
        <f>Notas!B196</f>
        <v>Inventarios de consumo</v>
      </c>
      <c r="C12" s="204">
        <f>Notas!C196</f>
        <v>14233314.59</v>
      </c>
      <c r="D12" s="204">
        <f>Notas!D196</f>
        <v>15776376.33</v>
      </c>
      <c r="E12" s="650">
        <f>+C12-D12</f>
        <v>-1543061.7400000002</v>
      </c>
      <c r="F12" s="651">
        <f>IFERROR(E12/D12,0)</f>
        <v>-9.7808375492777072E-2</v>
      </c>
      <c r="G12" s="450" t="s">
        <v>1428</v>
      </c>
    </row>
    <row r="13" spans="1:16" ht="27.75" customHeight="1">
      <c r="B13" s="205" t="s">
        <v>1160</v>
      </c>
      <c r="C13" s="199">
        <f>SUM(C12:C12)</f>
        <v>14233314.59</v>
      </c>
      <c r="D13" s="498">
        <f>SUM(D12:D12)</f>
        <v>15776376.33</v>
      </c>
      <c r="E13" s="652">
        <f>SUM(E12:E12)</f>
        <v>-1543061.7400000002</v>
      </c>
      <c r="F13" s="653">
        <f>IFERROR(E13/D13,0)</f>
        <v>-9.7808375492777072E-2</v>
      </c>
      <c r="G13" s="500" t="s">
        <v>1419</v>
      </c>
    </row>
    <row r="14" spans="1:16" ht="12" customHeight="1">
      <c r="B14" s="158"/>
      <c r="E14" s="206"/>
    </row>
    <row r="15" spans="1:16" s="5" customFormat="1" ht="27.75" customHeight="1">
      <c r="B15" s="1881" t="str">
        <f>+'1'!B21:C21</f>
        <v>Cambio porcentual con relación al 2025</v>
      </c>
      <c r="C15" s="1882"/>
      <c r="D15" s="304" t="str">
        <f>IF(E15&gt;=0,"Aumento","Disminución")</f>
        <v>Disminución</v>
      </c>
      <c r="E15" s="228">
        <f>IFERROR(+E13/D13,0)</f>
        <v>-9.7808375492777072E-2</v>
      </c>
    </row>
    <row r="16" spans="1:16" ht="15.75">
      <c r="B16" s="158"/>
      <c r="E16" s="206"/>
    </row>
    <row r="17" spans="1:16">
      <c r="A17" s="492"/>
      <c r="B17" s="492"/>
      <c r="C17" s="492"/>
      <c r="D17" s="492"/>
      <c r="E17" s="492"/>
      <c r="F17" s="492"/>
      <c r="G17" s="492"/>
      <c r="H17" s="492"/>
    </row>
    <row r="18" spans="1:16">
      <c r="A18" s="492"/>
      <c r="B18" s="492"/>
      <c r="C18" s="492"/>
      <c r="D18" s="492"/>
      <c r="E18" s="492"/>
      <c r="F18" s="492"/>
      <c r="G18" s="492"/>
      <c r="H18" s="492"/>
    </row>
    <row r="19" spans="1:16">
      <c r="A19" s="492"/>
      <c r="B19" s="397" t="s">
        <v>1546</v>
      </c>
      <c r="C19" s="492"/>
      <c r="D19" s="492"/>
      <c r="E19" s="492"/>
      <c r="F19" s="492"/>
      <c r="G19" s="492"/>
      <c r="H19" s="492"/>
    </row>
    <row r="20" spans="1:16">
      <c r="A20" s="492"/>
      <c r="B20" s="482" t="s">
        <v>1467</v>
      </c>
      <c r="C20" s="482"/>
      <c r="D20" s="482"/>
      <c r="E20" s="492"/>
      <c r="G20" s="492"/>
      <c r="H20" s="492"/>
      <c r="I20" s="492"/>
      <c r="J20" s="492"/>
      <c r="K20" s="492"/>
    </row>
    <row r="21" spans="1:16" ht="21" customHeight="1">
      <c r="A21" s="492"/>
      <c r="B21" s="462"/>
      <c r="C21" s="1879">
        <f>C11</f>
        <v>2026</v>
      </c>
      <c r="D21" s="1880"/>
      <c r="E21" s="1880"/>
      <c r="F21" s="1880"/>
      <c r="G21" s="1880"/>
      <c r="H21" s="1880"/>
      <c r="I21" s="1880"/>
      <c r="J21" s="1880"/>
      <c r="K21" s="1880"/>
      <c r="L21" s="1880"/>
      <c r="M21" s="1880"/>
      <c r="N21" s="1880"/>
      <c r="O21" s="1880"/>
      <c r="P21" s="502">
        <f>D11</f>
        <v>2025</v>
      </c>
    </row>
    <row r="22" spans="1:16">
      <c r="A22" s="492"/>
      <c r="B22" s="462" t="s">
        <v>1149</v>
      </c>
      <c r="C22" s="463" t="s">
        <v>1415</v>
      </c>
      <c r="D22" s="463" t="s">
        <v>1418</v>
      </c>
      <c r="E22" s="463" t="s">
        <v>1434</v>
      </c>
      <c r="F22" s="463" t="s">
        <v>1435</v>
      </c>
      <c r="G22" s="463" t="s">
        <v>1436</v>
      </c>
      <c r="H22" s="463" t="s">
        <v>1437</v>
      </c>
      <c r="I22" s="463" t="s">
        <v>1438</v>
      </c>
      <c r="J22" s="463" t="s">
        <v>1439</v>
      </c>
      <c r="K22" s="463" t="s">
        <v>1440</v>
      </c>
      <c r="L22" s="463" t="s">
        <v>1441</v>
      </c>
      <c r="M22" s="463" t="s">
        <v>1410</v>
      </c>
      <c r="N22" s="463" t="s">
        <v>1411</v>
      </c>
      <c r="O22" s="463" t="s">
        <v>1412</v>
      </c>
      <c r="P22" s="502" t="s">
        <v>1526</v>
      </c>
    </row>
    <row r="23" spans="1:16" ht="27.75" customHeight="1">
      <c r="A23">
        <v>1</v>
      </c>
      <c r="B23" s="490" t="str">
        <f>B12</f>
        <v>Inventarios de consumo</v>
      </c>
      <c r="C23" s="213">
        <f>SUM(D23:P23)</f>
        <v>14233314.59</v>
      </c>
      <c r="D23" s="512">
        <f>BALANZA!N48</f>
        <v>5003.83</v>
      </c>
      <c r="E23" s="512">
        <f>BALANZA!O48</f>
        <v>703367.42</v>
      </c>
      <c r="F23" s="512">
        <f>BALANZA!P48</f>
        <v>-2251432.9900000002</v>
      </c>
      <c r="G23" s="512">
        <f>BALANZA!Q48</f>
        <v>0</v>
      </c>
      <c r="H23" s="512">
        <f>BALANZA!R48</f>
        <v>0</v>
      </c>
      <c r="I23" s="512">
        <f>BALANZA!S48</f>
        <v>0</v>
      </c>
      <c r="J23" s="512">
        <f>BALANZA!T48</f>
        <v>0</v>
      </c>
      <c r="K23" s="512">
        <f>BALANZA!U48</f>
        <v>0</v>
      </c>
      <c r="L23" s="512">
        <f>BALANZA!V48</f>
        <v>0</v>
      </c>
      <c r="M23" s="512">
        <f>BALANZA!W48</f>
        <v>0</v>
      </c>
      <c r="N23" s="512">
        <f>BALANZA!X48</f>
        <v>0</v>
      </c>
      <c r="O23" s="512">
        <f>BALANZA!Y48</f>
        <v>0</v>
      </c>
      <c r="P23" s="513">
        <f>D12</f>
        <v>15776376.33</v>
      </c>
    </row>
    <row r="24" spans="1:16" ht="22.5" customHeight="1">
      <c r="A24" s="492"/>
      <c r="B24" s="192" t="s">
        <v>1152</v>
      </c>
      <c r="C24" s="214">
        <f t="shared" ref="C24:P24" si="0">SUM(C23:C23)</f>
        <v>14233314.59</v>
      </c>
      <c r="D24" s="514">
        <f t="shared" si="0"/>
        <v>5003.83</v>
      </c>
      <c r="E24" s="514">
        <f t="shared" si="0"/>
        <v>703367.42</v>
      </c>
      <c r="F24" s="514">
        <f t="shared" si="0"/>
        <v>-2251432.9900000002</v>
      </c>
      <c r="G24" s="514">
        <f t="shared" si="0"/>
        <v>0</v>
      </c>
      <c r="H24" s="514">
        <f t="shared" si="0"/>
        <v>0</v>
      </c>
      <c r="I24" s="514">
        <f t="shared" si="0"/>
        <v>0</v>
      </c>
      <c r="J24" s="514">
        <f t="shared" si="0"/>
        <v>0</v>
      </c>
      <c r="K24" s="514">
        <f t="shared" si="0"/>
        <v>0</v>
      </c>
      <c r="L24" s="514">
        <f t="shared" si="0"/>
        <v>0</v>
      </c>
      <c r="M24" s="514">
        <f t="shared" si="0"/>
        <v>0</v>
      </c>
      <c r="N24" s="514">
        <f t="shared" si="0"/>
        <v>0</v>
      </c>
      <c r="O24" s="514">
        <f t="shared" si="0"/>
        <v>0</v>
      </c>
      <c r="P24" s="514">
        <f t="shared" si="0"/>
        <v>15776376.33</v>
      </c>
    </row>
    <row r="25" spans="1:16">
      <c r="A25" s="492"/>
      <c r="B25" s="483"/>
      <c r="C25" s="484"/>
      <c r="D25" s="484"/>
      <c r="E25" s="492"/>
      <c r="F25" s="492"/>
      <c r="G25" s="492"/>
    </row>
    <row r="26" spans="1:16">
      <c r="A26" s="492"/>
      <c r="B26" s="485" t="s">
        <v>1406</v>
      </c>
      <c r="C26" s="486">
        <f>C24-C13</f>
        <v>0</v>
      </c>
      <c r="D26" s="11">
        <f>+$P$23+D23</f>
        <v>15781380.16</v>
      </c>
      <c r="E26" s="11">
        <f>+D26+E23</f>
        <v>16484747.58</v>
      </c>
      <c r="F26" s="11">
        <f t="shared" ref="F26:M26" si="1">+E26+F23</f>
        <v>14233314.59</v>
      </c>
      <c r="G26" s="11">
        <f t="shared" si="1"/>
        <v>14233314.59</v>
      </c>
      <c r="H26" s="11">
        <f t="shared" si="1"/>
        <v>14233314.59</v>
      </c>
      <c r="I26" s="11">
        <f t="shared" si="1"/>
        <v>14233314.59</v>
      </c>
      <c r="J26" s="11">
        <f t="shared" si="1"/>
        <v>14233314.59</v>
      </c>
      <c r="K26" s="11">
        <f t="shared" si="1"/>
        <v>14233314.59</v>
      </c>
      <c r="L26" s="11">
        <f t="shared" si="1"/>
        <v>14233314.59</v>
      </c>
      <c r="M26" s="11">
        <f t="shared" si="1"/>
        <v>14233314.59</v>
      </c>
    </row>
    <row r="27" spans="1:16">
      <c r="A27" s="492"/>
      <c r="B27" s="393"/>
      <c r="C27" s="450" t="str">
        <f>IF(C26=0,m!$B$7,m!$B$11)</f>
        <v>P</v>
      </c>
      <c r="E27" s="11">
        <f>8111248.37-E26</f>
        <v>-8373499.21</v>
      </c>
    </row>
    <row r="28" spans="1:16">
      <c r="A28" s="492"/>
      <c r="B28" s="492"/>
      <c r="C28" s="492"/>
      <c r="D28" s="492">
        <v>1</v>
      </c>
      <c r="E28" s="492">
        <v>2</v>
      </c>
      <c r="F28" s="1212">
        <v>3</v>
      </c>
      <c r="G28" s="1212">
        <v>4</v>
      </c>
      <c r="H28" s="1212">
        <v>5</v>
      </c>
      <c r="I28" s="1212">
        <v>6</v>
      </c>
      <c r="J28" s="1212">
        <v>7</v>
      </c>
      <c r="K28" s="1212">
        <v>8</v>
      </c>
      <c r="L28" s="1212">
        <v>9</v>
      </c>
      <c r="M28" s="1212">
        <v>10</v>
      </c>
    </row>
    <row r="29" spans="1:16">
      <c r="D29">
        <v>8519355.3200000003</v>
      </c>
      <c r="E29">
        <v>8111248.3099999996</v>
      </c>
      <c r="F29">
        <v>7577476.7999999998</v>
      </c>
      <c r="G29">
        <v>7427914.7400000002</v>
      </c>
      <c r="H29">
        <v>7237050.0099999998</v>
      </c>
      <c r="I29">
        <v>8050817.96</v>
      </c>
      <c r="J29">
        <v>8553664.3599999994</v>
      </c>
      <c r="K29">
        <v>8020851.7999999998</v>
      </c>
      <c r="L29">
        <v>7534522.2599999998</v>
      </c>
      <c r="M29">
        <v>7989947</v>
      </c>
    </row>
    <row r="30" spans="1:16">
      <c r="D30" s="11">
        <f>+D26-D29</f>
        <v>7262024.8399999999</v>
      </c>
      <c r="E30" s="11">
        <f t="shared" ref="E30:M30" si="2">+E26-E29</f>
        <v>8373499.2700000005</v>
      </c>
      <c r="F30" s="11">
        <f t="shared" si="2"/>
        <v>6655837.79</v>
      </c>
      <c r="G30" s="11">
        <f t="shared" si="2"/>
        <v>6805399.8499999996</v>
      </c>
      <c r="H30" s="11">
        <f t="shared" si="2"/>
        <v>6996264.5800000001</v>
      </c>
      <c r="I30" s="11">
        <f t="shared" si="2"/>
        <v>6182496.6299999999</v>
      </c>
      <c r="J30" s="11">
        <f t="shared" si="2"/>
        <v>5679650.2300000004</v>
      </c>
      <c r="K30" s="11">
        <f t="shared" si="2"/>
        <v>6212462.79</v>
      </c>
      <c r="L30" s="11">
        <f t="shared" si="2"/>
        <v>6698792.3300000001</v>
      </c>
      <c r="M30" s="11">
        <f t="shared" si="2"/>
        <v>6243367.5899999999</v>
      </c>
    </row>
    <row r="31" spans="1:16">
      <c r="F31" s="11">
        <f>+F30</f>
        <v>6655837.79</v>
      </c>
      <c r="G31" s="11">
        <f>+G30-F31</f>
        <v>149562.05999999959</v>
      </c>
      <c r="H31" s="11">
        <f t="shared" ref="H31:M31" si="3">+H30-G31</f>
        <v>6846702.5200000005</v>
      </c>
      <c r="I31" s="11">
        <f t="shared" si="3"/>
        <v>-664205.8900000006</v>
      </c>
      <c r="J31" s="11">
        <f t="shared" si="3"/>
        <v>6343856.120000001</v>
      </c>
      <c r="K31" s="11">
        <f t="shared" si="3"/>
        <v>-131393.33000000101</v>
      </c>
      <c r="L31" s="11">
        <f t="shared" si="3"/>
        <v>6830185.6600000011</v>
      </c>
      <c r="M31" s="11">
        <f t="shared" si="3"/>
        <v>-586818.07000000123</v>
      </c>
      <c r="O31" s="11">
        <v>533771.51</v>
      </c>
    </row>
    <row r="32" spans="1:16" ht="15.75" thickBot="1">
      <c r="B32" s="596" t="s">
        <v>1573</v>
      </c>
      <c r="O32" s="11">
        <v>149562.06</v>
      </c>
    </row>
    <row r="33" spans="2:15" s="525" customFormat="1" ht="15.75" thickBot="1">
      <c r="B33" s="2022"/>
      <c r="C33" s="555" t="s">
        <v>1425</v>
      </c>
      <c r="O33" s="400">
        <v>190864.73</v>
      </c>
    </row>
    <row r="34" spans="2:15" s="525" customFormat="1" ht="18.75" customHeight="1">
      <c r="B34" s="2023"/>
      <c r="C34" s="556" t="s">
        <v>1477</v>
      </c>
      <c r="D34" s="557" t="s">
        <v>1478</v>
      </c>
      <c r="E34" s="557" t="s">
        <v>6</v>
      </c>
      <c r="F34" s="1891" t="s">
        <v>1356</v>
      </c>
      <c r="G34" s="1891"/>
      <c r="H34" s="1891"/>
      <c r="I34" s="1891"/>
      <c r="J34" s="1891"/>
      <c r="K34" s="559" t="s">
        <v>1357</v>
      </c>
      <c r="L34" s="560" t="s">
        <v>1358</v>
      </c>
      <c r="O34" s="400">
        <v>-813768</v>
      </c>
    </row>
    <row r="35" spans="2:15" s="525" customFormat="1" ht="9.75" customHeight="1">
      <c r="B35" s="2023"/>
      <c r="C35" s="540"/>
      <c r="D35" s="451"/>
      <c r="E35" s="451"/>
      <c r="F35" s="451"/>
      <c r="G35" s="457"/>
      <c r="H35" s="457"/>
      <c r="I35" s="393"/>
      <c r="J35" s="393"/>
      <c r="K35" s="393"/>
      <c r="L35" s="418"/>
      <c r="O35" s="400">
        <v>-502846.4</v>
      </c>
    </row>
    <row r="36" spans="2:15" s="525" customFormat="1" ht="18.75" customHeight="1">
      <c r="B36" s="2023"/>
      <c r="C36" s="542">
        <v>4</v>
      </c>
      <c r="D36" s="543" t="str">
        <f>F10</f>
        <v>C</v>
      </c>
      <c r="E36" s="544"/>
      <c r="F36" s="545" t="s">
        <v>1570</v>
      </c>
      <c r="G36" s="546"/>
      <c r="H36" s="546"/>
      <c r="I36" s="546"/>
      <c r="J36" s="547"/>
      <c r="K36" s="544">
        <v>0</v>
      </c>
      <c r="L36" s="548"/>
      <c r="O36" s="400">
        <v>532812.56999999995</v>
      </c>
    </row>
    <row r="37" spans="2:15" s="525" customFormat="1" ht="18.75" customHeight="1">
      <c r="B37" s="2023"/>
      <c r="C37" s="549"/>
      <c r="D37" s="550"/>
      <c r="E37" s="544"/>
      <c r="F37" s="545" t="s">
        <v>1570</v>
      </c>
      <c r="G37" s="546"/>
      <c r="H37" s="546"/>
      <c r="I37" s="546"/>
      <c r="J37" s="547"/>
      <c r="K37" s="544"/>
      <c r="L37" s="551">
        <f>K36</f>
        <v>0</v>
      </c>
      <c r="O37" s="400">
        <v>486329.54</v>
      </c>
    </row>
    <row r="38" spans="2:15" s="525" customFormat="1" ht="18.75" customHeight="1" thickBot="1">
      <c r="B38" s="2023"/>
      <c r="C38" s="552" t="s">
        <v>1562</v>
      </c>
      <c r="D38" s="553"/>
      <c r="E38" s="553"/>
      <c r="F38" s="553"/>
      <c r="G38" s="553"/>
      <c r="H38" s="553"/>
      <c r="I38" s="553"/>
      <c r="J38" s="553"/>
      <c r="K38" s="553"/>
      <c r="L38" s="554"/>
      <c r="O38" s="400">
        <f>-698027.38</f>
        <v>-698027.38</v>
      </c>
    </row>
    <row r="39" spans="2:15" s="525" customFormat="1">
      <c r="B39" s="2023"/>
      <c r="O39" s="400"/>
    </row>
    <row r="40" spans="2:15" s="525" customFormat="1" ht="15.75" thickBot="1">
      <c r="B40" s="2023"/>
      <c r="O40" s="400"/>
    </row>
    <row r="41" spans="2:15" s="525" customFormat="1" ht="15.75" thickBot="1">
      <c r="B41" s="2023"/>
      <c r="C41" s="555" t="s">
        <v>1561</v>
      </c>
      <c r="O41" s="400"/>
    </row>
    <row r="42" spans="2:15" s="525" customFormat="1" ht="18.75" customHeight="1">
      <c r="B42" s="2023"/>
      <c r="C42" s="556" t="s">
        <v>1477</v>
      </c>
      <c r="D42" s="557" t="s">
        <v>1478</v>
      </c>
      <c r="E42" s="557" t="s">
        <v>6</v>
      </c>
      <c r="F42" s="1891" t="s">
        <v>1356</v>
      </c>
      <c r="G42" s="1891"/>
      <c r="H42" s="1891"/>
      <c r="I42" s="1891"/>
      <c r="J42" s="1891"/>
      <c r="K42" s="559" t="s">
        <v>1357</v>
      </c>
      <c r="L42" s="560" t="s">
        <v>1358</v>
      </c>
    </row>
    <row r="43" spans="2:15" s="525" customFormat="1" ht="9.75" customHeight="1">
      <c r="B43" s="2023"/>
      <c r="C43" s="540"/>
      <c r="D43" s="451"/>
      <c r="E43" s="451"/>
      <c r="F43" s="451"/>
      <c r="G43" s="457"/>
      <c r="H43" s="457"/>
      <c r="I43" s="393"/>
      <c r="J43" s="393"/>
      <c r="K43" s="393"/>
      <c r="L43" s="418"/>
    </row>
    <row r="44" spans="2:15" s="525" customFormat="1" ht="18.75" customHeight="1">
      <c r="B44" s="2023"/>
      <c r="C44" s="543">
        <f>C36</f>
        <v>4</v>
      </c>
      <c r="D44" s="543" t="str">
        <f>D36</f>
        <v>C</v>
      </c>
      <c r="E44" s="544"/>
      <c r="F44" s="545" t="s">
        <v>1570</v>
      </c>
      <c r="G44" s="546"/>
      <c r="H44" s="546"/>
      <c r="I44" s="546"/>
      <c r="J44" s="547"/>
      <c r="K44" s="544"/>
      <c r="L44" s="548"/>
    </row>
    <row r="45" spans="2:15" s="525" customFormat="1" ht="18.75" customHeight="1">
      <c r="B45" s="2023"/>
      <c r="C45" s="549"/>
      <c r="D45" s="550"/>
      <c r="E45" s="544"/>
      <c r="F45" s="545" t="s">
        <v>1570</v>
      </c>
      <c r="G45" s="546"/>
      <c r="H45" s="546"/>
      <c r="I45" s="546"/>
      <c r="J45" s="547"/>
      <c r="K45" s="544"/>
      <c r="L45" s="551">
        <f>K44</f>
        <v>0</v>
      </c>
    </row>
    <row r="46" spans="2:15" s="525" customFormat="1" ht="18.75" customHeight="1" thickBot="1">
      <c r="B46" s="2024"/>
      <c r="C46" s="552" t="s">
        <v>1569</v>
      </c>
      <c r="D46" s="553"/>
      <c r="E46" s="553"/>
      <c r="F46" s="553"/>
      <c r="G46" s="553"/>
      <c r="H46" s="553"/>
      <c r="I46" s="553"/>
      <c r="J46" s="553"/>
      <c r="K46" s="553"/>
      <c r="L46" s="554"/>
    </row>
    <row r="47" spans="2:15" s="525" customFormat="1"/>
    <row r="52" spans="1:12" ht="15.75" thickBot="1"/>
    <row r="53" spans="1:12" ht="15.75" thickBot="1">
      <c r="A53" s="989"/>
      <c r="B53" s="989"/>
      <c r="C53" s="1887" t="s">
        <v>2413</v>
      </c>
      <c r="D53" s="1888"/>
      <c r="E53" s="1889"/>
      <c r="F53" s="1889"/>
      <c r="G53" s="1890"/>
      <c r="H53" s="1883" t="s">
        <v>2414</v>
      </c>
      <c r="I53" s="1884"/>
      <c r="J53" s="1884"/>
      <c r="K53" s="1884"/>
      <c r="L53" s="1885"/>
    </row>
    <row r="54" spans="1:12" ht="15.75" thickBot="1">
      <c r="A54" s="990" t="s">
        <v>1481</v>
      </c>
      <c r="B54" s="990" t="s">
        <v>8</v>
      </c>
      <c r="C54" s="1095" t="s">
        <v>2415</v>
      </c>
      <c r="D54" s="1096" t="s">
        <v>2416</v>
      </c>
      <c r="E54" s="1097" t="s">
        <v>2417</v>
      </c>
      <c r="F54" s="1096" t="s">
        <v>2416</v>
      </c>
      <c r="G54" s="1098" t="s">
        <v>2418</v>
      </c>
      <c r="H54" s="995" t="s">
        <v>2415</v>
      </c>
      <c r="I54" s="995" t="s">
        <v>2416</v>
      </c>
      <c r="J54" s="996" t="s">
        <v>2417</v>
      </c>
      <c r="K54" s="995" t="s">
        <v>2416</v>
      </c>
      <c r="L54" s="997" t="s">
        <v>2418</v>
      </c>
    </row>
    <row r="55" spans="1:12" ht="15.75" thickBot="1">
      <c r="A55" s="982"/>
      <c r="B55" s="1099"/>
      <c r="C55" s="996"/>
      <c r="D55" s="1100"/>
      <c r="E55" s="996"/>
      <c r="F55" s="1100"/>
      <c r="G55" s="1100"/>
      <c r="H55" s="996"/>
      <c r="I55" s="1100"/>
      <c r="J55" s="996"/>
      <c r="K55" s="1100"/>
      <c r="L55" s="1100"/>
    </row>
    <row r="56" spans="1:12" ht="60.75" thickBot="1">
      <c r="A56" s="1092">
        <v>1</v>
      </c>
      <c r="B56" s="1101" t="s">
        <v>2569</v>
      </c>
      <c r="C56" s="1012"/>
      <c r="D56" s="8"/>
      <c r="E56" s="1012"/>
      <c r="F56" s="8"/>
      <c r="G56" s="1012"/>
      <c r="H56" s="1012"/>
      <c r="I56" s="1012"/>
      <c r="J56" s="8"/>
      <c r="K56" s="1012"/>
      <c r="L56" s="9"/>
    </row>
    <row r="57" spans="1:12" ht="15.75" thickBot="1">
      <c r="A57" s="61"/>
      <c r="C57" s="8"/>
      <c r="D57" s="8"/>
      <c r="E57" s="8"/>
      <c r="F57" s="8"/>
      <c r="G57" s="8"/>
      <c r="H57" s="8"/>
      <c r="I57" s="8"/>
      <c r="J57" s="8"/>
      <c r="K57" s="8"/>
    </row>
    <row r="58" spans="1:12" ht="60.75" thickBot="1">
      <c r="A58" s="1092">
        <v>2</v>
      </c>
      <c r="B58" s="1102" t="s">
        <v>2577</v>
      </c>
      <c r="C58" s="1000"/>
      <c r="D58" s="1025"/>
      <c r="E58" s="1000"/>
      <c r="F58" s="1025"/>
      <c r="G58" s="1000"/>
      <c r="H58" s="1000"/>
      <c r="I58" s="1000"/>
      <c r="J58" s="1025"/>
      <c r="K58" s="1000"/>
      <c r="L58" s="1094"/>
    </row>
    <row r="59" spans="1:12" ht="15.75" thickBot="1">
      <c r="A59" s="61"/>
      <c r="C59" s="8"/>
      <c r="D59" s="8"/>
      <c r="E59" s="8"/>
      <c r="F59" s="8"/>
      <c r="G59" s="8"/>
      <c r="H59" s="8"/>
      <c r="I59" s="8"/>
      <c r="J59" s="8"/>
      <c r="K59" s="8"/>
    </row>
    <row r="60" spans="1:12" ht="45.75" thickBot="1">
      <c r="A60" s="1092">
        <v>3</v>
      </c>
      <c r="B60" s="1103" t="s">
        <v>2578</v>
      </c>
      <c r="C60" s="1000"/>
      <c r="D60" s="1025"/>
      <c r="E60" s="1000"/>
      <c r="F60" s="1025"/>
      <c r="G60" s="1000"/>
      <c r="H60" s="1000"/>
      <c r="I60" s="1000"/>
      <c r="J60" s="1025"/>
      <c r="K60" s="1000"/>
      <c r="L60" s="1094"/>
    </row>
    <row r="61" spans="1:12" ht="15.75" thickBot="1">
      <c r="A61" s="61"/>
      <c r="C61" s="8"/>
      <c r="D61" s="8"/>
      <c r="E61" s="8"/>
      <c r="F61" s="8"/>
      <c r="G61" s="8"/>
      <c r="H61" s="8"/>
      <c r="I61" s="8"/>
      <c r="J61" s="8"/>
      <c r="K61" s="8"/>
    </row>
    <row r="62" spans="1:12" ht="45">
      <c r="A62" s="1092">
        <v>4</v>
      </c>
      <c r="B62" s="1104" t="s">
        <v>2579</v>
      </c>
      <c r="C62" s="746"/>
      <c r="D62" s="1024"/>
      <c r="E62" s="746"/>
      <c r="F62" s="1024"/>
      <c r="G62" s="746"/>
      <c r="H62" s="1021"/>
      <c r="I62" s="746"/>
      <c r="J62" s="1024"/>
      <c r="K62" s="746"/>
      <c r="L62" s="1105"/>
    </row>
    <row r="63" spans="1:12" ht="30">
      <c r="A63" s="61"/>
      <c r="B63" s="1106" t="s">
        <v>2580</v>
      </c>
      <c r="C63" s="243"/>
      <c r="D63" s="1023"/>
      <c r="E63" s="243"/>
      <c r="F63" s="1023"/>
      <c r="G63" s="243"/>
      <c r="H63" s="243"/>
      <c r="I63" s="243"/>
      <c r="J63" s="1023"/>
      <c r="K63" s="243"/>
      <c r="L63" s="1107"/>
    </row>
    <row r="64" spans="1:12" ht="45">
      <c r="A64" s="61"/>
      <c r="B64" s="1108" t="s">
        <v>2849</v>
      </c>
      <c r="C64" s="1009"/>
      <c r="E64" s="1009"/>
      <c r="G64" s="1009"/>
      <c r="H64" s="1009"/>
      <c r="I64" s="1009"/>
      <c r="K64" s="1009"/>
      <c r="L64" s="6"/>
    </row>
    <row r="65" spans="1:12" ht="30">
      <c r="A65" s="61"/>
      <c r="B65" s="1110" t="s">
        <v>2581</v>
      </c>
      <c r="C65" s="243"/>
      <c r="D65" s="1023"/>
      <c r="E65" s="243"/>
      <c r="F65" s="1023"/>
      <c r="G65" s="243"/>
      <c r="H65" s="243"/>
      <c r="I65" s="243"/>
      <c r="J65" s="1023"/>
      <c r="K65" s="243"/>
      <c r="L65" s="1107"/>
    </row>
    <row r="66" spans="1:12" ht="30.75" thickBot="1">
      <c r="A66" s="61"/>
      <c r="B66" s="1111" t="s">
        <v>2582</v>
      </c>
      <c r="C66" s="1112"/>
      <c r="D66" s="1113"/>
      <c r="E66" s="1112"/>
      <c r="F66" s="1113"/>
      <c r="G66" s="1112"/>
      <c r="H66" s="1112"/>
      <c r="I66" s="1112"/>
      <c r="J66" s="1113"/>
      <c r="K66" s="1112"/>
      <c r="L66" s="9"/>
    </row>
    <row r="67" spans="1:12" ht="15.75" thickBot="1">
      <c r="A67" s="61"/>
      <c r="C67" s="8"/>
      <c r="D67" s="8"/>
      <c r="E67" s="8"/>
      <c r="F67" s="8"/>
      <c r="G67" s="8"/>
      <c r="H67" s="8"/>
      <c r="I67" s="8"/>
      <c r="J67" s="8"/>
      <c r="K67" s="8"/>
    </row>
    <row r="68" spans="1:12" ht="45">
      <c r="A68" s="1092">
        <v>5</v>
      </c>
      <c r="B68" s="1104" t="s">
        <v>2583</v>
      </c>
      <c r="C68" s="746"/>
      <c r="D68" s="1024"/>
      <c r="E68" s="746"/>
      <c r="F68" s="1024"/>
      <c r="G68" s="746"/>
      <c r="H68" s="1021"/>
      <c r="I68" s="746"/>
      <c r="J68" s="1024"/>
      <c r="K68" s="746"/>
      <c r="L68" s="1105"/>
    </row>
    <row r="69" spans="1:12" ht="30">
      <c r="A69" s="61"/>
      <c r="B69" s="1108" t="s">
        <v>2850</v>
      </c>
      <c r="C69" s="1009"/>
      <c r="E69" s="1009"/>
      <c r="G69" s="1009"/>
      <c r="H69" s="1009"/>
      <c r="I69" s="1009"/>
      <c r="K69" s="1009"/>
      <c r="L69" s="6"/>
    </row>
    <row r="70" spans="1:12" ht="90">
      <c r="A70" s="61"/>
      <c r="B70" s="1108" t="s">
        <v>2851</v>
      </c>
      <c r="C70" s="1009"/>
      <c r="E70" s="1009"/>
      <c r="G70" s="1009"/>
      <c r="H70" s="1009"/>
      <c r="I70" s="1009"/>
      <c r="K70" s="1009"/>
      <c r="L70" s="6"/>
    </row>
    <row r="71" spans="1:12" ht="30">
      <c r="A71" s="61"/>
      <c r="B71" s="1114" t="s">
        <v>2584</v>
      </c>
      <c r="C71" s="1009"/>
      <c r="E71" s="1009"/>
      <c r="G71" s="1009"/>
      <c r="H71" s="1009"/>
      <c r="I71" s="1009"/>
      <c r="K71" s="1009"/>
      <c r="L71" s="6"/>
    </row>
    <row r="72" spans="1:12">
      <c r="A72" s="61"/>
      <c r="B72" s="1115" t="s">
        <v>2585</v>
      </c>
      <c r="C72" s="1009"/>
      <c r="E72" s="1009"/>
      <c r="G72" s="1009"/>
      <c r="H72" s="1009"/>
      <c r="I72" s="1009"/>
      <c r="K72" s="1009"/>
      <c r="L72" s="6"/>
    </row>
    <row r="73" spans="1:12" ht="30.75" thickBot="1">
      <c r="A73" s="61"/>
      <c r="B73" s="1101" t="s">
        <v>2586</v>
      </c>
      <c r="C73" s="1012"/>
      <c r="D73" s="8"/>
      <c r="E73" s="1012"/>
      <c r="F73" s="8"/>
      <c r="G73" s="1012"/>
      <c r="H73" s="1012"/>
      <c r="I73" s="1012"/>
      <c r="J73" s="8"/>
      <c r="K73" s="1012"/>
      <c r="L73" s="9"/>
    </row>
    <row r="74" spans="1:12" ht="15.75" thickBot="1">
      <c r="A74" s="61"/>
      <c r="C74" s="8"/>
      <c r="D74" s="8"/>
      <c r="E74" s="8"/>
      <c r="F74" s="8"/>
      <c r="G74" s="8"/>
      <c r="H74" s="8"/>
      <c r="I74" s="8"/>
      <c r="J74" s="8"/>
      <c r="K74" s="8"/>
    </row>
    <row r="75" spans="1:12" ht="105.75" thickBot="1">
      <c r="A75" s="1092">
        <v>6</v>
      </c>
      <c r="B75" s="1116" t="s">
        <v>2587</v>
      </c>
      <c r="C75" s="1000"/>
      <c r="D75" s="1025"/>
      <c r="E75" s="1000"/>
      <c r="F75" s="1025"/>
      <c r="G75" s="1000"/>
      <c r="H75" s="1000"/>
      <c r="I75" s="1000"/>
      <c r="J75" s="1025"/>
      <c r="K75" s="1000"/>
      <c r="L75" s="1094"/>
    </row>
    <row r="76" spans="1:12" ht="15.75" thickBot="1">
      <c r="A76" s="61"/>
      <c r="C76" s="8"/>
      <c r="D76" s="8"/>
      <c r="E76" s="8"/>
      <c r="F76" s="8"/>
      <c r="G76" s="8"/>
      <c r="H76" s="8"/>
      <c r="I76" s="8"/>
      <c r="J76" s="8"/>
      <c r="K76" s="8"/>
    </row>
    <row r="77" spans="1:12" ht="90.75" thickBot="1">
      <c r="A77" s="1092">
        <v>7</v>
      </c>
      <c r="B77" s="1117" t="s">
        <v>2588</v>
      </c>
      <c r="C77" s="1000"/>
      <c r="D77" s="1025"/>
      <c r="E77" s="1000"/>
      <c r="F77" s="1025"/>
      <c r="G77" s="1000"/>
      <c r="H77" s="1000"/>
      <c r="I77" s="1000"/>
      <c r="J77" s="1025"/>
      <c r="K77" s="1000"/>
      <c r="L77" s="1094"/>
    </row>
    <row r="78" spans="1:12" ht="15.75" thickBot="1">
      <c r="A78" s="61"/>
      <c r="C78" s="8"/>
      <c r="D78" s="8"/>
      <c r="E78" s="8"/>
      <c r="F78" s="8"/>
      <c r="G78" s="8"/>
      <c r="H78" s="8"/>
      <c r="I78" s="8"/>
      <c r="J78" s="8"/>
      <c r="K78" s="8"/>
    </row>
    <row r="79" spans="1:12" ht="105.75" thickBot="1">
      <c r="A79" s="1092">
        <v>8</v>
      </c>
      <c r="B79" s="1093" t="s">
        <v>2589</v>
      </c>
      <c r="C79" s="1000"/>
      <c r="D79" s="1025"/>
      <c r="E79" s="1000"/>
      <c r="F79" s="1025"/>
      <c r="G79" s="1000"/>
      <c r="H79" s="1025"/>
      <c r="I79" s="1000"/>
      <c r="J79" s="1025"/>
      <c r="K79" s="1000"/>
      <c r="L79" s="1094"/>
    </row>
    <row r="80" spans="1:12" ht="15.75" thickBot="1">
      <c r="A80" s="61"/>
    </row>
    <row r="81" spans="1:12" ht="90.75" thickBot="1">
      <c r="A81" s="1092">
        <v>9</v>
      </c>
      <c r="B81" s="1093" t="s">
        <v>2590</v>
      </c>
      <c r="C81" s="1000"/>
      <c r="D81" s="1025"/>
      <c r="E81" s="1000"/>
      <c r="F81" s="1025"/>
      <c r="G81" s="1000"/>
      <c r="H81" s="1025"/>
      <c r="I81" s="1000"/>
      <c r="J81" s="1025"/>
      <c r="K81" s="1000"/>
      <c r="L81" s="1094"/>
    </row>
    <row r="82" spans="1:12" ht="15.75" thickBot="1">
      <c r="A82" s="61"/>
      <c r="C82" s="8"/>
      <c r="D82" s="8"/>
      <c r="E82" s="8"/>
      <c r="F82" s="8"/>
      <c r="G82" s="8"/>
      <c r="H82" s="8"/>
      <c r="I82" s="8"/>
      <c r="J82" s="8"/>
      <c r="K82" s="8"/>
    </row>
    <row r="83" spans="1:12" ht="60.75" thickBot="1">
      <c r="A83" s="1092">
        <v>10</v>
      </c>
      <c r="B83" s="1093" t="s">
        <v>2591</v>
      </c>
      <c r="C83" s="1000"/>
      <c r="D83" s="1025"/>
      <c r="E83" s="1000"/>
      <c r="F83" s="1025"/>
      <c r="G83" s="1000"/>
      <c r="H83" s="1025"/>
      <c r="I83" s="1000"/>
      <c r="J83" s="1025"/>
      <c r="K83" s="1000"/>
      <c r="L83" s="1094"/>
    </row>
    <row r="84" spans="1:12" ht="15.75" thickBot="1">
      <c r="A84" s="61"/>
      <c r="C84" s="8"/>
      <c r="D84" s="8"/>
      <c r="E84" s="8"/>
      <c r="F84" s="8"/>
      <c r="G84" s="8"/>
      <c r="H84" s="8"/>
      <c r="I84" s="8"/>
      <c r="J84" s="8"/>
      <c r="K84" s="8"/>
    </row>
    <row r="85" spans="1:12" ht="120.75" thickBot="1">
      <c r="A85" s="1092">
        <v>11</v>
      </c>
      <c r="B85" s="1093" t="s">
        <v>2592</v>
      </c>
      <c r="C85" s="1012"/>
      <c r="D85" s="8"/>
      <c r="E85" s="1012"/>
      <c r="F85" s="8"/>
      <c r="G85" s="1012"/>
      <c r="H85" s="8"/>
      <c r="I85" s="1012"/>
      <c r="J85" s="8"/>
      <c r="K85" s="1012"/>
      <c r="L85" s="1094"/>
    </row>
    <row r="86" spans="1:12">
      <c r="A86" s="61"/>
    </row>
    <row r="87" spans="1:12">
      <c r="A87" s="61"/>
    </row>
    <row r="88" spans="1:12">
      <c r="A88" s="61"/>
      <c r="B88" s="1902" t="s">
        <v>2576</v>
      </c>
      <c r="C88" s="1902"/>
      <c r="D88" s="1902"/>
      <c r="E88" s="1902"/>
      <c r="F88" s="1902"/>
      <c r="G88" s="1902"/>
      <c r="H88" s="1902"/>
      <c r="I88" s="1902"/>
      <c r="J88" s="1902"/>
      <c r="K88" s="1902"/>
      <c r="L88" s="1902"/>
    </row>
    <row r="89" spans="1:12">
      <c r="A89" s="61"/>
    </row>
    <row r="90" spans="1:12">
      <c r="A90" s="61"/>
    </row>
    <row r="91" spans="1:12">
      <c r="A91" s="61"/>
    </row>
    <row r="92" spans="1:12">
      <c r="A92" s="61"/>
    </row>
    <row r="93" spans="1:12">
      <c r="A93" s="61"/>
    </row>
    <row r="94" spans="1:12">
      <c r="A94" s="61"/>
    </row>
    <row r="95" spans="1:12">
      <c r="A95" s="61"/>
    </row>
    <row r="96" spans="1:12">
      <c r="A96" s="61"/>
    </row>
    <row r="97" spans="1:1">
      <c r="A97" s="61"/>
    </row>
    <row r="98" spans="1:1">
      <c r="A98" s="61"/>
    </row>
    <row r="99" spans="1:1">
      <c r="A99" s="61"/>
    </row>
    <row r="100" spans="1:1">
      <c r="A100" s="61"/>
    </row>
    <row r="101" spans="1:1">
      <c r="A101" s="61"/>
    </row>
    <row r="102" spans="1:1">
      <c r="A102" s="61"/>
    </row>
    <row r="103" spans="1:1">
      <c r="A103" s="61"/>
    </row>
    <row r="104" spans="1:1">
      <c r="A104" s="61"/>
    </row>
    <row r="105" spans="1:1">
      <c r="A105" s="61"/>
    </row>
    <row r="106" spans="1:1">
      <c r="A106" s="61"/>
    </row>
    <row r="107" spans="1:1">
      <c r="A107" s="61"/>
    </row>
    <row r="108" spans="1:1">
      <c r="A108" s="61"/>
    </row>
    <row r="109" spans="1:1">
      <c r="A109" s="61"/>
    </row>
    <row r="110" spans="1:1">
      <c r="A110" s="61"/>
    </row>
    <row r="111" spans="1:1">
      <c r="A111" s="61"/>
    </row>
    <row r="112" spans="1:1">
      <c r="A112" s="61"/>
    </row>
    <row r="113" spans="1:1">
      <c r="A113" s="61"/>
    </row>
    <row r="114" spans="1:1">
      <c r="A114" s="61"/>
    </row>
    <row r="115" spans="1:1">
      <c r="A115" s="61"/>
    </row>
    <row r="116" spans="1:1">
      <c r="A116" s="61"/>
    </row>
    <row r="117" spans="1:1">
      <c r="A117" s="61"/>
    </row>
    <row r="118" spans="1:1">
      <c r="A118" s="61"/>
    </row>
    <row r="119" spans="1:1">
      <c r="A119" s="61"/>
    </row>
    <row r="120" spans="1:1">
      <c r="A120" s="61"/>
    </row>
    <row r="121" spans="1:1">
      <c r="A121" s="61"/>
    </row>
    <row r="122" spans="1:1">
      <c r="A122" s="61"/>
    </row>
  </sheetData>
  <mergeCells count="11">
    <mergeCell ref="B33:B46"/>
    <mergeCell ref="O1:P1"/>
    <mergeCell ref="C53:G53"/>
    <mergeCell ref="H53:L53"/>
    <mergeCell ref="B88:L88"/>
    <mergeCell ref="F42:J42"/>
    <mergeCell ref="E1:G1"/>
    <mergeCell ref="B9:D9"/>
    <mergeCell ref="B15:C15"/>
    <mergeCell ref="C21:O21"/>
    <mergeCell ref="F34:J34"/>
  </mergeCells>
  <conditionalFormatting sqref="D15">
    <cfRule type="expression" priority="1" stopIfTrue="1">
      <formula>"$E$165&gt;=1,¨Aumento¨"</formula>
    </cfRule>
  </conditionalFormatting>
  <dataValidations count="1">
    <dataValidation type="list" allowBlank="1" showInputMessage="1" showErrorMessage="1" sqref="G10">
      <formula1>$G$4:$G$6</formula1>
    </dataValidation>
  </dataValidations>
  <hyperlinks>
    <hyperlink ref="E10" location="IPT!A1" display="INDICE"/>
  </hyperlinks>
  <pageMargins left="0.51181102362204722" right="0.51181102362204722" top="0.74803149606299213" bottom="0.94488188976377963" header="0.31496062992125984" footer="0.31496062992125984"/>
  <pageSetup scale="60" orientation="landscape"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114"/>
  <sheetViews>
    <sheetView topLeftCell="B13" workbookViewId="0">
      <pane ySplit="3690" topLeftCell="A37" activePane="bottomLeft"/>
      <selection activeCell="D14" sqref="D14"/>
      <selection pane="bottomLeft" activeCell="D29" sqref="D29"/>
    </sheetView>
  </sheetViews>
  <sheetFormatPr baseColWidth="10" defaultColWidth="9.140625" defaultRowHeight="15"/>
  <cols>
    <col min="1" max="1" width="4.7109375" customWidth="1"/>
    <col min="2" max="2" width="34.42578125" customWidth="1"/>
    <col min="3" max="3" width="19.140625" customWidth="1"/>
    <col min="4" max="4" width="17.28515625" bestFit="1" customWidth="1"/>
    <col min="5" max="5" width="16.140625" bestFit="1" customWidth="1"/>
    <col min="6" max="6" width="15.5703125" customWidth="1"/>
    <col min="7" max="7" width="12.42578125" customWidth="1"/>
    <col min="8" max="15" width="13.28515625" customWidth="1"/>
    <col min="16" max="16" width="13.85546875" bestFit="1" customWidth="1"/>
    <col min="17" max="17" width="18.42578125" customWidth="1"/>
    <col min="18" max="18" width="14.42578125" bestFit="1" customWidth="1"/>
    <col min="19" max="19" width="27.42578125" customWidth="1"/>
    <col min="20" max="20" width="18.7109375" customWidth="1"/>
  </cols>
  <sheetData>
    <row r="1" spans="1:16">
      <c r="A1" s="522"/>
      <c r="B1" s="2054" t="str">
        <f>BALANZA!B1</f>
        <v>CORPORACION DEL ACUEDUCTO Y ALCANTARILLADO DE MOCA</v>
      </c>
      <c r="C1" s="2054"/>
      <c r="D1" s="2054"/>
      <c r="E1" s="2054"/>
      <c r="F1" s="179"/>
      <c r="O1" s="1895" t="str">
        <f>IPT!$F$5</f>
        <v>AUDITOR: JJSM</v>
      </c>
      <c r="P1" s="1895"/>
    </row>
    <row r="2" spans="1:16">
      <c r="A2" s="522"/>
      <c r="B2" s="2050" t="str">
        <f>BALANZA!B2</f>
        <v>Del Ejercicio terminado el  31 de marzo de 2026  y  2025</v>
      </c>
      <c r="C2" s="2050"/>
      <c r="D2" s="2050"/>
      <c r="E2" s="2050"/>
      <c r="F2" s="400">
        <f>+E29-2316089.45</f>
        <v>-2316089.4500000002</v>
      </c>
    </row>
    <row r="3" spans="1:16" ht="4.5" customHeight="1">
      <c r="A3" s="523"/>
      <c r="B3" s="179"/>
      <c r="C3" s="179"/>
      <c r="D3" s="179"/>
      <c r="E3" s="179"/>
      <c r="F3" s="179"/>
    </row>
    <row r="4" spans="1:16" hidden="1">
      <c r="A4" s="523"/>
      <c r="B4" s="492"/>
      <c r="C4" s="492"/>
      <c r="D4" s="492"/>
      <c r="E4" s="492"/>
      <c r="F4" s="492"/>
      <c r="I4" s="492" t="s">
        <v>1532</v>
      </c>
    </row>
    <row r="5" spans="1:16" hidden="1">
      <c r="A5" s="523"/>
      <c r="B5" s="492"/>
      <c r="C5" s="492"/>
      <c r="D5" s="492"/>
      <c r="E5" s="492"/>
      <c r="F5" s="492"/>
      <c r="I5" s="492" t="s">
        <v>1533</v>
      </c>
    </row>
    <row r="6" spans="1:16" hidden="1">
      <c r="A6" s="523"/>
      <c r="B6" s="492"/>
      <c r="C6" s="492"/>
      <c r="D6" s="492"/>
      <c r="E6" s="492"/>
      <c r="F6" s="492"/>
      <c r="I6" s="492" t="s">
        <v>1531</v>
      </c>
    </row>
    <row r="7" spans="1:16">
      <c r="A7" s="504"/>
      <c r="B7" s="397" t="s">
        <v>1547</v>
      </c>
      <c r="D7" s="397"/>
      <c r="E7" s="1750">
        <f>+C13-C29</f>
        <v>5291040</v>
      </c>
      <c r="F7" s="1750">
        <f>+C12-C28</f>
        <v>-5291040</v>
      </c>
      <c r="G7" s="400">
        <f>+F7-E7</f>
        <v>-10582080</v>
      </c>
      <c r="H7" s="400">
        <f>+G7-C46</f>
        <v>-10582080</v>
      </c>
    </row>
    <row r="8" spans="1:16" ht="6" customHeight="1">
      <c r="A8" s="492"/>
      <c r="B8" s="492"/>
      <c r="C8" s="492"/>
      <c r="D8" s="492"/>
      <c r="E8" s="492"/>
      <c r="F8" s="492"/>
      <c r="G8" s="492"/>
      <c r="H8" s="492"/>
    </row>
    <row r="9" spans="1:16">
      <c r="A9" s="492"/>
      <c r="B9" s="2021" t="s">
        <v>1475</v>
      </c>
      <c r="C9" s="2021"/>
      <c r="D9" s="2021"/>
      <c r="E9" s="492"/>
      <c r="F9" s="492"/>
    </row>
    <row r="10" spans="1:16" ht="19.5" customHeight="1">
      <c r="A10" s="492"/>
      <c r="B10" s="492"/>
      <c r="C10" s="492"/>
      <c r="D10" s="492"/>
      <c r="E10" s="539" t="s">
        <v>1355</v>
      </c>
      <c r="F10" s="536" t="str">
        <f>IPT!C11</f>
        <v>D</v>
      </c>
      <c r="G10" s="529" t="str">
        <f>IF(C46=0,"Verificado","Pendiente")</f>
        <v>Verificado</v>
      </c>
    </row>
    <row r="11" spans="1:16" ht="30">
      <c r="B11" s="1269" t="s">
        <v>1149</v>
      </c>
      <c r="C11" s="1270">
        <f>BALANZA!B4</f>
        <v>2026</v>
      </c>
      <c r="D11" s="1270">
        <f>BALANZA!C4</f>
        <v>2025</v>
      </c>
      <c r="E11" s="1271" t="s">
        <v>1213</v>
      </c>
      <c r="F11" s="1272" t="s">
        <v>1465</v>
      </c>
      <c r="G11" s="1272" t="s">
        <v>1476</v>
      </c>
    </row>
    <row r="12" spans="1:16" ht="24" customHeight="1">
      <c r="A12">
        <v>1</v>
      </c>
      <c r="B12" s="489" t="str">
        <f>+nota12!F21</f>
        <v>Maq. Y Equipos</v>
      </c>
      <c r="C12" s="518">
        <f>+nota12!F32</f>
        <v>12012953.859999996</v>
      </c>
      <c r="D12" s="518">
        <f>+nota12!F17</f>
        <v>17303993.859999996</v>
      </c>
      <c r="E12" s="650">
        <f t="shared" ref="E12:E17" si="0">+C12-D12</f>
        <v>-5291040</v>
      </c>
      <c r="F12" s="651">
        <f t="shared" ref="F12:F17" si="1">IFERROR(E12/D12,0)</f>
        <v>-0.30576987271307327</v>
      </c>
      <c r="G12" s="450" t="s">
        <v>1428</v>
      </c>
      <c r="H12" s="11">
        <f>+C28+I35-C12+I39</f>
        <v>5291040</v>
      </c>
      <c r="J12">
        <v>9965493.7399999984</v>
      </c>
      <c r="K12" s="11">
        <f>+J12-D12</f>
        <v>-7338500.1199999973</v>
      </c>
    </row>
    <row r="13" spans="1:16" ht="24" customHeight="1">
      <c r="A13">
        <v>2</v>
      </c>
      <c r="B13" s="489" t="str">
        <f>+nota12!I21</f>
        <v>Equipo Transp y otros</v>
      </c>
      <c r="C13" s="518">
        <f>+nota12!I32</f>
        <v>18334621.670000002</v>
      </c>
      <c r="D13" s="518">
        <f>+nota12!I17</f>
        <v>13043581.670000002</v>
      </c>
      <c r="E13" s="650">
        <f t="shared" si="0"/>
        <v>5291040</v>
      </c>
      <c r="F13" s="651">
        <f t="shared" si="1"/>
        <v>0.40564318404731536</v>
      </c>
      <c r="G13" s="450" t="s">
        <v>1428</v>
      </c>
      <c r="H13" s="11">
        <f>+C29+I41-C13</f>
        <v>-5291040</v>
      </c>
      <c r="J13">
        <v>14364832.749999996</v>
      </c>
      <c r="K13" s="11">
        <f t="shared" ref="K13:K18" si="2">+J13-D13</f>
        <v>1321251.0799999945</v>
      </c>
    </row>
    <row r="14" spans="1:16" ht="24" customHeight="1">
      <c r="A14">
        <v>3</v>
      </c>
      <c r="B14" s="489" t="str">
        <f>+nota12!G21</f>
        <v>Equipo de comunicación</v>
      </c>
      <c r="C14" s="518">
        <f>+nota12!G32</f>
        <v>424665.05999999994</v>
      </c>
      <c r="D14" s="518">
        <f>+nota12!G17</f>
        <v>424665.05999999994</v>
      </c>
      <c r="E14" s="650">
        <f t="shared" si="0"/>
        <v>0</v>
      </c>
      <c r="F14" s="651">
        <f t="shared" si="1"/>
        <v>0</v>
      </c>
      <c r="G14" s="450" t="s">
        <v>1428</v>
      </c>
      <c r="H14" s="11">
        <f>+C30+I38-C14</f>
        <v>0</v>
      </c>
      <c r="J14">
        <v>31598.42</v>
      </c>
      <c r="K14" s="11">
        <f t="shared" si="2"/>
        <v>-393066.63999999996</v>
      </c>
    </row>
    <row r="15" spans="1:16" ht="24" customHeight="1">
      <c r="A15">
        <v>4</v>
      </c>
      <c r="B15" s="489" t="str">
        <f>+nota12!H21</f>
        <v>Mob. Y equipo de ofic.</v>
      </c>
      <c r="C15" s="518">
        <f>+nota12!H32</f>
        <v>5897002.7400000039</v>
      </c>
      <c r="D15" s="518">
        <f>+nota12!H17</f>
        <v>5897002.7400000039</v>
      </c>
      <c r="E15" s="650">
        <f t="shared" si="0"/>
        <v>0</v>
      </c>
      <c r="F15" s="651">
        <f t="shared" si="1"/>
        <v>0</v>
      </c>
      <c r="G15" s="450" t="s">
        <v>1428</v>
      </c>
      <c r="H15" s="11">
        <f>+C31+I39+I37-C15</f>
        <v>0</v>
      </c>
      <c r="I15" s="11"/>
      <c r="J15">
        <v>4829377.33</v>
      </c>
      <c r="K15" s="11">
        <f t="shared" si="2"/>
        <v>-1067625.4100000039</v>
      </c>
    </row>
    <row r="16" spans="1:16" ht="24" customHeight="1">
      <c r="A16">
        <v>5</v>
      </c>
      <c r="B16" s="489" t="str">
        <f>+nota12!C21</f>
        <v>Terreno</v>
      </c>
      <c r="C16" s="518">
        <f>+nota12!C32</f>
        <v>1623675</v>
      </c>
      <c r="D16" s="518">
        <f>+nota12!C22</f>
        <v>1623675</v>
      </c>
      <c r="E16" s="650">
        <f t="shared" si="0"/>
        <v>0</v>
      </c>
      <c r="F16" s="651">
        <f t="shared" si="1"/>
        <v>0</v>
      </c>
      <c r="G16" s="450" t="s">
        <v>1428</v>
      </c>
      <c r="H16" s="11">
        <f>+C32-C16</f>
        <v>0</v>
      </c>
      <c r="J16">
        <v>1623675</v>
      </c>
      <c r="K16" s="11">
        <f t="shared" si="2"/>
        <v>0</v>
      </c>
    </row>
    <row r="17" spans="1:20" ht="24" customHeight="1">
      <c r="A17">
        <v>6</v>
      </c>
      <c r="B17" s="489" t="str">
        <f>+nota12!E21</f>
        <v>Edif. Y componente</v>
      </c>
      <c r="C17" s="518">
        <f>+nota12!E32</f>
        <v>745635831.91999984</v>
      </c>
      <c r="D17" s="518">
        <f>+nota12!E17</f>
        <v>740094520.74000001</v>
      </c>
      <c r="E17" s="650">
        <f t="shared" si="0"/>
        <v>5541311.1799998283</v>
      </c>
      <c r="F17" s="651">
        <f t="shared" si="1"/>
        <v>7.4873019928038713E-3</v>
      </c>
      <c r="G17" s="450" t="s">
        <v>1428</v>
      </c>
      <c r="H17" s="11">
        <f>+C33+I34-C17</f>
        <v>0</v>
      </c>
      <c r="J17">
        <v>818623426.82999992</v>
      </c>
      <c r="K17" s="11">
        <f t="shared" si="2"/>
        <v>78528906.089999914</v>
      </c>
    </row>
    <row r="18" spans="1:20" ht="24" customHeight="1">
      <c r="B18" s="205" t="s">
        <v>2794</v>
      </c>
      <c r="C18" s="199">
        <f>SUM(C12:C17)</f>
        <v>783928750.24999988</v>
      </c>
      <c r="D18" s="199">
        <f>SUM(D12:D17)</f>
        <v>778387439.07000005</v>
      </c>
      <c r="E18" s="199">
        <f>SUM(E12:E17)</f>
        <v>5541311.1799998283</v>
      </c>
      <c r="F18" s="653">
        <f>E18/D18</f>
        <v>7.1189627451086097E-3</v>
      </c>
      <c r="G18" s="500" t="s">
        <v>1419</v>
      </c>
      <c r="J18">
        <v>849438404.06999993</v>
      </c>
      <c r="K18" s="11">
        <f t="shared" si="2"/>
        <v>71050964.999999881</v>
      </c>
    </row>
    <row r="19" spans="1:20" ht="12.75" customHeight="1">
      <c r="B19" s="158"/>
      <c r="E19" s="206"/>
    </row>
    <row r="20" spans="1:20" s="5" customFormat="1" ht="27.75" customHeight="1">
      <c r="B20" s="2051" t="str">
        <f>+'1'!B21:C21</f>
        <v>Cambio porcentual con relación al 2025</v>
      </c>
      <c r="C20" s="2052"/>
      <c r="D20" s="618" t="str">
        <f>IF(E20&gt;=0,"Aumento","Disminución")</f>
        <v>Aumento</v>
      </c>
      <c r="E20" s="619">
        <f>+E18/D18</f>
        <v>7.1189627451086097E-3</v>
      </c>
      <c r="G20" s="581">
        <f>+C29+I41-C13</f>
        <v>-5291040</v>
      </c>
    </row>
    <row r="21" spans="1:20" ht="15.75">
      <c r="B21" s="158"/>
      <c r="E21" s="206"/>
    </row>
    <row r="22" spans="1:20">
      <c r="A22" s="492"/>
      <c r="B22" s="492"/>
      <c r="C22" s="400">
        <f>+C18-'ES F '!B27</f>
        <v>-69520.000000357628</v>
      </c>
      <c r="D22" s="400">
        <f>+D18-'Notas NF'!D326</f>
        <v>-334397966.63</v>
      </c>
      <c r="E22" s="492"/>
      <c r="F22" s="492"/>
      <c r="G22" s="400"/>
      <c r="H22" s="492"/>
    </row>
    <row r="23" spans="1:20">
      <c r="A23" s="492"/>
      <c r="B23" s="492"/>
      <c r="C23" s="400">
        <f>+C12-C28</f>
        <v>-5291040</v>
      </c>
      <c r="D23" s="492"/>
      <c r="E23" s="492"/>
      <c r="F23" s="492"/>
      <c r="G23" s="400"/>
      <c r="H23" s="492"/>
      <c r="O23" s="11"/>
    </row>
    <row r="24" spans="1:20">
      <c r="A24" s="492"/>
      <c r="B24" s="397" t="s">
        <v>1548</v>
      </c>
      <c r="C24" s="400">
        <f>+C29-C13</f>
        <v>-5291040</v>
      </c>
      <c r="D24" s="400">
        <f>+C29-C13</f>
        <v>-5291040</v>
      </c>
      <c r="E24" s="400">
        <f>+D24+'10'!D41</f>
        <v>-5291040</v>
      </c>
      <c r="F24" s="492"/>
      <c r="G24" s="400"/>
      <c r="H24" s="492"/>
    </row>
    <row r="25" spans="1:20">
      <c r="A25" s="492"/>
      <c r="B25" s="482" t="s">
        <v>1467</v>
      </c>
      <c r="C25" s="482"/>
      <c r="D25" s="482"/>
      <c r="E25" s="492"/>
      <c r="G25" s="400"/>
      <c r="H25" s="492"/>
      <c r="I25" s="492"/>
      <c r="J25" s="492"/>
      <c r="K25" s="492"/>
    </row>
    <row r="26" spans="1:20" ht="21" customHeight="1">
      <c r="A26" s="492"/>
      <c r="B26" s="462"/>
      <c r="C26" s="1879">
        <f>C11</f>
        <v>2026</v>
      </c>
      <c r="D26" s="1880"/>
      <c r="E26" s="1880"/>
      <c r="F26" s="1880"/>
      <c r="G26" s="1880"/>
      <c r="H26" s="1880"/>
      <c r="I26" s="1880"/>
      <c r="J26" s="1880"/>
      <c r="K26" s="1880"/>
      <c r="L26" s="1880"/>
      <c r="M26" s="1880"/>
      <c r="N26" s="1880"/>
      <c r="O26" s="1880"/>
      <c r="P26" s="502">
        <f>D11</f>
        <v>2025</v>
      </c>
      <c r="Q26" s="1236">
        <v>2020</v>
      </c>
    </row>
    <row r="27" spans="1:20">
      <c r="A27" s="492"/>
      <c r="B27" s="462" t="s">
        <v>1149</v>
      </c>
      <c r="C27" s="463" t="s">
        <v>1415</v>
      </c>
      <c r="D27" s="463" t="s">
        <v>1418</v>
      </c>
      <c r="E27" s="463" t="s">
        <v>1434</v>
      </c>
      <c r="F27" s="463" t="s">
        <v>1435</v>
      </c>
      <c r="G27" s="463" t="s">
        <v>1436</v>
      </c>
      <c r="H27" s="463" t="s">
        <v>1437</v>
      </c>
      <c r="I27" s="463" t="s">
        <v>1438</v>
      </c>
      <c r="J27" s="463" t="s">
        <v>1439</v>
      </c>
      <c r="K27" s="463" t="s">
        <v>1440</v>
      </c>
      <c r="L27" s="463" t="s">
        <v>1441</v>
      </c>
      <c r="M27" s="463" t="s">
        <v>1410</v>
      </c>
      <c r="N27" s="463" t="s">
        <v>1411</v>
      </c>
      <c r="O27" s="463" t="s">
        <v>1412</v>
      </c>
      <c r="P27" s="502" t="s">
        <v>1526</v>
      </c>
      <c r="Q27" s="463" t="s">
        <v>2801</v>
      </c>
    </row>
    <row r="28" spans="1:20" ht="24" customHeight="1">
      <c r="A28">
        <v>1</v>
      </c>
      <c r="B28" s="496" t="str">
        <f t="shared" ref="B28:B33" si="3">B12</f>
        <v>Maq. Y Equipos</v>
      </c>
      <c r="C28" s="213">
        <f t="shared" ref="C28:C41" si="4">SUM(D28:P28)-Q28</f>
        <v>17303993.859999996</v>
      </c>
      <c r="D28" s="512">
        <f>BALANZA!N52+BALANZA!N56+BALANZA!N53+BALANZA!N370+BALANZA!N59+BALANZA!N60+BALANZA!N62+BALANZA!N344+BALANZA!N358+BALANZA!N73</f>
        <v>0</v>
      </c>
      <c r="E28" s="512">
        <f>BALANZA!O52+BALANZA!O56+BALANZA!O53+BALANZA!O370+BALANZA!O59+BALANZA!O60+BALANZA!O62+BALANZA!O344+BALANZA!O358+BALANZA!O73</f>
        <v>0</v>
      </c>
      <c r="F28" s="512">
        <f>BALANZA!P52+BALANZA!P56+BALANZA!P53+BALANZA!P370+BALANZA!P59+BALANZA!P60+BALANZA!P62+BALANZA!P344+BALANZA!P358+BALANZA!P73</f>
        <v>0</v>
      </c>
      <c r="G28" s="512">
        <f>BALANZA!Q52+BALANZA!Q56+BALANZA!Q53+BALANZA!Q370+BALANZA!Q59+BALANZA!Q60+BALANZA!Q62+BALANZA!Q344+BALANZA!Q358+BALANZA!Q73</f>
        <v>0</v>
      </c>
      <c r="H28" s="512">
        <f>BALANZA!R52+BALANZA!R56+BALANZA!R53+BALANZA!R370+BALANZA!R59+BALANZA!R60+BALANZA!R62+BALANZA!R344+BALANZA!R358+BALANZA!R73</f>
        <v>0</v>
      </c>
      <c r="I28" s="512">
        <f>BALANZA!S52+BALANZA!S56+BALANZA!S53+BALANZA!S370+BALANZA!S59+BALANZA!S60+BALANZA!S62+BALANZA!S344+BALANZA!S358+BALANZA!S73</f>
        <v>0</v>
      </c>
      <c r="J28" s="512">
        <f>BALANZA!T52+BALANZA!T56+BALANZA!T53+BALANZA!T370+BALANZA!T59+BALANZA!T60+BALANZA!T62+BALANZA!T344+BALANZA!T358+BALANZA!T73</f>
        <v>0</v>
      </c>
      <c r="K28" s="512">
        <f>BALANZA!U52+BALANZA!U56+BALANZA!U53+BALANZA!U370+BALANZA!U59+BALANZA!U60+BALANZA!U62+BALANZA!U344+BALANZA!U358+BALANZA!U73</f>
        <v>0</v>
      </c>
      <c r="L28" s="512">
        <f>BALANZA!V52+BALANZA!V56+BALANZA!V53+BALANZA!V370+BALANZA!V59+BALANZA!V60+BALANZA!V62+BALANZA!V344+BALANZA!V358+BALANZA!V73</f>
        <v>0</v>
      </c>
      <c r="M28" s="512">
        <f>BALANZA!W52+BALANZA!W56+BALANZA!W53+BALANZA!W370+BALANZA!W59+BALANZA!W60+BALANZA!W62+BALANZA!W344+BALANZA!W358+BALANZA!W73</f>
        <v>0</v>
      </c>
      <c r="N28" s="512">
        <f>BALANZA!X52+BALANZA!X56+BALANZA!X53+BALANZA!X370+BALANZA!X59+BALANZA!X60+BALANZA!X62+BALANZA!X344+BALANZA!X358+BALANZA!X73</f>
        <v>0</v>
      </c>
      <c r="O28" s="512">
        <f>BALANZA!Y52+BALANZA!Y56+BALANZA!Y53+BALANZA!Y370+BALANZA!Y59+BALANZA!Y60+BALANZA!Y62+BALANZA!Y344+BALANZA!Y358+BALANZA!Y73</f>
        <v>0</v>
      </c>
      <c r="P28" s="517">
        <f t="shared" ref="P28:P33" si="5">D12</f>
        <v>17303993.859999996</v>
      </c>
      <c r="Q28" s="1237"/>
      <c r="S28" s="11" t="str">
        <f t="shared" ref="S28:S33" si="6">+B28</f>
        <v>Maq. Y Equipos</v>
      </c>
      <c r="T28" s="11">
        <f t="shared" ref="T28:T33" si="7">SUM(D28:O28)</f>
        <v>0</v>
      </c>
    </row>
    <row r="29" spans="1:20" ht="24" customHeight="1">
      <c r="A29">
        <v>2</v>
      </c>
      <c r="B29" s="496" t="str">
        <f t="shared" si="3"/>
        <v>Equipo Transp y otros</v>
      </c>
      <c r="C29" s="213">
        <f t="shared" si="4"/>
        <v>13043581.670000002</v>
      </c>
      <c r="D29" s="512">
        <f>BALANZA!N54+BALANZA!N72+BALANZA!N61+BALANZA!N333</f>
        <v>0</v>
      </c>
      <c r="E29" s="512">
        <f>BALANZA!O54+BALANZA!O72+BALANZA!O61+BALANZA!O333</f>
        <v>0</v>
      </c>
      <c r="F29" s="512">
        <f>BALANZA!P54+BALANZA!P72+BALANZA!P61+BALANZA!P333</f>
        <v>0</v>
      </c>
      <c r="G29" s="512">
        <f>BALANZA!Q54+BALANZA!Q72+BALANZA!Q61+BALANZA!Q333</f>
        <v>0</v>
      </c>
      <c r="H29" s="512">
        <f>BALANZA!R54+BALANZA!R72+BALANZA!R61+BALANZA!R333</f>
        <v>0</v>
      </c>
      <c r="I29" s="512">
        <f>BALANZA!S54+BALANZA!S72+BALANZA!S61+BALANZA!S333</f>
        <v>0</v>
      </c>
      <c r="J29" s="512">
        <f>BALANZA!T54+BALANZA!T72+BALANZA!T61+BALANZA!T333</f>
        <v>0</v>
      </c>
      <c r="K29" s="512">
        <f>BALANZA!U54+BALANZA!U72+BALANZA!U61+BALANZA!U333</f>
        <v>0</v>
      </c>
      <c r="L29" s="512">
        <f>BALANZA!V54+BALANZA!V72+BALANZA!V61+BALANZA!V333</f>
        <v>0</v>
      </c>
      <c r="M29" s="512">
        <f>BALANZA!W54+BALANZA!W72+BALANZA!W61+BALANZA!W333</f>
        <v>0</v>
      </c>
      <c r="N29" s="512">
        <f>BALANZA!X54+BALANZA!X72+BALANZA!X61+BALANZA!X333</f>
        <v>0</v>
      </c>
      <c r="O29" s="512">
        <f>BALANZA!Y54+BALANZA!Y72+BALANZA!Y61+BALANZA!Y333</f>
        <v>0</v>
      </c>
      <c r="P29" s="517">
        <f t="shared" si="5"/>
        <v>13043581.670000002</v>
      </c>
      <c r="Q29" s="1237"/>
      <c r="R29" s="11"/>
      <c r="S29" s="11" t="str">
        <f t="shared" si="6"/>
        <v>Equipo Transp y otros</v>
      </c>
      <c r="T29" s="11">
        <f t="shared" si="7"/>
        <v>0</v>
      </c>
    </row>
    <row r="30" spans="1:20" ht="24" customHeight="1">
      <c r="A30">
        <v>3</v>
      </c>
      <c r="B30" s="496" t="str">
        <f t="shared" si="3"/>
        <v>Equipo de comunicación</v>
      </c>
      <c r="C30" s="213">
        <f t="shared" si="4"/>
        <v>424665.05999999994</v>
      </c>
      <c r="D30" s="512">
        <f>BALANZA!N57+BALANZA!N51</f>
        <v>0</v>
      </c>
      <c r="E30" s="512">
        <f>BALANZA!O57+BALANZA!O51</f>
        <v>0</v>
      </c>
      <c r="F30" s="512">
        <f>BALANZA!P57+BALANZA!P51</f>
        <v>0</v>
      </c>
      <c r="G30" s="512">
        <f>BALANZA!Q57+BALANZA!Q51</f>
        <v>0</v>
      </c>
      <c r="H30" s="512">
        <f>BALANZA!R57+BALANZA!R51</f>
        <v>0</v>
      </c>
      <c r="I30" s="512">
        <f>BALANZA!S57+BALANZA!S51</f>
        <v>0</v>
      </c>
      <c r="J30" s="512">
        <f>BALANZA!T57+BALANZA!T51</f>
        <v>0</v>
      </c>
      <c r="K30" s="512">
        <f>BALANZA!U57+BALANZA!U51</f>
        <v>0</v>
      </c>
      <c r="L30" s="512">
        <f>BALANZA!V57+BALANZA!V51</f>
        <v>0</v>
      </c>
      <c r="M30" s="512">
        <f>BALANZA!W57+BALANZA!W51</f>
        <v>0</v>
      </c>
      <c r="N30" s="512">
        <f>BALANZA!X57+BALANZA!X51</f>
        <v>0</v>
      </c>
      <c r="O30" s="512">
        <f>BALANZA!Y57+BALANZA!Y51</f>
        <v>0</v>
      </c>
      <c r="P30" s="517">
        <f t="shared" si="5"/>
        <v>424665.05999999994</v>
      </c>
      <c r="Q30" s="1237"/>
      <c r="S30" s="11" t="str">
        <f t="shared" si="6"/>
        <v>Equipo de comunicación</v>
      </c>
      <c r="T30" s="11">
        <f t="shared" si="7"/>
        <v>0</v>
      </c>
    </row>
    <row r="31" spans="1:20" ht="24" customHeight="1">
      <c r="A31">
        <v>4</v>
      </c>
      <c r="B31" s="496" t="str">
        <f t="shared" si="3"/>
        <v>Mob. Y equipo de ofic.</v>
      </c>
      <c r="C31" s="213">
        <f t="shared" si="4"/>
        <v>5897002.7400000039</v>
      </c>
      <c r="D31" s="512">
        <f>BALANZA!N58+BALANZA!N55</f>
        <v>0</v>
      </c>
      <c r="E31" s="512">
        <f>BALANZA!O58+BALANZA!O55</f>
        <v>0</v>
      </c>
      <c r="F31" s="512">
        <f>BALANZA!P58+BALANZA!P55</f>
        <v>0</v>
      </c>
      <c r="G31" s="512">
        <f>BALANZA!Q58+BALANZA!Q55</f>
        <v>0</v>
      </c>
      <c r="H31" s="512">
        <f>BALANZA!R58+BALANZA!R55</f>
        <v>0</v>
      </c>
      <c r="I31" s="512">
        <f>BALANZA!S58+BALANZA!S55</f>
        <v>0</v>
      </c>
      <c r="J31" s="512">
        <f>BALANZA!T58+BALANZA!T55</f>
        <v>0</v>
      </c>
      <c r="K31" s="512">
        <f>BALANZA!U58+BALANZA!U55</f>
        <v>0</v>
      </c>
      <c r="L31" s="512">
        <f>BALANZA!V58+BALANZA!V55</f>
        <v>0</v>
      </c>
      <c r="M31" s="512">
        <f>BALANZA!W58+BALANZA!W55</f>
        <v>0</v>
      </c>
      <c r="N31" s="512">
        <f>BALANZA!X58+BALANZA!X55</f>
        <v>0</v>
      </c>
      <c r="O31" s="512">
        <f>BALANZA!Y58+BALANZA!Y55</f>
        <v>0</v>
      </c>
      <c r="P31" s="517">
        <f t="shared" si="5"/>
        <v>5897002.7400000039</v>
      </c>
      <c r="Q31" s="1237"/>
      <c r="R31" s="11">
        <f>SUM(D28:O28)</f>
        <v>0</v>
      </c>
      <c r="S31" s="11" t="str">
        <f t="shared" si="6"/>
        <v>Mob. Y equipo de ofic.</v>
      </c>
      <c r="T31" s="11">
        <f t="shared" si="7"/>
        <v>0</v>
      </c>
    </row>
    <row r="32" spans="1:20" ht="24" customHeight="1">
      <c r="A32">
        <v>5</v>
      </c>
      <c r="B32" s="496" t="str">
        <f t="shared" si="3"/>
        <v>Terreno</v>
      </c>
      <c r="C32" s="213">
        <f t="shared" si="4"/>
        <v>1623675</v>
      </c>
      <c r="D32" s="512">
        <f>BALANZA!N64</f>
        <v>0</v>
      </c>
      <c r="E32" s="512">
        <f>BALANZA!O64</f>
        <v>0</v>
      </c>
      <c r="F32" s="512">
        <f>BALANZA!P64</f>
        <v>0</v>
      </c>
      <c r="G32" s="512">
        <f>BALANZA!Q64</f>
        <v>0</v>
      </c>
      <c r="H32" s="512">
        <f>BALANZA!R64</f>
        <v>0</v>
      </c>
      <c r="I32" s="512">
        <f>BALANZA!S64</f>
        <v>0</v>
      </c>
      <c r="J32" s="512">
        <f>BALANZA!T64</f>
        <v>0</v>
      </c>
      <c r="K32" s="512">
        <f>BALANZA!U64</f>
        <v>0</v>
      </c>
      <c r="L32" s="512">
        <f>BALANZA!V64</f>
        <v>0</v>
      </c>
      <c r="M32" s="512">
        <f>BALANZA!W64</f>
        <v>0</v>
      </c>
      <c r="N32" s="512">
        <f>BALANZA!X64</f>
        <v>0</v>
      </c>
      <c r="O32" s="512">
        <f>BALANZA!Y64</f>
        <v>0</v>
      </c>
      <c r="P32" s="517">
        <f t="shared" si="5"/>
        <v>1623675</v>
      </c>
      <c r="Q32" s="1159"/>
      <c r="R32" s="11">
        <f>SUM(D31:O31)</f>
        <v>0</v>
      </c>
      <c r="S32" s="11" t="str">
        <f t="shared" si="6"/>
        <v>Terreno</v>
      </c>
      <c r="T32" s="11">
        <f t="shared" si="7"/>
        <v>0</v>
      </c>
    </row>
    <row r="33" spans="1:20" ht="24" customHeight="1">
      <c r="A33">
        <v>6</v>
      </c>
      <c r="B33" s="496" t="str">
        <f t="shared" si="3"/>
        <v>Edif. Y componente</v>
      </c>
      <c r="C33" s="213">
        <f t="shared" si="4"/>
        <v>745635831.91999996</v>
      </c>
      <c r="D33" s="512">
        <f>BALANZA!N68+BALANZA!N368+BALANZA!N67</f>
        <v>0</v>
      </c>
      <c r="E33" s="512">
        <f>BALANZA!O68+BALANZA!O368+BALANZA!O67</f>
        <v>0</v>
      </c>
      <c r="F33" s="512">
        <f>BALANZA!P68+BALANZA!P368+BALANZA!P67</f>
        <v>5541311.1799999997</v>
      </c>
      <c r="G33" s="512">
        <f>BALANZA!Q68+BALANZA!Q368+BALANZA!Q67</f>
        <v>0</v>
      </c>
      <c r="H33" s="512">
        <f>BALANZA!R68+BALANZA!R368+BALANZA!R67</f>
        <v>0</v>
      </c>
      <c r="I33" s="512">
        <f>BALANZA!S68+BALANZA!S368+BALANZA!S67</f>
        <v>0</v>
      </c>
      <c r="J33" s="512">
        <f>BALANZA!T68+BALANZA!T368+BALANZA!T67</f>
        <v>0</v>
      </c>
      <c r="K33" s="512">
        <f>BALANZA!U68+BALANZA!U368+BALANZA!U67</f>
        <v>0</v>
      </c>
      <c r="L33" s="512">
        <f>BALANZA!V68+BALANZA!V368+BALANZA!V67</f>
        <v>0</v>
      </c>
      <c r="M33" s="512">
        <f>BALANZA!W68+BALANZA!W368+BALANZA!W67</f>
        <v>0</v>
      </c>
      <c r="N33" s="512">
        <f>BALANZA!X68+BALANZA!X368+BALANZA!X67</f>
        <v>0</v>
      </c>
      <c r="O33" s="512">
        <f>BALANZA!Y68+BALANZA!Y368+BALANZA!Y67</f>
        <v>0</v>
      </c>
      <c r="P33" s="517">
        <f t="shared" si="5"/>
        <v>740094520.74000001</v>
      </c>
      <c r="Q33" s="1237"/>
      <c r="R33" s="11">
        <f>SUM(D33:O33)</f>
        <v>5541311.1799999997</v>
      </c>
      <c r="S33" s="11" t="str">
        <f t="shared" si="6"/>
        <v>Edif. Y componente</v>
      </c>
      <c r="T33" s="11">
        <f t="shared" si="7"/>
        <v>5541311.1799999997</v>
      </c>
    </row>
    <row r="34" spans="1:20" ht="24" customHeight="1">
      <c r="B34" s="496" t="s">
        <v>2810</v>
      </c>
      <c r="C34" s="213">
        <f t="shared" si="4"/>
        <v>-309808868.79000002</v>
      </c>
      <c r="D34" s="512">
        <f>+BALANZA!N360</f>
        <v>0</v>
      </c>
      <c r="E34" s="512">
        <f>+BALANZA!O360</f>
        <v>0</v>
      </c>
      <c r="F34" s="512">
        <f>+BALANZA!P360</f>
        <v>0</v>
      </c>
      <c r="G34" s="512">
        <f>+BALANZA!Q360</f>
        <v>0</v>
      </c>
      <c r="H34" s="512">
        <f>+BALANZA!R360</f>
        <v>0</v>
      </c>
      <c r="I34" s="512">
        <f>+BALANZA!S360</f>
        <v>0</v>
      </c>
      <c r="J34" s="512">
        <f>+BALANZA!T360</f>
        <v>0</v>
      </c>
      <c r="K34" s="512">
        <f>+BALANZA!U360</f>
        <v>0</v>
      </c>
      <c r="L34" s="512">
        <f>+BALANZA!V360</f>
        <v>0</v>
      </c>
      <c r="M34" s="512">
        <f>+BALANZA!W360</f>
        <v>0</v>
      </c>
      <c r="N34" s="512">
        <f>+BALANZA!X360</f>
        <v>0</v>
      </c>
      <c r="O34" s="512">
        <f>+BALANZA!Y360</f>
        <v>0</v>
      </c>
      <c r="P34" s="517">
        <f>-'BALANZA G'!D81</f>
        <v>-309808868.79000002</v>
      </c>
      <c r="Q34" s="1237"/>
      <c r="R34" s="11"/>
    </row>
    <row r="35" spans="1:20" ht="24" customHeight="1">
      <c r="B35" s="496" t="s">
        <v>2811</v>
      </c>
      <c r="C35" s="213">
        <f t="shared" si="4"/>
        <v>-24637466.140000001</v>
      </c>
      <c r="D35" s="512">
        <f>+BALANZA!N361</f>
        <v>0</v>
      </c>
      <c r="E35" s="512">
        <f>+BALANZA!O361</f>
        <v>0</v>
      </c>
      <c r="F35" s="512">
        <f>+BALANZA!P361</f>
        <v>0</v>
      </c>
      <c r="G35" s="512">
        <f>+BALANZA!Q361</f>
        <v>0</v>
      </c>
      <c r="H35" s="512">
        <f>+BALANZA!R361</f>
        <v>0</v>
      </c>
      <c r="I35" s="512">
        <f>+BALANZA!S361</f>
        <v>0</v>
      </c>
      <c r="J35" s="512">
        <f>+BALANZA!T361</f>
        <v>0</v>
      </c>
      <c r="K35" s="512">
        <f>+BALANZA!U361</f>
        <v>0</v>
      </c>
      <c r="L35" s="512">
        <f>+BALANZA!V361</f>
        <v>0</v>
      </c>
      <c r="M35" s="512">
        <f>+BALANZA!W361</f>
        <v>0</v>
      </c>
      <c r="N35" s="512">
        <f>+BALANZA!X361</f>
        <v>0</v>
      </c>
      <c r="O35" s="512">
        <f>+BALANZA!Y361</f>
        <v>0</v>
      </c>
      <c r="P35" s="517">
        <f>-'BALANZA G'!D82</f>
        <v>-24637466.140000001</v>
      </c>
      <c r="Q35" s="1237"/>
      <c r="R35" s="11"/>
    </row>
    <row r="36" spans="1:20" ht="24" customHeight="1">
      <c r="B36" s="496" t="s">
        <v>2812</v>
      </c>
      <c r="C36" s="213">
        <f t="shared" si="4"/>
        <v>-3653190.9</v>
      </c>
      <c r="D36" s="512">
        <f>+BALANZA!N362</f>
        <v>0</v>
      </c>
      <c r="E36" s="512">
        <f>+BALANZA!O362</f>
        <v>0</v>
      </c>
      <c r="F36" s="512">
        <f>+BALANZA!P362</f>
        <v>0</v>
      </c>
      <c r="G36" s="512">
        <f>+BALANZA!Q362</f>
        <v>0</v>
      </c>
      <c r="H36" s="512">
        <f>+BALANZA!R362</f>
        <v>0</v>
      </c>
      <c r="I36" s="512">
        <f>+BALANZA!S362</f>
        <v>0</v>
      </c>
      <c r="J36" s="512">
        <f>+BALANZA!T362</f>
        <v>0</v>
      </c>
      <c r="K36" s="512">
        <f>+BALANZA!U362</f>
        <v>0</v>
      </c>
      <c r="L36" s="512">
        <f>+BALANZA!V362</f>
        <v>0</v>
      </c>
      <c r="M36" s="512">
        <f>+BALANZA!W362</f>
        <v>0</v>
      </c>
      <c r="N36" s="512">
        <f>+BALANZA!X362</f>
        <v>0</v>
      </c>
      <c r="O36" s="512">
        <f>+BALANZA!Y362</f>
        <v>0</v>
      </c>
      <c r="P36" s="517">
        <f>-'BALANZA G'!D83</f>
        <v>-3653190.9</v>
      </c>
      <c r="Q36" s="1237"/>
      <c r="R36" s="11"/>
    </row>
    <row r="37" spans="1:20" ht="24" customHeight="1">
      <c r="B37" s="496" t="s">
        <v>2813</v>
      </c>
      <c r="C37" s="213">
        <f t="shared" si="4"/>
        <v>-203457.37</v>
      </c>
      <c r="D37" s="512">
        <f>+BALANZA!N363</f>
        <v>0</v>
      </c>
      <c r="E37" s="512">
        <f>+BALANZA!O363</f>
        <v>0</v>
      </c>
      <c r="F37" s="512">
        <f>+BALANZA!P363</f>
        <v>0</v>
      </c>
      <c r="G37" s="512">
        <f>+BALANZA!Q363</f>
        <v>0</v>
      </c>
      <c r="H37" s="512">
        <f>+BALANZA!R363</f>
        <v>0</v>
      </c>
      <c r="I37" s="512">
        <f>+BALANZA!S363</f>
        <v>0</v>
      </c>
      <c r="J37" s="512">
        <f>+BALANZA!T363</f>
        <v>0</v>
      </c>
      <c r="K37" s="512">
        <f>+BALANZA!U363</f>
        <v>0</v>
      </c>
      <c r="L37" s="512">
        <f>+BALANZA!V363</f>
        <v>0</v>
      </c>
      <c r="M37" s="512">
        <f>+BALANZA!W363</f>
        <v>0</v>
      </c>
      <c r="N37" s="512">
        <f>+BALANZA!X363</f>
        <v>0</v>
      </c>
      <c r="O37" s="512">
        <f>+BALANZA!Y363</f>
        <v>0</v>
      </c>
      <c r="P37" s="517">
        <f>-'BALANZA G'!D84</f>
        <v>-203457.37</v>
      </c>
      <c r="Q37" s="1237"/>
      <c r="R37" s="11"/>
    </row>
    <row r="38" spans="1:20" ht="24" customHeight="1">
      <c r="B38" s="496" t="s">
        <v>2814</v>
      </c>
      <c r="C38" s="213">
        <f t="shared" si="4"/>
        <v>-164778.88</v>
      </c>
      <c r="D38" s="512">
        <f>+BALANZA!N364</f>
        <v>0</v>
      </c>
      <c r="E38" s="512">
        <f>+BALANZA!O364</f>
        <v>0</v>
      </c>
      <c r="F38" s="512">
        <f>+BALANZA!P364</f>
        <v>0</v>
      </c>
      <c r="G38" s="512">
        <f>+BALANZA!Q364</f>
        <v>0</v>
      </c>
      <c r="H38" s="512">
        <f>+BALANZA!R364</f>
        <v>0</v>
      </c>
      <c r="I38" s="512">
        <f>+BALANZA!S364</f>
        <v>0</v>
      </c>
      <c r="J38" s="512">
        <f>+BALANZA!T364</f>
        <v>0</v>
      </c>
      <c r="K38" s="512">
        <f>+BALANZA!U364</f>
        <v>0</v>
      </c>
      <c r="L38" s="512">
        <f>+BALANZA!V364</f>
        <v>0</v>
      </c>
      <c r="M38" s="512">
        <f>+BALANZA!W364</f>
        <v>0</v>
      </c>
      <c r="N38" s="512">
        <f>+BALANZA!X364</f>
        <v>0</v>
      </c>
      <c r="O38" s="512">
        <f>+BALANZA!Y364</f>
        <v>0</v>
      </c>
      <c r="P38" s="517">
        <f>-'BALANZA G'!D85</f>
        <v>-164778.88</v>
      </c>
      <c r="Q38" s="1237"/>
      <c r="R38" s="11"/>
    </row>
    <row r="39" spans="1:20" ht="24" customHeight="1">
      <c r="B39" s="496" t="s">
        <v>2815</v>
      </c>
      <c r="C39" s="213">
        <f t="shared" si="4"/>
        <v>-10426457.289999999</v>
      </c>
      <c r="D39" s="512">
        <f>+BALANZA!N365</f>
        <v>0</v>
      </c>
      <c r="E39" s="512">
        <f>+BALANZA!O365</f>
        <v>0</v>
      </c>
      <c r="F39" s="512">
        <f>+BALANZA!P365</f>
        <v>0</v>
      </c>
      <c r="G39" s="512">
        <f>+BALANZA!Q365</f>
        <v>0</v>
      </c>
      <c r="H39" s="512">
        <f>+BALANZA!R365</f>
        <v>0</v>
      </c>
      <c r="I39" s="512">
        <f>+BALANZA!S365</f>
        <v>0</v>
      </c>
      <c r="J39" s="512">
        <f>+BALANZA!T365</f>
        <v>0</v>
      </c>
      <c r="K39" s="512">
        <f>+BALANZA!U365</f>
        <v>0</v>
      </c>
      <c r="L39" s="512">
        <f>+BALANZA!V365</f>
        <v>0</v>
      </c>
      <c r="M39" s="512">
        <f>+BALANZA!W365</f>
        <v>0</v>
      </c>
      <c r="N39" s="512">
        <f>+BALANZA!X365</f>
        <v>0</v>
      </c>
      <c r="O39" s="512">
        <f>+BALANZA!Y365</f>
        <v>0</v>
      </c>
      <c r="P39" s="517">
        <f>-'BALANZA G'!D86</f>
        <v>-10426457.289999999</v>
      </c>
      <c r="Q39" s="1237"/>
      <c r="R39" s="11"/>
    </row>
    <row r="40" spans="1:20" ht="24" customHeight="1">
      <c r="B40" s="496" t="s">
        <v>2816</v>
      </c>
      <c r="C40" s="213">
        <f t="shared" si="4"/>
        <v>-2081024.1</v>
      </c>
      <c r="D40" s="512">
        <f>+BALANZA!N366</f>
        <v>0</v>
      </c>
      <c r="E40" s="512">
        <f>+BALANZA!O366</f>
        <v>0</v>
      </c>
      <c r="F40" s="512">
        <f>+BALANZA!P366</f>
        <v>0</v>
      </c>
      <c r="G40" s="512">
        <f>+BALANZA!Q366</f>
        <v>0</v>
      </c>
      <c r="H40" s="512">
        <f>+BALANZA!R366</f>
        <v>0</v>
      </c>
      <c r="I40" s="512">
        <f>+BALANZA!S366</f>
        <v>0</v>
      </c>
      <c r="J40" s="512">
        <f>+BALANZA!T366</f>
        <v>0</v>
      </c>
      <c r="K40" s="512">
        <f>+BALANZA!U366</f>
        <v>0</v>
      </c>
      <c r="L40" s="512">
        <f>+BALANZA!V366</f>
        <v>0</v>
      </c>
      <c r="M40" s="512">
        <f>+BALANZA!W366</f>
        <v>0</v>
      </c>
      <c r="N40" s="512">
        <f>+BALANZA!X366</f>
        <v>0</v>
      </c>
      <c r="O40" s="512">
        <f>+BALANZA!Y366</f>
        <v>0</v>
      </c>
      <c r="P40" s="517">
        <f>-'BALANZA G'!D87</f>
        <v>-2081024.1</v>
      </c>
      <c r="Q40" s="1237"/>
      <c r="R40" s="11"/>
    </row>
    <row r="41" spans="1:20" ht="24" customHeight="1">
      <c r="B41" s="496" t="s">
        <v>2817</v>
      </c>
      <c r="C41" s="213">
        <f t="shared" si="4"/>
        <v>-43479886.310000002</v>
      </c>
      <c r="D41" s="512">
        <f>+BALANZA!N367</f>
        <v>0</v>
      </c>
      <c r="E41" s="512">
        <f>+BALANZA!O367</f>
        <v>0</v>
      </c>
      <c r="F41" s="512">
        <f>+BALANZA!P367</f>
        <v>0</v>
      </c>
      <c r="G41" s="512">
        <f>+BALANZA!Q367</f>
        <v>0</v>
      </c>
      <c r="H41" s="512">
        <f>+BALANZA!R367</f>
        <v>0</v>
      </c>
      <c r="I41" s="512">
        <f>+BALANZA!S367</f>
        <v>0</v>
      </c>
      <c r="J41" s="512">
        <f>+BALANZA!T367</f>
        <v>0</v>
      </c>
      <c r="K41" s="512">
        <f>+BALANZA!U367</f>
        <v>0</v>
      </c>
      <c r="L41" s="512">
        <f>+BALANZA!V367</f>
        <v>0</v>
      </c>
      <c r="M41" s="512">
        <f>+BALANZA!W367</f>
        <v>0</v>
      </c>
      <c r="N41" s="512">
        <f>+BALANZA!X367</f>
        <v>0</v>
      </c>
      <c r="O41" s="512">
        <f>+BALANZA!Y367</f>
        <v>0</v>
      </c>
      <c r="P41" s="517">
        <f>-'BALANZA G'!D88</f>
        <v>-43479886.310000002</v>
      </c>
      <c r="Q41" s="1237"/>
      <c r="R41" s="11"/>
    </row>
    <row r="42" spans="1:20" ht="24" customHeight="1">
      <c r="B42" s="496" t="s">
        <v>3955</v>
      </c>
      <c r="C42" s="213">
        <f>SUM(D34:O41)</f>
        <v>0</v>
      </c>
      <c r="D42" s="512"/>
      <c r="E42" s="512"/>
      <c r="F42" s="512"/>
      <c r="G42" s="512"/>
      <c r="H42" s="512"/>
      <c r="I42" s="512"/>
      <c r="J42" s="512"/>
      <c r="K42" s="512"/>
      <c r="L42" s="512"/>
      <c r="M42" s="512"/>
      <c r="N42" s="512"/>
      <c r="O42" s="512"/>
      <c r="P42" s="517">
        <f>+'BALANZA G'!D89</f>
        <v>0</v>
      </c>
      <c r="Q42" s="1237"/>
      <c r="R42" s="11"/>
    </row>
    <row r="43" spans="1:20" ht="24" customHeight="1">
      <c r="B43" s="496" t="str">
        <f>+'BALANZA G'!A90</f>
        <v xml:space="preserve"> DEPRECIACIóN DE BIENES DE USO </v>
      </c>
      <c r="C43" s="213">
        <f>SUM(C34:C41)</f>
        <v>-394455129.78000003</v>
      </c>
      <c r="D43" s="512">
        <f>+BALANZA!N75</f>
        <v>0</v>
      </c>
      <c r="E43" s="512">
        <f>+BALANZA!O75</f>
        <v>0</v>
      </c>
      <c r="F43" s="512">
        <f>+BALANZA!P75</f>
        <v>0</v>
      </c>
      <c r="G43" s="512">
        <f>+BALANZA!Q75</f>
        <v>0</v>
      </c>
      <c r="H43" s="512">
        <f>+BALANZA!R75</f>
        <v>0</v>
      </c>
      <c r="I43" s="512">
        <f>+BALANZA!S75</f>
        <v>0</v>
      </c>
      <c r="J43" s="512">
        <f>+BALANZA!T75</f>
        <v>0</v>
      </c>
      <c r="K43" s="512">
        <f>+BALANZA!U75</f>
        <v>0</v>
      </c>
      <c r="L43" s="512">
        <f>+BALANZA!V75</f>
        <v>0</v>
      </c>
      <c r="M43" s="512">
        <f>+BALANZA!W75</f>
        <v>0</v>
      </c>
      <c r="N43" s="512">
        <f>+BALANZA!X75</f>
        <v>0</v>
      </c>
      <c r="O43" s="512">
        <f>+BALANZA!Y75</f>
        <v>0</v>
      </c>
      <c r="P43" s="517">
        <f>+'BALANZA G'!D90</f>
        <v>0</v>
      </c>
      <c r="Q43" s="1159"/>
      <c r="R43" s="11">
        <f>SUM(D43:O43)</f>
        <v>0</v>
      </c>
    </row>
    <row r="44" spans="1:20" ht="22.5" customHeight="1">
      <c r="A44" s="492"/>
      <c r="B44" s="192" t="s">
        <v>2795</v>
      </c>
      <c r="C44" s="214">
        <f>SUM(C28:C33)+C42</f>
        <v>783928750.25</v>
      </c>
      <c r="D44" s="633">
        <f>SUM(D28:D43)</f>
        <v>0</v>
      </c>
      <c r="E44" s="633">
        <f t="shared" ref="E44:Q44" si="8">SUM(E28:E43)</f>
        <v>0</v>
      </c>
      <c r="F44" s="633">
        <f t="shared" si="8"/>
        <v>5541311.1799999997</v>
      </c>
      <c r="G44" s="633">
        <f t="shared" si="8"/>
        <v>0</v>
      </c>
      <c r="H44" s="633">
        <f t="shared" si="8"/>
        <v>0</v>
      </c>
      <c r="I44" s="633">
        <f t="shared" si="8"/>
        <v>0</v>
      </c>
      <c r="J44" s="633">
        <f t="shared" si="8"/>
        <v>0</v>
      </c>
      <c r="K44" s="633">
        <f t="shared" si="8"/>
        <v>0</v>
      </c>
      <c r="L44" s="633">
        <f t="shared" si="8"/>
        <v>0</v>
      </c>
      <c r="M44" s="633">
        <f t="shared" si="8"/>
        <v>0</v>
      </c>
      <c r="N44" s="633">
        <f t="shared" si="8"/>
        <v>0</v>
      </c>
      <c r="O44" s="633">
        <f t="shared" si="8"/>
        <v>0</v>
      </c>
      <c r="P44" s="633">
        <f t="shared" si="8"/>
        <v>383932309.29000002</v>
      </c>
      <c r="Q44" s="633">
        <f t="shared" si="8"/>
        <v>0</v>
      </c>
    </row>
    <row r="45" spans="1:20">
      <c r="A45" s="492"/>
      <c r="B45" s="483"/>
      <c r="C45" s="484"/>
      <c r="D45" s="484"/>
      <c r="E45" s="492"/>
      <c r="F45" s="492"/>
      <c r="G45" s="492"/>
    </row>
    <row r="46" spans="1:20">
      <c r="A46" s="492"/>
      <c r="B46" s="485" t="s">
        <v>1406</v>
      </c>
      <c r="C46" s="486">
        <f>C44-C18</f>
        <v>0</v>
      </c>
      <c r="F46" s="11">
        <f>+F33/20/12*10</f>
        <v>230887.96583333332</v>
      </c>
      <c r="G46" s="11">
        <f>+G33/20/12*9</f>
        <v>0</v>
      </c>
      <c r="H46" s="11">
        <f>+H33/20/12*8</f>
        <v>0</v>
      </c>
      <c r="I46" s="11">
        <f>+I33/20/12*7</f>
        <v>0</v>
      </c>
      <c r="J46" s="11">
        <f>+J33/20/12*6</f>
        <v>0</v>
      </c>
      <c r="K46" s="11">
        <f>+K33/20/12*5</f>
        <v>0</v>
      </c>
      <c r="L46" s="11">
        <f>+L33/20/12*4</f>
        <v>0</v>
      </c>
      <c r="M46" s="11">
        <f>+M33/20/12*3</f>
        <v>0</v>
      </c>
      <c r="N46" s="11">
        <f>+N33/20/12*2</f>
        <v>0</v>
      </c>
      <c r="O46" s="11">
        <f>+O33/20/12*1</f>
        <v>0</v>
      </c>
      <c r="R46" s="11">
        <f>SUM(F46:O46)</f>
        <v>230887.96583333332</v>
      </c>
    </row>
    <row r="47" spans="1:20">
      <c r="A47" s="492"/>
      <c r="B47" s="393"/>
      <c r="C47" s="450" t="str">
        <f>IF(C46=0,m!$B$7,m!$B$11)</f>
        <v>P</v>
      </c>
      <c r="D47" s="11">
        <f>+D44+C46</f>
        <v>0</v>
      </c>
      <c r="F47" s="11">
        <v>10</v>
      </c>
      <c r="G47" s="11">
        <v>9</v>
      </c>
      <c r="H47" s="11">
        <v>8</v>
      </c>
      <c r="I47" s="11">
        <v>7</v>
      </c>
      <c r="J47" s="11">
        <v>6</v>
      </c>
      <c r="K47" s="11">
        <v>5</v>
      </c>
      <c r="L47" s="11">
        <v>4</v>
      </c>
      <c r="M47" s="11">
        <v>3</v>
      </c>
      <c r="N47" s="11">
        <v>2</v>
      </c>
      <c r="O47" s="11">
        <v>1</v>
      </c>
    </row>
    <row r="48" spans="1:20" ht="10.5" customHeight="1">
      <c r="A48" s="596"/>
      <c r="B48" s="393"/>
      <c r="C48" s="617"/>
    </row>
    <row r="49" spans="1:12" ht="15.75" thickBot="1">
      <c r="A49" s="596"/>
      <c r="B49" s="596" t="s">
        <v>1573</v>
      </c>
      <c r="C49" s="617"/>
    </row>
    <row r="50" spans="1:12" s="525" customFormat="1" ht="15.75" thickBot="1">
      <c r="B50" s="2022"/>
      <c r="C50" s="555" t="s">
        <v>1425</v>
      </c>
    </row>
    <row r="51" spans="1:12" s="525" customFormat="1" ht="18.75" customHeight="1">
      <c r="B51" s="2023"/>
      <c r="C51" s="556" t="s">
        <v>1477</v>
      </c>
      <c r="D51" s="557" t="s">
        <v>1478</v>
      </c>
      <c r="E51" s="557" t="s">
        <v>6</v>
      </c>
      <c r="F51" s="1891" t="s">
        <v>1356</v>
      </c>
      <c r="G51" s="1891"/>
      <c r="H51" s="1891"/>
      <c r="I51" s="1891"/>
      <c r="J51" s="1891"/>
      <c r="K51" s="559" t="s">
        <v>1357</v>
      </c>
      <c r="L51" s="560" t="s">
        <v>1358</v>
      </c>
    </row>
    <row r="52" spans="1:12" s="525" customFormat="1" ht="9.75" customHeight="1">
      <c r="B52" s="2023"/>
      <c r="C52" s="540"/>
      <c r="D52" s="451"/>
      <c r="E52" s="451"/>
      <c r="F52" s="451"/>
      <c r="G52" s="457"/>
      <c r="H52" s="457"/>
      <c r="I52" s="393"/>
      <c r="J52" s="393"/>
      <c r="K52" s="393"/>
      <c r="L52" s="418"/>
    </row>
    <row r="53" spans="1:12" s="525" customFormat="1" ht="14.25" customHeight="1">
      <c r="B53" s="2023"/>
      <c r="C53" s="542">
        <v>5</v>
      </c>
      <c r="D53" s="543" t="str">
        <f>F10</f>
        <v>D</v>
      </c>
      <c r="E53" s="544"/>
      <c r="F53" s="545" t="s">
        <v>1570</v>
      </c>
      <c r="G53" s="546"/>
      <c r="H53" s="546"/>
      <c r="I53" s="546"/>
      <c r="J53" s="547"/>
      <c r="K53" s="544">
        <v>0</v>
      </c>
      <c r="L53" s="548"/>
    </row>
    <row r="54" spans="1:12" s="525" customFormat="1" ht="14.25" customHeight="1">
      <c r="B54" s="2023"/>
      <c r="C54" s="549"/>
      <c r="D54" s="550"/>
      <c r="E54" s="544"/>
      <c r="F54" s="545" t="s">
        <v>1570</v>
      </c>
      <c r="G54" s="546"/>
      <c r="H54" s="546"/>
      <c r="I54" s="546"/>
      <c r="J54" s="547"/>
      <c r="K54" s="544"/>
      <c r="L54" s="551">
        <f>K53</f>
        <v>0</v>
      </c>
    </row>
    <row r="55" spans="1:12" s="525" customFormat="1" ht="18.75" customHeight="1" thickBot="1">
      <c r="B55" s="2023"/>
      <c r="C55" s="552" t="s">
        <v>1562</v>
      </c>
      <c r="D55" s="553"/>
      <c r="E55" s="553"/>
      <c r="F55" s="553"/>
      <c r="G55" s="553"/>
      <c r="H55" s="553"/>
      <c r="I55" s="553"/>
      <c r="J55" s="553"/>
      <c r="K55" s="553"/>
      <c r="L55" s="554"/>
    </row>
    <row r="56" spans="1:12" s="525" customFormat="1" ht="7.5" customHeight="1">
      <c r="B56" s="2023"/>
    </row>
    <row r="57" spans="1:12" s="525" customFormat="1" ht="6.75" customHeight="1" thickBot="1">
      <c r="B57" s="2023"/>
    </row>
    <row r="58" spans="1:12" s="525" customFormat="1" ht="15.75" thickBot="1">
      <c r="B58" s="2023"/>
      <c r="C58" s="555" t="s">
        <v>1561</v>
      </c>
    </row>
    <row r="59" spans="1:12" s="525" customFormat="1" ht="18.75" customHeight="1">
      <c r="B59" s="2023"/>
      <c r="C59" s="556" t="s">
        <v>1477</v>
      </c>
      <c r="D59" s="557" t="s">
        <v>1478</v>
      </c>
      <c r="E59" s="557" t="s">
        <v>6</v>
      </c>
      <c r="F59" s="1891" t="s">
        <v>1356</v>
      </c>
      <c r="G59" s="1891"/>
      <c r="H59" s="1891"/>
      <c r="I59" s="1891"/>
      <c r="J59" s="1891"/>
      <c r="K59" s="559" t="s">
        <v>1357</v>
      </c>
      <c r="L59" s="560" t="s">
        <v>1358</v>
      </c>
    </row>
    <row r="60" spans="1:12" s="525" customFormat="1" ht="9.75" customHeight="1">
      <c r="B60" s="2023"/>
      <c r="C60" s="540"/>
      <c r="D60" s="451"/>
      <c r="E60" s="451"/>
      <c r="F60" s="451"/>
      <c r="G60" s="457"/>
      <c r="H60" s="457"/>
      <c r="I60" s="393"/>
      <c r="J60" s="393"/>
      <c r="K60" s="393"/>
      <c r="L60" s="418"/>
    </row>
    <row r="61" spans="1:12" s="525" customFormat="1" ht="10.5" customHeight="1">
      <c r="B61" s="2023"/>
      <c r="C61" s="543">
        <f>C53</f>
        <v>5</v>
      </c>
      <c r="D61" s="543" t="str">
        <f>D53</f>
        <v>D</v>
      </c>
      <c r="E61" s="544"/>
      <c r="F61" s="545" t="s">
        <v>1976</v>
      </c>
      <c r="G61" s="546"/>
      <c r="H61" s="546"/>
      <c r="I61" s="546"/>
      <c r="J61" s="547"/>
      <c r="K61" s="563">
        <f>+G28+O28</f>
        <v>0</v>
      </c>
      <c r="L61" s="548"/>
    </row>
    <row r="62" spans="1:12" s="525" customFormat="1" ht="10.5" customHeight="1">
      <c r="B62" s="2023"/>
      <c r="C62" s="549"/>
      <c r="D62" s="550"/>
      <c r="E62" s="544"/>
      <c r="F62" s="810" t="str">
        <f>+B28</f>
        <v>Maq. Y Equipos</v>
      </c>
      <c r="G62" s="546"/>
      <c r="H62" s="546"/>
      <c r="I62" s="546"/>
      <c r="J62" s="547"/>
      <c r="K62" s="544"/>
      <c r="L62" s="551">
        <f>K61</f>
        <v>0</v>
      </c>
    </row>
    <row r="63" spans="1:12" s="525" customFormat="1" ht="14.25" customHeight="1" thickBot="1">
      <c r="B63" s="2024"/>
      <c r="C63" s="552" t="s">
        <v>1569</v>
      </c>
      <c r="D63" s="553"/>
      <c r="E63" s="553"/>
      <c r="F63" s="553"/>
      <c r="G63" s="553"/>
      <c r="H63" s="553"/>
      <c r="I63" s="553"/>
      <c r="J63" s="553"/>
      <c r="K63" s="553"/>
      <c r="L63" s="554"/>
    </row>
    <row r="64" spans="1:12" s="525" customFormat="1"/>
    <row r="65" spans="1:12">
      <c r="A65" s="492"/>
      <c r="B65" s="492"/>
      <c r="C65" s="492"/>
      <c r="D65" s="492"/>
      <c r="E65" s="492"/>
      <c r="F65" s="492"/>
      <c r="G65" s="492"/>
      <c r="H65" s="492"/>
    </row>
    <row r="66" spans="1:12">
      <c r="A66" s="179"/>
      <c r="B66" s="402"/>
      <c r="C66" s="402"/>
      <c r="D66" s="402"/>
      <c r="E66" s="402"/>
      <c r="F66" s="179"/>
    </row>
    <row r="67" spans="1:12" s="38" customFormat="1">
      <c r="A67" s="528"/>
      <c r="B67" s="2055" t="s">
        <v>1420</v>
      </c>
      <c r="C67" s="2055"/>
      <c r="D67" s="2056"/>
      <c r="E67" s="2056"/>
      <c r="F67" s="530"/>
    </row>
    <row r="68" spans="1:12" s="38" customFormat="1" ht="57" customHeight="1">
      <c r="A68" s="531"/>
      <c r="B68" s="2057" t="s">
        <v>1421</v>
      </c>
      <c r="C68" s="2057"/>
      <c r="D68" s="2057"/>
      <c r="E68" s="2057"/>
      <c r="F68" s="532"/>
    </row>
    <row r="69" spans="1:12" s="38" customFormat="1" ht="32.25" customHeight="1">
      <c r="A69" s="531"/>
      <c r="B69" s="2057" t="s">
        <v>1422</v>
      </c>
      <c r="C69" s="2057"/>
      <c r="D69" s="2057"/>
      <c r="E69" s="2057"/>
      <c r="F69" s="532"/>
    </row>
    <row r="70" spans="1:12" s="38" customFormat="1" ht="32.25" customHeight="1">
      <c r="A70" s="531"/>
      <c r="B70" s="2058" t="s">
        <v>2848</v>
      </c>
      <c r="C70" s="2057"/>
      <c r="D70" s="2057"/>
      <c r="E70" s="2057"/>
      <c r="F70" s="532"/>
    </row>
    <row r="71" spans="1:12" s="38" customFormat="1">
      <c r="A71" s="528"/>
      <c r="B71" s="2049"/>
      <c r="C71" s="2049"/>
      <c r="D71" s="2049"/>
      <c r="E71" s="533"/>
      <c r="F71" s="528"/>
    </row>
    <row r="72" spans="1:12" s="38" customFormat="1">
      <c r="A72" s="528"/>
      <c r="B72" s="2053"/>
      <c r="C72" s="2053"/>
      <c r="D72" s="2053"/>
      <c r="E72" s="534"/>
      <c r="F72" s="528"/>
    </row>
    <row r="77" spans="1:12" ht="15.75" thickBot="1"/>
    <row r="78" spans="1:12" ht="15.75" thickBot="1">
      <c r="A78" s="989"/>
      <c r="B78" s="989"/>
      <c r="C78" s="1887" t="s">
        <v>2413</v>
      </c>
      <c r="D78" s="1888"/>
      <c r="E78" s="1889"/>
      <c r="F78" s="1889"/>
      <c r="G78" s="1890"/>
      <c r="H78" s="1883" t="s">
        <v>2414</v>
      </c>
      <c r="I78" s="1884"/>
      <c r="J78" s="1884"/>
      <c r="K78" s="1884"/>
      <c r="L78" s="1885"/>
    </row>
    <row r="79" spans="1:12" ht="15.75" thickBot="1">
      <c r="A79" s="990" t="s">
        <v>1481</v>
      </c>
      <c r="B79" s="990" t="s">
        <v>8</v>
      </c>
      <c r="C79" s="991" t="s">
        <v>2415</v>
      </c>
      <c r="D79" s="992" t="s">
        <v>2416</v>
      </c>
      <c r="E79" s="993" t="s">
        <v>2417</v>
      </c>
      <c r="F79" s="992" t="s">
        <v>2416</v>
      </c>
      <c r="G79" s="994" t="s">
        <v>2418</v>
      </c>
      <c r="H79" s="995" t="s">
        <v>2415</v>
      </c>
      <c r="I79" s="995" t="s">
        <v>2416</v>
      </c>
      <c r="J79" s="996" t="s">
        <v>2417</v>
      </c>
      <c r="K79" s="995" t="s">
        <v>2416</v>
      </c>
      <c r="L79" s="997" t="s">
        <v>2418</v>
      </c>
    </row>
    <row r="80" spans="1:12" ht="15.75" thickBot="1"/>
    <row r="81" spans="1:12" ht="60.75" thickBot="1">
      <c r="A81" s="1092">
        <v>1</v>
      </c>
      <c r="B81" s="999" t="s">
        <v>2569</v>
      </c>
      <c r="C81" s="1000"/>
      <c r="D81" s="1025"/>
      <c r="E81" s="1000"/>
      <c r="F81" s="1025"/>
      <c r="G81" s="1000"/>
      <c r="H81" s="1025"/>
      <c r="I81" s="1000"/>
      <c r="J81" s="1025"/>
      <c r="K81" s="1000"/>
      <c r="L81" s="1094"/>
    </row>
    <row r="82" spans="1:12" ht="15.75" thickBot="1">
      <c r="A82" s="1092"/>
      <c r="C82" s="1025"/>
      <c r="D82" s="1025"/>
      <c r="E82" s="1025"/>
      <c r="F82" s="1025"/>
      <c r="G82" s="1025"/>
      <c r="H82" s="1025"/>
      <c r="I82" s="1025"/>
      <c r="J82" s="1025"/>
      <c r="K82" s="1025"/>
      <c r="L82" s="1025"/>
    </row>
    <row r="83" spans="1:12" ht="75">
      <c r="A83" s="1092">
        <v>2</v>
      </c>
      <c r="B83" s="1118" t="s">
        <v>2593</v>
      </c>
      <c r="C83" s="1021"/>
      <c r="D83" s="1022"/>
      <c r="E83" s="1021"/>
      <c r="F83" s="1022"/>
      <c r="G83" s="1021"/>
      <c r="H83" s="1022"/>
      <c r="I83" s="1021"/>
      <c r="J83" s="1022"/>
      <c r="K83" s="1021"/>
      <c r="L83" s="1105"/>
    </row>
    <row r="84" spans="1:12">
      <c r="A84" s="1092"/>
      <c r="B84" s="1119" t="s">
        <v>2594</v>
      </c>
      <c r="C84" s="243"/>
      <c r="D84" s="1023"/>
      <c r="E84" s="243"/>
      <c r="F84" s="1023"/>
      <c r="G84" s="243"/>
      <c r="H84" s="1023"/>
      <c r="I84" s="243"/>
      <c r="J84" s="1023"/>
      <c r="K84" s="243"/>
      <c r="L84" s="1107"/>
    </row>
    <row r="85" spans="1:12">
      <c r="A85" s="1092"/>
      <c r="B85" s="1119" t="s">
        <v>2595</v>
      </c>
      <c r="C85" s="243"/>
      <c r="D85" s="1023"/>
      <c r="E85" s="243"/>
      <c r="F85" s="1023"/>
      <c r="G85" s="243"/>
      <c r="H85" s="1023"/>
      <c r="I85" s="243"/>
      <c r="J85" s="1023"/>
      <c r="K85" s="243"/>
      <c r="L85" s="1107"/>
    </row>
    <row r="86" spans="1:12">
      <c r="A86" s="1092"/>
      <c r="B86" s="1119" t="s">
        <v>2596</v>
      </c>
      <c r="C86" s="243"/>
      <c r="D86" s="1023"/>
      <c r="E86" s="243"/>
      <c r="F86" s="1023"/>
      <c r="G86" s="243"/>
      <c r="H86" s="1023"/>
      <c r="I86" s="243"/>
      <c r="J86" s="1023"/>
      <c r="K86" s="243"/>
      <c r="L86" s="1107"/>
    </row>
    <row r="87" spans="1:12">
      <c r="A87" s="1092"/>
      <c r="B87" s="1119" t="s">
        <v>2597</v>
      </c>
      <c r="C87" s="243"/>
      <c r="D87" s="1023"/>
      <c r="E87" s="243"/>
      <c r="F87" s="1023"/>
      <c r="G87" s="243"/>
      <c r="H87" s="1023"/>
      <c r="I87" s="243"/>
      <c r="J87" s="1023"/>
      <c r="K87" s="243"/>
      <c r="L87" s="1107"/>
    </row>
    <row r="88" spans="1:12">
      <c r="A88" s="1092"/>
      <c r="B88" s="1119" t="s">
        <v>2598</v>
      </c>
      <c r="C88" s="243"/>
      <c r="D88" s="1023"/>
      <c r="E88" s="243"/>
      <c r="F88" s="1023"/>
      <c r="G88" s="243"/>
      <c r="H88" s="1023"/>
      <c r="I88" s="243"/>
      <c r="J88" s="1023"/>
      <c r="K88" s="243"/>
      <c r="L88" s="1107"/>
    </row>
    <row r="89" spans="1:12">
      <c r="A89" s="1092"/>
      <c r="B89" s="1119" t="s">
        <v>2599</v>
      </c>
      <c r="C89" s="243"/>
      <c r="D89" s="1023"/>
      <c r="E89" s="243"/>
      <c r="F89" s="1023"/>
      <c r="G89" s="243"/>
      <c r="H89" s="1023"/>
      <c r="I89" s="243"/>
      <c r="J89" s="1023"/>
      <c r="K89" s="243"/>
      <c r="L89" s="1107"/>
    </row>
    <row r="90" spans="1:12" ht="15.75" thickBot="1">
      <c r="A90" s="1092"/>
      <c r="B90" s="1120" t="s">
        <v>2600</v>
      </c>
      <c r="C90" s="1012"/>
      <c r="D90" s="8"/>
      <c r="E90" s="1012"/>
      <c r="F90" s="8"/>
      <c r="G90" s="1012"/>
      <c r="H90" s="8"/>
      <c r="I90" s="1012"/>
      <c r="J90" s="8"/>
      <c r="K90" s="1012"/>
      <c r="L90" s="9"/>
    </row>
    <row r="91" spans="1:12" ht="15.75" thickBot="1">
      <c r="A91" s="1092"/>
      <c r="C91" s="8"/>
      <c r="D91" s="8"/>
      <c r="E91" s="8"/>
      <c r="F91" s="8"/>
      <c r="G91" s="8"/>
      <c r="H91" s="8"/>
      <c r="I91" s="8"/>
      <c r="J91" s="8"/>
      <c r="K91" s="8"/>
    </row>
    <row r="92" spans="1:12" ht="45.75" thickBot="1">
      <c r="A92" s="1092">
        <v>3</v>
      </c>
      <c r="B92" s="1093" t="s">
        <v>2601</v>
      </c>
      <c r="C92" s="1000"/>
      <c r="D92" s="1025"/>
      <c r="E92" s="1000"/>
      <c r="F92" s="1025"/>
      <c r="G92" s="1000"/>
      <c r="H92" s="1025"/>
      <c r="I92" s="1000"/>
      <c r="J92" s="1025"/>
      <c r="K92" s="1000"/>
      <c r="L92" s="1094"/>
    </row>
    <row r="93" spans="1:12" ht="15.75" thickBot="1">
      <c r="A93" s="1092"/>
      <c r="C93" s="8"/>
      <c r="D93" s="8"/>
      <c r="E93" s="8"/>
      <c r="F93" s="8"/>
      <c r="G93" s="8"/>
      <c r="H93" s="8"/>
      <c r="I93" s="8"/>
      <c r="J93" s="8"/>
      <c r="K93" s="8"/>
    </row>
    <row r="94" spans="1:12" ht="60.75" thickBot="1">
      <c r="A94" s="1092">
        <v>4</v>
      </c>
      <c r="B94" s="1093" t="s">
        <v>2602</v>
      </c>
      <c r="C94" s="1000"/>
      <c r="D94" s="1025"/>
      <c r="E94" s="1000"/>
      <c r="F94" s="1025"/>
      <c r="G94" s="1000"/>
      <c r="H94" s="1025"/>
      <c r="I94" s="1000"/>
      <c r="J94" s="1025"/>
      <c r="K94" s="1000"/>
      <c r="L94" s="1094"/>
    </row>
    <row r="95" spans="1:12" ht="15.75" thickBot="1">
      <c r="A95" s="1092"/>
      <c r="C95" s="8"/>
      <c r="D95" s="8"/>
      <c r="E95" s="8"/>
      <c r="F95" s="8"/>
      <c r="G95" s="8"/>
      <c r="H95" s="8"/>
      <c r="I95" s="8"/>
      <c r="J95" s="8"/>
      <c r="K95" s="8"/>
    </row>
    <row r="96" spans="1:12" ht="105.75" thickBot="1">
      <c r="A96" s="1092">
        <v>5</v>
      </c>
      <c r="B96" s="1093" t="s">
        <v>2603</v>
      </c>
      <c r="C96" s="1000"/>
      <c r="D96" s="1025"/>
      <c r="E96" s="1000"/>
      <c r="F96" s="1025"/>
      <c r="G96" s="1000"/>
      <c r="H96" s="1025"/>
      <c r="I96" s="1000"/>
      <c r="J96" s="1025"/>
      <c r="K96" s="1000"/>
      <c r="L96" s="1094"/>
    </row>
    <row r="97" spans="1:12" ht="15.75" thickBot="1">
      <c r="A97" s="1092"/>
      <c r="C97" s="8"/>
      <c r="D97" s="8"/>
      <c r="E97" s="8"/>
      <c r="F97" s="8"/>
      <c r="G97" s="8"/>
      <c r="H97" s="8"/>
      <c r="I97" s="8"/>
      <c r="J97" s="8"/>
      <c r="K97" s="8"/>
    </row>
    <row r="98" spans="1:12" ht="120.75" thickBot="1">
      <c r="A98" s="1092">
        <v>6</v>
      </c>
      <c r="B98" s="1093" t="s">
        <v>2604</v>
      </c>
      <c r="C98" s="1000"/>
      <c r="D98" s="1025"/>
      <c r="E98" s="1000"/>
      <c r="F98" s="1025"/>
      <c r="G98" s="1000"/>
      <c r="H98" s="1025"/>
      <c r="I98" s="1000"/>
      <c r="J98" s="1025"/>
      <c r="K98" s="1000"/>
      <c r="L98" s="1094"/>
    </row>
    <row r="99" spans="1:12" ht="15.75" thickBot="1">
      <c r="A99" s="1092"/>
      <c r="C99" s="8"/>
      <c r="D99" s="8"/>
      <c r="E99" s="8"/>
      <c r="F99" s="8"/>
      <c r="G99" s="8"/>
      <c r="H99" s="8"/>
      <c r="I99" s="8"/>
      <c r="J99" s="8"/>
      <c r="K99" s="8"/>
    </row>
    <row r="100" spans="1:12" ht="90.75" thickBot="1">
      <c r="A100" s="1092">
        <v>7</v>
      </c>
      <c r="B100" s="1093" t="s">
        <v>2605</v>
      </c>
      <c r="C100" s="1012"/>
      <c r="D100" s="8"/>
      <c r="E100" s="1012"/>
      <c r="F100" s="8"/>
      <c r="G100" s="1012"/>
      <c r="H100" s="8"/>
      <c r="I100" s="1012"/>
      <c r="J100" s="8"/>
      <c r="K100" s="1012"/>
      <c r="L100" s="1094"/>
    </row>
    <row r="101" spans="1:12" ht="15.75" thickBot="1">
      <c r="A101" s="1092"/>
      <c r="C101" s="1009"/>
      <c r="E101" s="1009"/>
      <c r="G101" s="1009"/>
      <c r="I101" s="8"/>
      <c r="J101" s="8"/>
      <c r="K101" s="8"/>
    </row>
    <row r="102" spans="1:12" ht="120.75" thickBot="1">
      <c r="A102" s="1092">
        <v>8</v>
      </c>
      <c r="B102" s="1093" t="s">
        <v>2606</v>
      </c>
      <c r="C102" s="1000"/>
      <c r="D102" s="1025"/>
      <c r="E102" s="1000"/>
      <c r="F102" s="1025"/>
      <c r="G102" s="1000"/>
      <c r="H102" s="1025"/>
      <c r="I102" s="1000"/>
      <c r="J102" s="1025"/>
      <c r="K102" s="1000"/>
      <c r="L102" s="1094"/>
    </row>
    <row r="103" spans="1:12" ht="15.75" thickBot="1">
      <c r="A103" s="1092"/>
      <c r="C103" s="8"/>
      <c r="D103" s="8"/>
      <c r="E103" s="8"/>
      <c r="F103" s="8"/>
      <c r="G103" s="8"/>
      <c r="H103" s="8"/>
      <c r="I103" s="8"/>
      <c r="J103" s="8"/>
      <c r="K103" s="8"/>
    </row>
    <row r="104" spans="1:12" ht="60.75" thickBot="1">
      <c r="A104" s="1092">
        <v>9</v>
      </c>
      <c r="B104" s="1093" t="s">
        <v>2607</v>
      </c>
      <c r="C104" s="1000"/>
      <c r="D104" s="1025"/>
      <c r="E104" s="1000"/>
      <c r="F104" s="1025"/>
      <c r="G104" s="1000"/>
      <c r="H104" s="1025"/>
      <c r="I104" s="1000"/>
      <c r="J104" s="1025"/>
      <c r="K104" s="1000"/>
      <c r="L104" s="1094"/>
    </row>
    <row r="105" spans="1:12" ht="15.75" thickBot="1">
      <c r="A105" s="1092"/>
      <c r="C105" s="1009"/>
      <c r="E105" s="1009"/>
      <c r="G105" s="1009"/>
    </row>
    <row r="106" spans="1:12" ht="90.75" thickBot="1">
      <c r="A106" s="1092">
        <v>10</v>
      </c>
      <c r="B106" s="1121" t="s">
        <v>2608</v>
      </c>
      <c r="C106" s="1000"/>
      <c r="D106" s="1025"/>
      <c r="E106" s="1000"/>
      <c r="F106" s="1025"/>
      <c r="G106" s="1000"/>
      <c r="H106" s="1025"/>
      <c r="I106" s="1000"/>
      <c r="J106" s="1025"/>
      <c r="K106" s="1000"/>
      <c r="L106" s="1094"/>
    </row>
    <row r="107" spans="1:12" ht="15.75" thickBot="1">
      <c r="A107" s="1092"/>
      <c r="B107" s="154"/>
    </row>
    <row r="108" spans="1:12" ht="60.75" thickBot="1">
      <c r="A108" s="1092">
        <v>11</v>
      </c>
      <c r="B108" s="1093" t="s">
        <v>2609</v>
      </c>
      <c r="C108" s="1000"/>
      <c r="D108" s="1025"/>
      <c r="E108" s="1000"/>
      <c r="F108" s="1025"/>
      <c r="G108" s="1000"/>
      <c r="H108" s="1025"/>
      <c r="I108" s="1000"/>
      <c r="J108" s="1025"/>
      <c r="K108" s="1000"/>
      <c r="L108" s="1094"/>
    </row>
    <row r="109" spans="1:12" ht="15.75" thickBot="1">
      <c r="A109" s="1092"/>
    </row>
    <row r="110" spans="1:12" ht="120.75" thickBot="1">
      <c r="A110" s="1092">
        <v>12</v>
      </c>
      <c r="B110" s="1122" t="s">
        <v>2610</v>
      </c>
      <c r="C110" s="1000"/>
      <c r="D110" s="1025"/>
      <c r="E110" s="1000"/>
      <c r="F110" s="1025"/>
      <c r="G110" s="1000"/>
      <c r="H110" s="1025"/>
      <c r="I110" s="1000"/>
      <c r="J110" s="1025"/>
      <c r="K110" s="1000"/>
      <c r="L110" s="1094"/>
    </row>
    <row r="111" spans="1:12">
      <c r="A111" s="1092"/>
    </row>
    <row r="112" spans="1:12">
      <c r="A112" s="65"/>
    </row>
    <row r="113" spans="1:12">
      <c r="A113" s="65"/>
      <c r="B113" s="64"/>
    </row>
    <row r="114" spans="1:12">
      <c r="A114" s="65"/>
      <c r="B114" s="1902" t="s">
        <v>2576</v>
      </c>
      <c r="C114" s="1902"/>
      <c r="D114" s="1902"/>
      <c r="E114" s="1902"/>
      <c r="F114" s="1902"/>
      <c r="G114" s="1902"/>
      <c r="H114" s="1902"/>
      <c r="I114" s="1902"/>
      <c r="J114" s="1902"/>
      <c r="K114" s="1902"/>
      <c r="L114" s="1902"/>
    </row>
  </sheetData>
  <mergeCells count="18">
    <mergeCell ref="C78:G78"/>
    <mergeCell ref="H78:L78"/>
    <mergeCell ref="B114:L114"/>
    <mergeCell ref="B72:D72"/>
    <mergeCell ref="B50:B63"/>
    <mergeCell ref="B1:E1"/>
    <mergeCell ref="B67:E67"/>
    <mergeCell ref="B68:E68"/>
    <mergeCell ref="B69:E69"/>
    <mergeCell ref="B70:E70"/>
    <mergeCell ref="B71:D71"/>
    <mergeCell ref="B2:E2"/>
    <mergeCell ref="O1:P1"/>
    <mergeCell ref="F51:J51"/>
    <mergeCell ref="F59:J59"/>
    <mergeCell ref="B9:D9"/>
    <mergeCell ref="B20:C20"/>
    <mergeCell ref="C26:O26"/>
  </mergeCells>
  <conditionalFormatting sqref="D20">
    <cfRule type="expression" priority="1" stopIfTrue="1">
      <formula>"$E$165&gt;=1,¨Aumento¨"</formula>
    </cfRule>
  </conditionalFormatting>
  <dataValidations count="1">
    <dataValidation type="list" allowBlank="1" showInputMessage="1" showErrorMessage="1" sqref="G10">
      <formula1>$I$4:$I$6</formula1>
    </dataValidation>
  </dataValidations>
  <hyperlinks>
    <hyperlink ref="E10" location="IPT!A1" display="INDICE"/>
  </hyperlinks>
  <pageMargins left="0.51181102362204722" right="0.51181102362204722" top="0.74803149606299213" bottom="0.74803149606299213" header="0.31496062992125984" footer="0.31496062992125984"/>
  <pageSetup paperSize="5" scale="60" orientation="landscape" r:id="rId1"/>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P52"/>
  <sheetViews>
    <sheetView topLeftCell="A9" workbookViewId="0"/>
  </sheetViews>
  <sheetFormatPr baseColWidth="10" defaultColWidth="9.140625" defaultRowHeight="15"/>
  <cols>
    <col min="1" max="1" width="8" customWidth="1"/>
    <col min="2" max="2" width="27.5703125" customWidth="1"/>
    <col min="3" max="4" width="15.5703125" customWidth="1"/>
    <col min="5" max="5" width="15" bestFit="1" customWidth="1"/>
    <col min="6" max="6" width="13.28515625" bestFit="1" customWidth="1"/>
    <col min="7" max="7" width="10.140625" bestFit="1" customWidth="1"/>
    <col min="8" max="8" width="13.7109375" bestFit="1" customWidth="1"/>
    <col min="9" max="9" width="10.28515625" bestFit="1" customWidth="1"/>
    <col min="10" max="10" width="8.28515625" bestFit="1" customWidth="1"/>
    <col min="11" max="11" width="6.42578125" bestFit="1" customWidth="1"/>
    <col min="12" max="12" width="9.85546875" bestFit="1" customWidth="1"/>
    <col min="13" max="13" width="7.42578125" bestFit="1" customWidth="1"/>
    <col min="14" max="14" width="9.28515625" bestFit="1" customWidth="1"/>
    <col min="15" max="15" width="9.140625" bestFit="1" customWidth="1"/>
    <col min="16" max="16" width="11.28515625" bestFit="1" customWidth="1"/>
  </cols>
  <sheetData>
    <row r="1" spans="1:16">
      <c r="A1" s="523"/>
      <c r="B1" s="574" t="str">
        <f>BALANZA!B1</f>
        <v>CORPORACION DEL ACUEDUCTO Y ALCANTARILLADO DE MOCA</v>
      </c>
      <c r="C1" s="179"/>
      <c r="D1" s="179"/>
      <c r="F1" s="179"/>
      <c r="G1" s="179"/>
      <c r="H1" s="179"/>
      <c r="I1" s="179"/>
      <c r="J1" s="179"/>
      <c r="O1" s="1895" t="str">
        <f>IPT!$F$5</f>
        <v>AUDITOR: JJSM</v>
      </c>
      <c r="P1" s="1895"/>
    </row>
    <row r="2" spans="1:16">
      <c r="A2" s="523"/>
      <c r="B2" s="522" t="str">
        <f>BALANZA!B2</f>
        <v>Del Ejercicio terminado el  31 de marzo de 2026  y  2025</v>
      </c>
      <c r="C2" s="535"/>
      <c r="D2" s="535"/>
      <c r="F2" s="535"/>
      <c r="G2" s="535"/>
      <c r="H2" s="535"/>
      <c r="I2" s="535"/>
      <c r="J2" s="535"/>
    </row>
    <row r="3" spans="1:16" hidden="1">
      <c r="A3" s="523"/>
      <c r="B3" s="492"/>
      <c r="C3" s="492"/>
      <c r="D3" s="492"/>
      <c r="E3" s="397"/>
      <c r="F3" s="492"/>
      <c r="G3" s="492"/>
      <c r="H3" s="492"/>
      <c r="I3" s="492" t="s">
        <v>1532</v>
      </c>
      <c r="J3" s="492"/>
    </row>
    <row r="4" spans="1:16" hidden="1">
      <c r="A4" s="523"/>
      <c r="B4" s="492"/>
      <c r="C4" s="492"/>
      <c r="D4" s="492"/>
      <c r="E4" s="397"/>
      <c r="F4" s="492"/>
      <c r="G4" s="492"/>
      <c r="H4" s="492"/>
      <c r="I4" s="492" t="s">
        <v>1533</v>
      </c>
      <c r="J4" s="492"/>
    </row>
    <row r="5" spans="1:16" hidden="1">
      <c r="A5" s="523"/>
      <c r="B5" s="492"/>
      <c r="C5" s="492"/>
      <c r="D5" s="492"/>
      <c r="E5" s="397"/>
      <c r="F5" s="492"/>
      <c r="G5" s="492"/>
      <c r="H5" s="492"/>
      <c r="I5" s="492" t="s">
        <v>1531</v>
      </c>
      <c r="J5" s="492"/>
    </row>
    <row r="6" spans="1:16">
      <c r="A6" s="522"/>
      <c r="B6" s="179"/>
      <c r="C6" s="179"/>
      <c r="D6" s="179"/>
      <c r="E6" s="397"/>
      <c r="F6" s="179"/>
      <c r="G6" s="179"/>
      <c r="H6" s="179"/>
      <c r="I6" s="179"/>
      <c r="J6" s="179"/>
    </row>
    <row r="7" spans="1:16">
      <c r="A7" s="504"/>
      <c r="B7" s="397" t="s">
        <v>1424</v>
      </c>
      <c r="D7" s="397"/>
      <c r="E7" s="397"/>
      <c r="F7" s="397"/>
      <c r="G7" s="492"/>
      <c r="H7" s="492"/>
    </row>
    <row r="8" spans="1:16">
      <c r="A8" s="492"/>
      <c r="B8" s="492"/>
      <c r="C8" s="492"/>
      <c r="D8" s="492"/>
      <c r="E8" s="492"/>
      <c r="F8" s="492"/>
      <c r="G8" s="492"/>
      <c r="H8" s="492"/>
    </row>
    <row r="9" spans="1:16">
      <c r="A9" s="492"/>
      <c r="B9" s="2021" t="s">
        <v>1475</v>
      </c>
      <c r="C9" s="2021"/>
      <c r="D9" s="2021"/>
      <c r="E9" s="492"/>
      <c r="F9" s="492"/>
      <c r="G9" s="492"/>
      <c r="H9" s="492"/>
    </row>
    <row r="10" spans="1:16" ht="18" customHeight="1">
      <c r="A10" s="492"/>
      <c r="B10" s="492"/>
      <c r="C10" s="492"/>
      <c r="D10" s="492"/>
      <c r="E10" s="539" t="s">
        <v>1355</v>
      </c>
      <c r="F10" s="538" t="str">
        <f>IPT!C12</f>
        <v>D-1</v>
      </c>
      <c r="G10" s="529" t="str">
        <f>IF(C26=0,"Verificado","Pendiente")</f>
        <v>Verificado</v>
      </c>
    </row>
    <row r="11" spans="1:16" ht="30">
      <c r="B11" s="200" t="s">
        <v>1149</v>
      </c>
      <c r="C11" s="201">
        <f>BALANZA!B4</f>
        <v>2026</v>
      </c>
      <c r="D11" s="201">
        <f>BALANZA!C4</f>
        <v>2025</v>
      </c>
      <c r="E11" s="616" t="s">
        <v>1213</v>
      </c>
      <c r="F11" s="494" t="s">
        <v>1465</v>
      </c>
      <c r="G11" s="494" t="s">
        <v>1476</v>
      </c>
    </row>
    <row r="12" spans="1:16" ht="24.75" customHeight="1">
      <c r="A12">
        <v>5</v>
      </c>
      <c r="B12" s="489" t="str">
        <f>Notas!B276</f>
        <v>Terreno</v>
      </c>
      <c r="C12" s="518">
        <f>Notas!C276</f>
        <v>1623675</v>
      </c>
      <c r="D12" s="518">
        <f>Notas!D276</f>
        <v>1623675</v>
      </c>
      <c r="E12" s="650">
        <f>+C12-D12</f>
        <v>0</v>
      </c>
      <c r="F12" s="651">
        <f>IFERROR(E12/D12,0)</f>
        <v>0</v>
      </c>
      <c r="G12" s="450" t="s">
        <v>1428</v>
      </c>
    </row>
    <row r="13" spans="1:16" ht="24.75" customHeight="1">
      <c r="B13" s="205" t="s">
        <v>1571</v>
      </c>
      <c r="C13" s="199">
        <f>SUM(C12:C12)</f>
        <v>1623675</v>
      </c>
      <c r="D13" s="498">
        <f>SUM(D12:D12)</f>
        <v>1623675</v>
      </c>
      <c r="E13" s="652">
        <f>SUM(E12:E12)</f>
        <v>0</v>
      </c>
      <c r="F13" s="653">
        <f>E13/D13</f>
        <v>0</v>
      </c>
      <c r="G13" s="500" t="s">
        <v>1419</v>
      </c>
    </row>
    <row r="14" spans="1:16" ht="27.75" customHeight="1">
      <c r="B14" s="158"/>
      <c r="E14" s="206"/>
    </row>
    <row r="15" spans="1:16" s="5" customFormat="1" ht="27.75" customHeight="1">
      <c r="B15" s="2051" t="str">
        <f>+'1'!B21:C21</f>
        <v>Cambio porcentual con relación al 2025</v>
      </c>
      <c r="C15" s="2052"/>
      <c r="D15" s="618" t="str">
        <f>IF(E15&gt;=0,"Aumento","Disminución")</f>
        <v>Aumento</v>
      </c>
      <c r="E15" s="619">
        <f>+E13/D13</f>
        <v>0</v>
      </c>
    </row>
    <row r="16" spans="1:16" ht="15.75">
      <c r="B16" s="158"/>
      <c r="E16" s="206"/>
    </row>
    <row r="17" spans="1:16" ht="6" customHeight="1">
      <c r="A17" s="492"/>
      <c r="B17" s="492"/>
      <c r="C17" s="492"/>
      <c r="D17" s="492"/>
      <c r="E17" s="492"/>
      <c r="F17" s="492"/>
      <c r="G17" s="492"/>
      <c r="H17" s="492"/>
    </row>
    <row r="18" spans="1:16">
      <c r="A18" s="492"/>
      <c r="B18" s="492"/>
      <c r="C18" s="492"/>
      <c r="D18" s="492"/>
      <c r="E18" s="492"/>
      <c r="F18" s="492"/>
      <c r="G18" s="492"/>
      <c r="H18" s="492"/>
    </row>
    <row r="19" spans="1:16">
      <c r="A19" s="492"/>
      <c r="B19" s="397" t="s">
        <v>1548</v>
      </c>
      <c r="C19" s="492"/>
      <c r="D19" s="492"/>
      <c r="E19" s="492"/>
      <c r="F19" s="492"/>
      <c r="G19" s="492"/>
      <c r="H19" s="492"/>
    </row>
    <row r="20" spans="1:16" ht="25.5">
      <c r="A20" s="492"/>
      <c r="B20" s="482" t="s">
        <v>1467</v>
      </c>
      <c r="C20" s="482"/>
      <c r="D20" s="482"/>
      <c r="E20" s="492"/>
      <c r="G20" s="492"/>
      <c r="H20" s="492"/>
      <c r="I20" s="492"/>
      <c r="J20" s="492"/>
      <c r="K20" s="492"/>
    </row>
    <row r="21" spans="1:16" ht="21" customHeight="1">
      <c r="A21" s="492"/>
      <c r="B21" s="462"/>
      <c r="C21" s="1879">
        <f>C11</f>
        <v>2026</v>
      </c>
      <c r="D21" s="1880"/>
      <c r="E21" s="1880"/>
      <c r="F21" s="1880"/>
      <c r="G21" s="1880"/>
      <c r="H21" s="1880"/>
      <c r="I21" s="1880"/>
      <c r="J21" s="1880"/>
      <c r="K21" s="1880"/>
      <c r="L21" s="1880"/>
      <c r="M21" s="1880"/>
      <c r="N21" s="1880"/>
      <c r="O21" s="1880"/>
      <c r="P21" s="502">
        <f>D11</f>
        <v>2025</v>
      </c>
    </row>
    <row r="22" spans="1:16">
      <c r="A22" s="492"/>
      <c r="B22" s="462" t="s">
        <v>1149</v>
      </c>
      <c r="C22" s="463" t="s">
        <v>1415</v>
      </c>
      <c r="D22" s="463" t="s">
        <v>1418</v>
      </c>
      <c r="E22" s="463" t="s">
        <v>1434</v>
      </c>
      <c r="F22" s="463" t="s">
        <v>1435</v>
      </c>
      <c r="G22" s="463" t="s">
        <v>1436</v>
      </c>
      <c r="H22" s="463" t="s">
        <v>1437</v>
      </c>
      <c r="I22" s="463" t="s">
        <v>1438</v>
      </c>
      <c r="J22" s="463" t="s">
        <v>1439</v>
      </c>
      <c r="K22" s="463" t="s">
        <v>1440</v>
      </c>
      <c r="L22" s="463" t="s">
        <v>1441</v>
      </c>
      <c r="M22" s="463" t="s">
        <v>1410</v>
      </c>
      <c r="N22" s="463" t="s">
        <v>1411</v>
      </c>
      <c r="O22" s="463" t="s">
        <v>1412</v>
      </c>
      <c r="P22" s="502" t="s">
        <v>1526</v>
      </c>
    </row>
    <row r="23" spans="1:16" ht="21" customHeight="1">
      <c r="A23">
        <v>5</v>
      </c>
      <c r="B23" s="496" t="str">
        <f>B12</f>
        <v>Terreno</v>
      </c>
      <c r="C23" s="213">
        <f>SUM(D23:P23)</f>
        <v>1623675</v>
      </c>
      <c r="D23" s="512">
        <f>BALANZA!N64</f>
        <v>0</v>
      </c>
      <c r="E23" s="512">
        <f>BALANZA!O64</f>
        <v>0</v>
      </c>
      <c r="F23" s="512">
        <f>BALANZA!P64</f>
        <v>0</v>
      </c>
      <c r="G23" s="512">
        <f>BALANZA!Q64</f>
        <v>0</v>
      </c>
      <c r="H23" s="512">
        <f>BALANZA!R64</f>
        <v>0</v>
      </c>
      <c r="I23" s="512">
        <f>BALANZA!S64</f>
        <v>0</v>
      </c>
      <c r="J23" s="512">
        <f>BALANZA!T64</f>
        <v>0</v>
      </c>
      <c r="K23" s="512">
        <f>BALANZA!U64</f>
        <v>0</v>
      </c>
      <c r="L23" s="512">
        <f>BALANZA!V64</f>
        <v>0</v>
      </c>
      <c r="M23" s="512">
        <f>BALANZA!W64</f>
        <v>0</v>
      </c>
      <c r="N23" s="512">
        <f>BALANZA!X64</f>
        <v>0</v>
      </c>
      <c r="O23" s="512">
        <f>BALANZA!Y64</f>
        <v>0</v>
      </c>
      <c r="P23" s="517">
        <f>D12</f>
        <v>1623675</v>
      </c>
    </row>
    <row r="24" spans="1:16" ht="22.5" customHeight="1">
      <c r="A24" s="492"/>
      <c r="B24" s="192" t="s">
        <v>1152</v>
      </c>
      <c r="C24" s="214">
        <f t="shared" ref="C24:P24" si="0">SUM(C23:C23)</f>
        <v>1623675</v>
      </c>
      <c r="D24" s="514">
        <f t="shared" si="0"/>
        <v>0</v>
      </c>
      <c r="E24" s="514">
        <f t="shared" si="0"/>
        <v>0</v>
      </c>
      <c r="F24" s="514">
        <f t="shared" si="0"/>
        <v>0</v>
      </c>
      <c r="G24" s="514">
        <f t="shared" si="0"/>
        <v>0</v>
      </c>
      <c r="H24" s="514">
        <f t="shared" si="0"/>
        <v>0</v>
      </c>
      <c r="I24" s="514">
        <f t="shared" si="0"/>
        <v>0</v>
      </c>
      <c r="J24" s="514">
        <f t="shared" si="0"/>
        <v>0</v>
      </c>
      <c r="K24" s="514">
        <f t="shared" si="0"/>
        <v>0</v>
      </c>
      <c r="L24" s="514">
        <f t="shared" si="0"/>
        <v>0</v>
      </c>
      <c r="M24" s="514">
        <f t="shared" si="0"/>
        <v>0</v>
      </c>
      <c r="N24" s="514">
        <f t="shared" si="0"/>
        <v>0</v>
      </c>
      <c r="O24" s="514">
        <f t="shared" si="0"/>
        <v>0</v>
      </c>
      <c r="P24" s="514">
        <f t="shared" si="0"/>
        <v>1623675</v>
      </c>
    </row>
    <row r="25" spans="1:16">
      <c r="A25" s="492"/>
      <c r="B25" s="483"/>
      <c r="C25" s="484"/>
      <c r="D25" s="484"/>
      <c r="E25" s="492"/>
      <c r="F25" s="492"/>
      <c r="G25" s="492"/>
    </row>
    <row r="26" spans="1:16">
      <c r="A26" s="492"/>
      <c r="B26" s="485" t="s">
        <v>1406</v>
      </c>
      <c r="C26" s="486">
        <f>C24-C13</f>
        <v>0</v>
      </c>
    </row>
    <row r="27" spans="1:16">
      <c r="A27" s="492"/>
      <c r="B27" s="393"/>
      <c r="C27" s="450" t="str">
        <f>IF(C26=0,m!$B$7,m!$B$11)</f>
        <v>P</v>
      </c>
    </row>
    <row r="28" spans="1:16" ht="15.75" thickBot="1">
      <c r="A28" s="492"/>
      <c r="B28" s="596" t="s">
        <v>1573</v>
      </c>
      <c r="C28" s="492"/>
      <c r="D28" s="492"/>
      <c r="E28" s="492"/>
      <c r="F28" s="492"/>
      <c r="G28" s="492"/>
      <c r="H28" s="492"/>
    </row>
    <row r="29" spans="1:16" s="525" customFormat="1" ht="15.75" thickBot="1">
      <c r="B29" s="2022"/>
      <c r="C29" s="555" t="s">
        <v>1425</v>
      </c>
    </row>
    <row r="30" spans="1:16" s="525" customFormat="1" ht="18.75" customHeight="1">
      <c r="B30" s="2023"/>
      <c r="C30" s="556" t="s">
        <v>1477</v>
      </c>
      <c r="D30" s="557" t="s">
        <v>1478</v>
      </c>
      <c r="E30" s="557" t="s">
        <v>6</v>
      </c>
      <c r="F30" s="1891" t="s">
        <v>1356</v>
      </c>
      <c r="G30" s="1891"/>
      <c r="H30" s="1891"/>
      <c r="I30" s="1891"/>
      <c r="J30" s="1891"/>
      <c r="K30" s="559" t="s">
        <v>1357</v>
      </c>
      <c r="L30" s="560" t="s">
        <v>1358</v>
      </c>
    </row>
    <row r="31" spans="1:16" s="525" customFormat="1" ht="9.75" customHeight="1">
      <c r="B31" s="2023"/>
      <c r="C31" s="540"/>
      <c r="D31" s="451"/>
      <c r="E31" s="451"/>
      <c r="F31" s="451"/>
      <c r="G31" s="457"/>
      <c r="H31" s="457"/>
      <c r="I31" s="393"/>
      <c r="J31" s="393"/>
      <c r="K31" s="393"/>
      <c r="L31" s="418"/>
    </row>
    <row r="32" spans="1:16" s="525" customFormat="1" ht="18.75" customHeight="1">
      <c r="B32" s="2023"/>
      <c r="C32" s="542">
        <v>6</v>
      </c>
      <c r="D32" s="543" t="str">
        <f>F10</f>
        <v>D-1</v>
      </c>
      <c r="E32" s="544"/>
      <c r="F32" s="545" t="s">
        <v>1570</v>
      </c>
      <c r="G32" s="546"/>
      <c r="H32" s="546"/>
      <c r="I32" s="546"/>
      <c r="J32" s="547"/>
      <c r="K32" s="544">
        <v>0</v>
      </c>
      <c r="L32" s="548"/>
    </row>
    <row r="33" spans="1:16" s="525" customFormat="1" ht="18.75" customHeight="1">
      <c r="B33" s="2023"/>
      <c r="C33" s="549"/>
      <c r="D33" s="550"/>
      <c r="E33" s="544"/>
      <c r="F33" s="545" t="s">
        <v>1570</v>
      </c>
      <c r="G33" s="546"/>
      <c r="H33" s="546"/>
      <c r="I33" s="546"/>
      <c r="J33" s="547"/>
      <c r="K33" s="544"/>
      <c r="L33" s="551">
        <f>K32</f>
        <v>0</v>
      </c>
    </row>
    <row r="34" spans="1:16" s="525" customFormat="1" ht="18.75" customHeight="1" thickBot="1">
      <c r="B34" s="2023"/>
      <c r="C34" s="552" t="s">
        <v>1562</v>
      </c>
      <c r="D34" s="553"/>
      <c r="E34" s="553"/>
      <c r="F34" s="553"/>
      <c r="G34" s="553"/>
      <c r="H34" s="553"/>
      <c r="I34" s="553"/>
      <c r="J34" s="553"/>
      <c r="K34" s="553"/>
      <c r="L34" s="554"/>
    </row>
    <row r="35" spans="1:16" s="525" customFormat="1">
      <c r="B35" s="2023"/>
    </row>
    <row r="36" spans="1:16" s="525" customFormat="1" ht="15.75" thickBot="1">
      <c r="B36" s="2023"/>
    </row>
    <row r="37" spans="1:16" s="525" customFormat="1" ht="15.75" thickBot="1">
      <c r="B37" s="2023"/>
      <c r="C37" s="555" t="s">
        <v>1561</v>
      </c>
    </row>
    <row r="38" spans="1:16" s="525" customFormat="1" ht="18.75" customHeight="1">
      <c r="B38" s="2023"/>
      <c r="C38" s="556" t="s">
        <v>1477</v>
      </c>
      <c r="D38" s="557" t="s">
        <v>1478</v>
      </c>
      <c r="E38" s="557" t="s">
        <v>6</v>
      </c>
      <c r="F38" s="1891" t="s">
        <v>1356</v>
      </c>
      <c r="G38" s="1891"/>
      <c r="H38" s="1891"/>
      <c r="I38" s="1891"/>
      <c r="J38" s="1891"/>
      <c r="K38" s="559" t="s">
        <v>1357</v>
      </c>
      <c r="L38" s="560" t="s">
        <v>1358</v>
      </c>
    </row>
    <row r="39" spans="1:16" s="525" customFormat="1" ht="9.75" customHeight="1">
      <c r="B39" s="2023"/>
      <c r="C39" s="540"/>
      <c r="D39" s="451"/>
      <c r="E39" s="451"/>
      <c r="F39" s="451"/>
      <c r="G39" s="457"/>
      <c r="H39" s="457"/>
      <c r="I39" s="393"/>
      <c r="J39" s="393"/>
      <c r="K39" s="393"/>
      <c r="L39" s="418"/>
    </row>
    <row r="40" spans="1:16" s="525" customFormat="1" ht="18.75" customHeight="1">
      <c r="B40" s="2023"/>
      <c r="C40" s="543">
        <f>C32</f>
        <v>6</v>
      </c>
      <c r="D40" s="543" t="str">
        <f>D32</f>
        <v>D-1</v>
      </c>
      <c r="E40" s="544"/>
      <c r="F40" s="545" t="s">
        <v>1570</v>
      </c>
      <c r="G40" s="546"/>
      <c r="H40" s="546"/>
      <c r="I40" s="546"/>
      <c r="J40" s="547"/>
      <c r="K40" s="544"/>
      <c r="L40" s="548"/>
    </row>
    <row r="41" spans="1:16" s="525" customFormat="1" ht="18.75" customHeight="1">
      <c r="B41" s="2023"/>
      <c r="C41" s="549"/>
      <c r="D41" s="550"/>
      <c r="E41" s="544"/>
      <c r="F41" s="545" t="s">
        <v>1570</v>
      </c>
      <c r="G41" s="546"/>
      <c r="H41" s="546"/>
      <c r="I41" s="546"/>
      <c r="J41" s="547"/>
      <c r="K41" s="544"/>
      <c r="L41" s="551">
        <f>K40</f>
        <v>0</v>
      </c>
    </row>
    <row r="42" spans="1:16" s="525" customFormat="1" ht="18.75" customHeight="1" thickBot="1">
      <c r="B42" s="2024"/>
      <c r="C42" s="552" t="s">
        <v>1569</v>
      </c>
      <c r="D42" s="553"/>
      <c r="E42" s="553"/>
      <c r="F42" s="553"/>
      <c r="G42" s="553"/>
      <c r="H42" s="553"/>
      <c r="I42" s="553"/>
      <c r="J42" s="553"/>
      <c r="K42" s="553"/>
      <c r="L42" s="554"/>
    </row>
    <row r="43" spans="1:16" s="525" customFormat="1"/>
    <row r="44" spans="1:16" s="596" customFormat="1"/>
    <row r="45" spans="1:16" s="596" customFormat="1"/>
    <row r="46" spans="1:16">
      <c r="A46" s="492"/>
      <c r="B46" s="402"/>
      <c r="C46" s="402"/>
      <c r="D46" s="402"/>
      <c r="E46" s="402"/>
      <c r="F46" s="492"/>
    </row>
    <row r="47" spans="1:16">
      <c r="A47" s="492"/>
      <c r="B47" s="2059" t="s">
        <v>1420</v>
      </c>
      <c r="C47" s="2059"/>
      <c r="D47" s="2060"/>
      <c r="E47" s="2060"/>
      <c r="F47" s="405"/>
    </row>
    <row r="48" spans="1:16" ht="40.5" customHeight="1">
      <c r="A48" s="406"/>
      <c r="B48" s="2063" t="s">
        <v>1421</v>
      </c>
      <c r="C48" s="2064"/>
      <c r="D48" s="2064"/>
      <c r="E48" s="2064"/>
      <c r="F48" s="2064"/>
      <c r="G48" s="2064"/>
      <c r="H48" s="2064"/>
      <c r="I48" s="2064"/>
      <c r="J48" s="2064"/>
      <c r="K48" s="2064"/>
      <c r="L48" s="2064"/>
      <c r="M48" s="2064"/>
      <c r="N48" s="2064"/>
      <c r="O48" s="2064"/>
      <c r="P48" s="2064"/>
    </row>
    <row r="49" spans="1:16" ht="25.5" customHeight="1">
      <c r="A49" s="406"/>
      <c r="B49" s="2063" t="s">
        <v>1422</v>
      </c>
      <c r="C49" s="2064"/>
      <c r="D49" s="2064"/>
      <c r="E49" s="2064"/>
      <c r="F49" s="2064"/>
      <c r="G49" s="2064"/>
      <c r="H49" s="2064"/>
      <c r="I49" s="2064"/>
      <c r="J49" s="2064"/>
      <c r="K49" s="2064"/>
      <c r="L49" s="2064"/>
      <c r="M49" s="2064"/>
      <c r="N49" s="2064"/>
      <c r="O49" s="2064"/>
      <c r="P49" s="2064"/>
    </row>
    <row r="50" spans="1:16" ht="25.5" customHeight="1">
      <c r="A50" s="406"/>
      <c r="B50" s="2063" t="s">
        <v>1423</v>
      </c>
      <c r="C50" s="2064"/>
      <c r="D50" s="2064"/>
      <c r="E50" s="2064"/>
      <c r="F50" s="2064"/>
      <c r="G50" s="2064"/>
      <c r="H50" s="2064"/>
      <c r="I50" s="2064"/>
      <c r="J50" s="2064"/>
      <c r="K50" s="2064"/>
      <c r="L50" s="2064"/>
      <c r="M50" s="2064"/>
      <c r="N50" s="2064"/>
      <c r="O50" s="2064"/>
      <c r="P50" s="2064"/>
    </row>
    <row r="51" spans="1:16">
      <c r="A51" s="492"/>
      <c r="B51" s="2061"/>
      <c r="C51" s="2061"/>
      <c r="D51" s="2061"/>
      <c r="E51" s="404"/>
      <c r="F51" s="492"/>
    </row>
    <row r="52" spans="1:16">
      <c r="A52" s="492"/>
      <c r="B52" s="2062"/>
      <c r="C52" s="2062"/>
      <c r="D52" s="2062"/>
      <c r="E52" s="377"/>
      <c r="F52" s="492"/>
    </row>
  </sheetData>
  <mergeCells count="13">
    <mergeCell ref="B52:D52"/>
    <mergeCell ref="B48:P48"/>
    <mergeCell ref="B49:P49"/>
    <mergeCell ref="B50:P50"/>
    <mergeCell ref="F30:J30"/>
    <mergeCell ref="F38:J38"/>
    <mergeCell ref="O1:P1"/>
    <mergeCell ref="B9:D9"/>
    <mergeCell ref="B15:C15"/>
    <mergeCell ref="C21:O21"/>
    <mergeCell ref="B47:E47"/>
    <mergeCell ref="B51:D51"/>
    <mergeCell ref="B29:B42"/>
  </mergeCells>
  <conditionalFormatting sqref="D15">
    <cfRule type="expression" priority="1" stopIfTrue="1">
      <formula>"$E$165&gt;=1,¨Aumento¨"</formula>
    </cfRule>
  </conditionalFormatting>
  <dataValidations count="1">
    <dataValidation type="list" allowBlank="1" showInputMessage="1" showErrorMessage="1" sqref="G10">
      <formula1>$I$3:$I$5</formula1>
    </dataValidation>
  </dataValidations>
  <hyperlinks>
    <hyperlink ref="E10" location="IPT!A1" display="INDICE"/>
  </hyperlinks>
  <printOptions horizontalCentered="1"/>
  <pageMargins left="0.51181102362204722" right="0.51181102362204722" top="0.74803149606299213" bottom="0.74803149606299213" header="0.31496062992125984" footer="0.31496062992125984"/>
  <pageSetup scale="65" orientation="landscape" r:id="rId1"/>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9"/>
  <sheetViews>
    <sheetView workbookViewId="0">
      <pane xSplit="18705" topLeftCell="P1"/>
      <selection pane="topRight" activeCell="P1" sqref="P1"/>
    </sheetView>
  </sheetViews>
  <sheetFormatPr baseColWidth="10" defaultColWidth="9.140625" defaultRowHeight="15"/>
  <cols>
    <col min="1" max="1" width="4.28515625" customWidth="1"/>
    <col min="2" max="2" width="34.42578125" customWidth="1"/>
    <col min="3" max="4" width="15" customWidth="1"/>
    <col min="5" max="5" width="10.7109375" bestFit="1" customWidth="1"/>
    <col min="6" max="6" width="13.28515625" bestFit="1" customWidth="1"/>
    <col min="7" max="7" width="8.85546875" bestFit="1" customWidth="1"/>
    <col min="8" max="8" width="9.85546875" bestFit="1" customWidth="1"/>
    <col min="9" max="9" width="10.28515625" bestFit="1" customWidth="1"/>
    <col min="10" max="10" width="7.5703125" customWidth="1"/>
    <col min="11" max="11" width="8.7109375" customWidth="1"/>
    <col min="12" max="12" width="9.85546875" bestFit="1" customWidth="1"/>
    <col min="13" max="13" width="7.42578125" bestFit="1" customWidth="1"/>
    <col min="14" max="14" width="9.28515625" bestFit="1" customWidth="1"/>
    <col min="15" max="15" width="9.140625" bestFit="1" customWidth="1"/>
    <col min="16" max="16" width="12.28515625" bestFit="1" customWidth="1"/>
    <col min="17" max="17" width="4" customWidth="1"/>
  </cols>
  <sheetData>
    <row r="1" spans="1:16">
      <c r="B1" s="574" t="str">
        <f>BALANZA!B1</f>
        <v>CORPORACION DEL ACUEDUCTO Y ALCANTARILLADO DE MOCA</v>
      </c>
      <c r="O1" s="1895" t="str">
        <f>IPT!$F$5</f>
        <v>AUDITOR: JJSM</v>
      </c>
      <c r="P1" s="1895"/>
    </row>
    <row r="2" spans="1:16">
      <c r="B2" s="522" t="str">
        <f>BALANZA!B2</f>
        <v>Del Ejercicio terminado el  31 de marzo de 2026  y  2025</v>
      </c>
    </row>
    <row r="4" spans="1:16" hidden="1">
      <c r="I4" s="492" t="s">
        <v>1532</v>
      </c>
    </row>
    <row r="5" spans="1:16" hidden="1">
      <c r="I5" s="492" t="s">
        <v>1533</v>
      </c>
    </row>
    <row r="6" spans="1:16" hidden="1">
      <c r="I6" s="492" t="s">
        <v>1531</v>
      </c>
    </row>
    <row r="7" spans="1:16">
      <c r="A7" s="396"/>
      <c r="B7" s="397" t="s">
        <v>1551</v>
      </c>
      <c r="D7" s="397"/>
      <c r="E7" s="397"/>
      <c r="F7" s="397"/>
      <c r="G7" s="492"/>
      <c r="H7" s="492"/>
    </row>
    <row r="8" spans="1:16" ht="8.25" customHeight="1">
      <c r="A8" s="492"/>
      <c r="B8" s="492"/>
      <c r="C8" s="492"/>
      <c r="D8" s="492"/>
      <c r="E8" s="492"/>
      <c r="F8" s="492"/>
      <c r="G8" s="492"/>
      <c r="H8" s="492"/>
    </row>
    <row r="9" spans="1:16">
      <c r="A9" s="492"/>
      <c r="B9" s="2021" t="s">
        <v>1475</v>
      </c>
      <c r="C9" s="2021"/>
      <c r="D9" s="2021"/>
      <c r="E9" s="492"/>
      <c r="F9" s="492"/>
      <c r="G9" s="492"/>
      <c r="H9" s="492"/>
    </row>
    <row r="10" spans="1:16" ht="23.25" customHeight="1">
      <c r="A10" s="492"/>
      <c r="B10" s="492"/>
      <c r="C10" s="492"/>
      <c r="D10" s="492"/>
      <c r="E10" s="492"/>
      <c r="F10" s="492"/>
      <c r="G10" s="539" t="s">
        <v>1355</v>
      </c>
      <c r="H10" s="538" t="str">
        <f>IPT!C13</f>
        <v>D-2</v>
      </c>
      <c r="I10" s="529" t="str">
        <f>IF(E26=0,"Verificado","Pendiente")</f>
        <v>Verificado</v>
      </c>
    </row>
    <row r="11" spans="1:16" ht="35.25" customHeight="1">
      <c r="B11" s="200" t="s">
        <v>1149</v>
      </c>
      <c r="C11" s="201">
        <f>BALANZA!B4</f>
        <v>2026</v>
      </c>
      <c r="D11" s="201">
        <f>BALANZA!C4</f>
        <v>2025</v>
      </c>
      <c r="E11" s="616" t="s">
        <v>1213</v>
      </c>
      <c r="F11" s="494" t="s">
        <v>1465</v>
      </c>
      <c r="G11" s="494" t="s">
        <v>1524</v>
      </c>
      <c r="H11" s="494" t="s">
        <v>1525</v>
      </c>
      <c r="I11" s="494" t="s">
        <v>1476</v>
      </c>
    </row>
    <row r="12" spans="1:16" ht="27.75" customHeight="1">
      <c r="A12">
        <v>1</v>
      </c>
      <c r="B12" s="489" t="str">
        <f>Notas!B239</f>
        <v xml:space="preserve">Maquinaria y Equipos de producción </v>
      </c>
      <c r="C12" s="204">
        <f>Notas!C239</f>
        <v>28796945.620000001</v>
      </c>
      <c r="D12" s="204">
        <f>Notas!D239</f>
        <v>28796945.620000001</v>
      </c>
      <c r="E12" s="650">
        <f>+C12-D12</f>
        <v>0</v>
      </c>
      <c r="F12" s="651">
        <f>IFERROR(E12/D12,0)</f>
        <v>0</v>
      </c>
      <c r="G12" s="497"/>
      <c r="H12" s="497"/>
      <c r="I12" s="450" t="s">
        <v>1428</v>
      </c>
    </row>
    <row r="13" spans="1:16" ht="27.75" customHeight="1">
      <c r="B13" s="205" t="s">
        <v>1552</v>
      </c>
      <c r="C13" s="199">
        <f>SUM(C12:C12)</f>
        <v>28796945.620000001</v>
      </c>
      <c r="D13" s="498">
        <f>SUM(D12:D12)</f>
        <v>28796945.620000001</v>
      </c>
      <c r="E13" s="652">
        <f>SUM(E12:E12)</f>
        <v>0</v>
      </c>
      <c r="F13" s="653">
        <f>E13/D13</f>
        <v>0</v>
      </c>
      <c r="G13" s="497"/>
      <c r="H13" s="498">
        <f>SUM(H12:H12)</f>
        <v>0</v>
      </c>
      <c r="I13" s="500" t="s">
        <v>1419</v>
      </c>
    </row>
    <row r="14" spans="1:16" ht="12.75" customHeight="1">
      <c r="B14" s="158"/>
      <c r="E14" s="206"/>
    </row>
    <row r="15" spans="1:16" s="5" customFormat="1" ht="27.75" customHeight="1">
      <c r="B15" s="1881" t="str">
        <f>+'1'!B21:C21</f>
        <v>Cambio porcentual con relación al 2025</v>
      </c>
      <c r="C15" s="1882"/>
      <c r="D15" s="304" t="str">
        <f>IF(E15&gt;=0,"Aumento","Disminución")</f>
        <v>Aumento</v>
      </c>
      <c r="E15" s="228">
        <f>+E13/D13</f>
        <v>0</v>
      </c>
    </row>
    <row r="16" spans="1:16" ht="15.75">
      <c r="B16" s="158"/>
      <c r="E16" s="206"/>
    </row>
    <row r="17" spans="1:16" ht="4.5" customHeight="1">
      <c r="A17" s="492"/>
      <c r="B17" s="492"/>
      <c r="C17" s="492"/>
      <c r="D17" s="492"/>
      <c r="E17" s="492"/>
      <c r="F17" s="492"/>
      <c r="G17" s="492"/>
      <c r="H17" s="492"/>
    </row>
    <row r="18" spans="1:16">
      <c r="A18" s="492"/>
      <c r="B18" s="492"/>
      <c r="C18" s="492"/>
      <c r="D18" s="492"/>
      <c r="E18" s="492"/>
      <c r="F18" s="492"/>
      <c r="G18" s="492"/>
      <c r="H18" s="492"/>
    </row>
    <row r="19" spans="1:16">
      <c r="A19" s="492"/>
      <c r="B19" s="397" t="s">
        <v>1553</v>
      </c>
      <c r="C19" s="492"/>
      <c r="D19" s="492"/>
      <c r="E19" s="492"/>
      <c r="F19" s="492"/>
      <c r="G19" s="492"/>
      <c r="H19" s="492"/>
    </row>
    <row r="20" spans="1:16">
      <c r="A20" s="492"/>
      <c r="B20" s="482" t="s">
        <v>1467</v>
      </c>
      <c r="C20" s="482"/>
      <c r="D20" s="482"/>
      <c r="E20" s="492"/>
      <c r="G20" s="492"/>
      <c r="H20" s="492"/>
      <c r="I20" s="492"/>
      <c r="J20" s="492"/>
      <c r="K20" s="492"/>
    </row>
    <row r="21" spans="1:16" ht="21" customHeight="1">
      <c r="A21" s="492"/>
      <c r="B21" s="462"/>
      <c r="C21" s="1879">
        <f>C11</f>
        <v>2026</v>
      </c>
      <c r="D21" s="1880"/>
      <c r="E21" s="1880"/>
      <c r="F21" s="1880"/>
      <c r="G21" s="1880"/>
      <c r="H21" s="1880"/>
      <c r="I21" s="1880"/>
      <c r="J21" s="1880"/>
      <c r="K21" s="1880"/>
      <c r="L21" s="1880"/>
      <c r="M21" s="1880"/>
      <c r="N21" s="1880"/>
      <c r="O21" s="1880"/>
      <c r="P21" s="502">
        <f>D11</f>
        <v>2025</v>
      </c>
    </row>
    <row r="22" spans="1:16">
      <c r="A22" s="492"/>
      <c r="B22" s="462" t="s">
        <v>1149</v>
      </c>
      <c r="C22" s="463" t="s">
        <v>1415</v>
      </c>
      <c r="D22" s="463" t="s">
        <v>1418</v>
      </c>
      <c r="E22" s="463" t="s">
        <v>1434</v>
      </c>
      <c r="F22" s="463" t="s">
        <v>1435</v>
      </c>
      <c r="G22" s="463" t="s">
        <v>1436</v>
      </c>
      <c r="H22" s="463" t="s">
        <v>1437</v>
      </c>
      <c r="I22" s="463" t="s">
        <v>1438</v>
      </c>
      <c r="J22" s="463" t="s">
        <v>1439</v>
      </c>
      <c r="K22" s="463" t="s">
        <v>1440</v>
      </c>
      <c r="L22" s="463" t="s">
        <v>1441</v>
      </c>
      <c r="M22" s="463" t="s">
        <v>1410</v>
      </c>
      <c r="N22" s="463" t="s">
        <v>1411</v>
      </c>
      <c r="O22" s="463" t="s">
        <v>1412</v>
      </c>
      <c r="P22" s="502" t="s">
        <v>1526</v>
      </c>
    </row>
    <row r="23" spans="1:16" ht="27.75" customHeight="1">
      <c r="A23">
        <v>1</v>
      </c>
      <c r="B23" s="496" t="str">
        <f>B12</f>
        <v xml:space="preserve">Maquinaria y Equipos de producción </v>
      </c>
      <c r="C23" s="213">
        <f>SUM(D23:P23)</f>
        <v>28796945.620000001</v>
      </c>
      <c r="D23" s="512">
        <f>BALANZA!N52</f>
        <v>0</v>
      </c>
      <c r="E23" s="512">
        <f>BALANZA!O52</f>
        <v>0</v>
      </c>
      <c r="F23" s="512">
        <f>BALANZA!P52</f>
        <v>0</v>
      </c>
      <c r="G23" s="512">
        <f>BALANZA!Q52</f>
        <v>0</v>
      </c>
      <c r="H23" s="512">
        <f>BALANZA!R52</f>
        <v>0</v>
      </c>
      <c r="I23" s="512">
        <f>BALANZA!S52</f>
        <v>0</v>
      </c>
      <c r="J23" s="512">
        <f>BALANZA!T52</f>
        <v>0</v>
      </c>
      <c r="K23" s="512">
        <f>BALANZA!U52</f>
        <v>0</v>
      </c>
      <c r="L23" s="512">
        <f>BALANZA!V52</f>
        <v>0</v>
      </c>
      <c r="M23" s="512">
        <f>BALANZA!W52</f>
        <v>0</v>
      </c>
      <c r="N23" s="512">
        <f>BALANZA!X52</f>
        <v>0</v>
      </c>
      <c r="O23" s="512">
        <f>BALANZA!Y52</f>
        <v>0</v>
      </c>
      <c r="P23" s="517">
        <f>D12</f>
        <v>28796945.620000001</v>
      </c>
    </row>
    <row r="24" spans="1:16" ht="22.5" customHeight="1">
      <c r="A24" s="492"/>
      <c r="B24" s="192" t="s">
        <v>1152</v>
      </c>
      <c r="C24" s="214">
        <f t="shared" ref="C24:P24" si="0">SUM(C23:C23)</f>
        <v>28796945.620000001</v>
      </c>
      <c r="D24" s="514">
        <f t="shared" si="0"/>
        <v>0</v>
      </c>
      <c r="E24" s="514">
        <f t="shared" si="0"/>
        <v>0</v>
      </c>
      <c r="F24" s="514">
        <f t="shared" si="0"/>
        <v>0</v>
      </c>
      <c r="G24" s="514">
        <f t="shared" si="0"/>
        <v>0</v>
      </c>
      <c r="H24" s="514">
        <f t="shared" si="0"/>
        <v>0</v>
      </c>
      <c r="I24" s="514">
        <f t="shared" si="0"/>
        <v>0</v>
      </c>
      <c r="J24" s="514">
        <f t="shared" si="0"/>
        <v>0</v>
      </c>
      <c r="K24" s="514">
        <f t="shared" si="0"/>
        <v>0</v>
      </c>
      <c r="L24" s="514">
        <f t="shared" si="0"/>
        <v>0</v>
      </c>
      <c r="M24" s="514">
        <f t="shared" si="0"/>
        <v>0</v>
      </c>
      <c r="N24" s="514">
        <f t="shared" si="0"/>
        <v>0</v>
      </c>
      <c r="O24" s="514">
        <f t="shared" si="0"/>
        <v>0</v>
      </c>
      <c r="P24" s="514">
        <f t="shared" si="0"/>
        <v>28796945.620000001</v>
      </c>
    </row>
    <row r="25" spans="1:16">
      <c r="A25" s="492"/>
      <c r="B25" s="483"/>
      <c r="C25" s="484"/>
      <c r="D25" s="484"/>
      <c r="E25" s="492"/>
      <c r="F25" s="492"/>
      <c r="G25" s="492"/>
    </row>
    <row r="26" spans="1:16">
      <c r="A26" s="492"/>
      <c r="B26" s="485" t="s">
        <v>1406</v>
      </c>
      <c r="C26" s="486">
        <f>C24-C13</f>
        <v>0</v>
      </c>
    </row>
    <row r="27" spans="1:16">
      <c r="A27" s="492"/>
      <c r="B27" s="393"/>
      <c r="C27" s="450" t="str">
        <f>IF(C26=0,m!$B$7,m!$B$11)</f>
        <v>P</v>
      </c>
    </row>
    <row r="28" spans="1:16" ht="15.75" thickBot="1">
      <c r="A28" s="492"/>
      <c r="B28" s="596" t="s">
        <v>1573</v>
      </c>
      <c r="C28" s="492"/>
      <c r="D28" s="492"/>
      <c r="E28" s="492"/>
      <c r="F28" s="492"/>
      <c r="G28" s="492"/>
      <c r="H28" s="492"/>
    </row>
    <row r="29" spans="1:16" s="525" customFormat="1" ht="15.75" thickBot="1">
      <c r="B29" s="2022"/>
      <c r="C29" s="555" t="s">
        <v>1425</v>
      </c>
    </row>
    <row r="30" spans="1:16" s="525" customFormat="1" ht="18.75" customHeight="1">
      <c r="B30" s="2023"/>
      <c r="C30" s="556" t="s">
        <v>1477</v>
      </c>
      <c r="D30" s="557" t="s">
        <v>1478</v>
      </c>
      <c r="E30" s="557" t="s">
        <v>6</v>
      </c>
      <c r="F30" s="1891" t="s">
        <v>1356</v>
      </c>
      <c r="G30" s="1891"/>
      <c r="H30" s="1891"/>
      <c r="I30" s="1891"/>
      <c r="J30" s="1891"/>
      <c r="K30" s="559" t="s">
        <v>1357</v>
      </c>
      <c r="L30" s="560" t="s">
        <v>1358</v>
      </c>
    </row>
    <row r="31" spans="1:16" s="525" customFormat="1" ht="9.75" customHeight="1">
      <c r="B31" s="2023"/>
      <c r="C31" s="540"/>
      <c r="D31" s="451"/>
      <c r="E31" s="451"/>
      <c r="F31" s="451"/>
      <c r="G31" s="457"/>
      <c r="H31" s="457"/>
      <c r="I31" s="393"/>
      <c r="J31" s="393"/>
      <c r="K31" s="393"/>
      <c r="L31" s="418"/>
    </row>
    <row r="32" spans="1:16" s="525" customFormat="1" ht="18.75" customHeight="1">
      <c r="B32" s="2023"/>
      <c r="C32" s="561">
        <v>7</v>
      </c>
      <c r="D32" s="543" t="str">
        <f>H10</f>
        <v>D-2</v>
      </c>
      <c r="E32" s="544"/>
      <c r="F32" s="545" t="s">
        <v>1570</v>
      </c>
      <c r="G32" s="546"/>
      <c r="H32" s="546"/>
      <c r="I32" s="546"/>
      <c r="J32" s="547"/>
      <c r="K32" s="544">
        <v>0</v>
      </c>
      <c r="L32" s="548"/>
    </row>
    <row r="33" spans="1:16" s="525" customFormat="1" ht="18.75" customHeight="1">
      <c r="B33" s="2023"/>
      <c r="C33" s="549"/>
      <c r="D33" s="550"/>
      <c r="E33" s="544"/>
      <c r="F33" s="545" t="s">
        <v>1570</v>
      </c>
      <c r="G33" s="546"/>
      <c r="H33" s="546"/>
      <c r="I33" s="546"/>
      <c r="J33" s="547"/>
      <c r="K33" s="544"/>
      <c r="L33" s="551">
        <f>K32</f>
        <v>0</v>
      </c>
    </row>
    <row r="34" spans="1:16" s="525" customFormat="1" ht="18.75" customHeight="1" thickBot="1">
      <c r="B34" s="2023"/>
      <c r="C34" s="552" t="s">
        <v>1562</v>
      </c>
      <c r="D34" s="553"/>
      <c r="E34" s="553"/>
      <c r="F34" s="553"/>
      <c r="G34" s="553"/>
      <c r="H34" s="553"/>
      <c r="I34" s="553"/>
      <c r="J34" s="553"/>
      <c r="K34" s="553"/>
      <c r="L34" s="554"/>
    </row>
    <row r="35" spans="1:16" s="525" customFormat="1" ht="9" customHeight="1">
      <c r="B35" s="2023"/>
    </row>
    <row r="36" spans="1:16" s="525" customFormat="1" ht="8.25" customHeight="1" thickBot="1">
      <c r="B36" s="2023"/>
    </row>
    <row r="37" spans="1:16" s="525" customFormat="1" ht="15.75" thickBot="1">
      <c r="B37" s="2023"/>
      <c r="C37" s="555" t="s">
        <v>1561</v>
      </c>
    </row>
    <row r="38" spans="1:16" s="525" customFormat="1" ht="18.75" customHeight="1">
      <c r="B38" s="2023"/>
      <c r="C38" s="556" t="s">
        <v>1477</v>
      </c>
      <c r="D38" s="557" t="s">
        <v>1478</v>
      </c>
      <c r="E38" s="557" t="s">
        <v>6</v>
      </c>
      <c r="F38" s="1891" t="s">
        <v>1356</v>
      </c>
      <c r="G38" s="1891"/>
      <c r="H38" s="1891"/>
      <c r="I38" s="1891"/>
      <c r="J38" s="1891"/>
      <c r="K38" s="559" t="s">
        <v>1357</v>
      </c>
      <c r="L38" s="560" t="s">
        <v>1358</v>
      </c>
    </row>
    <row r="39" spans="1:16" s="525" customFormat="1" ht="9.75" customHeight="1">
      <c r="B39" s="2023"/>
      <c r="C39" s="540"/>
      <c r="D39" s="451"/>
      <c r="E39" s="451"/>
      <c r="F39" s="451"/>
      <c r="G39" s="457"/>
      <c r="H39" s="457"/>
      <c r="I39" s="393"/>
      <c r="J39" s="393"/>
      <c r="K39" s="393"/>
      <c r="L39" s="418"/>
    </row>
    <row r="40" spans="1:16" s="525" customFormat="1" ht="18.75" customHeight="1">
      <c r="B40" s="2023"/>
      <c r="C40" s="543">
        <f>C32</f>
        <v>7</v>
      </c>
      <c r="D40" s="543" t="str">
        <f>D32</f>
        <v>D-2</v>
      </c>
      <c r="E40" s="544"/>
      <c r="F40" s="545" t="s">
        <v>1570</v>
      </c>
      <c r="G40" s="546"/>
      <c r="H40" s="546"/>
      <c r="I40" s="546"/>
      <c r="J40" s="547"/>
      <c r="K40" s="544"/>
      <c r="L40" s="548"/>
    </row>
    <row r="41" spans="1:16" s="525" customFormat="1" ht="18.75" customHeight="1">
      <c r="B41" s="2023"/>
      <c r="C41" s="549"/>
      <c r="D41" s="550"/>
      <c r="E41" s="544"/>
      <c r="F41" s="545" t="s">
        <v>1570</v>
      </c>
      <c r="G41" s="546"/>
      <c r="H41" s="546"/>
      <c r="I41" s="546"/>
      <c r="J41" s="547"/>
      <c r="K41" s="544"/>
      <c r="L41" s="551">
        <f>K40</f>
        <v>0</v>
      </c>
    </row>
    <row r="42" spans="1:16" s="525" customFormat="1" ht="18.75" customHeight="1" thickBot="1">
      <c r="B42" s="2024"/>
      <c r="C42" s="552" t="s">
        <v>1569</v>
      </c>
      <c r="D42" s="553"/>
      <c r="E42" s="553"/>
      <c r="F42" s="553"/>
      <c r="G42" s="553"/>
      <c r="H42" s="553"/>
      <c r="I42" s="553"/>
      <c r="J42" s="553"/>
      <c r="K42" s="553"/>
      <c r="L42" s="554"/>
    </row>
    <row r="43" spans="1:16" s="525" customFormat="1"/>
    <row r="44" spans="1:16">
      <c r="A44" s="492"/>
      <c r="B44" s="2067" t="s">
        <v>1420</v>
      </c>
      <c r="C44" s="2068"/>
      <c r="D44" s="2068"/>
      <c r="E44" s="2068"/>
      <c r="F44" s="2068"/>
      <c r="G44" s="2068"/>
      <c r="H44" s="2068"/>
      <c r="I44" s="2068"/>
      <c r="J44" s="2068"/>
      <c r="K44" s="2068"/>
      <c r="L44" s="2068"/>
      <c r="M44" s="2068"/>
      <c r="N44" s="2068"/>
      <c r="O44" s="2068"/>
      <c r="P44" s="2068"/>
    </row>
    <row r="45" spans="1:16" ht="32.25" customHeight="1">
      <c r="A45" s="406"/>
      <c r="B45" s="2065" t="s">
        <v>1421</v>
      </c>
      <c r="C45" s="2066"/>
      <c r="D45" s="2066"/>
      <c r="E45" s="2066"/>
      <c r="F45" s="2066"/>
      <c r="G45" s="2066"/>
      <c r="H45" s="2066"/>
      <c r="I45" s="2066"/>
      <c r="J45" s="2066"/>
      <c r="K45" s="2066"/>
      <c r="L45" s="2066"/>
      <c r="M45" s="2066"/>
      <c r="N45" s="2066"/>
      <c r="O45" s="2066"/>
      <c r="P45" s="2066"/>
    </row>
    <row r="46" spans="1:16" ht="17.25" customHeight="1">
      <c r="A46" s="406"/>
      <c r="B46" s="2065" t="s">
        <v>1422</v>
      </c>
      <c r="C46" s="2066"/>
      <c r="D46" s="2066"/>
      <c r="E46" s="2066"/>
      <c r="F46" s="2066"/>
      <c r="G46" s="2066"/>
      <c r="H46" s="2066"/>
      <c r="I46" s="2066"/>
      <c r="J46" s="2066"/>
      <c r="K46" s="2066"/>
      <c r="L46" s="2066"/>
      <c r="M46" s="2066"/>
      <c r="N46" s="2066"/>
      <c r="O46" s="2066"/>
      <c r="P46" s="2066"/>
    </row>
    <row r="47" spans="1:16" ht="19.5" customHeight="1">
      <c r="A47" s="406"/>
      <c r="B47" s="2065" t="s">
        <v>1423</v>
      </c>
      <c r="C47" s="2066"/>
      <c r="D47" s="2066"/>
      <c r="E47" s="2066"/>
      <c r="F47" s="2066"/>
      <c r="G47" s="2066"/>
      <c r="H47" s="2066"/>
      <c r="I47" s="2066"/>
      <c r="J47" s="2066"/>
      <c r="K47" s="2066"/>
      <c r="L47" s="2066"/>
      <c r="M47" s="2066"/>
      <c r="N47" s="2066"/>
      <c r="O47" s="2066"/>
      <c r="P47" s="2066"/>
    </row>
    <row r="48" spans="1:16">
      <c r="A48" s="492"/>
      <c r="B48" s="2061"/>
      <c r="C48" s="2061"/>
      <c r="D48" s="2061"/>
      <c r="E48" s="404"/>
      <c r="F48" s="492"/>
    </row>
    <row r="49" spans="1:6">
      <c r="A49" s="492"/>
      <c r="B49" s="2062"/>
      <c r="C49" s="2062"/>
      <c r="D49" s="2062"/>
      <c r="E49" s="377"/>
      <c r="F49" s="492"/>
    </row>
  </sheetData>
  <mergeCells count="13">
    <mergeCell ref="B48:D48"/>
    <mergeCell ref="B49:D49"/>
    <mergeCell ref="B9:D9"/>
    <mergeCell ref="B15:C15"/>
    <mergeCell ref="C21:O21"/>
    <mergeCell ref="B44:P44"/>
    <mergeCell ref="B29:B42"/>
    <mergeCell ref="O1:P1"/>
    <mergeCell ref="B45:P45"/>
    <mergeCell ref="B46:P46"/>
    <mergeCell ref="B47:P47"/>
    <mergeCell ref="F30:J30"/>
    <mergeCell ref="F38:J38"/>
  </mergeCells>
  <conditionalFormatting sqref="D15">
    <cfRule type="expression" priority="1" stopIfTrue="1">
      <formula>"$E$165&gt;=1,¨Aumento¨"</formula>
    </cfRule>
  </conditionalFormatting>
  <dataValidations count="1">
    <dataValidation type="list" allowBlank="1" showInputMessage="1" showErrorMessage="1" sqref="I10">
      <formula1>$I$4:$I$6</formula1>
    </dataValidation>
  </dataValidations>
  <hyperlinks>
    <hyperlink ref="G10" location="IPT!A1" display="INDICE"/>
  </hyperlinks>
  <pageMargins left="0.70866141732283472" right="0.70866141732283472" top="0.74803149606299213" bottom="0.74803149606299213" header="0.31496062992125984" footer="0.31496062992125984"/>
  <pageSetup scale="6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82"/>
  <sheetViews>
    <sheetView workbookViewId="0"/>
  </sheetViews>
  <sheetFormatPr baseColWidth="10" defaultColWidth="9.140625" defaultRowHeight="15"/>
  <cols>
    <col min="1" max="1" width="3.28515625" customWidth="1"/>
    <col min="2" max="2" width="47" customWidth="1"/>
    <col min="3" max="3" width="15.140625" customWidth="1"/>
    <col min="4" max="5" width="11.140625" customWidth="1"/>
    <col min="6" max="6" width="13" customWidth="1"/>
    <col min="7" max="7" width="11.140625" customWidth="1"/>
    <col min="8" max="8" width="10.140625" customWidth="1"/>
    <col min="9" max="9" width="9.5703125" customWidth="1"/>
    <col min="10" max="10" width="9.42578125" customWidth="1"/>
    <col min="11" max="16" width="11.140625" customWidth="1"/>
    <col min="17" max="17" width="2.5703125" customWidth="1"/>
  </cols>
  <sheetData>
    <row r="1" spans="1:16">
      <c r="B1" s="574" t="str">
        <f>BALANZA!B1</f>
        <v>CORPORACION DEL ACUEDUCTO Y ALCANTARILLADO DE MOCA</v>
      </c>
      <c r="C1" s="397"/>
      <c r="D1" s="397"/>
      <c r="E1" s="397"/>
      <c r="F1" s="397"/>
      <c r="G1" s="397"/>
      <c r="H1" s="179"/>
      <c r="O1" s="1895" t="str">
        <f>IPT!$F$5</f>
        <v>AUDITOR: JJSM</v>
      </c>
      <c r="P1" s="1895"/>
    </row>
    <row r="2" spans="1:16">
      <c r="B2" s="522" t="str">
        <f>BALANZA!B2</f>
        <v>Del Ejercicio terminado el  31 de marzo de 2026  y  2025</v>
      </c>
      <c r="C2" s="491"/>
      <c r="D2" s="491"/>
      <c r="E2" s="491"/>
      <c r="F2" s="491"/>
      <c r="G2" s="491"/>
      <c r="H2" s="535"/>
    </row>
    <row r="3" spans="1:16" hidden="1">
      <c r="B3" s="492"/>
      <c r="C3" s="491"/>
      <c r="D3" s="491"/>
      <c r="E3" s="491"/>
      <c r="F3" s="491"/>
      <c r="G3" s="491"/>
      <c r="H3" s="492"/>
      <c r="I3" s="492" t="s">
        <v>1532</v>
      </c>
    </row>
    <row r="4" spans="1:16" hidden="1">
      <c r="B4" s="492"/>
      <c r="C4" s="491"/>
      <c r="D4" s="491"/>
      <c r="E4" s="491"/>
      <c r="F4" s="491"/>
      <c r="G4" s="491"/>
      <c r="H4" s="492"/>
      <c r="I4" s="492" t="s">
        <v>1533</v>
      </c>
    </row>
    <row r="5" spans="1:16" hidden="1">
      <c r="B5" s="492"/>
      <c r="C5" s="491"/>
      <c r="D5" s="491"/>
      <c r="E5" s="491"/>
      <c r="F5" s="491"/>
      <c r="G5" s="491"/>
      <c r="H5" s="492"/>
      <c r="I5" s="492" t="s">
        <v>1531</v>
      </c>
    </row>
    <row r="6" spans="1:16" ht="7.5" customHeight="1">
      <c r="B6" s="377"/>
      <c r="C6" s="377"/>
      <c r="D6" s="377"/>
      <c r="E6" s="377"/>
      <c r="F6" s="377"/>
      <c r="G6" s="377"/>
      <c r="H6" s="377"/>
    </row>
    <row r="7" spans="1:16">
      <c r="A7" s="396"/>
      <c r="B7" s="397" t="s">
        <v>2611</v>
      </c>
      <c r="D7" s="397"/>
      <c r="E7" s="397"/>
      <c r="F7" s="397"/>
      <c r="G7" s="492"/>
      <c r="H7" s="492"/>
    </row>
    <row r="8" spans="1:16">
      <c r="A8" s="492"/>
      <c r="B8" s="492"/>
      <c r="C8" s="492"/>
      <c r="D8" s="492"/>
      <c r="E8" s="492"/>
      <c r="F8" s="492"/>
      <c r="G8" s="492"/>
      <c r="H8" s="492"/>
    </row>
    <row r="9" spans="1:16">
      <c r="A9" s="492"/>
      <c r="B9" s="2021" t="s">
        <v>1475</v>
      </c>
      <c r="C9" s="2021"/>
      <c r="D9" s="2021"/>
      <c r="E9" s="492"/>
      <c r="F9" s="492"/>
      <c r="G9" s="492"/>
      <c r="H9" s="492"/>
    </row>
    <row r="10" spans="1:16" ht="21" customHeight="1">
      <c r="A10" s="492"/>
      <c r="B10" s="492"/>
      <c r="C10" s="492"/>
      <c r="D10" s="492"/>
      <c r="E10" s="539" t="s">
        <v>1355</v>
      </c>
      <c r="F10" s="538" t="str">
        <f>IPT!C14</f>
        <v>E</v>
      </c>
      <c r="G10" s="529" t="str">
        <f>IF(C38=0,"Verificado","Pendiente")</f>
        <v>Verificado</v>
      </c>
    </row>
    <row r="11" spans="1:16" ht="45">
      <c r="B11" s="200" t="s">
        <v>1149</v>
      </c>
      <c r="C11" s="201">
        <f>BALANZA!B4</f>
        <v>2026</v>
      </c>
      <c r="D11" s="201">
        <f>BALANZA!C4</f>
        <v>2025</v>
      </c>
      <c r="E11" s="616" t="s">
        <v>1213</v>
      </c>
      <c r="F11" s="494" t="s">
        <v>1465</v>
      </c>
      <c r="G11" s="494" t="s">
        <v>1476</v>
      </c>
    </row>
    <row r="12" spans="1:16" ht="23.25" customHeight="1">
      <c r="A12">
        <v>1</v>
      </c>
      <c r="B12" s="620" t="str">
        <f>Notas!B243</f>
        <v>DEPRECIACION MAQUINARIAS Y EQUIPOS</v>
      </c>
      <c r="C12" s="489">
        <f>Notas!C243</f>
        <v>0</v>
      </c>
      <c r="D12" s="489">
        <f>Notas!D243</f>
        <v>0</v>
      </c>
      <c r="E12" s="650">
        <f t="shared" ref="E12:E18" si="0">+C12-D12</f>
        <v>0</v>
      </c>
      <c r="F12" s="651">
        <f t="shared" ref="F12:F19" si="1">IFERROR(E12/D12,0)</f>
        <v>0</v>
      </c>
      <c r="G12" s="450" t="s">
        <v>1428</v>
      </c>
    </row>
    <row r="13" spans="1:16" ht="23.25" customHeight="1">
      <c r="A13">
        <v>2</v>
      </c>
      <c r="B13" s="620" t="str">
        <f>Notas!B250</f>
        <v>DEPRE. EQUIPO DE TRANSP., TRACCION Y ELEVACION</v>
      </c>
      <c r="C13" s="489">
        <f>Notas!C250</f>
        <v>0</v>
      </c>
      <c r="D13" s="489">
        <f>Notas!D250</f>
        <v>0</v>
      </c>
      <c r="E13" s="650">
        <f t="shared" si="0"/>
        <v>0</v>
      </c>
      <c r="F13" s="651">
        <f t="shared" si="1"/>
        <v>0</v>
      </c>
      <c r="G13" s="450" t="s">
        <v>1428</v>
      </c>
    </row>
    <row r="14" spans="1:16" ht="23.25" customHeight="1">
      <c r="A14">
        <v>3</v>
      </c>
      <c r="B14" s="620" t="str">
        <f>Notas!B255</f>
        <v>DEPRECIACION EQUIPO DE COM. Y SEÑALAMIENTO</v>
      </c>
      <c r="C14" s="489">
        <f>Notas!C255</f>
        <v>0</v>
      </c>
      <c r="D14" s="489">
        <f>Notas!D255</f>
        <v>0</v>
      </c>
      <c r="E14" s="650">
        <f t="shared" si="0"/>
        <v>0</v>
      </c>
      <c r="F14" s="651">
        <f t="shared" si="1"/>
        <v>0</v>
      </c>
      <c r="G14" s="450" t="s">
        <v>1428</v>
      </c>
    </row>
    <row r="15" spans="1:16" ht="23.25" customHeight="1">
      <c r="A15">
        <v>4</v>
      </c>
      <c r="B15" s="620" t="str">
        <f>Notas!B267</f>
        <v>DEPRECIACIONEQUIPO DE EQUIPO Y MUEBLES DE OFICINA</v>
      </c>
      <c r="C15" s="489">
        <f>Notas!C267</f>
        <v>0</v>
      </c>
      <c r="D15" s="489">
        <f>Notas!D267</f>
        <v>0</v>
      </c>
      <c r="E15" s="650">
        <f t="shared" si="0"/>
        <v>0</v>
      </c>
      <c r="F15" s="651">
        <f t="shared" si="1"/>
        <v>0</v>
      </c>
      <c r="G15" s="450" t="s">
        <v>1428</v>
      </c>
    </row>
    <row r="16" spans="1:16" ht="23.25" customHeight="1">
      <c r="A16">
        <v>5</v>
      </c>
      <c r="B16" s="620" t="s">
        <v>1124</v>
      </c>
      <c r="C16" s="489">
        <f>Notas!C279</f>
        <v>0</v>
      </c>
      <c r="D16" s="489">
        <f>Notas!D2279</f>
        <v>0</v>
      </c>
      <c r="E16" s="650">
        <f t="shared" si="0"/>
        <v>0</v>
      </c>
      <c r="F16" s="651">
        <f t="shared" si="1"/>
        <v>0</v>
      </c>
      <c r="G16" s="450" t="s">
        <v>1428</v>
      </c>
    </row>
    <row r="17" spans="1:16" ht="23.25" customHeight="1">
      <c r="A17">
        <v>6</v>
      </c>
      <c r="B17" s="620" t="str">
        <f>+'Notas NF'!B200</f>
        <v>Seguros bienes muebles</v>
      </c>
      <c r="C17" s="489">
        <f>+'Notas NF'!C200</f>
        <v>325699.31</v>
      </c>
      <c r="D17" s="489">
        <f>+'Notas NF'!D200</f>
        <v>488548.94</v>
      </c>
      <c r="E17" s="650">
        <f t="shared" si="0"/>
        <v>-162849.63</v>
      </c>
      <c r="F17" s="651">
        <f t="shared" si="1"/>
        <v>-0.33333329921870264</v>
      </c>
      <c r="G17" s="450" t="s">
        <v>1428</v>
      </c>
    </row>
    <row r="18" spans="1:16" ht="23.25" customHeight="1">
      <c r="A18">
        <v>7</v>
      </c>
      <c r="B18" s="620" t="str">
        <f>+'Notas NF'!B226</f>
        <v xml:space="preserve">Depósitos </v>
      </c>
      <c r="C18" s="489">
        <f>+'Notas NF'!C227</f>
        <v>0</v>
      </c>
      <c r="D18" s="489">
        <f>+'Notas NF'!D227</f>
        <v>0</v>
      </c>
      <c r="E18" s="650">
        <f t="shared" si="0"/>
        <v>0</v>
      </c>
      <c r="F18" s="651">
        <f t="shared" si="1"/>
        <v>0</v>
      </c>
      <c r="G18" s="450" t="s">
        <v>1428</v>
      </c>
    </row>
    <row r="19" spans="1:16" ht="27.75" customHeight="1">
      <c r="B19" s="205" t="s">
        <v>1160</v>
      </c>
      <c r="C19" s="199">
        <f>SUM(C12:C18)</f>
        <v>325699.31</v>
      </c>
      <c r="D19" s="498">
        <f>SUM(D12:D18)</f>
        <v>488548.94</v>
      </c>
      <c r="E19" s="652">
        <f>SUM(E12:E18)</f>
        <v>-162849.63</v>
      </c>
      <c r="F19" s="653">
        <f t="shared" si="1"/>
        <v>-0.33333329921870264</v>
      </c>
      <c r="G19" s="500" t="s">
        <v>1419</v>
      </c>
    </row>
    <row r="20" spans="1:16" ht="12.75" customHeight="1">
      <c r="B20" s="158"/>
      <c r="E20" s="206"/>
    </row>
    <row r="21" spans="1:16" s="5" customFormat="1" ht="27.75" customHeight="1">
      <c r="B21" s="1881" t="str">
        <f>+'1'!B21:C21</f>
        <v>Cambio porcentual con relación al 2025</v>
      </c>
      <c r="C21" s="1882"/>
      <c r="D21" s="304" t="str">
        <f>IF(E21&gt;=0,"Aumento","Disminución")</f>
        <v>Disminución</v>
      </c>
      <c r="E21" s="228">
        <f>IFERROR(+E19/D19,0)</f>
        <v>-0.33333329921870264</v>
      </c>
    </row>
    <row r="22" spans="1:16" ht="15.75">
      <c r="B22" s="158"/>
      <c r="E22" s="206"/>
    </row>
    <row r="23" spans="1:16" ht="3.75" customHeight="1">
      <c r="A23" s="492"/>
      <c r="B23" s="492"/>
      <c r="C23" s="492"/>
      <c r="D23" s="492"/>
      <c r="E23" s="492"/>
      <c r="F23" s="492"/>
      <c r="G23" s="492"/>
      <c r="H23" s="492"/>
    </row>
    <row r="24" spans="1:16">
      <c r="A24" s="492"/>
      <c r="B24" s="492"/>
      <c r="C24" s="492"/>
      <c r="D24" s="492"/>
      <c r="E24" s="492"/>
      <c r="F24" s="492"/>
      <c r="G24" s="492"/>
      <c r="H24" s="492"/>
    </row>
    <row r="25" spans="1:16">
      <c r="A25" s="492"/>
      <c r="B25" s="397" t="s">
        <v>1554</v>
      </c>
      <c r="C25" s="492"/>
      <c r="D25" s="492"/>
      <c r="E25" s="492"/>
      <c r="F25" s="492"/>
      <c r="G25" s="492"/>
      <c r="H25" s="492"/>
    </row>
    <row r="26" spans="1:16">
      <c r="A26" s="492"/>
      <c r="B26" s="482" t="s">
        <v>1467</v>
      </c>
      <c r="C26" s="482"/>
      <c r="D26" s="482"/>
      <c r="E26" s="492"/>
      <c r="G26" s="492"/>
      <c r="H26" s="492"/>
      <c r="I26" s="492"/>
      <c r="J26" s="492"/>
      <c r="K26" s="492"/>
    </row>
    <row r="27" spans="1:16" ht="21" customHeight="1">
      <c r="A27" s="492"/>
      <c r="B27" s="462"/>
      <c r="C27" s="1879">
        <f>C11</f>
        <v>2026</v>
      </c>
      <c r="D27" s="1880"/>
      <c r="E27" s="1880"/>
      <c r="F27" s="1880"/>
      <c r="G27" s="1880"/>
      <c r="H27" s="1880"/>
      <c r="I27" s="1880"/>
      <c r="J27" s="1880"/>
      <c r="K27" s="1880"/>
      <c r="L27" s="1880"/>
      <c r="M27" s="1880"/>
      <c r="N27" s="1880"/>
      <c r="O27" s="1880"/>
      <c r="P27" s="502">
        <f>D11</f>
        <v>2025</v>
      </c>
    </row>
    <row r="28" spans="1:16">
      <c r="A28" s="492"/>
      <c r="B28" s="462" t="s">
        <v>1149</v>
      </c>
      <c r="C28" s="463" t="s">
        <v>1415</v>
      </c>
      <c r="D28" s="463" t="s">
        <v>1418</v>
      </c>
      <c r="E28" s="463" t="s">
        <v>1434</v>
      </c>
      <c r="F28" s="463" t="s">
        <v>1435</v>
      </c>
      <c r="G28" s="463" t="s">
        <v>1436</v>
      </c>
      <c r="H28" s="463" t="s">
        <v>1437</v>
      </c>
      <c r="I28" s="463" t="s">
        <v>1438</v>
      </c>
      <c r="J28" s="463" t="s">
        <v>1439</v>
      </c>
      <c r="K28" s="463" t="s">
        <v>1440</v>
      </c>
      <c r="L28" s="463" t="s">
        <v>1441</v>
      </c>
      <c r="M28" s="463" t="s">
        <v>1410</v>
      </c>
      <c r="N28" s="463" t="s">
        <v>1411</v>
      </c>
      <c r="O28" s="463" t="s">
        <v>1412</v>
      </c>
      <c r="P28" s="502" t="s">
        <v>1526</v>
      </c>
    </row>
    <row r="29" spans="1:16" ht="23.25" customHeight="1">
      <c r="A29">
        <v>1</v>
      </c>
      <c r="B29" s="621" t="str">
        <f t="shared" ref="B29:B35" si="2">B12</f>
        <v>DEPRECIACION MAQUINARIAS Y EQUIPOS</v>
      </c>
      <c r="C29" s="213">
        <f t="shared" ref="C29:C35" si="3">SUM(D29:P29)</f>
        <v>0</v>
      </c>
      <c r="D29" s="512"/>
      <c r="E29" s="512"/>
      <c r="F29" s="512"/>
      <c r="G29" s="512"/>
      <c r="H29" s="512"/>
      <c r="I29" s="512"/>
      <c r="J29" s="512"/>
      <c r="K29" s="512"/>
      <c r="L29" s="512"/>
      <c r="M29" s="512"/>
      <c r="N29" s="512"/>
      <c r="O29" s="512"/>
      <c r="P29" s="517">
        <f t="shared" ref="P29:P35" si="4">D12</f>
        <v>0</v>
      </c>
    </row>
    <row r="30" spans="1:16" ht="23.25" customHeight="1">
      <c r="A30">
        <v>2</v>
      </c>
      <c r="B30" s="621" t="str">
        <f t="shared" si="2"/>
        <v>DEPRE. EQUIPO DE TRANSP., TRACCION Y ELEVACION</v>
      </c>
      <c r="C30" s="213">
        <f t="shared" si="3"/>
        <v>0</v>
      </c>
      <c r="D30" s="512"/>
      <c r="E30" s="512"/>
      <c r="F30" s="512"/>
      <c r="G30" s="512"/>
      <c r="H30" s="512"/>
      <c r="I30" s="512"/>
      <c r="J30" s="512"/>
      <c r="K30" s="512"/>
      <c r="L30" s="512"/>
      <c r="M30" s="512"/>
      <c r="N30" s="512"/>
      <c r="O30" s="512"/>
      <c r="P30" s="517">
        <f t="shared" si="4"/>
        <v>0</v>
      </c>
    </row>
    <row r="31" spans="1:16" ht="23.25" customHeight="1">
      <c r="A31">
        <v>3</v>
      </c>
      <c r="B31" s="621" t="str">
        <f t="shared" si="2"/>
        <v>DEPRECIACION EQUIPO DE COM. Y SEÑALAMIENTO</v>
      </c>
      <c r="C31" s="213">
        <f t="shared" si="3"/>
        <v>0</v>
      </c>
      <c r="D31" s="512"/>
      <c r="E31" s="512"/>
      <c r="F31" s="512"/>
      <c r="G31" s="512"/>
      <c r="H31" s="512"/>
      <c r="I31" s="512"/>
      <c r="J31" s="512"/>
      <c r="K31" s="512"/>
      <c r="L31" s="512"/>
      <c r="M31" s="512"/>
      <c r="N31" s="512"/>
      <c r="O31" s="512"/>
      <c r="P31" s="517">
        <f t="shared" si="4"/>
        <v>0</v>
      </c>
    </row>
    <row r="32" spans="1:16" ht="23.25" customHeight="1">
      <c r="A32">
        <v>4</v>
      </c>
      <c r="B32" s="621" t="str">
        <f t="shared" si="2"/>
        <v>DEPRECIACIONEQUIPO DE EQUIPO Y MUEBLES DE OFICINA</v>
      </c>
      <c r="C32" s="213">
        <f t="shared" si="3"/>
        <v>0</v>
      </c>
      <c r="D32" s="512"/>
      <c r="E32" s="512"/>
      <c r="F32" s="512"/>
      <c r="G32" s="512"/>
      <c r="H32" s="512"/>
      <c r="I32" s="512"/>
      <c r="J32" s="512"/>
      <c r="K32" s="512"/>
      <c r="L32" s="512"/>
      <c r="M32" s="512"/>
      <c r="N32" s="512"/>
      <c r="O32" s="512"/>
      <c r="P32" s="517">
        <f t="shared" si="4"/>
        <v>0</v>
      </c>
    </row>
    <row r="33" spans="1:16" ht="23.25" customHeight="1">
      <c r="B33" s="621" t="str">
        <f t="shared" si="2"/>
        <v>DEPRECIACION INMUEBLES</v>
      </c>
      <c r="C33" s="213">
        <f t="shared" si="3"/>
        <v>0</v>
      </c>
      <c r="D33" s="512"/>
      <c r="E33" s="512"/>
      <c r="F33" s="512"/>
      <c r="G33" s="512"/>
      <c r="H33" s="512"/>
      <c r="I33" s="512"/>
      <c r="J33" s="512"/>
      <c r="K33" s="512"/>
      <c r="L33" s="512"/>
      <c r="M33" s="512"/>
      <c r="N33" s="512"/>
      <c r="O33" s="512"/>
      <c r="P33" s="517">
        <f t="shared" si="4"/>
        <v>0</v>
      </c>
    </row>
    <row r="34" spans="1:16" ht="23.25" customHeight="1">
      <c r="B34" s="621" t="str">
        <f t="shared" si="2"/>
        <v>Seguros bienes muebles</v>
      </c>
      <c r="C34" s="213">
        <f t="shared" si="3"/>
        <v>325699.31</v>
      </c>
      <c r="D34" s="512">
        <f>+BALANZA!N78</f>
        <v>-54283.21</v>
      </c>
      <c r="E34" s="512">
        <f>+BALANZA!O78</f>
        <v>-54283.21</v>
      </c>
      <c r="F34" s="512">
        <f>+BALANZA!P78</f>
        <v>-54283.21</v>
      </c>
      <c r="G34" s="512">
        <f>+BALANZA!Q78</f>
        <v>0</v>
      </c>
      <c r="H34" s="512">
        <f>+BALANZA!R78</f>
        <v>0</v>
      </c>
      <c r="I34" s="512">
        <f>+BALANZA!S78</f>
        <v>0</v>
      </c>
      <c r="J34" s="512">
        <f>+BALANZA!T78</f>
        <v>0</v>
      </c>
      <c r="K34" s="512">
        <f>+BALANZA!U78</f>
        <v>0</v>
      </c>
      <c r="L34" s="512">
        <f>+BALANZA!V78</f>
        <v>0</v>
      </c>
      <c r="M34" s="512">
        <f>+BALANZA!W78</f>
        <v>0</v>
      </c>
      <c r="N34" s="512">
        <f>+BALANZA!X78</f>
        <v>0</v>
      </c>
      <c r="O34" s="512">
        <f>+BALANZA!Y78</f>
        <v>0</v>
      </c>
      <c r="P34" s="517">
        <f t="shared" si="4"/>
        <v>488548.94</v>
      </c>
    </row>
    <row r="35" spans="1:16" ht="23.25" customHeight="1">
      <c r="A35">
        <v>5</v>
      </c>
      <c r="B35" s="621" t="str">
        <f t="shared" si="2"/>
        <v xml:space="preserve">Depósitos </v>
      </c>
      <c r="C35" s="213">
        <f t="shared" si="3"/>
        <v>0</v>
      </c>
      <c r="D35" s="512">
        <f>+BALANZA!N79</f>
        <v>0</v>
      </c>
      <c r="E35" s="512">
        <f>+BALANZA!O79</f>
        <v>0</v>
      </c>
      <c r="F35" s="512">
        <f>+BALANZA!P79</f>
        <v>0</v>
      </c>
      <c r="G35" s="512">
        <f>+BALANZA!Q79</f>
        <v>0</v>
      </c>
      <c r="H35" s="512">
        <f>+BALANZA!R79</f>
        <v>0</v>
      </c>
      <c r="I35" s="512">
        <f>+BALANZA!S79</f>
        <v>0</v>
      </c>
      <c r="J35" s="512">
        <f>+BALANZA!T79</f>
        <v>0</v>
      </c>
      <c r="K35" s="512">
        <f>+BALANZA!U79</f>
        <v>0</v>
      </c>
      <c r="L35" s="512">
        <f>+BALANZA!V79</f>
        <v>0</v>
      </c>
      <c r="M35" s="512">
        <f>+BALANZA!W79</f>
        <v>0</v>
      </c>
      <c r="N35" s="512">
        <f>+BALANZA!X79</f>
        <v>0</v>
      </c>
      <c r="O35" s="512">
        <f>+BALANZA!Y79</f>
        <v>0</v>
      </c>
      <c r="P35" s="517">
        <f t="shared" si="4"/>
        <v>0</v>
      </c>
    </row>
    <row r="36" spans="1:16" ht="22.5" customHeight="1">
      <c r="A36" s="492"/>
      <c r="B36" s="192" t="s">
        <v>1152</v>
      </c>
      <c r="C36" s="214">
        <f t="shared" ref="C36:P36" si="5">SUM(C29:C35)</f>
        <v>325699.31</v>
      </c>
      <c r="D36" s="514">
        <f t="shared" si="5"/>
        <v>-54283.21</v>
      </c>
      <c r="E36" s="514">
        <f t="shared" si="5"/>
        <v>-54283.21</v>
      </c>
      <c r="F36" s="514">
        <f t="shared" si="5"/>
        <v>-54283.21</v>
      </c>
      <c r="G36" s="514">
        <f t="shared" si="5"/>
        <v>0</v>
      </c>
      <c r="H36" s="514">
        <f t="shared" si="5"/>
        <v>0</v>
      </c>
      <c r="I36" s="514">
        <f t="shared" si="5"/>
        <v>0</v>
      </c>
      <c r="J36" s="514">
        <f t="shared" si="5"/>
        <v>0</v>
      </c>
      <c r="K36" s="514">
        <f t="shared" si="5"/>
        <v>0</v>
      </c>
      <c r="L36" s="514">
        <f t="shared" si="5"/>
        <v>0</v>
      </c>
      <c r="M36" s="514">
        <f t="shared" si="5"/>
        <v>0</v>
      </c>
      <c r="N36" s="514">
        <f t="shared" si="5"/>
        <v>0</v>
      </c>
      <c r="O36" s="514">
        <f t="shared" si="5"/>
        <v>0</v>
      </c>
      <c r="P36" s="514">
        <f t="shared" si="5"/>
        <v>488548.94</v>
      </c>
    </row>
    <row r="37" spans="1:16">
      <c r="A37" s="492"/>
      <c r="B37" s="483"/>
      <c r="C37" s="484"/>
      <c r="D37" s="484"/>
      <c r="E37" s="492"/>
      <c r="F37" s="492"/>
      <c r="G37" s="492"/>
    </row>
    <row r="38" spans="1:16">
      <c r="A38" s="492"/>
      <c r="B38" s="485" t="s">
        <v>1406</v>
      </c>
      <c r="C38" s="486">
        <f>C36-C19</f>
        <v>0</v>
      </c>
      <c r="E38" s="11">
        <f>SUM(D34:I34)</f>
        <v>-162849.63</v>
      </c>
      <c r="M38" s="11">
        <f>M34-N34+900</f>
        <v>900</v>
      </c>
      <c r="P38">
        <f>SUM(D38:O38)</f>
        <v>-161949.63</v>
      </c>
    </row>
    <row r="39" spans="1:16">
      <c r="A39" s="492"/>
      <c r="B39" s="393"/>
      <c r="C39" s="450" t="str">
        <f>IF(C38=0,m!$B$7,m!$B$11)</f>
        <v>P</v>
      </c>
      <c r="E39" s="11">
        <f>SUM('21'!D32:I32)</f>
        <v>207897.87</v>
      </c>
      <c r="F39" s="11">
        <f>+E39+E38</f>
        <v>45048.239999999991</v>
      </c>
      <c r="K39" s="11"/>
      <c r="M39" s="11"/>
      <c r="N39" s="11">
        <f>+M39+F39</f>
        <v>45048.239999999991</v>
      </c>
    </row>
    <row r="40" spans="1:16" ht="15.75" thickBot="1">
      <c r="A40" s="525"/>
      <c r="B40" s="596" t="s">
        <v>1573</v>
      </c>
      <c r="C40" s="525"/>
      <c r="D40" s="525"/>
      <c r="E40" s="525"/>
      <c r="F40" s="525"/>
      <c r="G40" s="525"/>
      <c r="H40" s="525"/>
    </row>
    <row r="41" spans="1:16" s="525" customFormat="1" ht="15.75" thickBot="1">
      <c r="B41" s="2022"/>
      <c r="C41" s="555" t="s">
        <v>1425</v>
      </c>
    </row>
    <row r="42" spans="1:16" s="525" customFormat="1" ht="18.75" customHeight="1">
      <c r="B42" s="2023"/>
      <c r="C42" s="556" t="s">
        <v>1477</v>
      </c>
      <c r="D42" s="557" t="s">
        <v>1478</v>
      </c>
      <c r="E42" s="557" t="s">
        <v>6</v>
      </c>
      <c r="F42" s="1891" t="s">
        <v>1356</v>
      </c>
      <c r="G42" s="1891"/>
      <c r="H42" s="1891"/>
      <c r="I42" s="1891"/>
      <c r="J42" s="1891"/>
      <c r="K42" s="559" t="s">
        <v>1357</v>
      </c>
      <c r="L42" s="560" t="s">
        <v>1358</v>
      </c>
    </row>
    <row r="43" spans="1:16" s="525" customFormat="1" ht="9.75" customHeight="1">
      <c r="B43" s="2023"/>
      <c r="C43" s="540"/>
      <c r="D43" s="451"/>
      <c r="E43" s="451"/>
      <c r="F43" s="451"/>
      <c r="G43" s="457"/>
      <c r="H43" s="457"/>
      <c r="I43" s="393"/>
      <c r="J43" s="393"/>
      <c r="K43" s="393"/>
      <c r="L43" s="418"/>
    </row>
    <row r="44" spans="1:16" s="525" customFormat="1" ht="18.75" customHeight="1">
      <c r="B44" s="2023"/>
      <c r="C44" s="542">
        <v>8</v>
      </c>
      <c r="D44" s="543" t="str">
        <f>F10</f>
        <v>E</v>
      </c>
      <c r="E44" s="544"/>
      <c r="F44" s="545" t="s">
        <v>1570</v>
      </c>
      <c r="G44" s="546"/>
      <c r="H44" s="546"/>
      <c r="I44" s="546"/>
      <c r="J44" s="547"/>
      <c r="K44" s="544">
        <v>0</v>
      </c>
      <c r="L44" s="548"/>
    </row>
    <row r="45" spans="1:16" s="525" customFormat="1" ht="18.75" customHeight="1">
      <c r="B45" s="2023"/>
      <c r="C45" s="549"/>
      <c r="D45" s="550"/>
      <c r="E45" s="544"/>
      <c r="F45" s="545" t="s">
        <v>1570</v>
      </c>
      <c r="G45" s="546"/>
      <c r="H45" s="546"/>
      <c r="I45" s="546"/>
      <c r="J45" s="547"/>
      <c r="K45" s="544"/>
      <c r="L45" s="551">
        <f>K44</f>
        <v>0</v>
      </c>
    </row>
    <row r="46" spans="1:16" s="525" customFormat="1" ht="18.75" customHeight="1" thickBot="1">
      <c r="B46" s="2023"/>
      <c r="C46" s="552" t="s">
        <v>1562</v>
      </c>
      <c r="D46" s="553"/>
      <c r="E46" s="553"/>
      <c r="F46" s="553"/>
      <c r="G46" s="553"/>
      <c r="H46" s="553"/>
      <c r="I46" s="553"/>
      <c r="J46" s="553"/>
      <c r="K46" s="553"/>
      <c r="L46" s="554"/>
    </row>
    <row r="47" spans="1:16" s="525" customFormat="1" ht="7.5" customHeight="1">
      <c r="B47" s="2023"/>
    </row>
    <row r="48" spans="1:16" s="525" customFormat="1" ht="6.75" customHeight="1" thickBot="1">
      <c r="B48" s="2023"/>
    </row>
    <row r="49" spans="2:12" s="525" customFormat="1" ht="15.75" thickBot="1">
      <c r="B49" s="2023"/>
      <c r="C49" s="555" t="s">
        <v>1561</v>
      </c>
    </row>
    <row r="50" spans="2:12" s="525" customFormat="1" ht="18.75" customHeight="1">
      <c r="B50" s="2023"/>
      <c r="C50" s="556" t="s">
        <v>1477</v>
      </c>
      <c r="D50" s="557" t="s">
        <v>1478</v>
      </c>
      <c r="E50" s="557" t="s">
        <v>6</v>
      </c>
      <c r="F50" s="1891" t="s">
        <v>1356</v>
      </c>
      <c r="G50" s="1891"/>
      <c r="H50" s="1891"/>
      <c r="I50" s="1891"/>
      <c r="J50" s="1891"/>
      <c r="K50" s="559" t="s">
        <v>1357</v>
      </c>
      <c r="L50" s="560" t="s">
        <v>1358</v>
      </c>
    </row>
    <row r="51" spans="2:12" s="525" customFormat="1" ht="9.75" customHeight="1">
      <c r="B51" s="2023"/>
      <c r="C51" s="540"/>
      <c r="D51" s="451"/>
      <c r="E51" s="451"/>
      <c r="F51" s="451"/>
      <c r="G51" s="457"/>
      <c r="H51" s="457"/>
      <c r="I51" s="393"/>
      <c r="J51" s="393"/>
      <c r="K51" s="393"/>
      <c r="L51" s="418"/>
    </row>
    <row r="52" spans="2:12" s="525" customFormat="1" ht="18.75" customHeight="1">
      <c r="B52" s="2023"/>
      <c r="C52" s="543">
        <f>C44</f>
        <v>8</v>
      </c>
      <c r="D52" s="543" t="str">
        <f>D44</f>
        <v>E</v>
      </c>
      <c r="E52" s="544"/>
      <c r="F52" s="545" t="s">
        <v>1570</v>
      </c>
      <c r="G52" s="546"/>
      <c r="H52" s="546"/>
      <c r="I52" s="546"/>
      <c r="J52" s="547"/>
      <c r="K52" s="544"/>
      <c r="L52" s="548"/>
    </row>
    <row r="53" spans="2:12" s="525" customFormat="1" ht="18.75" customHeight="1">
      <c r="B53" s="2023"/>
      <c r="C53" s="549"/>
      <c r="D53" s="550"/>
      <c r="E53" s="544"/>
      <c r="F53" s="545" t="s">
        <v>1570</v>
      </c>
      <c r="G53" s="546"/>
      <c r="H53" s="546"/>
      <c r="I53" s="546"/>
      <c r="J53" s="547"/>
      <c r="K53" s="544"/>
      <c r="L53" s="551">
        <f>K52</f>
        <v>0</v>
      </c>
    </row>
    <row r="54" spans="2:12" s="525" customFormat="1" ht="18.75" customHeight="1" thickBot="1">
      <c r="B54" s="2024"/>
      <c r="C54" s="552" t="s">
        <v>1569</v>
      </c>
      <c r="D54" s="553"/>
      <c r="E54" s="553"/>
      <c r="F54" s="553"/>
      <c r="G54" s="553"/>
      <c r="H54" s="553"/>
      <c r="I54" s="553"/>
      <c r="J54" s="553"/>
      <c r="K54" s="553"/>
      <c r="L54" s="554"/>
    </row>
    <row r="55" spans="2:12" s="525" customFormat="1"/>
    <row r="56" spans="2:12">
      <c r="B56" s="179"/>
      <c r="C56" s="179"/>
      <c r="D56" s="179"/>
      <c r="E56" s="179"/>
      <c r="F56" s="179"/>
      <c r="G56" s="179"/>
      <c r="H56" s="179"/>
    </row>
    <row r="57" spans="2:12">
      <c r="B57" s="179"/>
      <c r="C57" s="179"/>
      <c r="D57" s="179"/>
      <c r="E57" s="179"/>
      <c r="F57" s="179"/>
      <c r="G57" s="179"/>
      <c r="H57" s="179"/>
    </row>
    <row r="58" spans="2:12">
      <c r="B58" s="179"/>
      <c r="C58" s="179"/>
      <c r="D58" s="179"/>
      <c r="E58" s="179"/>
      <c r="F58" s="179"/>
      <c r="G58" s="179"/>
      <c r="H58" s="179"/>
    </row>
    <row r="59" spans="2:12">
      <c r="B59" s="179"/>
      <c r="C59" s="179"/>
      <c r="D59" s="179"/>
      <c r="E59" s="179"/>
      <c r="F59" s="179"/>
      <c r="G59" s="179"/>
      <c r="H59" s="179"/>
    </row>
    <row r="60" spans="2:12">
      <c r="B60" s="179"/>
      <c r="C60" s="179"/>
      <c r="D60" s="179"/>
      <c r="E60" s="179"/>
      <c r="F60" s="179"/>
      <c r="G60" s="179"/>
      <c r="H60" s="179"/>
    </row>
    <row r="61" spans="2:12">
      <c r="B61" s="179"/>
      <c r="C61" s="179"/>
      <c r="D61" s="179"/>
      <c r="E61" s="179"/>
      <c r="F61" s="179"/>
      <c r="G61" s="179"/>
      <c r="H61" s="179"/>
    </row>
    <row r="62" spans="2:12">
      <c r="B62" s="179"/>
      <c r="C62" s="179"/>
      <c r="D62" s="179"/>
      <c r="E62" s="179"/>
      <c r="F62" s="179"/>
      <c r="G62" s="179"/>
      <c r="H62" s="179"/>
    </row>
    <row r="63" spans="2:12">
      <c r="B63" s="179"/>
      <c r="C63" s="179"/>
      <c r="D63" s="179"/>
      <c r="E63" s="179"/>
      <c r="F63" s="179"/>
      <c r="G63" s="179"/>
      <c r="H63" s="179"/>
    </row>
    <row r="64" spans="2:12">
      <c r="B64" s="179"/>
      <c r="C64" s="179"/>
      <c r="D64" s="179"/>
      <c r="E64" s="179"/>
      <c r="F64" s="179"/>
      <c r="G64" s="179"/>
      <c r="H64" s="179"/>
    </row>
    <row r="65" spans="2:8">
      <c r="B65" s="179"/>
      <c r="C65" s="179"/>
      <c r="D65" s="179"/>
      <c r="E65" s="179"/>
      <c r="F65" s="179"/>
      <c r="G65" s="179"/>
      <c r="H65" s="179"/>
    </row>
    <row r="66" spans="2:8">
      <c r="B66" s="179"/>
      <c r="C66" s="179"/>
      <c r="D66" s="179"/>
      <c r="E66" s="179"/>
      <c r="F66" s="179"/>
      <c r="G66" s="179"/>
      <c r="H66" s="179"/>
    </row>
    <row r="67" spans="2:8">
      <c r="B67" s="179"/>
      <c r="C67" s="179"/>
      <c r="D67" s="179"/>
      <c r="E67" s="179"/>
      <c r="F67" s="179"/>
      <c r="G67" s="179"/>
      <c r="H67" s="179"/>
    </row>
    <row r="68" spans="2:8">
      <c r="B68" s="179"/>
      <c r="C68" s="179"/>
      <c r="D68" s="179"/>
      <c r="E68" s="179"/>
      <c r="F68" s="179"/>
      <c r="G68" s="179"/>
      <c r="H68" s="179"/>
    </row>
    <row r="69" spans="2:8">
      <c r="B69" s="179"/>
      <c r="C69" s="179"/>
      <c r="D69" s="179"/>
      <c r="E69" s="179"/>
      <c r="F69" s="179"/>
      <c r="G69" s="179"/>
      <c r="H69" s="179"/>
    </row>
    <row r="70" spans="2:8">
      <c r="B70" s="179"/>
      <c r="C70" s="179"/>
      <c r="D70" s="179"/>
      <c r="E70" s="179"/>
      <c r="F70" s="179"/>
      <c r="G70" s="179"/>
      <c r="H70" s="179"/>
    </row>
    <row r="71" spans="2:8">
      <c r="B71" s="179"/>
      <c r="C71" s="179"/>
      <c r="D71" s="179"/>
      <c r="E71" s="179"/>
      <c r="F71" s="179"/>
      <c r="G71" s="179"/>
      <c r="H71" s="179"/>
    </row>
    <row r="72" spans="2:8">
      <c r="B72" s="179"/>
      <c r="C72" s="179"/>
      <c r="D72" s="179"/>
      <c r="E72" s="179"/>
      <c r="F72" s="179"/>
      <c r="G72" s="179"/>
      <c r="H72" s="179"/>
    </row>
    <row r="73" spans="2:8">
      <c r="B73" s="179"/>
      <c r="C73" s="179"/>
      <c r="D73" s="179"/>
      <c r="E73" s="179"/>
      <c r="F73" s="179"/>
      <c r="G73" s="179"/>
      <c r="H73" s="179"/>
    </row>
    <row r="74" spans="2:8">
      <c r="B74" s="179"/>
      <c r="C74" s="179"/>
      <c r="D74" s="179"/>
      <c r="E74" s="179"/>
      <c r="F74" s="179"/>
      <c r="G74" s="179"/>
      <c r="H74" s="179"/>
    </row>
    <row r="75" spans="2:8">
      <c r="B75" s="179"/>
      <c r="C75" s="179"/>
      <c r="D75" s="179"/>
      <c r="E75" s="179"/>
      <c r="F75" s="179"/>
      <c r="G75" s="179"/>
      <c r="H75" s="179"/>
    </row>
    <row r="76" spans="2:8">
      <c r="B76" s="179"/>
      <c r="C76" s="179"/>
      <c r="D76" s="179"/>
      <c r="E76" s="179"/>
      <c r="F76" s="179"/>
      <c r="G76" s="179"/>
      <c r="H76" s="179"/>
    </row>
    <row r="77" spans="2:8">
      <c r="B77" s="179"/>
      <c r="C77" s="179"/>
      <c r="D77" s="179"/>
      <c r="E77" s="179"/>
      <c r="F77" s="179"/>
      <c r="G77" s="179"/>
      <c r="H77" s="179"/>
    </row>
    <row r="78" spans="2:8">
      <c r="B78" s="179"/>
      <c r="C78" s="179"/>
      <c r="D78" s="179"/>
      <c r="E78" s="179"/>
      <c r="F78" s="179"/>
      <c r="G78" s="179"/>
      <c r="H78" s="179"/>
    </row>
    <row r="79" spans="2:8">
      <c r="B79" s="179"/>
      <c r="C79" s="179"/>
      <c r="D79" s="179"/>
      <c r="E79" s="179"/>
      <c r="F79" s="179"/>
      <c r="G79" s="179"/>
      <c r="H79" s="179"/>
    </row>
    <row r="80" spans="2:8">
      <c r="B80" s="179"/>
      <c r="C80" s="179"/>
      <c r="D80" s="179"/>
      <c r="E80" s="179"/>
      <c r="F80" s="179"/>
      <c r="G80" s="179"/>
      <c r="H80" s="179"/>
    </row>
    <row r="81" spans="2:8">
      <c r="B81" s="179"/>
      <c r="C81" s="179"/>
      <c r="D81" s="179"/>
      <c r="E81" s="179"/>
      <c r="F81" s="179"/>
      <c r="G81" s="179"/>
      <c r="H81" s="179"/>
    </row>
    <row r="82" spans="2:8">
      <c r="B82" s="179"/>
      <c r="C82" s="179"/>
      <c r="D82" s="179"/>
      <c r="E82" s="179"/>
      <c r="F82" s="179"/>
      <c r="G82" s="179"/>
      <c r="H82" s="179"/>
    </row>
  </sheetData>
  <mergeCells count="7">
    <mergeCell ref="B41:B54"/>
    <mergeCell ref="O1:P1"/>
    <mergeCell ref="B9:D9"/>
    <mergeCell ref="B21:C21"/>
    <mergeCell ref="C27:O27"/>
    <mergeCell ref="F42:J42"/>
    <mergeCell ref="F50:J50"/>
  </mergeCells>
  <conditionalFormatting sqref="D21">
    <cfRule type="expression" priority="1" stopIfTrue="1">
      <formula>"$E$165&gt;=1,¨Aumento¨"</formula>
    </cfRule>
  </conditionalFormatting>
  <dataValidations disablePrompts="1" count="1">
    <dataValidation type="list" allowBlank="1" showInputMessage="1" showErrorMessage="1" sqref="G10">
      <formula1>$I$3:$I$5</formula1>
    </dataValidation>
  </dataValidations>
  <hyperlinks>
    <hyperlink ref="E10" location="IPT!A1" display="INDICE"/>
  </hyperlinks>
  <printOptions horizontalCentered="1"/>
  <pageMargins left="0.51181102362204722" right="0.51181102362204722" top="0.74803149606299213" bottom="0.74803149606299213" header="0.31496062992125984" footer="0.31496062992125984"/>
  <pageSetup scale="6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heetViews>
  <sheetFormatPr baseColWidth="10" defaultColWidth="9.140625" defaultRowHeight="15"/>
  <cols>
    <col min="1" max="1" width="34.42578125" customWidth="1"/>
  </cols>
  <sheetData>
    <row r="1" spans="1:14">
      <c r="A1" s="396" t="s">
        <v>1355</v>
      </c>
      <c r="B1" s="179"/>
      <c r="C1" s="2048" t="s">
        <v>1432</v>
      </c>
      <c r="D1" s="2048"/>
      <c r="E1" s="2048"/>
      <c r="F1" s="2048"/>
      <c r="G1" s="2048"/>
      <c r="H1" s="2048"/>
      <c r="I1" s="2048"/>
      <c r="J1" s="2048"/>
      <c r="K1" s="2048"/>
      <c r="L1" s="2048"/>
      <c r="M1" s="179"/>
      <c r="N1" s="179"/>
    </row>
    <row r="2" spans="1:14" ht="15.75" thickBot="1">
      <c r="A2" s="179"/>
      <c r="B2" s="179"/>
      <c r="C2" s="179"/>
      <c r="D2" s="179"/>
      <c r="E2" s="179"/>
      <c r="F2" s="179"/>
      <c r="G2" s="179"/>
      <c r="H2" s="179"/>
      <c r="I2" s="179"/>
      <c r="J2" s="179"/>
      <c r="K2" s="179"/>
      <c r="L2" s="179"/>
      <c r="M2" s="179"/>
      <c r="N2" s="179"/>
    </row>
    <row r="3" spans="1:14">
      <c r="A3" s="412" t="s">
        <v>1433</v>
      </c>
      <c r="B3" s="413" t="s">
        <v>1418</v>
      </c>
      <c r="C3" s="414" t="s">
        <v>1434</v>
      </c>
      <c r="D3" s="414" t="s">
        <v>1435</v>
      </c>
      <c r="E3" s="414" t="s">
        <v>1436</v>
      </c>
      <c r="F3" s="414" t="s">
        <v>1437</v>
      </c>
      <c r="G3" s="414" t="s">
        <v>1438</v>
      </c>
      <c r="H3" s="414" t="s">
        <v>1439</v>
      </c>
      <c r="I3" s="414" t="s">
        <v>1440</v>
      </c>
      <c r="J3" s="414" t="s">
        <v>1441</v>
      </c>
      <c r="K3" s="414" t="s">
        <v>1410</v>
      </c>
      <c r="L3" s="414" t="s">
        <v>1411</v>
      </c>
      <c r="M3" s="415" t="s">
        <v>1412</v>
      </c>
      <c r="N3" s="416"/>
    </row>
    <row r="4" spans="1:14" ht="16.5" customHeight="1">
      <c r="A4" s="417" t="s">
        <v>1442</v>
      </c>
      <c r="B4" s="405"/>
      <c r="C4" s="374"/>
      <c r="D4" s="393"/>
      <c r="E4" s="393"/>
      <c r="F4" s="393"/>
      <c r="G4" s="393"/>
      <c r="H4" s="393"/>
      <c r="I4" s="393"/>
      <c r="J4" s="393"/>
      <c r="K4" s="393"/>
      <c r="L4" s="393"/>
      <c r="M4" s="418"/>
      <c r="N4" s="419" t="s">
        <v>1443</v>
      </c>
    </row>
    <row r="5" spans="1:14" ht="16.5" customHeight="1">
      <c r="A5" s="420"/>
      <c r="B5" s="405"/>
      <c r="C5" s="374"/>
      <c r="D5" s="393"/>
      <c r="E5" s="393"/>
      <c r="F5" s="393"/>
      <c r="G5" s="393"/>
      <c r="H5" s="393"/>
      <c r="I5" s="393"/>
      <c r="J5" s="393"/>
      <c r="K5" s="393"/>
      <c r="L5" s="393"/>
      <c r="M5" s="418"/>
      <c r="N5" s="421"/>
    </row>
    <row r="6" spans="1:14" ht="16.5" customHeight="1">
      <c r="A6" s="422" t="s">
        <v>1444</v>
      </c>
      <c r="B6" s="423">
        <f>SUM(B7:B10)</f>
        <v>0</v>
      </c>
      <c r="C6" s="424">
        <f t="shared" ref="C6:M6" si="0">SUM(C7:C10)</f>
        <v>0</v>
      </c>
      <c r="D6" s="424">
        <f t="shared" si="0"/>
        <v>0</v>
      </c>
      <c r="E6" s="424">
        <f t="shared" si="0"/>
        <v>0</v>
      </c>
      <c r="F6" s="424">
        <f t="shared" si="0"/>
        <v>0</v>
      </c>
      <c r="G6" s="424">
        <f t="shared" si="0"/>
        <v>0</v>
      </c>
      <c r="H6" s="424">
        <f t="shared" si="0"/>
        <v>0</v>
      </c>
      <c r="I6" s="424">
        <f t="shared" si="0"/>
        <v>0</v>
      </c>
      <c r="J6" s="424">
        <f t="shared" si="0"/>
        <v>0</v>
      </c>
      <c r="K6" s="424">
        <f t="shared" si="0"/>
        <v>0</v>
      </c>
      <c r="L6" s="424">
        <f t="shared" si="0"/>
        <v>0</v>
      </c>
      <c r="M6" s="425">
        <f t="shared" si="0"/>
        <v>0</v>
      </c>
      <c r="N6" s="421"/>
    </row>
    <row r="7" spans="1:14" ht="16.5" customHeight="1">
      <c r="A7" s="420" t="s">
        <v>1445</v>
      </c>
      <c r="B7" s="394"/>
      <c r="C7" s="374"/>
      <c r="D7" s="393"/>
      <c r="E7" s="393"/>
      <c r="F7" s="393"/>
      <c r="G7" s="393"/>
      <c r="H7" s="393"/>
      <c r="I7" s="393"/>
      <c r="J7" s="393"/>
      <c r="K7" s="393"/>
      <c r="L7" s="393"/>
      <c r="M7" s="418"/>
      <c r="N7" s="421"/>
    </row>
    <row r="8" spans="1:14" ht="16.5" customHeight="1">
      <c r="A8" s="420" t="s">
        <v>1446</v>
      </c>
      <c r="B8" s="405"/>
      <c r="C8" s="374"/>
      <c r="D8" s="393"/>
      <c r="E8" s="374"/>
      <c r="F8" s="374"/>
      <c r="G8" s="374"/>
      <c r="H8" s="374"/>
      <c r="I8" s="374"/>
      <c r="J8" s="374"/>
      <c r="K8" s="374"/>
      <c r="L8" s="374"/>
      <c r="M8" s="426"/>
      <c r="N8" s="421"/>
    </row>
    <row r="9" spans="1:14" ht="16.5" customHeight="1">
      <c r="A9" s="420" t="s">
        <v>1447</v>
      </c>
      <c r="B9" s="405"/>
      <c r="C9" s="374"/>
      <c r="D9" s="393"/>
      <c r="E9" s="374"/>
      <c r="F9" s="374"/>
      <c r="G9" s="374"/>
      <c r="H9" s="374"/>
      <c r="I9" s="374"/>
      <c r="J9" s="374"/>
      <c r="K9" s="374"/>
      <c r="L9" s="374"/>
      <c r="M9" s="426"/>
      <c r="N9" s="427"/>
    </row>
    <row r="10" spans="1:14" ht="16.5" customHeight="1">
      <c r="A10" s="417" t="s">
        <v>1448</v>
      </c>
      <c r="B10" s="428"/>
      <c r="C10" s="372"/>
      <c r="D10" s="395"/>
      <c r="E10" s="372"/>
      <c r="F10" s="372"/>
      <c r="G10" s="372"/>
      <c r="H10" s="372"/>
      <c r="I10" s="372"/>
      <c r="J10" s="372"/>
      <c r="K10" s="372"/>
      <c r="L10" s="372"/>
      <c r="M10" s="429"/>
      <c r="N10" s="430" t="s">
        <v>1449</v>
      </c>
    </row>
    <row r="11" spans="1:14" ht="16.5" customHeight="1">
      <c r="A11" s="420"/>
      <c r="B11" s="405"/>
      <c r="C11" s="374"/>
      <c r="D11" s="393"/>
      <c r="E11" s="393"/>
      <c r="F11" s="393"/>
      <c r="G11" s="393"/>
      <c r="H11" s="393"/>
      <c r="I11" s="393"/>
      <c r="J11" s="393"/>
      <c r="K11" s="393"/>
      <c r="L11" s="393"/>
      <c r="M11" s="418"/>
      <c r="N11" s="421"/>
    </row>
    <row r="12" spans="1:14" ht="16.5" customHeight="1">
      <c r="A12" s="422" t="s">
        <v>1450</v>
      </c>
      <c r="B12" s="423">
        <f>SUM(B13:B15)*0.1</f>
        <v>0</v>
      </c>
      <c r="C12" s="424">
        <f t="shared" ref="C12:M12" si="1">SUM(C13:C15)*0.1</f>
        <v>0</v>
      </c>
      <c r="D12" s="424">
        <f t="shared" si="1"/>
        <v>0</v>
      </c>
      <c r="E12" s="424">
        <f t="shared" si="1"/>
        <v>0</v>
      </c>
      <c r="F12" s="424">
        <f t="shared" si="1"/>
        <v>0</v>
      </c>
      <c r="G12" s="424">
        <f t="shared" si="1"/>
        <v>0</v>
      </c>
      <c r="H12" s="424">
        <f t="shared" si="1"/>
        <v>0</v>
      </c>
      <c r="I12" s="424">
        <f t="shared" si="1"/>
        <v>0</v>
      </c>
      <c r="J12" s="424">
        <f t="shared" si="1"/>
        <v>0</v>
      </c>
      <c r="K12" s="424">
        <f t="shared" si="1"/>
        <v>0</v>
      </c>
      <c r="L12" s="424">
        <f t="shared" si="1"/>
        <v>0</v>
      </c>
      <c r="M12" s="425">
        <f t="shared" si="1"/>
        <v>0</v>
      </c>
      <c r="N12" s="421"/>
    </row>
    <row r="13" spans="1:14" ht="16.5" customHeight="1">
      <c r="A13" s="420" t="s">
        <v>1451</v>
      </c>
      <c r="B13" s="405"/>
      <c r="C13" s="374"/>
      <c r="D13" s="374"/>
      <c r="E13" s="374"/>
      <c r="F13" s="374"/>
      <c r="G13" s="374"/>
      <c r="H13" s="374"/>
      <c r="I13" s="374"/>
      <c r="J13" s="374"/>
      <c r="K13" s="374"/>
      <c r="L13" s="374"/>
      <c r="M13" s="426"/>
      <c r="N13" s="421"/>
    </row>
    <row r="14" spans="1:14" ht="16.5" customHeight="1">
      <c r="A14" s="420" t="s">
        <v>1452</v>
      </c>
      <c r="B14" s="405"/>
      <c r="C14" s="374"/>
      <c r="D14" s="374"/>
      <c r="E14" s="374"/>
      <c r="F14" s="374"/>
      <c r="G14" s="374"/>
      <c r="H14" s="374"/>
      <c r="I14" s="374"/>
      <c r="J14" s="374"/>
      <c r="K14" s="374"/>
      <c r="L14" s="374"/>
      <c r="M14" s="426"/>
      <c r="N14" s="421"/>
    </row>
    <row r="15" spans="1:14" ht="16.5" customHeight="1">
      <c r="A15" s="417" t="s">
        <v>1453</v>
      </c>
      <c r="B15" s="428"/>
      <c r="C15" s="372"/>
      <c r="D15" s="372"/>
      <c r="E15" s="372"/>
      <c r="F15" s="372"/>
      <c r="G15" s="372"/>
      <c r="H15" s="372"/>
      <c r="I15" s="372"/>
      <c r="J15" s="372"/>
      <c r="K15" s="372"/>
      <c r="L15" s="372"/>
      <c r="M15" s="429"/>
      <c r="N15" s="430" t="s">
        <v>1449</v>
      </c>
    </row>
    <row r="16" spans="1:14" ht="16.5" customHeight="1">
      <c r="A16" s="420"/>
      <c r="B16" s="423"/>
      <c r="C16" s="424"/>
      <c r="D16" s="393"/>
      <c r="E16" s="393"/>
      <c r="F16" s="393"/>
      <c r="G16" s="393"/>
      <c r="H16" s="393"/>
      <c r="I16" s="393"/>
      <c r="J16" s="393"/>
      <c r="K16" s="393"/>
      <c r="L16" s="393"/>
      <c r="M16" s="418"/>
      <c r="N16" s="421"/>
    </row>
    <row r="17" spans="1:14" ht="16.5" customHeight="1">
      <c r="A17" s="431" t="s">
        <v>1454</v>
      </c>
      <c r="B17" s="432">
        <f>(B12+B6)*0.1</f>
        <v>0</v>
      </c>
      <c r="C17" s="433">
        <f t="shared" ref="C17:M17" si="2">(C12+C6)*0.1</f>
        <v>0</v>
      </c>
      <c r="D17" s="433">
        <f t="shared" si="2"/>
        <v>0</v>
      </c>
      <c r="E17" s="433">
        <f t="shared" si="2"/>
        <v>0</v>
      </c>
      <c r="F17" s="433">
        <f t="shared" si="2"/>
        <v>0</v>
      </c>
      <c r="G17" s="433">
        <f t="shared" si="2"/>
        <v>0</v>
      </c>
      <c r="H17" s="433">
        <f t="shared" si="2"/>
        <v>0</v>
      </c>
      <c r="I17" s="433">
        <f t="shared" si="2"/>
        <v>0</v>
      </c>
      <c r="J17" s="433">
        <f t="shared" si="2"/>
        <v>0</v>
      </c>
      <c r="K17" s="433">
        <f t="shared" si="2"/>
        <v>0</v>
      </c>
      <c r="L17" s="433">
        <f t="shared" si="2"/>
        <v>0</v>
      </c>
      <c r="M17" s="434">
        <f t="shared" si="2"/>
        <v>0</v>
      </c>
      <c r="N17" s="435" t="s">
        <v>1417</v>
      </c>
    </row>
    <row r="18" spans="1:14" ht="16.5" customHeight="1">
      <c r="A18" s="420"/>
      <c r="B18" s="394"/>
      <c r="C18" s="393"/>
      <c r="D18" s="393"/>
      <c r="E18" s="393"/>
      <c r="F18" s="393"/>
      <c r="G18" s="393"/>
      <c r="H18" s="393"/>
      <c r="I18" s="393"/>
      <c r="J18" s="393"/>
      <c r="K18" s="393"/>
      <c r="L18" s="393"/>
      <c r="M18" s="418"/>
      <c r="N18" s="421"/>
    </row>
    <row r="19" spans="1:14" ht="16.5" customHeight="1">
      <c r="A19" s="420" t="s">
        <v>1455</v>
      </c>
      <c r="B19" s="394"/>
      <c r="C19" s="393"/>
      <c r="D19" s="393"/>
      <c r="E19" s="393"/>
      <c r="F19" s="393"/>
      <c r="G19" s="393"/>
      <c r="H19" s="393"/>
      <c r="I19" s="393"/>
      <c r="J19" s="393"/>
      <c r="K19" s="393"/>
      <c r="L19" s="393"/>
      <c r="M19" s="418"/>
      <c r="N19" s="421"/>
    </row>
    <row r="20" spans="1:14" ht="16.5" customHeight="1">
      <c r="A20" s="420"/>
      <c r="B20" s="394"/>
      <c r="C20" s="393"/>
      <c r="D20" s="393"/>
      <c r="E20" s="393"/>
      <c r="F20" s="393"/>
      <c r="G20" s="393"/>
      <c r="H20" s="393"/>
      <c r="I20" s="393"/>
      <c r="J20" s="393"/>
      <c r="K20" s="393"/>
      <c r="L20" s="393"/>
      <c r="M20" s="418"/>
      <c r="N20" s="421"/>
    </row>
    <row r="21" spans="1:14" ht="16.5" customHeight="1">
      <c r="A21" s="431" t="s">
        <v>1456</v>
      </c>
      <c r="B21" s="432">
        <f>B19*0.1</f>
        <v>0</v>
      </c>
      <c r="C21" s="433">
        <f t="shared" ref="C21:M21" si="3">C19*0.1</f>
        <v>0</v>
      </c>
      <c r="D21" s="433">
        <f t="shared" si="3"/>
        <v>0</v>
      </c>
      <c r="E21" s="433">
        <f t="shared" si="3"/>
        <v>0</v>
      </c>
      <c r="F21" s="433">
        <f t="shared" si="3"/>
        <v>0</v>
      </c>
      <c r="G21" s="433">
        <f t="shared" si="3"/>
        <v>0</v>
      </c>
      <c r="H21" s="433">
        <f t="shared" si="3"/>
        <v>0</v>
      </c>
      <c r="I21" s="433">
        <f t="shared" si="3"/>
        <v>0</v>
      </c>
      <c r="J21" s="433">
        <f t="shared" si="3"/>
        <v>0</v>
      </c>
      <c r="K21" s="433">
        <f t="shared" si="3"/>
        <v>0</v>
      </c>
      <c r="L21" s="433">
        <f t="shared" si="3"/>
        <v>0</v>
      </c>
      <c r="M21" s="434">
        <f t="shared" si="3"/>
        <v>0</v>
      </c>
      <c r="N21" s="421"/>
    </row>
    <row r="22" spans="1:14" ht="16.5" customHeight="1" thickBot="1">
      <c r="A22" s="420"/>
      <c r="B22" s="436"/>
      <c r="C22" s="393"/>
      <c r="D22" s="393"/>
      <c r="E22" s="393"/>
      <c r="F22" s="393"/>
      <c r="G22" s="393"/>
      <c r="H22" s="393"/>
      <c r="I22" s="393"/>
      <c r="J22" s="393"/>
      <c r="K22" s="393"/>
      <c r="L22" s="393"/>
      <c r="M22" s="418"/>
      <c r="N22" s="421"/>
    </row>
    <row r="23" spans="1:14" ht="16.5" customHeight="1" thickBot="1">
      <c r="A23" s="437" t="s">
        <v>1457</v>
      </c>
      <c r="B23" s="438">
        <f t="shared" ref="B23:M23" si="4">B21-B17</f>
        <v>0</v>
      </c>
      <c r="C23" s="438">
        <f t="shared" si="4"/>
        <v>0</v>
      </c>
      <c r="D23" s="438">
        <f t="shared" si="4"/>
        <v>0</v>
      </c>
      <c r="E23" s="438">
        <f t="shared" si="4"/>
        <v>0</v>
      </c>
      <c r="F23" s="438">
        <f t="shared" si="4"/>
        <v>0</v>
      </c>
      <c r="G23" s="438">
        <f t="shared" si="4"/>
        <v>0</v>
      </c>
      <c r="H23" s="438">
        <f t="shared" si="4"/>
        <v>0</v>
      </c>
      <c r="I23" s="438">
        <f t="shared" si="4"/>
        <v>0</v>
      </c>
      <c r="J23" s="438">
        <f t="shared" si="4"/>
        <v>0</v>
      </c>
      <c r="K23" s="438">
        <f t="shared" si="4"/>
        <v>0</v>
      </c>
      <c r="L23" s="438">
        <f t="shared" si="4"/>
        <v>0</v>
      </c>
      <c r="M23" s="439">
        <f t="shared" si="4"/>
        <v>0</v>
      </c>
      <c r="N23" s="435" t="s">
        <v>1417</v>
      </c>
    </row>
    <row r="24" spans="1:14" ht="16.5" customHeight="1" thickBot="1">
      <c r="A24" s="440"/>
      <c r="B24" s="441"/>
      <c r="C24" s="441"/>
      <c r="D24" s="441"/>
      <c r="E24" s="441"/>
      <c r="F24" s="441"/>
      <c r="G24" s="441"/>
      <c r="H24" s="441"/>
      <c r="I24" s="441"/>
      <c r="J24" s="441"/>
      <c r="K24" s="441"/>
      <c r="L24" s="441"/>
      <c r="M24" s="442"/>
      <c r="N24" s="443"/>
    </row>
    <row r="25" spans="1:14">
      <c r="A25" s="179"/>
      <c r="B25" s="179"/>
      <c r="C25" s="179"/>
      <c r="D25" s="179"/>
      <c r="E25" s="179"/>
      <c r="F25" s="179"/>
      <c r="G25" s="179"/>
      <c r="H25" s="179"/>
      <c r="I25" s="179"/>
      <c r="J25" s="179"/>
      <c r="K25" s="179"/>
      <c r="L25" s="179"/>
      <c r="M25" s="179"/>
      <c r="N25" s="179"/>
    </row>
    <row r="26" spans="1:14">
      <c r="A26" s="179"/>
      <c r="B26" s="179"/>
      <c r="C26" s="179"/>
      <c r="D26" s="179"/>
      <c r="E26" s="179"/>
      <c r="F26" s="179"/>
      <c r="G26" s="179"/>
      <c r="H26" s="179"/>
      <c r="I26" s="179"/>
      <c r="J26" s="179"/>
      <c r="K26" s="179"/>
      <c r="L26" s="179"/>
      <c r="M26" s="371"/>
      <c r="N26" s="179"/>
    </row>
    <row r="27" spans="1:14">
      <c r="A27" s="179"/>
      <c r="B27" s="179"/>
      <c r="C27" s="179"/>
      <c r="D27" s="179"/>
      <c r="E27" s="179"/>
      <c r="F27" s="179"/>
      <c r="G27" s="179"/>
      <c r="H27" s="179"/>
      <c r="I27" s="179"/>
      <c r="J27" s="179"/>
      <c r="K27" s="179"/>
      <c r="L27" s="179"/>
      <c r="M27" s="179"/>
      <c r="N27" s="179"/>
    </row>
    <row r="28" spans="1:14">
      <c r="A28" s="179"/>
      <c r="B28" s="179"/>
      <c r="C28" s="179"/>
      <c r="D28" s="179"/>
      <c r="E28" s="179"/>
      <c r="F28" s="179"/>
      <c r="G28" s="179"/>
      <c r="H28" s="179"/>
      <c r="I28" s="179"/>
      <c r="J28" s="179"/>
      <c r="K28" s="179"/>
      <c r="L28" s="179"/>
      <c r="M28" s="179"/>
      <c r="N28" s="179"/>
    </row>
    <row r="29" spans="1:14">
      <c r="A29" s="179" t="s">
        <v>1458</v>
      </c>
      <c r="B29" s="179"/>
      <c r="C29" s="179"/>
      <c r="D29" s="179"/>
      <c r="E29" s="179"/>
      <c r="F29" s="179"/>
      <c r="G29" s="179"/>
      <c r="H29" s="179"/>
      <c r="I29" s="179"/>
      <c r="J29" s="179"/>
      <c r="K29" s="179"/>
      <c r="L29" s="179"/>
      <c r="M29" s="179"/>
      <c r="N29" s="179"/>
    </row>
    <row r="30" spans="1:14">
      <c r="A30" s="179"/>
      <c r="B30" s="179"/>
      <c r="C30" s="179"/>
      <c r="D30" s="179"/>
      <c r="E30" s="179"/>
      <c r="F30" s="179"/>
      <c r="G30" s="179"/>
      <c r="H30" s="179"/>
      <c r="I30" s="179"/>
      <c r="J30" s="179"/>
      <c r="K30" s="179"/>
      <c r="L30" s="179"/>
      <c r="M30" s="179"/>
      <c r="N30" s="179"/>
    </row>
    <row r="31" spans="1:14">
      <c r="A31" s="179"/>
      <c r="B31" s="179"/>
      <c r="C31" s="179"/>
      <c r="D31" s="179"/>
      <c r="E31" s="179"/>
      <c r="F31" s="179"/>
      <c r="G31" s="179"/>
      <c r="H31" s="179"/>
      <c r="I31" s="179"/>
      <c r="J31" s="179"/>
      <c r="K31" s="179"/>
      <c r="L31" s="179"/>
      <c r="M31" s="179"/>
      <c r="N31" s="179"/>
    </row>
  </sheetData>
  <mergeCells count="1">
    <mergeCell ref="C1:L1"/>
  </mergeCells>
  <hyperlinks>
    <hyperlink ref="A1" location="IPT!A1" display="INDIC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09"/>
  <sheetViews>
    <sheetView topLeftCell="A19" zoomScale="95" zoomScaleNormal="95" workbookViewId="0">
      <selection activeCell="D40" sqref="D40"/>
    </sheetView>
  </sheetViews>
  <sheetFormatPr baseColWidth="10" defaultColWidth="9.140625" defaultRowHeight="15"/>
  <cols>
    <col min="1" max="1" width="5.28515625" customWidth="1"/>
    <col min="2" max="2" width="40.85546875" customWidth="1"/>
    <col min="3" max="3" width="14.7109375" customWidth="1"/>
    <col min="4" max="5" width="15.7109375" customWidth="1"/>
    <col min="6" max="6" width="18.140625" customWidth="1"/>
    <col min="7" max="7" width="14.5703125" customWidth="1"/>
    <col min="8" max="9" width="13.42578125" bestFit="1" customWidth="1"/>
    <col min="10" max="10" width="13.7109375" customWidth="1"/>
    <col min="11" max="13" width="14" bestFit="1" customWidth="1"/>
    <col min="14" max="14" width="12.85546875" bestFit="1" customWidth="1"/>
    <col min="15" max="15" width="11.85546875" bestFit="1" customWidth="1"/>
    <col min="16" max="16" width="14" customWidth="1"/>
  </cols>
  <sheetData>
    <row r="1" spans="1:16" ht="16.5" customHeight="1">
      <c r="A1" s="179"/>
      <c r="B1" s="522" t="str">
        <f>BALANZA!B1</f>
        <v>CORPORACION DEL ACUEDUCTO Y ALCANTARILLADO DE MOCA</v>
      </c>
      <c r="C1" s="179"/>
      <c r="D1" s="1950"/>
      <c r="E1" s="2069"/>
      <c r="F1" s="2069"/>
      <c r="G1" s="2069"/>
      <c r="H1" s="179"/>
      <c r="I1" s="179"/>
      <c r="J1" s="179"/>
      <c r="O1" s="1895" t="str">
        <f>IPT!$F$5</f>
        <v>AUDITOR: JJSM</v>
      </c>
      <c r="P1" s="1895"/>
    </row>
    <row r="2" spans="1:16" ht="16.5" customHeight="1">
      <c r="A2" s="535"/>
      <c r="B2" s="522" t="str">
        <f>BALANZA!B2</f>
        <v>Del Ejercicio terminado el  31 de marzo de 2026  y  2025</v>
      </c>
      <c r="C2" s="535"/>
      <c r="D2" s="378"/>
      <c r="E2" s="493"/>
      <c r="F2" s="493"/>
      <c r="G2" s="493"/>
      <c r="H2" s="535"/>
      <c r="I2" s="535"/>
      <c r="J2" s="535"/>
    </row>
    <row r="3" spans="1:16" hidden="1">
      <c r="A3" s="492"/>
      <c r="B3" s="492"/>
      <c r="C3" s="492"/>
      <c r="D3" s="378"/>
      <c r="E3" s="493"/>
      <c r="F3" s="493"/>
      <c r="G3" s="492" t="s">
        <v>1532</v>
      </c>
      <c r="H3" s="492"/>
      <c r="I3" s="492"/>
      <c r="J3" s="492"/>
      <c r="K3" s="375"/>
      <c r="L3" s="446"/>
    </row>
    <row r="4" spans="1:16" hidden="1">
      <c r="A4" s="492"/>
      <c r="B4" s="492"/>
      <c r="C4" s="492"/>
      <c r="D4" s="378"/>
      <c r="E4" s="493"/>
      <c r="F4" s="493"/>
      <c r="G4" s="492" t="s">
        <v>1533</v>
      </c>
      <c r="H4" s="492"/>
      <c r="I4" s="492"/>
      <c r="J4" s="492"/>
      <c r="K4" s="375"/>
      <c r="L4" s="446"/>
    </row>
    <row r="5" spans="1:16" hidden="1">
      <c r="A5" s="492"/>
      <c r="B5" s="492"/>
      <c r="C5" s="492"/>
      <c r="D5" s="378"/>
      <c r="E5" s="493"/>
      <c r="F5" s="493"/>
      <c r="G5" s="492" t="s">
        <v>1531</v>
      </c>
      <c r="H5" s="492"/>
      <c r="I5" s="492"/>
      <c r="J5" s="492"/>
      <c r="K5" s="375"/>
      <c r="L5" s="446"/>
    </row>
    <row r="6" spans="1:16" s="5" customFormat="1" hidden="1">
      <c r="A6" s="393"/>
      <c r="B6" s="374"/>
      <c r="C6" s="374"/>
      <c r="D6" s="374"/>
      <c r="E6" s="374"/>
      <c r="F6" s="374"/>
      <c r="G6" s="374"/>
      <c r="H6" s="374"/>
      <c r="I6" s="374"/>
      <c r="J6" s="374"/>
      <c r="K6" s="374"/>
      <c r="L6" s="393"/>
    </row>
    <row r="7" spans="1:16" s="5" customFormat="1">
      <c r="A7" s="393"/>
      <c r="B7" s="393"/>
      <c r="C7" s="393"/>
      <c r="D7" s="393"/>
      <c r="E7" s="393"/>
      <c r="F7" s="393"/>
      <c r="G7" s="393"/>
      <c r="H7" s="393"/>
      <c r="I7" s="393"/>
      <c r="J7" s="393"/>
      <c r="K7" s="393"/>
      <c r="L7" s="393"/>
    </row>
    <row r="8" spans="1:16">
      <c r="A8" s="396"/>
      <c r="B8" s="397" t="s">
        <v>1564</v>
      </c>
      <c r="D8" s="397"/>
      <c r="E8" s="397"/>
      <c r="F8" s="397"/>
      <c r="G8" s="469"/>
      <c r="H8" s="469"/>
    </row>
    <row r="9" spans="1:16" ht="3.75" customHeight="1">
      <c r="A9" s="469"/>
      <c r="B9" s="469"/>
      <c r="C9" s="469"/>
      <c r="D9" s="469"/>
      <c r="E9" s="469"/>
      <c r="F9" s="469"/>
      <c r="G9" s="469"/>
      <c r="H9" s="469"/>
    </row>
    <row r="10" spans="1:16">
      <c r="A10" s="469"/>
      <c r="B10" s="2021" t="s">
        <v>1475</v>
      </c>
      <c r="C10" s="2021"/>
      <c r="D10" s="2021"/>
      <c r="E10" s="469"/>
      <c r="F10" s="469"/>
      <c r="G10" s="469"/>
      <c r="H10" s="469"/>
    </row>
    <row r="11" spans="1:16" ht="21.75" customHeight="1">
      <c r="A11" s="469"/>
      <c r="B11" s="469"/>
      <c r="C11" s="469"/>
      <c r="D11" s="469"/>
      <c r="E11" s="539" t="s">
        <v>1355</v>
      </c>
      <c r="F11" s="538" t="str">
        <f>IPT!C19</f>
        <v>AA</v>
      </c>
      <c r="G11" s="529" t="str">
        <f>IF(C38=0,"Verificado","Pendiente")</f>
        <v>Verificado</v>
      </c>
      <c r="H11" s="469"/>
    </row>
    <row r="12" spans="1:16" ht="30">
      <c r="B12" s="200" t="s">
        <v>1149</v>
      </c>
      <c r="C12" s="201">
        <f>BALANZA!B4</f>
        <v>2026</v>
      </c>
      <c r="D12" s="201">
        <f>BALANZA!C4</f>
        <v>2025</v>
      </c>
      <c r="E12" s="464" t="s">
        <v>1213</v>
      </c>
      <c r="F12" s="494" t="s">
        <v>1465</v>
      </c>
      <c r="G12" s="494" t="s">
        <v>1476</v>
      </c>
    </row>
    <row r="13" spans="1:16" ht="21.75" customHeight="1">
      <c r="A13">
        <v>1</v>
      </c>
      <c r="B13" s="489" t="str">
        <f>Notas!B308</f>
        <v>Sobregiro Bancarios</v>
      </c>
      <c r="C13" s="204"/>
      <c r="D13" s="204"/>
      <c r="E13" s="650">
        <f t="shared" ref="E13:E19" si="0">+C13-D13</f>
        <v>0</v>
      </c>
      <c r="F13" s="651">
        <f t="shared" ref="F13:F20" si="1">IFERROR(E13/D13,0)</f>
        <v>0</v>
      </c>
      <c r="G13" s="450" t="s">
        <v>1428</v>
      </c>
    </row>
    <row r="14" spans="1:16" ht="21.75" customHeight="1">
      <c r="A14">
        <v>2</v>
      </c>
      <c r="B14" s="489" t="str">
        <f>Notas!B309</f>
        <v>Cuentas por pagar Suplidores (anexos)</v>
      </c>
      <c r="C14" s="1736">
        <f>+'Notas NF'!C392+'Notas NF'!C393</f>
        <v>11936643.77</v>
      </c>
      <c r="D14" s="204">
        <f>+'Notas NF'!D392+'Notas NF'!D393</f>
        <v>8951565.0899999999</v>
      </c>
      <c r="E14" s="650">
        <f t="shared" si="0"/>
        <v>2985078.6799999997</v>
      </c>
      <c r="F14" s="651">
        <f t="shared" si="1"/>
        <v>0.33347003009950743</v>
      </c>
      <c r="G14" s="450" t="s">
        <v>1428</v>
      </c>
      <c r="K14" s="1251" t="s">
        <v>2829</v>
      </c>
    </row>
    <row r="15" spans="1:16" ht="21.75" customHeight="1">
      <c r="A15">
        <v>3</v>
      </c>
      <c r="B15" s="489" t="str">
        <f>Notas!B310</f>
        <v>Otras Cuentas por pagar (anexos)</v>
      </c>
      <c r="C15" s="204">
        <f>+'Notas NF'!C394</f>
        <v>0</v>
      </c>
      <c r="D15" s="204">
        <f>+'Notas NF'!D394</f>
        <v>0</v>
      </c>
      <c r="E15" s="650">
        <f t="shared" si="0"/>
        <v>0</v>
      </c>
      <c r="F15" s="651">
        <f t="shared" si="1"/>
        <v>0</v>
      </c>
      <c r="G15" s="450" t="s">
        <v>1428</v>
      </c>
      <c r="K15" s="1252" t="s">
        <v>2822</v>
      </c>
      <c r="L15" s="1252" t="s">
        <v>2823</v>
      </c>
      <c r="M15" s="1252" t="s">
        <v>2824</v>
      </c>
      <c r="N15" s="1252" t="s">
        <v>2825</v>
      </c>
    </row>
    <row r="16" spans="1:16" ht="21.75" customHeight="1">
      <c r="A16">
        <v>4</v>
      </c>
      <c r="B16" s="489" t="str">
        <f>Notas!B311</f>
        <v>Deducciones al personal (Histórico Antiguo PP)</v>
      </c>
      <c r="C16" s="204">
        <f>+'Notas NF'!C427</f>
        <v>0</v>
      </c>
      <c r="D16" s="204">
        <f>+'Notas NF'!D427</f>
        <v>0</v>
      </c>
      <c r="E16" s="650">
        <f t="shared" si="0"/>
        <v>0</v>
      </c>
      <c r="F16" s="651">
        <f t="shared" si="1"/>
        <v>0</v>
      </c>
      <c r="G16" s="450" t="s">
        <v>1428</v>
      </c>
      <c r="K16" s="733">
        <f>SUM(D36:F36)</f>
        <v>2985078.6799999978</v>
      </c>
      <c r="L16" s="733">
        <f>SUM(D36:I36)</f>
        <v>2985078.6799999978</v>
      </c>
      <c r="M16" s="733">
        <f>SUM(D36:L36)</f>
        <v>2985078.6799999978</v>
      </c>
      <c r="N16" s="733">
        <f>SUM(D36:O36)</f>
        <v>2985078.6799999978</v>
      </c>
    </row>
    <row r="17" spans="1:16" ht="21.75" customHeight="1">
      <c r="A17">
        <v>5</v>
      </c>
      <c r="B17" s="489" t="s">
        <v>2341</v>
      </c>
      <c r="C17" s="204">
        <f>+'Notas NF'!C428</f>
        <v>0</v>
      </c>
      <c r="D17" s="204">
        <f>+'Notas NF'!D428</f>
        <v>0</v>
      </c>
      <c r="E17" s="650">
        <f>+C17-D17</f>
        <v>0</v>
      </c>
      <c r="F17" s="651">
        <f t="shared" si="1"/>
        <v>0</v>
      </c>
      <c r="G17" s="450" t="s">
        <v>1428</v>
      </c>
    </row>
    <row r="18" spans="1:16" ht="21.75" customHeight="1">
      <c r="A18">
        <v>6</v>
      </c>
      <c r="B18" s="489" t="str">
        <f>Notas!B312</f>
        <v>Documentos por pagar</v>
      </c>
      <c r="C18" s="204">
        <f>+'Notas NF'!C405</f>
        <v>0</v>
      </c>
      <c r="D18" s="204">
        <f>+'Notas NF'!D405</f>
        <v>0</v>
      </c>
      <c r="E18" s="650">
        <f t="shared" si="0"/>
        <v>0</v>
      </c>
      <c r="F18" s="651">
        <f t="shared" si="1"/>
        <v>0</v>
      </c>
      <c r="G18" s="450" t="s">
        <v>1428</v>
      </c>
    </row>
    <row r="19" spans="1:16" ht="21.75" customHeight="1">
      <c r="A19">
        <v>7</v>
      </c>
      <c r="B19" s="489" t="str">
        <f>Notas!B313</f>
        <v>Retenciones por pagar</v>
      </c>
      <c r="C19" s="204">
        <f>+'Notas NF'!C447</f>
        <v>139610.85</v>
      </c>
      <c r="D19" s="204">
        <f>+'Notas NF'!D447</f>
        <v>139610.85100000002</v>
      </c>
      <c r="E19" s="650">
        <f t="shared" si="0"/>
        <v>-1.0000000183936208E-3</v>
      </c>
      <c r="F19" s="651">
        <f t="shared" si="1"/>
        <v>-7.1627671576446498E-9</v>
      </c>
      <c r="G19" s="450"/>
    </row>
    <row r="20" spans="1:16" ht="27.75" customHeight="1">
      <c r="B20" s="205" t="s">
        <v>1160</v>
      </c>
      <c r="C20" s="199">
        <f>SUM(C13:C19)</f>
        <v>12076254.619999999</v>
      </c>
      <c r="D20" s="199">
        <f>SUM(D13:D19)</f>
        <v>9091175.9409999996</v>
      </c>
      <c r="E20" s="652">
        <f>SUM(E13:E18)</f>
        <v>2985078.6799999997</v>
      </c>
      <c r="F20" s="653">
        <f t="shared" si="1"/>
        <v>0.32834901660385762</v>
      </c>
      <c r="G20" s="500" t="s">
        <v>1419</v>
      </c>
    </row>
    <row r="21" spans="1:16" ht="10.5" customHeight="1">
      <c r="B21" s="158"/>
      <c r="E21" s="206"/>
    </row>
    <row r="22" spans="1:16" s="5" customFormat="1" ht="27.75" customHeight="1">
      <c r="B22" s="2051" t="str">
        <f>+'1'!B21:C21</f>
        <v>Cambio porcentual con relación al 2025</v>
      </c>
      <c r="C22" s="2052"/>
      <c r="D22" s="618" t="str">
        <f>IF(E22&gt;=0,"Aumento","Disminución")</f>
        <v>Aumento</v>
      </c>
      <c r="E22" s="619">
        <f>+E20/D20</f>
        <v>0.32834901660385762</v>
      </c>
    </row>
    <row r="23" spans="1:16" ht="15.75">
      <c r="B23" s="158"/>
      <c r="E23" s="206"/>
    </row>
    <row r="24" spans="1:16" ht="5.25" customHeight="1">
      <c r="A24" s="469"/>
      <c r="B24" s="469"/>
      <c r="C24" s="469"/>
      <c r="D24" s="469"/>
      <c r="E24" s="469"/>
      <c r="F24" s="469"/>
      <c r="G24" s="469"/>
      <c r="H24" s="469"/>
    </row>
    <row r="25" spans="1:16">
      <c r="A25" s="469"/>
      <c r="B25" s="397" t="s">
        <v>1523</v>
      </c>
      <c r="C25" s="469"/>
      <c r="D25" s="469"/>
      <c r="E25" s="469"/>
      <c r="F25" s="400">
        <f>+C14-C30</f>
        <v>0</v>
      </c>
      <c r="G25" s="469"/>
      <c r="H25" s="469"/>
    </row>
    <row r="26" spans="1:16">
      <c r="A26" s="469"/>
      <c r="B26" s="482" t="s">
        <v>1467</v>
      </c>
      <c r="C26" s="482" t="s">
        <v>252</v>
      </c>
      <c r="D26" s="482"/>
      <c r="E26" s="469"/>
      <c r="G26" s="469"/>
      <c r="H26" s="469"/>
      <c r="I26" s="469"/>
      <c r="J26" s="469"/>
      <c r="K26" s="469"/>
    </row>
    <row r="27" spans="1:16" ht="21" customHeight="1">
      <c r="A27" s="469"/>
      <c r="B27" s="462"/>
      <c r="C27" s="1879">
        <f>C12</f>
        <v>2026</v>
      </c>
      <c r="D27" s="1880"/>
      <c r="E27" s="1880"/>
      <c r="F27" s="1880"/>
      <c r="G27" s="1880"/>
      <c r="H27" s="1880"/>
      <c r="I27" s="1880"/>
      <c r="J27" s="1880"/>
      <c r="K27" s="1880"/>
      <c r="L27" s="1880"/>
      <c r="M27" s="1880"/>
      <c r="N27" s="1880"/>
      <c r="O27" s="1880"/>
      <c r="P27" s="502">
        <f>D12</f>
        <v>2025</v>
      </c>
    </row>
    <row r="28" spans="1:16">
      <c r="A28" s="469"/>
      <c r="B28" s="462" t="s">
        <v>1149</v>
      </c>
      <c r="C28" s="463" t="s">
        <v>1415</v>
      </c>
      <c r="D28" s="463" t="s">
        <v>1418</v>
      </c>
      <c r="E28" s="463" t="s">
        <v>1434</v>
      </c>
      <c r="F28" s="463" t="s">
        <v>1435</v>
      </c>
      <c r="G28" s="463" t="s">
        <v>1436</v>
      </c>
      <c r="H28" s="463" t="s">
        <v>1437</v>
      </c>
      <c r="I28" s="463" t="s">
        <v>1438</v>
      </c>
      <c r="J28" s="463" t="s">
        <v>1439</v>
      </c>
      <c r="K28" s="463" t="s">
        <v>1440</v>
      </c>
      <c r="L28" s="463" t="s">
        <v>1441</v>
      </c>
      <c r="M28" s="463" t="s">
        <v>1410</v>
      </c>
      <c r="N28" s="463" t="s">
        <v>1411</v>
      </c>
      <c r="O28" s="463" t="s">
        <v>1412</v>
      </c>
      <c r="P28" s="502" t="s">
        <v>1526</v>
      </c>
    </row>
    <row r="29" spans="1:16" ht="21.75" customHeight="1">
      <c r="A29">
        <v>1</v>
      </c>
      <c r="B29" s="490" t="str">
        <f>B13</f>
        <v>Sobregiro Bancarios</v>
      </c>
      <c r="C29" s="213"/>
      <c r="D29" s="512"/>
      <c r="E29" s="512"/>
      <c r="F29" s="512"/>
      <c r="G29" s="512"/>
      <c r="H29" s="512"/>
      <c r="I29" s="512"/>
      <c r="J29" s="512"/>
      <c r="K29" s="512"/>
      <c r="L29" s="512"/>
      <c r="M29" s="512"/>
      <c r="N29" s="512"/>
      <c r="O29" s="512"/>
      <c r="P29" s="253">
        <f>D13</f>
        <v>0</v>
      </c>
    </row>
    <row r="30" spans="1:16" ht="21.75" customHeight="1">
      <c r="A30">
        <v>2</v>
      </c>
      <c r="B30" s="490" t="str">
        <f>B14</f>
        <v>Cuentas por pagar Suplidores (anexos)</v>
      </c>
      <c r="C30" s="526">
        <f t="shared" ref="C30:C35" si="2">SUM(D30:P30)</f>
        <v>11936643.769999998</v>
      </c>
      <c r="D30" s="512">
        <f>-BALANZA!N90</f>
        <v>-69561.740000000224</v>
      </c>
      <c r="E30" s="512">
        <f>-BALANZA!O90</f>
        <v>968750.02999999933</v>
      </c>
      <c r="F30" s="512">
        <f>-BALANZA!P90</f>
        <v>2085890.3899999987</v>
      </c>
      <c r="G30" s="512">
        <f>-BALANZA!Q90</f>
        <v>0</v>
      </c>
      <c r="H30" s="512">
        <f>-BALANZA!R90</f>
        <v>0</v>
      </c>
      <c r="I30" s="512">
        <f>-BALANZA!S90</f>
        <v>0</v>
      </c>
      <c r="J30" s="512">
        <f>-BALANZA!T90</f>
        <v>0</v>
      </c>
      <c r="K30" s="512">
        <f>-BALANZA!U90</f>
        <v>0</v>
      </c>
      <c r="L30" s="512">
        <f>-BALANZA!V90</f>
        <v>0</v>
      </c>
      <c r="M30" s="512">
        <f>-BALANZA!W90</f>
        <v>0</v>
      </c>
      <c r="N30" s="512">
        <f>-BALANZA!X90</f>
        <v>0</v>
      </c>
      <c r="O30" s="512">
        <f>-BALANZA!Y90</f>
        <v>0</v>
      </c>
      <c r="P30" s="253">
        <f>D14</f>
        <v>8951565.0899999999</v>
      </c>
    </row>
    <row r="31" spans="1:16" ht="21.75" customHeight="1">
      <c r="A31">
        <v>3</v>
      </c>
      <c r="B31" s="490" t="str">
        <f>B15</f>
        <v>Otras Cuentas por pagar (anexos)</v>
      </c>
      <c r="C31" s="526">
        <f t="shared" si="2"/>
        <v>0</v>
      </c>
      <c r="D31" s="527">
        <f>-BALANZA!N97-BALANZA!N81-BALANZA!N102</f>
        <v>0</v>
      </c>
      <c r="E31" s="527">
        <f>-BALANZA!O97-BALANZA!O81-BALANZA!O102</f>
        <v>0</v>
      </c>
      <c r="F31" s="527">
        <f>-BALANZA!P97-BALANZA!P81-BALANZA!P102</f>
        <v>0</v>
      </c>
      <c r="G31" s="527">
        <f>-BALANZA!Q97-BALANZA!Q81-BALANZA!Q102</f>
        <v>0</v>
      </c>
      <c r="H31" s="527">
        <f>-BALANZA!R97-BALANZA!R81-BALANZA!R102</f>
        <v>0</v>
      </c>
      <c r="I31" s="527">
        <f>-BALANZA!S97-BALANZA!S81-BALANZA!S102</f>
        <v>0</v>
      </c>
      <c r="J31" s="527">
        <f>-BALANZA!T97-BALANZA!T81-BALANZA!T102</f>
        <v>0</v>
      </c>
      <c r="K31" s="527">
        <f>-BALANZA!U97-BALANZA!U81-BALANZA!U102</f>
        <v>0</v>
      </c>
      <c r="L31" s="527">
        <f>-BALANZA!V97-BALANZA!V81-BALANZA!V102</f>
        <v>0</v>
      </c>
      <c r="M31" s="527">
        <f>-BALANZA!W97-BALANZA!W81-BALANZA!W102</f>
        <v>0</v>
      </c>
      <c r="N31" s="527">
        <f>-BALANZA!X97-BALANZA!X81-BALANZA!X102</f>
        <v>0</v>
      </c>
      <c r="O31" s="527">
        <f>-BALANZA!Y97-BALANZA!Y81-BALANZA!Y102</f>
        <v>0</v>
      </c>
      <c r="P31" s="253">
        <f>D15</f>
        <v>0</v>
      </c>
    </row>
    <row r="32" spans="1:16" ht="26.25" customHeight="1">
      <c r="A32">
        <v>4</v>
      </c>
      <c r="B32" s="490" t="str">
        <f>B16</f>
        <v>Deducciones al personal (Histórico Antiguo PP)</v>
      </c>
      <c r="C32" s="213">
        <f t="shared" si="2"/>
        <v>0</v>
      </c>
      <c r="D32" s="512">
        <f>-BALANZA!N113-BALANZA!N144</f>
        <v>0</v>
      </c>
      <c r="E32" s="512">
        <f>-BALANZA!O113-BALANZA!O144</f>
        <v>0</v>
      </c>
      <c r="F32" s="512">
        <f>-BALANZA!P113-BALANZA!P144</f>
        <v>0</v>
      </c>
      <c r="G32" s="512">
        <f>-BALANZA!Q113-BALANZA!Q144</f>
        <v>0</v>
      </c>
      <c r="H32" s="512">
        <f>-BALANZA!R113-BALANZA!R144</f>
        <v>0</v>
      </c>
      <c r="I32" s="512">
        <f>-BALANZA!S113-BALANZA!S144</f>
        <v>0</v>
      </c>
      <c r="J32" s="512">
        <f>-BALANZA!T113-BALANZA!T144</f>
        <v>0</v>
      </c>
      <c r="K32" s="512">
        <f>-BALANZA!U113-BALANZA!U144</f>
        <v>0</v>
      </c>
      <c r="L32" s="512">
        <f>-BALANZA!V113-BALANZA!V144</f>
        <v>0</v>
      </c>
      <c r="M32" s="512">
        <f>-BALANZA!W113-BALANZA!W144</f>
        <v>0</v>
      </c>
      <c r="N32" s="512">
        <f>-BALANZA!X113-BALANZA!X144</f>
        <v>0</v>
      </c>
      <c r="O32" s="512">
        <f>-BALANZA!Y113-BALANZA!Y144</f>
        <v>0</v>
      </c>
      <c r="P32" s="253">
        <f>D16</f>
        <v>0</v>
      </c>
    </row>
    <row r="33" spans="1:16" ht="21.75" customHeight="1">
      <c r="A33">
        <v>5</v>
      </c>
      <c r="B33" s="490" t="str">
        <f>+B17</f>
        <v>Nómina por pagar</v>
      </c>
      <c r="C33" s="213">
        <f t="shared" si="2"/>
        <v>0</v>
      </c>
      <c r="D33" s="512">
        <f>-BALANZA!N82-BALANZA!N331-BALANZA!N152</f>
        <v>0</v>
      </c>
      <c r="E33" s="512">
        <f>-BALANZA!O82-BALANZA!O331-BALANZA!O152</f>
        <v>0</v>
      </c>
      <c r="F33" s="512">
        <f>-BALANZA!P82-BALANZA!P331-BALANZA!P152</f>
        <v>0</v>
      </c>
      <c r="G33" s="512">
        <f>-BALANZA!Q82-BALANZA!Q331-BALANZA!Q152</f>
        <v>0</v>
      </c>
      <c r="H33" s="512">
        <f>-BALANZA!R82-BALANZA!R331-BALANZA!R152</f>
        <v>0</v>
      </c>
      <c r="I33" s="512">
        <f>-BALANZA!S82-BALANZA!S331-BALANZA!S152</f>
        <v>0</v>
      </c>
      <c r="J33" s="512">
        <f>-BALANZA!T82-BALANZA!T331-BALANZA!T152</f>
        <v>0</v>
      </c>
      <c r="K33" s="512">
        <f>-BALANZA!U82-BALANZA!U331-BALANZA!U152</f>
        <v>0</v>
      </c>
      <c r="L33" s="512">
        <f>-BALANZA!V82-BALANZA!V331-BALANZA!V152</f>
        <v>0</v>
      </c>
      <c r="M33" s="512">
        <f>-BALANZA!W82-BALANZA!W331-BALANZA!W152</f>
        <v>0</v>
      </c>
      <c r="N33" s="512">
        <f>-BALANZA!X82-BALANZA!X331-BALANZA!X152</f>
        <v>0</v>
      </c>
      <c r="O33" s="512">
        <f>-BALANZA!Y82-BALANZA!Y331-BALANZA!Y152</f>
        <v>0</v>
      </c>
      <c r="P33" s="253">
        <f>+D17</f>
        <v>0</v>
      </c>
    </row>
    <row r="34" spans="1:16" ht="21.75" customHeight="1">
      <c r="A34">
        <v>6</v>
      </c>
      <c r="B34" s="490" t="str">
        <f>B18</f>
        <v>Documentos por pagar</v>
      </c>
      <c r="C34" s="213">
        <f t="shared" si="2"/>
        <v>0</v>
      </c>
      <c r="D34" s="512">
        <f>-SUM(BALANZA!N134:N150)+BALANZA!N144</f>
        <v>0</v>
      </c>
      <c r="E34" s="512">
        <f>-SUM(BALANZA!O134:O150)+BALANZA!O144</f>
        <v>0</v>
      </c>
      <c r="F34" s="512">
        <f>-SUM(BALANZA!P134:P150)+BALANZA!P144</f>
        <v>0</v>
      </c>
      <c r="G34" s="512">
        <f>-SUM(BALANZA!Q134:Q150)+BALANZA!Q144</f>
        <v>0</v>
      </c>
      <c r="H34" s="512">
        <f>-SUM(BALANZA!R134:R150)+BALANZA!R144</f>
        <v>0</v>
      </c>
      <c r="I34" s="512">
        <f>-SUM(BALANZA!S134:S150)+BALANZA!S144</f>
        <v>0</v>
      </c>
      <c r="J34" s="512">
        <f>-SUM(BALANZA!T134:T150)+BALANZA!T144</f>
        <v>0</v>
      </c>
      <c r="K34" s="512">
        <f>-SUM(BALANZA!U134:U150)+BALANZA!U144</f>
        <v>0</v>
      </c>
      <c r="L34" s="512">
        <f>-SUM(BALANZA!V134:V150)+BALANZA!V144</f>
        <v>0</v>
      </c>
      <c r="M34" s="512">
        <f>-SUM(BALANZA!W134:W150)+BALANZA!W144</f>
        <v>0</v>
      </c>
      <c r="N34" s="512">
        <f>-SUM(BALANZA!X134:X150)+BALANZA!X144</f>
        <v>0</v>
      </c>
      <c r="O34" s="512">
        <f>-SUM(BALANZA!Y134:Y150)+BALANZA!Y144</f>
        <v>0</v>
      </c>
      <c r="P34" s="253">
        <f>D18</f>
        <v>0</v>
      </c>
    </row>
    <row r="35" spans="1:16" ht="21.75" customHeight="1">
      <c r="A35">
        <v>7</v>
      </c>
      <c r="B35" s="490" t="str">
        <f>B19</f>
        <v>Retenciones por pagar</v>
      </c>
      <c r="C35" s="213">
        <f t="shared" si="2"/>
        <v>139610.85100000002</v>
      </c>
      <c r="D35" s="512">
        <f>-SUM(BALANZA!N103:N112)</f>
        <v>0</v>
      </c>
      <c r="E35" s="512">
        <f>-SUM(BALANZA!O103:O112)</f>
        <v>0</v>
      </c>
      <c r="F35" s="512">
        <f>-SUM(BALANZA!P103:P112)</f>
        <v>0</v>
      </c>
      <c r="G35" s="512">
        <f>-SUM(BALANZA!Q103:Q112)</f>
        <v>0</v>
      </c>
      <c r="H35" s="512">
        <f>-SUM(BALANZA!R103:R112)</f>
        <v>0</v>
      </c>
      <c r="I35" s="512">
        <f>-SUM(BALANZA!S103:S112)</f>
        <v>0</v>
      </c>
      <c r="J35" s="512">
        <f>-SUM(BALANZA!T103:T112)</f>
        <v>0</v>
      </c>
      <c r="K35" s="512">
        <f>-SUM(BALANZA!U103:U112)</f>
        <v>0</v>
      </c>
      <c r="L35" s="512">
        <f>-SUM(BALANZA!V103:V112)</f>
        <v>0</v>
      </c>
      <c r="M35" s="512">
        <f>-SUM(BALANZA!W103:W112)</f>
        <v>0</v>
      </c>
      <c r="N35" s="512">
        <f>-SUM(BALANZA!X103:X112)</f>
        <v>0</v>
      </c>
      <c r="O35" s="512">
        <f>-SUM(BALANZA!Y103:Y112)</f>
        <v>0</v>
      </c>
      <c r="P35" s="253">
        <f>D19</f>
        <v>139610.85100000002</v>
      </c>
    </row>
    <row r="36" spans="1:16" ht="22.5" customHeight="1">
      <c r="A36" s="469"/>
      <c r="B36" s="192" t="s">
        <v>1152</v>
      </c>
      <c r="C36" s="214">
        <f>SUM(C29:C35)</f>
        <v>12076254.620999997</v>
      </c>
      <c r="D36" s="514">
        <f t="shared" ref="D36:O36" si="3">SUM(D29:D34)</f>
        <v>-69561.740000000224</v>
      </c>
      <c r="E36" s="514">
        <f t="shared" si="3"/>
        <v>968750.02999999933</v>
      </c>
      <c r="F36" s="514">
        <f t="shared" si="3"/>
        <v>2085890.3899999987</v>
      </c>
      <c r="G36" s="514">
        <f t="shared" si="3"/>
        <v>0</v>
      </c>
      <c r="H36" s="514">
        <f t="shared" si="3"/>
        <v>0</v>
      </c>
      <c r="I36" s="514">
        <f t="shared" si="3"/>
        <v>0</v>
      </c>
      <c r="J36" s="514">
        <f t="shared" si="3"/>
        <v>0</v>
      </c>
      <c r="K36" s="514">
        <f t="shared" si="3"/>
        <v>0</v>
      </c>
      <c r="L36" s="514">
        <f t="shared" si="3"/>
        <v>0</v>
      </c>
      <c r="M36" s="514">
        <f t="shared" si="3"/>
        <v>0</v>
      </c>
      <c r="N36" s="514">
        <f t="shared" si="3"/>
        <v>0</v>
      </c>
      <c r="O36" s="514">
        <f t="shared" si="3"/>
        <v>0</v>
      </c>
      <c r="P36" s="514">
        <f>SUM(P29:P35)</f>
        <v>9091175.9409999996</v>
      </c>
    </row>
    <row r="37" spans="1:16" ht="8.25" customHeight="1">
      <c r="A37" s="469"/>
      <c r="B37" s="483"/>
      <c r="C37" s="484"/>
      <c r="D37" s="484"/>
      <c r="E37" s="469"/>
      <c r="F37" s="469"/>
      <c r="G37" s="469"/>
    </row>
    <row r="38" spans="1:16">
      <c r="A38" s="469"/>
      <c r="B38" s="485" t="s">
        <v>1406</v>
      </c>
      <c r="C38" s="486">
        <f>ROUND((C36-C20),2)</f>
        <v>0</v>
      </c>
      <c r="D38" s="11">
        <f>-C13+C29</f>
        <v>0</v>
      </c>
      <c r="K38" s="11">
        <f>1492616-K30</f>
        <v>1492616</v>
      </c>
    </row>
    <row r="39" spans="1:16">
      <c r="A39" s="469"/>
      <c r="B39" s="393"/>
      <c r="C39" s="450" t="str">
        <f>IF(C38=0,m!$B$7,m!$B$11)</f>
        <v>P</v>
      </c>
      <c r="D39" s="11">
        <f>+P30+D30</f>
        <v>8882003.3499999996</v>
      </c>
      <c r="E39" s="11">
        <f>+D39+E30</f>
        <v>9850753.379999999</v>
      </c>
      <c r="F39" s="11">
        <f t="shared" ref="F39:M39" si="4">+E39+F30</f>
        <v>11936643.769999998</v>
      </c>
      <c r="G39" s="11">
        <f t="shared" si="4"/>
        <v>11936643.769999998</v>
      </c>
      <c r="H39" s="11">
        <f t="shared" si="4"/>
        <v>11936643.769999998</v>
      </c>
      <c r="I39" s="11">
        <f t="shared" si="4"/>
        <v>11936643.769999998</v>
      </c>
      <c r="J39" s="11">
        <f t="shared" si="4"/>
        <v>11936643.769999998</v>
      </c>
      <c r="K39" s="11">
        <f t="shared" si="4"/>
        <v>11936643.769999998</v>
      </c>
      <c r="L39" s="11">
        <f t="shared" si="4"/>
        <v>11936643.769999998</v>
      </c>
      <c r="M39" s="11">
        <f t="shared" si="4"/>
        <v>11936643.769999998</v>
      </c>
    </row>
    <row r="40" spans="1:16" ht="22.5" customHeight="1">
      <c r="A40" s="469"/>
      <c r="B40" s="469"/>
      <c r="C40" s="469"/>
      <c r="D40" s="469"/>
      <c r="E40" s="469"/>
      <c r="F40" s="469"/>
      <c r="G40" s="469">
        <v>12884442.189999994</v>
      </c>
      <c r="H40" s="469"/>
    </row>
    <row r="41" spans="1:16" ht="15.75" thickBot="1">
      <c r="B41" s="596" t="s">
        <v>1573</v>
      </c>
      <c r="D41" s="11">
        <f>+C14-C30</f>
        <v>0</v>
      </c>
      <c r="G41" s="11">
        <f>+G30-G40</f>
        <v>-12884442.189999994</v>
      </c>
    </row>
    <row r="42" spans="1:16" s="525" customFormat="1" ht="15.75" thickBot="1">
      <c r="B42" s="2022"/>
      <c r="C42" s="555" t="s">
        <v>1425</v>
      </c>
    </row>
    <row r="43" spans="1:16" s="525" customFormat="1" ht="18.75" customHeight="1">
      <c r="B43" s="2023"/>
      <c r="C43" s="556" t="s">
        <v>1477</v>
      </c>
      <c r="D43" s="557" t="s">
        <v>1478</v>
      </c>
      <c r="E43" s="557" t="s">
        <v>6</v>
      </c>
      <c r="F43" s="1891" t="s">
        <v>1356</v>
      </c>
      <c r="G43" s="1891"/>
      <c r="H43" s="1891"/>
      <c r="I43" s="1891"/>
      <c r="J43" s="1891"/>
      <c r="K43" s="559" t="s">
        <v>1357</v>
      </c>
      <c r="L43" s="560" t="s">
        <v>1358</v>
      </c>
    </row>
    <row r="44" spans="1:16" s="525" customFormat="1" ht="9.75" customHeight="1">
      <c r="B44" s="2023"/>
      <c r="C44" s="540"/>
      <c r="D44" s="451"/>
      <c r="E44" s="451"/>
      <c r="F44" s="451"/>
      <c r="G44" s="457"/>
      <c r="H44" s="457"/>
      <c r="I44" s="393"/>
      <c r="J44" s="393"/>
      <c r="K44" s="393"/>
      <c r="L44" s="418"/>
    </row>
    <row r="45" spans="1:16" s="525" customFormat="1" ht="18.75" customHeight="1">
      <c r="B45" s="2023"/>
      <c r="C45" s="561">
        <v>10</v>
      </c>
      <c r="D45" s="543" t="str">
        <f>F11</f>
        <v>AA</v>
      </c>
      <c r="E45" s="544"/>
      <c r="F45" s="545" t="s">
        <v>1570</v>
      </c>
      <c r="G45" s="546"/>
      <c r="H45" s="546"/>
      <c r="I45" s="546"/>
      <c r="J45" s="547"/>
      <c r="K45" s="544">
        <v>0</v>
      </c>
      <c r="L45" s="548"/>
    </row>
    <row r="46" spans="1:16" s="525" customFormat="1" ht="18.75" customHeight="1">
      <c r="B46" s="2023"/>
      <c r="C46" s="549"/>
      <c r="D46" s="550"/>
      <c r="E46" s="544"/>
      <c r="F46" s="545" t="s">
        <v>1570</v>
      </c>
      <c r="G46" s="546"/>
      <c r="H46" s="546"/>
      <c r="I46" s="546"/>
      <c r="J46" s="547"/>
      <c r="K46" s="544"/>
      <c r="L46" s="551">
        <f>K45</f>
        <v>0</v>
      </c>
    </row>
    <row r="47" spans="1:16" s="525" customFormat="1" ht="18.75" customHeight="1" thickBot="1">
      <c r="B47" s="2023"/>
      <c r="C47" s="552" t="s">
        <v>1562</v>
      </c>
      <c r="D47" s="553"/>
      <c r="E47" s="553"/>
      <c r="F47" s="553"/>
      <c r="G47" s="553"/>
      <c r="H47" s="553"/>
      <c r="I47" s="553"/>
      <c r="J47" s="553"/>
      <c r="K47" s="553"/>
      <c r="L47" s="554"/>
    </row>
    <row r="48" spans="1:16" s="525" customFormat="1" ht="6" customHeight="1">
      <c r="B48" s="2023"/>
    </row>
    <row r="49" spans="1:12" s="525" customFormat="1" ht="4.5" customHeight="1" thickBot="1">
      <c r="B49" s="2023"/>
    </row>
    <row r="50" spans="1:12" s="525" customFormat="1" ht="15.75" thickBot="1">
      <c r="B50" s="2023"/>
      <c r="C50" s="555" t="s">
        <v>1561</v>
      </c>
    </row>
    <row r="51" spans="1:12" s="525" customFormat="1" ht="18.75" customHeight="1">
      <c r="B51" s="2023"/>
      <c r="C51" s="556" t="s">
        <v>1477</v>
      </c>
      <c r="D51" s="557" t="s">
        <v>1478</v>
      </c>
      <c r="E51" s="557" t="s">
        <v>6</v>
      </c>
      <c r="F51" s="1891" t="s">
        <v>1356</v>
      </c>
      <c r="G51" s="1891"/>
      <c r="H51" s="1891"/>
      <c r="I51" s="1891"/>
      <c r="J51" s="1891"/>
      <c r="K51" s="559" t="s">
        <v>1357</v>
      </c>
      <c r="L51" s="560" t="s">
        <v>1358</v>
      </c>
    </row>
    <row r="52" spans="1:12" s="525" customFormat="1" ht="9.75" customHeight="1">
      <c r="B52" s="2023"/>
      <c r="C52" s="540"/>
      <c r="D52" s="451"/>
      <c r="E52" s="451"/>
      <c r="F52" s="451"/>
      <c r="G52" s="457"/>
      <c r="H52" s="457"/>
      <c r="I52" s="393"/>
      <c r="J52" s="393"/>
      <c r="K52" s="393"/>
      <c r="L52" s="418"/>
    </row>
    <row r="53" spans="1:12" s="525" customFormat="1" ht="18.75" customHeight="1">
      <c r="B53" s="2023"/>
      <c r="C53" s="543">
        <f>C45</f>
        <v>10</v>
      </c>
      <c r="D53" s="543" t="str">
        <f>D45</f>
        <v>AA</v>
      </c>
      <c r="E53" s="544"/>
      <c r="F53" s="545" t="s">
        <v>1570</v>
      </c>
      <c r="G53" s="546"/>
      <c r="H53" s="546"/>
      <c r="I53" s="546"/>
      <c r="J53" s="547"/>
      <c r="K53" s="544"/>
      <c r="L53" s="548"/>
    </row>
    <row r="54" spans="1:12" s="525" customFormat="1" ht="18.75" customHeight="1">
      <c r="B54" s="2023"/>
      <c r="C54" s="549"/>
      <c r="D54" s="550"/>
      <c r="E54" s="544"/>
      <c r="F54" s="545" t="s">
        <v>1570</v>
      </c>
      <c r="G54" s="546"/>
      <c r="H54" s="546"/>
      <c r="I54" s="546"/>
      <c r="J54" s="547"/>
      <c r="K54" s="544"/>
      <c r="L54" s="551">
        <f>K53</f>
        <v>0</v>
      </c>
    </row>
    <row r="55" spans="1:12" s="525" customFormat="1" ht="18.75" customHeight="1" thickBot="1">
      <c r="B55" s="2024"/>
      <c r="C55" s="552" t="s">
        <v>1569</v>
      </c>
      <c r="D55" s="553"/>
      <c r="E55" s="553"/>
      <c r="F55" s="553"/>
      <c r="G55" s="553"/>
      <c r="H55" s="553"/>
      <c r="I55" s="553"/>
      <c r="J55" s="553"/>
      <c r="K55" s="553"/>
      <c r="L55" s="554"/>
    </row>
    <row r="56" spans="1:12" s="525" customFormat="1"/>
    <row r="60" spans="1:12" ht="15.75" thickBot="1"/>
    <row r="61" spans="1:12" ht="15.75" thickBot="1">
      <c r="A61" s="989"/>
      <c r="B61" s="989"/>
      <c r="C61" s="1887" t="s">
        <v>2413</v>
      </c>
      <c r="D61" s="1888"/>
      <c r="E61" s="1889"/>
      <c r="F61" s="1889"/>
      <c r="G61" s="1890"/>
      <c r="H61" s="1883" t="s">
        <v>2414</v>
      </c>
      <c r="I61" s="1884"/>
      <c r="J61" s="1884"/>
      <c r="K61" s="1884"/>
      <c r="L61" s="1885"/>
    </row>
    <row r="62" spans="1:12" ht="15.75" thickBot="1">
      <c r="A62" s="990" t="s">
        <v>1481</v>
      </c>
      <c r="B62" s="990" t="s">
        <v>8</v>
      </c>
      <c r="C62" s="991" t="s">
        <v>2415</v>
      </c>
      <c r="D62" s="992" t="s">
        <v>2416</v>
      </c>
      <c r="E62" s="993" t="s">
        <v>2417</v>
      </c>
      <c r="F62" s="992" t="s">
        <v>2416</v>
      </c>
      <c r="G62" s="994" t="s">
        <v>2418</v>
      </c>
      <c r="H62" s="1123" t="s">
        <v>2415</v>
      </c>
      <c r="I62" s="995" t="s">
        <v>2416</v>
      </c>
      <c r="J62" s="996" t="s">
        <v>2417</v>
      </c>
      <c r="K62" s="995" t="s">
        <v>2416</v>
      </c>
      <c r="L62" s="997" t="s">
        <v>2418</v>
      </c>
    </row>
    <row r="63" spans="1:12" ht="15.75" thickBot="1"/>
    <row r="64" spans="1:12" ht="37.5" thickBot="1">
      <c r="A64" s="1092">
        <v>1</v>
      </c>
      <c r="B64" s="1124" t="s">
        <v>2612</v>
      </c>
      <c r="C64" s="1025"/>
      <c r="D64" s="1014"/>
      <c r="E64" s="1000"/>
      <c r="F64" s="1025"/>
      <c r="G64" s="1000"/>
      <c r="H64" s="1025"/>
      <c r="I64" s="1014"/>
      <c r="J64" s="1000"/>
      <c r="K64" s="1025"/>
      <c r="L64" s="1002"/>
    </row>
    <row r="65" spans="1:12" ht="15.75" thickBot="1">
      <c r="A65" s="1092"/>
      <c r="B65" s="63"/>
    </row>
    <row r="66" spans="1:12" ht="37.5" thickBot="1">
      <c r="A66" s="1092">
        <v>2</v>
      </c>
      <c r="B66" s="1124" t="s">
        <v>2613</v>
      </c>
      <c r="C66" s="1000"/>
      <c r="D66" s="1025"/>
      <c r="E66" s="1000"/>
      <c r="F66" s="1000"/>
      <c r="G66" s="1025"/>
      <c r="H66" s="1000"/>
      <c r="I66" s="1025"/>
      <c r="J66" s="1000"/>
      <c r="K66" s="1000"/>
      <c r="L66" s="1094"/>
    </row>
    <row r="67" spans="1:12" ht="15.75" thickBot="1">
      <c r="A67" s="1092"/>
      <c r="B67" s="63"/>
    </row>
    <row r="68" spans="1:12" ht="37.5" thickBot="1">
      <c r="A68" s="1092">
        <v>3</v>
      </c>
      <c r="B68" s="1124" t="s">
        <v>2614</v>
      </c>
      <c r="C68" s="1000"/>
      <c r="D68" s="1025"/>
      <c r="E68" s="1000"/>
      <c r="F68" s="1000"/>
      <c r="G68" s="1025"/>
      <c r="H68" s="1000"/>
      <c r="I68" s="1025"/>
      <c r="J68" s="1000"/>
      <c r="K68" s="1000"/>
      <c r="L68" s="1094"/>
    </row>
    <row r="69" spans="1:12" ht="15.75" thickBot="1">
      <c r="A69" s="1092"/>
      <c r="B69" s="63"/>
    </row>
    <row r="70" spans="1:12" ht="26.25">
      <c r="A70" s="1092">
        <v>4</v>
      </c>
      <c r="B70" s="1125" t="s">
        <v>2615</v>
      </c>
      <c r="C70" s="1006"/>
      <c r="D70" s="2"/>
      <c r="E70" s="1006"/>
      <c r="F70" s="1006"/>
      <c r="G70" s="2"/>
      <c r="H70" s="1006"/>
      <c r="I70" s="2"/>
      <c r="J70" s="1006"/>
      <c r="K70" s="1006"/>
      <c r="L70" s="3"/>
    </row>
    <row r="71" spans="1:12">
      <c r="A71" s="1092"/>
      <c r="B71" s="1126" t="s">
        <v>2616</v>
      </c>
      <c r="C71" s="243"/>
      <c r="D71" s="1023"/>
      <c r="E71" s="243"/>
      <c r="F71" s="243"/>
      <c r="G71" s="1023"/>
      <c r="H71" s="243"/>
      <c r="I71" s="1023"/>
      <c r="J71" s="243"/>
      <c r="K71" s="243"/>
      <c r="L71" s="1107"/>
    </row>
    <row r="72" spans="1:12">
      <c r="A72" s="1092"/>
      <c r="B72" s="1127" t="s">
        <v>2617</v>
      </c>
      <c r="C72" s="1009"/>
      <c r="E72" s="1009"/>
      <c r="F72" s="1009"/>
      <c r="H72" s="1009"/>
      <c r="J72" s="1009"/>
      <c r="K72" s="1009"/>
      <c r="L72" s="6"/>
    </row>
    <row r="73" spans="1:12">
      <c r="A73" s="1092"/>
      <c r="B73" s="1127" t="s">
        <v>2618</v>
      </c>
      <c r="C73" s="1009"/>
      <c r="E73" s="1009"/>
      <c r="F73" s="1009"/>
      <c r="H73" s="1009"/>
      <c r="J73" s="1009"/>
      <c r="K73" s="1009"/>
      <c r="L73" s="6"/>
    </row>
    <row r="74" spans="1:12">
      <c r="A74" s="1092"/>
      <c r="B74" s="1128" t="s">
        <v>2619</v>
      </c>
      <c r="C74" s="746"/>
      <c r="D74" s="1024"/>
      <c r="E74" s="746"/>
      <c r="F74" s="746"/>
      <c r="G74" s="1024"/>
      <c r="H74" s="746"/>
      <c r="I74" s="1024"/>
      <c r="J74" s="746"/>
      <c r="K74" s="746"/>
      <c r="L74" s="1109"/>
    </row>
    <row r="75" spans="1:12">
      <c r="A75" s="1092"/>
      <c r="B75" s="1127" t="s">
        <v>2620</v>
      </c>
      <c r="C75" s="1009"/>
      <c r="E75" s="1009"/>
      <c r="F75" s="1009"/>
      <c r="H75" s="1009"/>
      <c r="J75" s="1009"/>
      <c r="K75" s="1009"/>
      <c r="L75" s="6"/>
    </row>
    <row r="76" spans="1:12">
      <c r="A76" s="1092"/>
      <c r="B76" s="1127" t="s">
        <v>2621</v>
      </c>
      <c r="C76" s="1009"/>
      <c r="E76" s="1009"/>
      <c r="F76" s="1009"/>
      <c r="H76" s="1009"/>
      <c r="J76" s="1009"/>
      <c r="K76" s="1009"/>
      <c r="L76" s="6"/>
    </row>
    <row r="77" spans="1:12">
      <c r="A77" s="1092"/>
      <c r="B77" s="1128" t="s">
        <v>2622</v>
      </c>
      <c r="C77" s="746"/>
      <c r="D77" s="1024"/>
      <c r="E77" s="746"/>
      <c r="F77" s="746"/>
      <c r="G77" s="1024"/>
      <c r="H77" s="746"/>
      <c r="I77" s="1024"/>
      <c r="J77" s="746"/>
      <c r="K77" s="746"/>
      <c r="L77" s="1109"/>
    </row>
    <row r="78" spans="1:12">
      <c r="A78" s="1092"/>
      <c r="B78" s="1129" t="s">
        <v>2623</v>
      </c>
      <c r="C78" s="243"/>
      <c r="D78" s="1023"/>
      <c r="E78" s="243"/>
      <c r="F78" s="243"/>
      <c r="G78" s="1023"/>
      <c r="H78" s="243"/>
      <c r="I78" s="1023"/>
      <c r="J78" s="243"/>
      <c r="K78" s="243"/>
      <c r="L78" s="1107"/>
    </row>
    <row r="79" spans="1:12">
      <c r="A79" s="1092"/>
      <c r="B79" s="1127" t="s">
        <v>2624</v>
      </c>
      <c r="C79" s="1130"/>
      <c r="E79" s="1130"/>
      <c r="G79" s="1130"/>
      <c r="I79" s="1130"/>
      <c r="K79" s="1130"/>
      <c r="L79" s="6"/>
    </row>
    <row r="80" spans="1:12">
      <c r="A80" s="1092"/>
      <c r="B80" s="1127" t="s">
        <v>2625</v>
      </c>
      <c r="C80" s="1009"/>
      <c r="E80" s="1009"/>
      <c r="F80" s="1009"/>
      <c r="H80" s="1009"/>
      <c r="J80" s="1009"/>
      <c r="K80" s="1009"/>
      <c r="L80" s="6"/>
    </row>
    <row r="81" spans="1:12">
      <c r="A81" s="1092"/>
      <c r="B81" s="1128" t="s">
        <v>2626</v>
      </c>
      <c r="C81" s="746"/>
      <c r="D81" s="1024"/>
      <c r="E81" s="746"/>
      <c r="F81" s="746"/>
      <c r="G81" s="1024"/>
      <c r="H81" s="746"/>
      <c r="I81" s="1024"/>
      <c r="J81" s="746"/>
      <c r="K81" s="746"/>
      <c r="L81" s="1109"/>
    </row>
    <row r="82" spans="1:12">
      <c r="A82" s="1092"/>
      <c r="B82" s="1127" t="s">
        <v>2627</v>
      </c>
      <c r="C82" s="1009"/>
      <c r="E82" s="1009"/>
      <c r="F82" s="1009"/>
      <c r="H82" s="1009"/>
      <c r="J82" s="1009"/>
      <c r="K82" s="1009"/>
      <c r="L82" s="6"/>
    </row>
    <row r="83" spans="1:12">
      <c r="A83" s="1092"/>
      <c r="B83" s="1127" t="s">
        <v>2628</v>
      </c>
      <c r="C83" s="1009"/>
      <c r="E83" s="1009"/>
      <c r="F83" s="1009"/>
      <c r="H83" s="1009"/>
      <c r="J83" s="1009"/>
      <c r="K83" s="1009"/>
      <c r="L83" s="6"/>
    </row>
    <row r="84" spans="1:12" ht="15.75" thickBot="1">
      <c r="A84" s="1092"/>
      <c r="B84" s="1131" t="s">
        <v>2629</v>
      </c>
      <c r="C84" s="1012"/>
      <c r="D84" s="8"/>
      <c r="E84" s="1012"/>
      <c r="F84" s="1012"/>
      <c r="G84" s="8"/>
      <c r="H84" s="1012"/>
      <c r="I84" s="8"/>
      <c r="J84" s="1012"/>
      <c r="K84" s="1012"/>
      <c r="L84" s="9"/>
    </row>
    <row r="85" spans="1:12" ht="15.75" thickBot="1">
      <c r="A85" s="1092"/>
      <c r="B85" s="63"/>
    </row>
    <row r="86" spans="1:12" ht="61.5" thickBot="1">
      <c r="A86" s="1092">
        <v>5</v>
      </c>
      <c r="B86" s="1124" t="s">
        <v>2630</v>
      </c>
      <c r="C86" s="1000"/>
      <c r="D86" s="1025"/>
      <c r="E86" s="1000"/>
      <c r="F86" s="1000"/>
      <c r="G86" s="1025"/>
      <c r="H86" s="1000"/>
      <c r="I86" s="1025"/>
      <c r="J86" s="1000"/>
      <c r="K86" s="1000"/>
      <c r="L86" s="1094"/>
    </row>
    <row r="87" spans="1:12" ht="15.75" thickBot="1">
      <c r="A87" s="1092"/>
      <c r="B87" s="63"/>
    </row>
    <row r="88" spans="1:12" ht="61.5" thickBot="1">
      <c r="A88" s="1092">
        <v>6</v>
      </c>
      <c r="B88" s="1124" t="s">
        <v>2631</v>
      </c>
      <c r="C88" s="1000"/>
      <c r="D88" s="1025"/>
      <c r="E88" s="1000"/>
      <c r="F88" s="1000"/>
      <c r="G88" s="1025"/>
      <c r="H88" s="1000"/>
      <c r="I88" s="1025"/>
      <c r="J88" s="1000"/>
      <c r="K88" s="1000"/>
      <c r="L88" s="1094"/>
    </row>
    <row r="89" spans="1:12" ht="15.75" thickBot="1">
      <c r="A89" s="1092"/>
      <c r="B89" s="63"/>
    </row>
    <row r="90" spans="1:12" ht="48.75" thickBot="1">
      <c r="A90" s="1092">
        <v>7</v>
      </c>
      <c r="B90" s="1132" t="s">
        <v>2632</v>
      </c>
      <c r="C90" s="1000"/>
      <c r="D90" s="1025"/>
      <c r="E90" s="1000"/>
      <c r="F90" s="1000"/>
      <c r="G90" s="1025"/>
      <c r="H90" s="1000"/>
      <c r="I90" s="1025"/>
      <c r="J90" s="1000"/>
      <c r="K90" s="1000"/>
      <c r="L90" s="1094"/>
    </row>
    <row r="91" spans="1:12" ht="15.75" thickBot="1">
      <c r="A91" s="1092"/>
      <c r="B91" s="63"/>
    </row>
    <row r="92" spans="1:12" ht="61.5" thickBot="1">
      <c r="A92" s="1092">
        <v>8</v>
      </c>
      <c r="B92" s="1124" t="s">
        <v>2633</v>
      </c>
      <c r="C92" s="1000"/>
      <c r="D92" s="1025"/>
      <c r="E92" s="1000"/>
      <c r="F92" s="1000"/>
      <c r="G92" s="1025"/>
      <c r="H92" s="1000"/>
      <c r="I92" s="1025"/>
      <c r="J92" s="1000"/>
      <c r="K92" s="1000"/>
      <c r="L92" s="1094"/>
    </row>
    <row r="93" spans="1:12" ht="15.75" thickBot="1">
      <c r="A93" s="1092"/>
      <c r="B93" s="1133"/>
    </row>
    <row r="94" spans="1:12" ht="96.75" thickBot="1">
      <c r="A94" s="1092">
        <v>9</v>
      </c>
      <c r="B94" s="1134" t="s">
        <v>2634</v>
      </c>
      <c r="C94" s="1000"/>
      <c r="D94" s="1025"/>
      <c r="E94" s="1000"/>
      <c r="F94" s="1000"/>
      <c r="G94" s="1025"/>
      <c r="H94" s="1000"/>
      <c r="I94" s="1025"/>
      <c r="J94" s="1000"/>
      <c r="K94" s="1000"/>
      <c r="L94" s="1094"/>
    </row>
    <row r="95" spans="1:12" ht="15.75" thickBot="1">
      <c r="A95" s="1092"/>
    </row>
    <row r="96" spans="1:12" ht="60.75" thickBot="1">
      <c r="A96" s="1092">
        <v>10</v>
      </c>
      <c r="B96" s="1134" t="s">
        <v>2635</v>
      </c>
      <c r="C96" s="1000"/>
      <c r="D96" s="1025"/>
      <c r="E96" s="1000"/>
      <c r="F96" s="1000"/>
      <c r="G96" s="1025"/>
      <c r="H96" s="1000"/>
      <c r="I96" s="1025"/>
      <c r="J96" s="1000"/>
      <c r="K96" s="1000"/>
      <c r="L96" s="1094"/>
    </row>
    <row r="97" spans="1:12" ht="15.75" thickBot="1">
      <c r="A97" s="1092"/>
    </row>
    <row r="98" spans="1:12" ht="84.75" thickBot="1">
      <c r="A98" s="1092">
        <v>11</v>
      </c>
      <c r="B98" s="1134" t="s">
        <v>2636</v>
      </c>
      <c r="C98" s="1000"/>
      <c r="D98" s="1025"/>
      <c r="E98" s="1000"/>
      <c r="F98" s="1000"/>
      <c r="G98" s="1025"/>
      <c r="H98" s="1000"/>
      <c r="I98" s="1025"/>
      <c r="J98" s="1000"/>
      <c r="K98" s="1000"/>
      <c r="L98" s="1094"/>
    </row>
    <row r="99" spans="1:12" ht="15.75" thickBot="1">
      <c r="A99" s="1092"/>
    </row>
    <row r="100" spans="1:12" ht="96.75" thickBot="1">
      <c r="A100" s="1092">
        <v>12</v>
      </c>
      <c r="B100" s="1134" t="s">
        <v>2637</v>
      </c>
      <c r="C100" s="1000"/>
      <c r="D100" s="1025"/>
      <c r="E100" s="1000"/>
      <c r="F100" s="1000"/>
      <c r="G100" s="1025"/>
      <c r="H100" s="1000"/>
      <c r="I100" s="1025"/>
      <c r="J100" s="1000"/>
      <c r="K100" s="1000"/>
      <c r="L100" s="1094"/>
    </row>
    <row r="101" spans="1:12" ht="15.75" thickBot="1">
      <c r="A101" s="1092"/>
    </row>
    <row r="102" spans="1:12" ht="60.75" thickBot="1">
      <c r="A102" s="1092">
        <v>13</v>
      </c>
      <c r="B102" s="1134" t="s">
        <v>2638</v>
      </c>
      <c r="C102" s="1000"/>
      <c r="D102" s="1025"/>
      <c r="E102" s="1000"/>
      <c r="F102" s="1000"/>
      <c r="G102" s="1025"/>
      <c r="H102" s="1000"/>
      <c r="I102" s="1025"/>
      <c r="J102" s="1000"/>
      <c r="K102" s="1000"/>
      <c r="L102" s="1094"/>
    </row>
    <row r="103" spans="1:12" ht="15.75" thickBot="1">
      <c r="A103" s="1092"/>
    </row>
    <row r="104" spans="1:12" ht="60.75" thickBot="1">
      <c r="A104" s="1092">
        <v>14</v>
      </c>
      <c r="B104" s="1134" t="s">
        <v>2639</v>
      </c>
      <c r="C104" s="1000"/>
      <c r="D104" s="1025"/>
      <c r="E104" s="1000"/>
      <c r="F104" s="1000"/>
      <c r="G104" s="1025"/>
      <c r="H104" s="1000"/>
      <c r="I104" s="1025"/>
      <c r="J104" s="1000"/>
      <c r="K104" s="1000"/>
      <c r="L104" s="1094"/>
    </row>
    <row r="105" spans="1:12" ht="15.75" thickBot="1">
      <c r="A105" s="1092"/>
    </row>
    <row r="106" spans="1:12" ht="45.75" thickBot="1">
      <c r="A106" s="1092">
        <v>15</v>
      </c>
      <c r="B106" s="1135" t="s">
        <v>2640</v>
      </c>
      <c r="C106" s="1000"/>
      <c r="D106" s="1025"/>
      <c r="E106" s="1000"/>
      <c r="F106" s="1025"/>
      <c r="G106" s="1000"/>
      <c r="H106" s="1025"/>
      <c r="I106" s="1000"/>
      <c r="J106" s="1025"/>
      <c r="K106" s="1000"/>
      <c r="L106" s="1094"/>
    </row>
    <row r="107" spans="1:12">
      <c r="A107" s="953"/>
    </row>
    <row r="108" spans="1:12">
      <c r="A108" s="953"/>
    </row>
    <row r="109" spans="1:12" ht="32.25" customHeight="1">
      <c r="A109" s="953"/>
      <c r="B109" s="1902" t="s">
        <v>2576</v>
      </c>
      <c r="C109" s="1902"/>
      <c r="D109" s="1902"/>
      <c r="E109" s="1902"/>
      <c r="F109" s="1902"/>
      <c r="G109" s="1902"/>
      <c r="H109" s="1902"/>
      <c r="I109" s="1902"/>
      <c r="J109" s="1902"/>
      <c r="K109" s="1902"/>
      <c r="L109" s="1902"/>
    </row>
  </sheetData>
  <mergeCells count="11">
    <mergeCell ref="B109:L109"/>
    <mergeCell ref="F51:J51"/>
    <mergeCell ref="B22:C22"/>
    <mergeCell ref="C27:O27"/>
    <mergeCell ref="D1:G1"/>
    <mergeCell ref="B10:D10"/>
    <mergeCell ref="F43:J43"/>
    <mergeCell ref="B42:B55"/>
    <mergeCell ref="O1:P1"/>
    <mergeCell ref="C61:G61"/>
    <mergeCell ref="H61:L61"/>
  </mergeCells>
  <conditionalFormatting sqref="D22">
    <cfRule type="expression" priority="1" stopIfTrue="1">
      <formula>"$E$165&gt;=1,¨Aumento¨"</formula>
    </cfRule>
  </conditionalFormatting>
  <dataValidations count="1">
    <dataValidation type="list" allowBlank="1" showInputMessage="1" showErrorMessage="1" sqref="G11">
      <formula1>$G$3:$G$5</formula1>
    </dataValidation>
  </dataValidations>
  <hyperlinks>
    <hyperlink ref="E11" location="IPT!A1" display="INDICE"/>
  </hyperlinks>
  <printOptions horizontalCentered="1"/>
  <pageMargins left="0.51181102362204722" right="0.51181102362204722" top="0.74803149606299213" bottom="0.74803149606299213" header="0.31496062992125984" footer="0.31496062992125984"/>
  <pageSetup scale="55"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76"/>
  <sheetViews>
    <sheetView zoomScale="84" zoomScaleNormal="84" workbookViewId="0"/>
  </sheetViews>
  <sheetFormatPr baseColWidth="10" defaultColWidth="9.140625" defaultRowHeight="15"/>
  <cols>
    <col min="1" max="1" width="3.7109375" customWidth="1"/>
    <col min="2" max="2" width="46" customWidth="1"/>
    <col min="3" max="4" width="14.5703125" bestFit="1" customWidth="1"/>
    <col min="5" max="5" width="15.42578125" customWidth="1"/>
    <col min="6" max="6" width="13.28515625" bestFit="1" customWidth="1"/>
    <col min="7" max="7" width="11.5703125" customWidth="1"/>
    <col min="8" max="10" width="12.5703125" bestFit="1" customWidth="1"/>
    <col min="11" max="11" width="11" bestFit="1" customWidth="1"/>
    <col min="12" max="13" width="12.5703125" bestFit="1" customWidth="1"/>
    <col min="14" max="14" width="11" bestFit="1" customWidth="1"/>
    <col min="15" max="15" width="11.85546875" bestFit="1" customWidth="1"/>
    <col min="16" max="16" width="12.85546875" bestFit="1" customWidth="1"/>
  </cols>
  <sheetData>
    <row r="1" spans="1:16">
      <c r="A1" s="521"/>
      <c r="B1" s="444" t="str">
        <f>BALANZA!B1</f>
        <v>CORPORACION DEL ACUEDUCTO Y ALCANTARILLADO DE MOCA</v>
      </c>
      <c r="C1" s="444"/>
      <c r="D1" s="444"/>
      <c r="E1" s="444"/>
      <c r="F1" s="444"/>
      <c r="G1" s="444"/>
      <c r="H1" s="444"/>
      <c r="I1" s="444"/>
      <c r="O1" s="1895" t="str">
        <f>IPT!$F$5</f>
        <v>AUDITOR: JJSM</v>
      </c>
      <c r="P1" s="1895"/>
    </row>
    <row r="2" spans="1:16">
      <c r="A2" s="521"/>
      <c r="B2" s="598" t="str">
        <f>BALANZA!B2</f>
        <v>Del Ejercicio terminado el  31 de marzo de 2026  y  2025</v>
      </c>
      <c r="C2" s="444"/>
      <c r="D2" s="444"/>
      <c r="E2" s="444"/>
      <c r="F2" s="444"/>
      <c r="G2" s="444"/>
      <c r="H2" s="444"/>
      <c r="I2" s="444"/>
    </row>
    <row r="3" spans="1:16">
      <c r="A3" s="522"/>
      <c r="B3" s="179"/>
      <c r="C3" s="179"/>
      <c r="D3" s="179"/>
      <c r="E3" s="179"/>
      <c r="F3" s="179"/>
      <c r="G3" s="179"/>
      <c r="H3" s="179"/>
      <c r="I3" s="179"/>
    </row>
    <row r="4" spans="1:16" hidden="1">
      <c r="A4" s="179"/>
      <c r="B4" s="179"/>
      <c r="C4" s="179"/>
      <c r="D4" s="179"/>
      <c r="E4" s="179"/>
      <c r="F4" s="179"/>
      <c r="G4" s="179"/>
      <c r="H4" s="179"/>
      <c r="I4" s="492" t="s">
        <v>1532</v>
      </c>
    </row>
    <row r="5" spans="1:16" hidden="1">
      <c r="A5" s="179"/>
      <c r="C5" s="179"/>
      <c r="D5" s="179"/>
      <c r="E5" s="179"/>
      <c r="F5" s="179"/>
      <c r="G5" s="179"/>
      <c r="H5" s="179"/>
      <c r="I5" s="492" t="s">
        <v>1533</v>
      </c>
    </row>
    <row r="6" spans="1:16" ht="15.75" hidden="1" customHeight="1">
      <c r="A6" s="179"/>
      <c r="B6" s="179"/>
      <c r="C6" s="179"/>
      <c r="D6" s="179"/>
      <c r="E6" s="179"/>
      <c r="F6" s="179"/>
      <c r="G6" s="179"/>
      <c r="H6" s="179"/>
      <c r="I6" s="492" t="s">
        <v>1531</v>
      </c>
    </row>
    <row r="7" spans="1:16">
      <c r="A7" s="396"/>
      <c r="B7" s="397" t="s">
        <v>1549</v>
      </c>
      <c r="D7" s="397"/>
      <c r="E7" s="397"/>
      <c r="F7" s="397"/>
      <c r="G7" s="469"/>
      <c r="H7" s="469"/>
    </row>
    <row r="8" spans="1:16">
      <c r="A8" s="469"/>
      <c r="B8" s="469" t="s">
        <v>1459</v>
      </c>
      <c r="C8" s="469"/>
      <c r="D8" s="469"/>
      <c r="E8" s="469"/>
      <c r="F8" s="469"/>
      <c r="G8" s="469"/>
      <c r="H8" s="469"/>
    </row>
    <row r="9" spans="1:16">
      <c r="A9" s="469"/>
      <c r="B9" s="2021" t="s">
        <v>1475</v>
      </c>
      <c r="C9" s="2021"/>
      <c r="D9" s="2021"/>
      <c r="E9" s="469"/>
      <c r="F9" s="469"/>
      <c r="G9" s="469"/>
      <c r="H9" s="469"/>
    </row>
    <row r="10" spans="1:16" ht="21" customHeight="1">
      <c r="A10" s="469"/>
      <c r="B10" s="469"/>
      <c r="C10" s="469"/>
      <c r="D10" s="469"/>
      <c r="E10" s="469"/>
      <c r="F10" s="469"/>
      <c r="G10" s="539" t="s">
        <v>1355</v>
      </c>
      <c r="H10" s="538" t="str">
        <f>IPT!C20</f>
        <v>AA-1</v>
      </c>
      <c r="I10" s="529" t="str">
        <f>IF(E35=0,"Verificado","Pendiente")</f>
        <v>Verificado</v>
      </c>
    </row>
    <row r="11" spans="1:16" ht="30">
      <c r="B11" s="200" t="s">
        <v>1149</v>
      </c>
      <c r="C11" s="201">
        <f>BALANZA!B4</f>
        <v>2026</v>
      </c>
      <c r="D11" s="201">
        <f>BALANZA!C4</f>
        <v>2025</v>
      </c>
      <c r="E11" s="616" t="s">
        <v>1213</v>
      </c>
      <c r="F11" s="494" t="s">
        <v>1465</v>
      </c>
      <c r="G11" s="494" t="s">
        <v>1524</v>
      </c>
      <c r="H11" s="494" t="s">
        <v>1525</v>
      </c>
      <c r="I11" s="494" t="s">
        <v>1476</v>
      </c>
    </row>
    <row r="12" spans="1:16" ht="19.5" customHeight="1">
      <c r="A12">
        <v>1</v>
      </c>
      <c r="B12" s="495" t="str">
        <f>'BALANZA G'!A120</f>
        <v xml:space="preserve"> PRÉSTAMOS INTERNOS - INVERSIONES AVILMAN</v>
      </c>
      <c r="C12" s="204">
        <f>'BALANZA G'!C120</f>
        <v>0</v>
      </c>
      <c r="D12" s="204">
        <f>'BALANZA G'!D120</f>
        <v>0</v>
      </c>
      <c r="E12" s="650">
        <f>+C12-D12</f>
        <v>0</v>
      </c>
      <c r="F12" s="651">
        <f t="shared" ref="F12:F18" si="0">IFERROR(E12/D12,0)</f>
        <v>0</v>
      </c>
      <c r="G12" s="497"/>
      <c r="H12" s="497"/>
      <c r="I12" s="450" t="s">
        <v>1428</v>
      </c>
    </row>
    <row r="13" spans="1:16" ht="19.5" customHeight="1">
      <c r="A13">
        <v>2</v>
      </c>
      <c r="B13" s="495" t="str">
        <f>'BALANZA G'!A121</f>
        <v xml:space="preserve"> PRÉSTAMOS INTERNOS - NEGOCIADO SIGLO XXII</v>
      </c>
      <c r="C13" s="204">
        <f>'BALANZA G'!C121</f>
        <v>0</v>
      </c>
      <c r="D13" s="204">
        <f>'BALANZA G'!D121</f>
        <v>0</v>
      </c>
      <c r="E13" s="650">
        <f>+C13-D13</f>
        <v>0</v>
      </c>
      <c r="F13" s="651">
        <f t="shared" si="0"/>
        <v>0</v>
      </c>
      <c r="G13" s="497"/>
      <c r="H13" s="497"/>
      <c r="I13" s="450" t="s">
        <v>1428</v>
      </c>
    </row>
    <row r="14" spans="1:16" ht="19.5" customHeight="1">
      <c r="A14">
        <v>3</v>
      </c>
      <c r="B14" s="495" t="str">
        <f>'BALANZA G'!A122</f>
        <v>PRÉSTAMOS INTERNOS-COOP-ADEPE</v>
      </c>
      <c r="C14" s="204">
        <f>'BALANZA G'!C122</f>
        <v>0</v>
      </c>
      <c r="D14" s="204">
        <f>'BALANZA G'!D122</f>
        <v>0</v>
      </c>
      <c r="E14" s="650">
        <f>+C14-D14</f>
        <v>0</v>
      </c>
      <c r="F14" s="651">
        <f t="shared" si="0"/>
        <v>0</v>
      </c>
      <c r="G14" s="497"/>
      <c r="H14" s="497"/>
      <c r="I14" s="450" t="s">
        <v>1428</v>
      </c>
    </row>
    <row r="15" spans="1:16" ht="19.5" customHeight="1">
      <c r="A15">
        <v>4</v>
      </c>
      <c r="B15" s="495" t="str">
        <f>'BALANZA G'!A123</f>
        <v>PRESTAMO INTERNO - PRESTANEG, SRL</v>
      </c>
      <c r="C15" s="204">
        <f>'BALANZA G'!C123</f>
        <v>0</v>
      </c>
      <c r="D15" s="204">
        <f>'BALANZA G'!D123</f>
        <v>0</v>
      </c>
      <c r="E15" s="650">
        <f>+C15-D15</f>
        <v>0</v>
      </c>
      <c r="F15" s="651">
        <f t="shared" si="0"/>
        <v>0</v>
      </c>
      <c r="G15" s="497"/>
      <c r="H15" s="497"/>
      <c r="I15" s="450" t="s">
        <v>1428</v>
      </c>
    </row>
    <row r="16" spans="1:16" ht="19.5" customHeight="1">
      <c r="A16">
        <v>5</v>
      </c>
      <c r="B16" s="495" t="str">
        <f>'BALANZA G'!A124</f>
        <v xml:space="preserve"> PRESTAMOS INTERNOS - RESERVAS</v>
      </c>
      <c r="C16" s="204">
        <f>'BALANZA G'!C124</f>
        <v>0</v>
      </c>
      <c r="D16" s="204">
        <f>'BALANZA G'!D124</f>
        <v>0</v>
      </c>
      <c r="E16" s="650">
        <f>+C16-D16</f>
        <v>0</v>
      </c>
      <c r="F16" s="651">
        <f t="shared" si="0"/>
        <v>0</v>
      </c>
      <c r="G16" s="497"/>
      <c r="H16" s="497"/>
      <c r="I16" s="450" t="s">
        <v>1428</v>
      </c>
    </row>
    <row r="17" spans="1:16" ht="19.5" customHeight="1">
      <c r="A17">
        <v>6</v>
      </c>
      <c r="B17" s="495"/>
      <c r="C17" s="204">
        <f>'BALANZA G'!C125</f>
        <v>0</v>
      </c>
      <c r="D17" s="204">
        <f>'BALANZA G'!D125</f>
        <v>0</v>
      </c>
      <c r="E17" s="650"/>
      <c r="F17" s="651">
        <f t="shared" si="0"/>
        <v>0</v>
      </c>
      <c r="G17" s="497"/>
      <c r="H17" s="497"/>
      <c r="I17" s="450"/>
    </row>
    <row r="18" spans="1:16" ht="27.75" customHeight="1">
      <c r="B18" s="205" t="s">
        <v>1160</v>
      </c>
      <c r="C18" s="199">
        <f>SUM(C12:C16)</f>
        <v>0</v>
      </c>
      <c r="D18" s="498">
        <f>SUM(D12:D16)</f>
        <v>0</v>
      </c>
      <c r="E18" s="652">
        <f>SUM(E12:E16)</f>
        <v>0</v>
      </c>
      <c r="F18" s="653">
        <f t="shared" si="0"/>
        <v>0</v>
      </c>
      <c r="G18" s="497"/>
      <c r="H18" s="498">
        <f>SUM(H12:H16)</f>
        <v>0</v>
      </c>
      <c r="I18" s="500" t="s">
        <v>1419</v>
      </c>
    </row>
    <row r="19" spans="1:16" ht="27.75" customHeight="1">
      <c r="B19" s="158"/>
      <c r="E19" s="206"/>
    </row>
    <row r="20" spans="1:16" s="5" customFormat="1" ht="27.75" customHeight="1">
      <c r="B20" s="1881" t="str">
        <f>+'1'!B21:C21</f>
        <v>Cambio porcentual con relación al 2025</v>
      </c>
      <c r="C20" s="1882"/>
      <c r="D20" s="304" t="e">
        <f>IF(E20&gt;=0,"Aumento","Disminución")</f>
        <v>#DIV/0!</v>
      </c>
      <c r="E20" s="228" t="e">
        <f>+E18/D18</f>
        <v>#DIV/0!</v>
      </c>
    </row>
    <row r="21" spans="1:16" ht="15.75">
      <c r="B21" s="158"/>
      <c r="E21" s="206"/>
    </row>
    <row r="22" spans="1:16">
      <c r="A22" s="469"/>
      <c r="B22" s="469"/>
      <c r="C22" s="469"/>
      <c r="D22" s="469"/>
      <c r="E22" s="469"/>
      <c r="F22" s="469"/>
      <c r="G22" s="469"/>
      <c r="H22" s="469"/>
    </row>
    <row r="23" spans="1:16">
      <c r="A23" s="469"/>
      <c r="B23" s="397" t="s">
        <v>1550</v>
      </c>
      <c r="C23" s="469"/>
      <c r="D23" s="469"/>
      <c r="E23" s="469"/>
      <c r="F23" s="469"/>
      <c r="G23" s="469"/>
      <c r="H23" s="469"/>
    </row>
    <row r="24" spans="1:16">
      <c r="A24" s="469"/>
      <c r="B24" s="482" t="s">
        <v>1467</v>
      </c>
      <c r="C24" s="482"/>
      <c r="D24" s="482"/>
      <c r="E24" s="469"/>
      <c r="G24" s="469"/>
      <c r="H24" s="469"/>
      <c r="I24" s="469"/>
      <c r="J24" s="469"/>
      <c r="K24" s="469"/>
    </row>
    <row r="25" spans="1:16" ht="21" customHeight="1">
      <c r="A25" s="469"/>
      <c r="B25" s="462"/>
      <c r="C25" s="1879">
        <f>C11</f>
        <v>2026</v>
      </c>
      <c r="D25" s="1880"/>
      <c r="E25" s="1880"/>
      <c r="F25" s="1880"/>
      <c r="G25" s="1880"/>
      <c r="H25" s="1880"/>
      <c r="I25" s="1880"/>
      <c r="J25" s="1880"/>
      <c r="K25" s="1880"/>
      <c r="L25" s="1880"/>
      <c r="M25" s="1880"/>
      <c r="N25" s="1880"/>
      <c r="O25" s="1880"/>
      <c r="P25" s="502">
        <f>D11</f>
        <v>2025</v>
      </c>
    </row>
    <row r="26" spans="1:16">
      <c r="A26" s="469"/>
      <c r="B26" s="462" t="s">
        <v>1149</v>
      </c>
      <c r="C26" s="463" t="s">
        <v>1415</v>
      </c>
      <c r="D26" s="463" t="s">
        <v>1418</v>
      </c>
      <c r="E26" s="463" t="s">
        <v>1434</v>
      </c>
      <c r="F26" s="463" t="s">
        <v>1435</v>
      </c>
      <c r="G26" s="463" t="s">
        <v>1436</v>
      </c>
      <c r="H26" s="463" t="s">
        <v>1437</v>
      </c>
      <c r="I26" s="463" t="s">
        <v>1438</v>
      </c>
      <c r="J26" s="463" t="s">
        <v>1439</v>
      </c>
      <c r="K26" s="463" t="s">
        <v>1440</v>
      </c>
      <c r="L26" s="463" t="s">
        <v>1441</v>
      </c>
      <c r="M26" s="463" t="s">
        <v>1410</v>
      </c>
      <c r="N26" s="463" t="s">
        <v>1411</v>
      </c>
      <c r="O26" s="463" t="s">
        <v>1412</v>
      </c>
      <c r="P26" s="502" t="s">
        <v>1526</v>
      </c>
    </row>
    <row r="27" spans="1:16" ht="20.25" customHeight="1">
      <c r="A27">
        <v>1</v>
      </c>
      <c r="B27" s="496" t="str">
        <f t="shared" ref="B27:B32" si="1">B12</f>
        <v xml:space="preserve"> PRÉSTAMOS INTERNOS - INVERSIONES AVILMAN</v>
      </c>
      <c r="C27" s="213">
        <f t="shared" ref="C27:C32" si="2">SUM(D27:P27)</f>
        <v>0</v>
      </c>
      <c r="D27" s="512">
        <f>-BALANZA!N134</f>
        <v>0</v>
      </c>
      <c r="E27" s="512">
        <f>-BALANZA!O134</f>
        <v>0</v>
      </c>
      <c r="F27" s="512">
        <f>-BALANZA!P134</f>
        <v>0</v>
      </c>
      <c r="G27" s="512">
        <f>-BALANZA!Q134</f>
        <v>0</v>
      </c>
      <c r="H27" s="512">
        <f>-BALANZA!R134</f>
        <v>0</v>
      </c>
      <c r="I27" s="512">
        <f>-BALANZA!S134</f>
        <v>0</v>
      </c>
      <c r="J27" s="512">
        <f>-BALANZA!T134</f>
        <v>0</v>
      </c>
      <c r="K27" s="512">
        <f>-BALANZA!U134</f>
        <v>0</v>
      </c>
      <c r="L27" s="512">
        <f>-BALANZA!V134</f>
        <v>0</v>
      </c>
      <c r="M27" s="512">
        <f>-BALANZA!W134</f>
        <v>0</v>
      </c>
      <c r="N27" s="512">
        <f>-BALANZA!X134</f>
        <v>0</v>
      </c>
      <c r="O27" s="512">
        <f>-BALANZA!Y134</f>
        <v>0</v>
      </c>
      <c r="P27" s="253">
        <f t="shared" ref="P27:P32" si="3">D12</f>
        <v>0</v>
      </c>
    </row>
    <row r="28" spans="1:16" ht="20.25" customHeight="1">
      <c r="A28">
        <v>2</v>
      </c>
      <c r="B28" s="496" t="str">
        <f t="shared" si="1"/>
        <v xml:space="preserve"> PRÉSTAMOS INTERNOS - NEGOCIADO SIGLO XXII</v>
      </c>
      <c r="C28" s="213">
        <f t="shared" si="2"/>
        <v>0</v>
      </c>
      <c r="D28" s="512">
        <f>-BALANZA!N135</f>
        <v>0</v>
      </c>
      <c r="E28" s="512">
        <f>-BALANZA!O135</f>
        <v>0</v>
      </c>
      <c r="F28" s="512">
        <f>-BALANZA!P135</f>
        <v>0</v>
      </c>
      <c r="G28" s="512">
        <f>-BALANZA!Q135</f>
        <v>0</v>
      </c>
      <c r="H28" s="512">
        <f>-BALANZA!R135</f>
        <v>0</v>
      </c>
      <c r="I28" s="512">
        <f>-BALANZA!S135</f>
        <v>0</v>
      </c>
      <c r="J28" s="512">
        <f>-BALANZA!T135</f>
        <v>0</v>
      </c>
      <c r="K28" s="512">
        <f>-BALANZA!U135</f>
        <v>0</v>
      </c>
      <c r="L28" s="512">
        <f>-BALANZA!V135</f>
        <v>0</v>
      </c>
      <c r="M28" s="512">
        <f>-BALANZA!W135</f>
        <v>0</v>
      </c>
      <c r="N28" s="512">
        <f>-BALANZA!X135</f>
        <v>0</v>
      </c>
      <c r="O28" s="512">
        <f>-BALANZA!Y135</f>
        <v>0</v>
      </c>
      <c r="P28" s="253">
        <f t="shared" si="3"/>
        <v>0</v>
      </c>
    </row>
    <row r="29" spans="1:16" ht="20.25" customHeight="1">
      <c r="A29">
        <v>3</v>
      </c>
      <c r="B29" s="496" t="str">
        <f t="shared" si="1"/>
        <v>PRÉSTAMOS INTERNOS-COOP-ADEPE</v>
      </c>
      <c r="C29" s="213">
        <f t="shared" si="2"/>
        <v>0</v>
      </c>
      <c r="D29" s="512">
        <f>-BALANZA!N139</f>
        <v>0</v>
      </c>
      <c r="E29" s="512">
        <f>-BALANZA!O139</f>
        <v>0</v>
      </c>
      <c r="F29" s="512">
        <f>-BALANZA!P139</f>
        <v>0</v>
      </c>
      <c r="G29" s="512">
        <f>-BALANZA!Q139</f>
        <v>0</v>
      </c>
      <c r="H29" s="512">
        <f>-BALANZA!R139</f>
        <v>0</v>
      </c>
      <c r="I29" s="512">
        <f>-BALANZA!S139</f>
        <v>0</v>
      </c>
      <c r="J29" s="512">
        <f>-BALANZA!T139</f>
        <v>0</v>
      </c>
      <c r="K29" s="512">
        <f>-BALANZA!U139</f>
        <v>0</v>
      </c>
      <c r="L29" s="512">
        <f>-BALANZA!V139</f>
        <v>0</v>
      </c>
      <c r="M29" s="512">
        <f>-BALANZA!W139</f>
        <v>0</v>
      </c>
      <c r="N29" s="512">
        <f>-BALANZA!X139</f>
        <v>0</v>
      </c>
      <c r="O29" s="512">
        <f>-BALANZA!Y139</f>
        <v>0</v>
      </c>
      <c r="P29" s="253">
        <f t="shared" si="3"/>
        <v>0</v>
      </c>
    </row>
    <row r="30" spans="1:16" ht="20.25" customHeight="1">
      <c r="A30">
        <v>4</v>
      </c>
      <c r="B30" s="496" t="str">
        <f t="shared" si="1"/>
        <v>PRESTAMO INTERNO - PRESTANEG, SRL</v>
      </c>
      <c r="C30" s="213">
        <f t="shared" si="2"/>
        <v>0</v>
      </c>
      <c r="D30" s="512">
        <f>-BALANZA!N141</f>
        <v>0</v>
      </c>
      <c r="E30" s="512">
        <f>-BALANZA!O141</f>
        <v>0</v>
      </c>
      <c r="F30" s="512">
        <f>-BALANZA!P141</f>
        <v>0</v>
      </c>
      <c r="G30" s="512">
        <f>-BALANZA!Q141</f>
        <v>0</v>
      </c>
      <c r="H30" s="512">
        <f>-BALANZA!R141</f>
        <v>0</v>
      </c>
      <c r="I30" s="512">
        <f>-BALANZA!S141</f>
        <v>0</v>
      </c>
      <c r="J30" s="512">
        <f>-BALANZA!T141</f>
        <v>0</v>
      </c>
      <c r="K30" s="512">
        <f>-BALANZA!U141</f>
        <v>0</v>
      </c>
      <c r="L30" s="512">
        <f>-BALANZA!V141</f>
        <v>0</v>
      </c>
      <c r="M30" s="512">
        <f>-BALANZA!W141</f>
        <v>0</v>
      </c>
      <c r="N30" s="512">
        <f>-BALANZA!X141</f>
        <v>0</v>
      </c>
      <c r="O30" s="512">
        <f>-BALANZA!Y141</f>
        <v>0</v>
      </c>
      <c r="P30" s="253">
        <f t="shared" si="3"/>
        <v>0</v>
      </c>
    </row>
    <row r="31" spans="1:16" ht="20.25" customHeight="1">
      <c r="A31">
        <v>5</v>
      </c>
      <c r="B31" s="496" t="str">
        <f t="shared" si="1"/>
        <v xml:space="preserve"> PRESTAMOS INTERNOS - RESERVAS</v>
      </c>
      <c r="C31" s="213">
        <f t="shared" si="2"/>
        <v>0</v>
      </c>
      <c r="D31" s="512">
        <f>-BALANZA!N142</f>
        <v>0</v>
      </c>
      <c r="E31" s="512">
        <f>-BALANZA!O142</f>
        <v>0</v>
      </c>
      <c r="F31" s="512">
        <f>-BALANZA!P142</f>
        <v>0</v>
      </c>
      <c r="G31" s="512">
        <f>-BALANZA!Q142</f>
        <v>0</v>
      </c>
      <c r="H31" s="512">
        <f>-BALANZA!R142</f>
        <v>0</v>
      </c>
      <c r="I31" s="512">
        <f>-BALANZA!S142</f>
        <v>0</v>
      </c>
      <c r="J31" s="512">
        <f>-BALANZA!T142</f>
        <v>0</v>
      </c>
      <c r="K31" s="512">
        <f>-BALANZA!U142</f>
        <v>0</v>
      </c>
      <c r="L31" s="512">
        <f>-BALANZA!V142</f>
        <v>0</v>
      </c>
      <c r="M31" s="512">
        <f>-BALANZA!W142</f>
        <v>0</v>
      </c>
      <c r="N31" s="512">
        <f>-BALANZA!X142</f>
        <v>0</v>
      </c>
      <c r="O31" s="512">
        <f>-BALANZA!Y142</f>
        <v>0</v>
      </c>
      <c r="P31" s="253">
        <f t="shared" si="3"/>
        <v>0</v>
      </c>
    </row>
    <row r="32" spans="1:16" ht="20.25" customHeight="1">
      <c r="A32">
        <v>6</v>
      </c>
      <c r="B32" s="490">
        <f t="shared" si="1"/>
        <v>0</v>
      </c>
      <c r="C32" s="213">
        <f t="shared" si="2"/>
        <v>0</v>
      </c>
      <c r="D32" s="512"/>
      <c r="E32" s="320"/>
      <c r="F32" s="515"/>
      <c r="G32" s="450"/>
      <c r="H32" s="516"/>
      <c r="I32" s="516"/>
      <c r="J32" s="516"/>
      <c r="K32" s="516"/>
      <c r="L32" s="516"/>
      <c r="M32" s="516"/>
      <c r="N32" s="516"/>
      <c r="O32" s="516"/>
      <c r="P32" s="253">
        <f t="shared" si="3"/>
        <v>0</v>
      </c>
    </row>
    <row r="33" spans="1:16" ht="22.5" customHeight="1">
      <c r="A33" s="469"/>
      <c r="B33" s="192" t="s">
        <v>1152</v>
      </c>
      <c r="C33" s="214">
        <f t="shared" ref="C33:P33" si="4">SUM(C27:C31)</f>
        <v>0</v>
      </c>
      <c r="D33" s="514">
        <f t="shared" si="4"/>
        <v>0</v>
      </c>
      <c r="E33" s="514">
        <f t="shared" si="4"/>
        <v>0</v>
      </c>
      <c r="F33" s="514">
        <f t="shared" si="4"/>
        <v>0</v>
      </c>
      <c r="G33" s="514">
        <f t="shared" si="4"/>
        <v>0</v>
      </c>
      <c r="H33" s="514">
        <f t="shared" si="4"/>
        <v>0</v>
      </c>
      <c r="I33" s="514">
        <f t="shared" si="4"/>
        <v>0</v>
      </c>
      <c r="J33" s="514">
        <f t="shared" si="4"/>
        <v>0</v>
      </c>
      <c r="K33" s="514">
        <f t="shared" si="4"/>
        <v>0</v>
      </c>
      <c r="L33" s="514">
        <f t="shared" si="4"/>
        <v>0</v>
      </c>
      <c r="M33" s="514">
        <f t="shared" si="4"/>
        <v>0</v>
      </c>
      <c r="N33" s="514">
        <f t="shared" si="4"/>
        <v>0</v>
      </c>
      <c r="O33" s="514">
        <f t="shared" si="4"/>
        <v>0</v>
      </c>
      <c r="P33" s="514">
        <f t="shared" si="4"/>
        <v>0</v>
      </c>
    </row>
    <row r="34" spans="1:16">
      <c r="A34" s="469"/>
      <c r="B34" s="483"/>
      <c r="C34" s="484"/>
      <c r="D34" s="484"/>
      <c r="E34" s="469"/>
      <c r="F34" s="469"/>
      <c r="G34" s="469"/>
    </row>
    <row r="35" spans="1:16">
      <c r="A35" s="469"/>
      <c r="B35" s="485" t="s">
        <v>1406</v>
      </c>
      <c r="C35" s="486">
        <f>C33-C18</f>
        <v>0</v>
      </c>
    </row>
    <row r="36" spans="1:16">
      <c r="A36" s="469"/>
      <c r="B36" s="393"/>
      <c r="C36" s="450" t="str">
        <f>IF(C35=0,m!$B$7,m!$B$11)</f>
        <v>P</v>
      </c>
    </row>
    <row r="37" spans="1:16">
      <c r="A37" s="469"/>
      <c r="B37" s="469"/>
      <c r="C37" s="469"/>
      <c r="D37" s="469"/>
      <c r="E37" s="469"/>
      <c r="F37" s="469"/>
      <c r="G37" s="469"/>
      <c r="H37" s="469"/>
    </row>
    <row r="38" spans="1:16" ht="15.75" thickBot="1">
      <c r="B38" s="596" t="s">
        <v>1573</v>
      </c>
      <c r="C38">
        <f>+C35/2</f>
        <v>0</v>
      </c>
    </row>
    <row r="39" spans="1:16" s="525" customFormat="1" ht="15.75" thickBot="1">
      <c r="B39" s="2022"/>
      <c r="C39" s="555" t="s">
        <v>1425</v>
      </c>
    </row>
    <row r="40" spans="1:16" s="525" customFormat="1" ht="18.75" customHeight="1">
      <c r="B40" s="2023"/>
      <c r="C40" s="556" t="s">
        <v>1477</v>
      </c>
      <c r="D40" s="557" t="s">
        <v>1478</v>
      </c>
      <c r="E40" s="557" t="s">
        <v>6</v>
      </c>
      <c r="F40" s="1891" t="s">
        <v>1356</v>
      </c>
      <c r="G40" s="1891"/>
      <c r="H40" s="1891"/>
      <c r="I40" s="1891"/>
      <c r="J40" s="1891"/>
      <c r="K40" s="559" t="s">
        <v>1357</v>
      </c>
      <c r="L40" s="560" t="s">
        <v>1358</v>
      </c>
    </row>
    <row r="41" spans="1:16" s="525" customFormat="1" ht="9.75" customHeight="1">
      <c r="B41" s="2023"/>
      <c r="C41" s="540"/>
      <c r="D41" s="451"/>
      <c r="E41" s="451"/>
      <c r="F41" s="451"/>
      <c r="G41" s="457"/>
      <c r="H41" s="457"/>
      <c r="I41" s="393"/>
      <c r="J41" s="393"/>
      <c r="K41" s="393"/>
      <c r="L41" s="418"/>
    </row>
    <row r="42" spans="1:16" s="525" customFormat="1" ht="18.75" customHeight="1">
      <c r="B42" s="2023"/>
      <c r="C42" s="542">
        <v>11</v>
      </c>
      <c r="D42" s="543" t="str">
        <f>H10</f>
        <v>AA-1</v>
      </c>
      <c r="E42" s="544"/>
      <c r="F42" s="545" t="s">
        <v>1570</v>
      </c>
      <c r="G42" s="546"/>
      <c r="H42" s="546"/>
      <c r="I42" s="546"/>
      <c r="J42" s="547"/>
      <c r="K42" s="544">
        <v>0</v>
      </c>
      <c r="L42" s="548"/>
    </row>
    <row r="43" spans="1:16" s="525" customFormat="1" ht="18.75" customHeight="1">
      <c r="B43" s="2023"/>
      <c r="C43" s="549"/>
      <c r="D43" s="550"/>
      <c r="E43" s="544"/>
      <c r="F43" s="545" t="s">
        <v>1570</v>
      </c>
      <c r="G43" s="546"/>
      <c r="H43" s="546"/>
      <c r="I43" s="546"/>
      <c r="J43" s="547"/>
      <c r="K43" s="544"/>
      <c r="L43" s="551">
        <f>K42</f>
        <v>0</v>
      </c>
    </row>
    <row r="44" spans="1:16" s="525" customFormat="1" ht="18.75" customHeight="1" thickBot="1">
      <c r="B44" s="2023"/>
      <c r="C44" s="552" t="s">
        <v>1562</v>
      </c>
      <c r="D44" s="553"/>
      <c r="E44" s="553"/>
      <c r="F44" s="553"/>
      <c r="G44" s="553"/>
      <c r="H44" s="553"/>
      <c r="I44" s="553"/>
      <c r="J44" s="553"/>
      <c r="K44" s="553"/>
      <c r="L44" s="554"/>
    </row>
    <row r="45" spans="1:16" s="525" customFormat="1">
      <c r="B45" s="2023"/>
    </row>
    <row r="46" spans="1:16" s="525" customFormat="1" ht="15.75" thickBot="1">
      <c r="B46" s="2023"/>
    </row>
    <row r="47" spans="1:16" s="525" customFormat="1" ht="15.75" thickBot="1">
      <c r="B47" s="2023"/>
      <c r="C47" s="555" t="s">
        <v>1561</v>
      </c>
    </row>
    <row r="48" spans="1:16" s="525" customFormat="1" ht="18.75" customHeight="1">
      <c r="B48" s="2023"/>
      <c r="C48" s="556" t="s">
        <v>1477</v>
      </c>
      <c r="D48" s="557" t="s">
        <v>1478</v>
      </c>
      <c r="E48" s="557" t="s">
        <v>6</v>
      </c>
      <c r="F48" s="1891" t="s">
        <v>1356</v>
      </c>
      <c r="G48" s="1891"/>
      <c r="H48" s="1891"/>
      <c r="I48" s="1891"/>
      <c r="J48" s="1891"/>
      <c r="K48" s="559" t="s">
        <v>1357</v>
      </c>
      <c r="L48" s="560" t="s">
        <v>1358</v>
      </c>
    </row>
    <row r="49" spans="1:12" s="525" customFormat="1" ht="9.75" customHeight="1">
      <c r="B49" s="2023"/>
      <c r="C49" s="540"/>
      <c r="D49" s="451"/>
      <c r="E49" s="451"/>
      <c r="F49" s="451"/>
      <c r="G49" s="457"/>
      <c r="H49" s="457"/>
      <c r="I49" s="393"/>
      <c r="J49" s="393"/>
      <c r="K49" s="393"/>
      <c r="L49" s="418"/>
    </row>
    <row r="50" spans="1:12" s="525" customFormat="1" ht="18.75" customHeight="1">
      <c r="B50" s="2023"/>
      <c r="C50" s="543">
        <f>C42</f>
        <v>11</v>
      </c>
      <c r="D50" s="543" t="str">
        <f>D42</f>
        <v>AA-1</v>
      </c>
      <c r="E50" s="544"/>
      <c r="F50" s="545" t="s">
        <v>1570</v>
      </c>
      <c r="G50" s="546"/>
      <c r="H50" s="546"/>
      <c r="I50" s="546"/>
      <c r="J50" s="547"/>
      <c r="K50" s="544"/>
      <c r="L50" s="548"/>
    </row>
    <row r="51" spans="1:12" s="525" customFormat="1" ht="18.75" customHeight="1">
      <c r="B51" s="2023"/>
      <c r="C51" s="549"/>
      <c r="D51" s="550"/>
      <c r="E51" s="544"/>
      <c r="F51" s="545" t="s">
        <v>1570</v>
      </c>
      <c r="G51" s="546"/>
      <c r="H51" s="546"/>
      <c r="I51" s="546"/>
      <c r="J51" s="547"/>
      <c r="K51" s="544"/>
      <c r="L51" s="551">
        <f>K50</f>
        <v>0</v>
      </c>
    </row>
    <row r="52" spans="1:12" s="525" customFormat="1" ht="18.75" customHeight="1" thickBot="1">
      <c r="B52" s="2024"/>
      <c r="C52" s="552" t="s">
        <v>1569</v>
      </c>
      <c r="D52" s="553"/>
      <c r="E52" s="553"/>
      <c r="F52" s="553"/>
      <c r="G52" s="553"/>
      <c r="H52" s="553"/>
      <c r="I52" s="553"/>
      <c r="J52" s="553"/>
      <c r="K52" s="553"/>
      <c r="L52" s="554"/>
    </row>
    <row r="53" spans="1:12" s="525" customFormat="1"/>
    <row r="56" spans="1:12" ht="15.75" thickBot="1"/>
    <row r="57" spans="1:12" ht="15.75" thickBot="1">
      <c r="A57" s="989"/>
      <c r="B57" s="989"/>
      <c r="C57" s="1887" t="s">
        <v>2413</v>
      </c>
      <c r="D57" s="1888"/>
      <c r="E57" s="1889"/>
      <c r="F57" s="1889"/>
      <c r="G57" s="1890"/>
      <c r="H57" s="1883" t="s">
        <v>2414</v>
      </c>
      <c r="I57" s="1884"/>
      <c r="J57" s="1884"/>
      <c r="K57" s="1884"/>
      <c r="L57" s="1885"/>
    </row>
    <row r="58" spans="1:12" ht="27" thickBot="1">
      <c r="A58" s="990" t="s">
        <v>1481</v>
      </c>
      <c r="B58" s="990" t="s">
        <v>8</v>
      </c>
      <c r="C58" s="991" t="s">
        <v>2415</v>
      </c>
      <c r="D58" s="992" t="s">
        <v>2416</v>
      </c>
      <c r="E58" s="993" t="s">
        <v>2417</v>
      </c>
      <c r="F58" s="992" t="s">
        <v>2416</v>
      </c>
      <c r="G58" s="994" t="s">
        <v>2418</v>
      </c>
      <c r="H58" s="1123" t="s">
        <v>2415</v>
      </c>
      <c r="I58" s="995" t="s">
        <v>2416</v>
      </c>
      <c r="J58" s="996" t="s">
        <v>2417</v>
      </c>
      <c r="K58" s="995" t="s">
        <v>2416</v>
      </c>
      <c r="L58" s="997" t="s">
        <v>2418</v>
      </c>
    </row>
    <row r="59" spans="1:12" ht="15.75" thickBot="1"/>
    <row r="60" spans="1:12" ht="25.5" thickBot="1">
      <c r="A60" s="1136">
        <v>1</v>
      </c>
      <c r="B60" s="1137" t="s">
        <v>2641</v>
      </c>
      <c r="C60" s="1025"/>
      <c r="D60" s="1014"/>
      <c r="E60" s="1000"/>
      <c r="F60" s="1025"/>
      <c r="G60" s="1000"/>
      <c r="H60" s="1025"/>
      <c r="I60" s="1014"/>
      <c r="J60" s="1000"/>
      <c r="K60" s="1025"/>
      <c r="L60" s="1002"/>
    </row>
    <row r="61" spans="1:12" ht="15.75" thickBot="1">
      <c r="A61" s="1136"/>
      <c r="B61" s="1138"/>
    </row>
    <row r="62" spans="1:12" ht="27" thickBot="1">
      <c r="A62" s="1136">
        <v>2</v>
      </c>
      <c r="B62" s="1139" t="s">
        <v>2642</v>
      </c>
      <c r="C62" s="1000"/>
      <c r="D62" s="1025"/>
      <c r="E62" s="1000"/>
      <c r="F62" s="1000"/>
      <c r="G62" s="1025"/>
      <c r="H62" s="1000"/>
      <c r="I62" s="1025"/>
      <c r="J62" s="1000"/>
      <c r="K62" s="1000"/>
      <c r="L62" s="1094"/>
    </row>
    <row r="63" spans="1:12" ht="15.75" thickBot="1">
      <c r="A63" s="1136"/>
      <c r="B63" s="1140"/>
    </row>
    <row r="64" spans="1:12" ht="27" thickBot="1">
      <c r="A64" s="1136">
        <v>3</v>
      </c>
      <c r="B64" s="1139" t="s">
        <v>2643</v>
      </c>
      <c r="C64" s="1000"/>
      <c r="D64" s="1025"/>
      <c r="E64" s="1000"/>
      <c r="F64" s="1000"/>
      <c r="G64" s="1025"/>
      <c r="H64" s="1000"/>
      <c r="I64" s="1025"/>
      <c r="J64" s="1000"/>
      <c r="K64" s="1000"/>
      <c r="L64" s="1094"/>
    </row>
    <row r="65" spans="1:12" ht="15.75" thickBot="1">
      <c r="A65" s="1136"/>
      <c r="B65" s="1140"/>
    </row>
    <row r="66" spans="1:12" ht="64.5">
      <c r="A66" s="1136">
        <v>4</v>
      </c>
      <c r="B66" s="1125" t="s">
        <v>2644</v>
      </c>
      <c r="C66" s="1006"/>
      <c r="D66" s="2"/>
      <c r="E66" s="1006"/>
      <c r="F66" s="1006"/>
      <c r="G66" s="2"/>
      <c r="H66" s="1006"/>
      <c r="I66" s="2"/>
      <c r="J66" s="1006"/>
      <c r="K66" s="1006"/>
      <c r="L66" s="3"/>
    </row>
    <row r="67" spans="1:12">
      <c r="A67" s="1136"/>
      <c r="B67" s="1129" t="s">
        <v>2645</v>
      </c>
      <c r="C67" s="243"/>
      <c r="D67" s="1023"/>
      <c r="E67" s="243"/>
      <c r="F67" s="243"/>
      <c r="G67" s="1023"/>
      <c r="H67" s="243"/>
      <c r="I67" s="1023"/>
      <c r="J67" s="243"/>
      <c r="K67" s="243"/>
      <c r="L67" s="1107"/>
    </row>
    <row r="68" spans="1:12">
      <c r="A68" s="1136"/>
      <c r="B68" s="1129" t="s">
        <v>2646</v>
      </c>
      <c r="C68" s="243"/>
      <c r="D68" s="1023"/>
      <c r="E68" s="243"/>
      <c r="F68" s="243"/>
      <c r="G68" s="1023"/>
      <c r="H68" s="243"/>
      <c r="I68" s="1023"/>
      <c r="J68" s="243"/>
      <c r="K68" s="243"/>
      <c r="L68" s="1107"/>
    </row>
    <row r="69" spans="1:12">
      <c r="A69" s="1136"/>
      <c r="B69" s="1129" t="s">
        <v>2647</v>
      </c>
      <c r="C69" s="243"/>
      <c r="D69" s="1023"/>
      <c r="E69" s="243"/>
      <c r="F69" s="243"/>
      <c r="G69" s="1023"/>
      <c r="H69" s="243"/>
      <c r="I69" s="1023"/>
      <c r="J69" s="243"/>
      <c r="K69" s="243"/>
      <c r="L69" s="1107"/>
    </row>
    <row r="70" spans="1:12" ht="15.75" thickBot="1">
      <c r="A70" s="1136"/>
      <c r="B70" s="1131" t="s">
        <v>2648</v>
      </c>
      <c r="C70" s="1012"/>
      <c r="D70" s="8"/>
      <c r="E70" s="1012"/>
      <c r="F70" s="1012"/>
      <c r="G70" s="8"/>
      <c r="H70" s="1012"/>
      <c r="I70" s="8"/>
      <c r="J70" s="1012"/>
      <c r="K70" s="1012"/>
      <c r="L70" s="9"/>
    </row>
    <row r="71" spans="1:12" ht="15.75" thickBot="1">
      <c r="A71" s="1136"/>
      <c r="B71" s="63"/>
    </row>
    <row r="72" spans="1:12" ht="65.25" thickBot="1">
      <c r="A72" s="1136">
        <v>5</v>
      </c>
      <c r="B72" s="1139" t="s">
        <v>2649</v>
      </c>
      <c r="C72" s="1000"/>
      <c r="D72" s="1025"/>
      <c r="E72" s="1000"/>
      <c r="F72" s="1000"/>
      <c r="G72" s="1025"/>
      <c r="H72" s="1000"/>
      <c r="I72" s="1025"/>
      <c r="J72" s="1000"/>
      <c r="K72" s="1000"/>
      <c r="L72" s="1094"/>
    </row>
    <row r="73" spans="1:12" ht="15.75" thickBot="1">
      <c r="A73" s="1136"/>
      <c r="B73" s="1140"/>
    </row>
    <row r="74" spans="1:12" ht="90.75" thickBot="1">
      <c r="A74" s="1136">
        <v>6</v>
      </c>
      <c r="B74" s="1141" t="s">
        <v>2650</v>
      </c>
      <c r="C74" s="1000"/>
      <c r="D74" s="1000"/>
      <c r="E74" s="1000"/>
      <c r="F74" s="1000"/>
      <c r="G74" s="1000"/>
      <c r="H74" s="1000"/>
      <c r="I74" s="1000"/>
      <c r="J74" s="1025"/>
      <c r="K74" s="1000"/>
      <c r="L74" s="1094"/>
    </row>
    <row r="75" spans="1:12" ht="15.75" thickBot="1">
      <c r="A75" s="1136"/>
      <c r="B75" s="1140"/>
    </row>
    <row r="76" spans="1:12" ht="36.75" thickBot="1">
      <c r="A76" s="1136">
        <v>7</v>
      </c>
      <c r="B76" s="1134" t="s">
        <v>2651</v>
      </c>
      <c r="C76" s="1000"/>
      <c r="D76" s="1025"/>
      <c r="E76" s="1000"/>
      <c r="F76" s="1000"/>
      <c r="G76" s="1025"/>
      <c r="H76" s="1000"/>
      <c r="I76" s="1025"/>
      <c r="J76" s="1000"/>
      <c r="K76" s="1000"/>
      <c r="L76" s="1094"/>
    </row>
    <row r="77" spans="1:12" ht="15.75" thickBot="1">
      <c r="A77" s="1136"/>
      <c r="B77" s="1142"/>
    </row>
    <row r="78" spans="1:12" ht="52.5" thickBot="1">
      <c r="A78" s="1136">
        <v>8</v>
      </c>
      <c r="B78" s="1139" t="s">
        <v>2652</v>
      </c>
      <c r="C78" s="1000"/>
      <c r="D78" s="1025"/>
      <c r="E78" s="1000"/>
      <c r="F78" s="1000"/>
      <c r="G78" s="1025"/>
      <c r="H78" s="1000"/>
      <c r="I78" s="1025"/>
      <c r="J78" s="1000"/>
      <c r="K78" s="1000"/>
      <c r="L78" s="1094"/>
    </row>
    <row r="79" spans="1:12" ht="15.75" thickBot="1">
      <c r="A79" s="1136"/>
      <c r="B79" s="1140"/>
    </row>
    <row r="80" spans="1:12" ht="49.5" thickBot="1">
      <c r="A80" s="1136">
        <v>9</v>
      </c>
      <c r="B80" s="1143" t="s">
        <v>2653</v>
      </c>
      <c r="C80" s="1000"/>
      <c r="D80" s="1025"/>
      <c r="E80" s="1000"/>
      <c r="F80" s="1000"/>
      <c r="G80" s="1025"/>
      <c r="H80" s="1000"/>
      <c r="I80" s="1025"/>
      <c r="J80" s="1000"/>
      <c r="K80" s="1000"/>
      <c r="L80" s="1094"/>
    </row>
    <row r="81" spans="1:12" ht="15.75" thickBot="1">
      <c r="A81" s="1136"/>
      <c r="B81" s="1138"/>
    </row>
    <row r="82" spans="1:12" ht="48.75" thickBot="1">
      <c r="A82" s="1136">
        <v>10</v>
      </c>
      <c r="B82" s="1134" t="s">
        <v>2654</v>
      </c>
      <c r="C82" s="1000"/>
      <c r="D82" s="1025"/>
      <c r="E82" s="1000"/>
      <c r="F82" s="1000"/>
      <c r="G82" s="1025"/>
      <c r="H82" s="1000"/>
      <c r="I82" s="1025"/>
      <c r="J82" s="1000"/>
      <c r="K82" s="1000"/>
      <c r="L82" s="1094"/>
    </row>
    <row r="83" spans="1:12" ht="15.75" thickBot="1">
      <c r="A83" s="1136"/>
      <c r="B83" s="1144"/>
    </row>
    <row r="84" spans="1:12" ht="48.75" thickBot="1">
      <c r="A84" s="1136">
        <v>11</v>
      </c>
      <c r="B84" s="1134" t="s">
        <v>2655</v>
      </c>
      <c r="C84" s="1000"/>
      <c r="D84" s="1025"/>
      <c r="E84" s="1000"/>
      <c r="F84" s="1000"/>
      <c r="G84" s="1025"/>
      <c r="H84" s="1000"/>
      <c r="I84" s="1025"/>
      <c r="J84" s="1000"/>
      <c r="K84" s="1000"/>
      <c r="L84" s="1094"/>
    </row>
    <row r="85" spans="1:12" ht="15.75" thickBot="1">
      <c r="A85" s="1136"/>
      <c r="B85" s="1144"/>
    </row>
    <row r="86" spans="1:12" ht="48.75" thickBot="1">
      <c r="A86" s="1136">
        <v>12</v>
      </c>
      <c r="B86" s="1134" t="s">
        <v>2656</v>
      </c>
      <c r="C86" s="1000"/>
      <c r="D86" s="1025"/>
      <c r="E86" s="1000"/>
      <c r="F86" s="1000"/>
      <c r="G86" s="1025"/>
      <c r="H86" s="1000"/>
      <c r="I86" s="1025"/>
      <c r="J86" s="1000"/>
      <c r="K86" s="1000"/>
      <c r="L86" s="1094"/>
    </row>
    <row r="87" spans="1:12" ht="15.75" thickBot="1">
      <c r="A87" s="1136"/>
      <c r="B87" s="1144"/>
    </row>
    <row r="88" spans="1:12" ht="48.75" thickBot="1">
      <c r="A88" s="1136">
        <v>13</v>
      </c>
      <c r="B88" s="1134" t="s">
        <v>2639</v>
      </c>
      <c r="C88" s="1000"/>
      <c r="D88" s="1025"/>
      <c r="E88" s="1000"/>
      <c r="F88" s="1000"/>
      <c r="G88" s="1025"/>
      <c r="H88" s="1000"/>
      <c r="I88" s="1025"/>
      <c r="J88" s="1000"/>
      <c r="K88" s="1000"/>
      <c r="L88" s="1094"/>
    </row>
    <row r="89" spans="1:12" ht="15.75" thickBot="1">
      <c r="A89" s="1136"/>
      <c r="B89" s="1144"/>
    </row>
    <row r="90" spans="1:12" ht="45.75" thickBot="1">
      <c r="A90" s="1136">
        <v>14</v>
      </c>
      <c r="B90" s="1117" t="s">
        <v>2657</v>
      </c>
      <c r="C90" s="1000"/>
      <c r="D90" s="1025"/>
      <c r="E90" s="1000"/>
      <c r="F90" s="1000"/>
      <c r="G90" s="1025"/>
      <c r="H90" s="1000"/>
      <c r="I90" s="1025"/>
      <c r="J90" s="1000"/>
      <c r="K90" s="1000"/>
      <c r="L90" s="1094"/>
    </row>
    <row r="91" spans="1:12">
      <c r="A91" s="953"/>
    </row>
    <row r="92" spans="1:12">
      <c r="A92" s="953"/>
    </row>
    <row r="93" spans="1:12">
      <c r="A93" s="953"/>
      <c r="B93" s="1902" t="s">
        <v>2576</v>
      </c>
      <c r="C93" s="1902"/>
      <c r="D93" s="1902"/>
      <c r="E93" s="1902"/>
      <c r="F93" s="1902"/>
      <c r="G93" s="1902"/>
      <c r="H93" s="1902"/>
      <c r="I93" s="1902"/>
      <c r="J93" s="1902"/>
      <c r="K93" s="1902"/>
      <c r="L93" s="1902"/>
    </row>
    <row r="94" spans="1:12">
      <c r="A94" s="179"/>
      <c r="B94" s="179"/>
      <c r="C94" s="179"/>
      <c r="D94" s="179"/>
      <c r="E94" s="179"/>
      <c r="F94" s="179"/>
      <c r="G94" s="179"/>
      <c r="H94" s="179"/>
      <c r="I94" s="179"/>
    </row>
    <row r="95" spans="1:12">
      <c r="A95" s="179"/>
      <c r="B95" s="179"/>
      <c r="C95" s="179"/>
      <c r="D95" s="179"/>
      <c r="E95" s="179"/>
      <c r="F95" s="179"/>
      <c r="G95" s="179"/>
      <c r="H95" s="179"/>
      <c r="I95" s="179"/>
    </row>
    <row r="96" spans="1:12">
      <c r="A96" s="179"/>
      <c r="B96" s="179"/>
      <c r="C96" s="179"/>
      <c r="D96" s="179"/>
      <c r="E96" s="179"/>
      <c r="F96" s="179"/>
      <c r="G96" s="179"/>
      <c r="H96" s="179"/>
      <c r="I96" s="179"/>
    </row>
    <row r="97" spans="1:9">
      <c r="A97" s="179"/>
      <c r="B97" s="179"/>
      <c r="C97" s="179"/>
      <c r="D97" s="179"/>
      <c r="E97" s="179"/>
      <c r="F97" s="179"/>
      <c r="G97" s="179"/>
      <c r="H97" s="179"/>
      <c r="I97" s="179"/>
    </row>
    <row r="98" spans="1:9">
      <c r="A98" s="179"/>
      <c r="B98" s="179"/>
      <c r="C98" s="179"/>
      <c r="D98" s="179"/>
      <c r="E98" s="179"/>
      <c r="F98" s="179"/>
      <c r="G98" s="179"/>
      <c r="H98" s="179"/>
      <c r="I98" s="179"/>
    </row>
    <row r="99" spans="1:9">
      <c r="A99" s="179"/>
      <c r="B99" s="179"/>
      <c r="C99" s="179"/>
      <c r="D99" s="179"/>
      <c r="E99" s="179"/>
      <c r="F99" s="179"/>
      <c r="G99" s="179"/>
      <c r="H99" s="179"/>
      <c r="I99" s="179"/>
    </row>
    <row r="100" spans="1:9">
      <c r="A100" s="179"/>
      <c r="B100" s="179"/>
      <c r="C100" s="179"/>
      <c r="D100" s="179"/>
      <c r="E100" s="179"/>
      <c r="F100" s="179"/>
      <c r="G100" s="179"/>
      <c r="H100" s="179"/>
      <c r="I100" s="179"/>
    </row>
    <row r="101" spans="1:9">
      <c r="A101" s="179"/>
      <c r="B101" s="179"/>
      <c r="C101" s="179"/>
      <c r="D101" s="179"/>
      <c r="E101" s="179"/>
      <c r="F101" s="179"/>
      <c r="G101" s="179"/>
      <c r="H101" s="179"/>
      <c r="I101" s="179"/>
    </row>
    <row r="102" spans="1:9">
      <c r="A102" s="179"/>
      <c r="B102" s="179"/>
      <c r="C102" s="179"/>
      <c r="D102" s="179"/>
      <c r="E102" s="179"/>
      <c r="F102" s="179"/>
      <c r="G102" s="179"/>
      <c r="H102" s="179"/>
      <c r="I102" s="179"/>
    </row>
    <row r="103" spans="1:9">
      <c r="A103" s="179"/>
      <c r="B103" s="179"/>
      <c r="C103" s="179"/>
      <c r="D103" s="179"/>
      <c r="E103" s="179"/>
      <c r="F103" s="179"/>
      <c r="G103" s="179"/>
      <c r="H103" s="179"/>
      <c r="I103" s="179"/>
    </row>
    <row r="104" spans="1:9">
      <c r="A104" s="179"/>
      <c r="B104" s="179"/>
      <c r="C104" s="179"/>
      <c r="D104" s="179"/>
      <c r="E104" s="179"/>
      <c r="F104" s="179"/>
      <c r="G104" s="179"/>
      <c r="H104" s="179"/>
      <c r="I104" s="179"/>
    </row>
    <row r="105" spans="1:9">
      <c r="A105" s="179"/>
      <c r="B105" s="179"/>
      <c r="C105" s="179"/>
      <c r="D105" s="179"/>
      <c r="E105" s="179"/>
      <c r="F105" s="179"/>
      <c r="G105" s="179"/>
      <c r="H105" s="179"/>
      <c r="I105" s="179"/>
    </row>
    <row r="106" spans="1:9">
      <c r="A106" s="179"/>
      <c r="B106" s="179"/>
      <c r="C106" s="179"/>
      <c r="D106" s="179"/>
      <c r="E106" s="179"/>
      <c r="F106" s="179"/>
      <c r="G106" s="179"/>
      <c r="H106" s="179"/>
      <c r="I106" s="179"/>
    </row>
    <row r="107" spans="1:9">
      <c r="A107" s="179"/>
      <c r="B107" s="179"/>
      <c r="C107" s="179"/>
      <c r="D107" s="179"/>
      <c r="E107" s="179"/>
      <c r="F107" s="179"/>
      <c r="G107" s="179"/>
      <c r="H107" s="179"/>
      <c r="I107" s="179"/>
    </row>
    <row r="108" spans="1:9">
      <c r="A108" s="179"/>
      <c r="B108" s="179"/>
      <c r="C108" s="179"/>
      <c r="D108" s="179"/>
      <c r="E108" s="179"/>
      <c r="F108" s="179"/>
      <c r="G108" s="179"/>
      <c r="H108" s="179"/>
      <c r="I108" s="179"/>
    </row>
    <row r="109" spans="1:9">
      <c r="A109" s="179"/>
      <c r="B109" s="179"/>
      <c r="C109" s="179"/>
      <c r="D109" s="179"/>
      <c r="E109" s="179"/>
      <c r="F109" s="179"/>
      <c r="G109" s="179"/>
      <c r="H109" s="179"/>
      <c r="I109" s="179"/>
    </row>
    <row r="110" spans="1:9">
      <c r="A110" s="179"/>
      <c r="B110" s="179"/>
      <c r="C110" s="179"/>
      <c r="D110" s="179"/>
      <c r="E110" s="179"/>
      <c r="F110" s="179"/>
      <c r="G110" s="179"/>
      <c r="H110" s="179"/>
      <c r="I110" s="179"/>
    </row>
    <row r="111" spans="1:9">
      <c r="A111" s="179"/>
      <c r="B111" s="179"/>
      <c r="C111" s="179"/>
      <c r="D111" s="179"/>
      <c r="E111" s="179"/>
      <c r="F111" s="179"/>
      <c r="G111" s="179"/>
      <c r="H111" s="179"/>
      <c r="I111" s="179"/>
    </row>
    <row r="112" spans="1:9">
      <c r="A112" s="179"/>
      <c r="B112" s="179"/>
      <c r="C112" s="179"/>
      <c r="D112" s="179"/>
      <c r="E112" s="179"/>
      <c r="F112" s="179"/>
      <c r="G112" s="179"/>
      <c r="H112" s="179"/>
      <c r="I112" s="179"/>
    </row>
    <row r="113" spans="1:9">
      <c r="A113" s="179"/>
      <c r="B113" s="179"/>
      <c r="C113" s="179"/>
      <c r="D113" s="179"/>
      <c r="E113" s="179"/>
      <c r="F113" s="179"/>
      <c r="G113" s="179"/>
      <c r="H113" s="179"/>
      <c r="I113" s="179"/>
    </row>
    <row r="114" spans="1:9">
      <c r="A114" s="179"/>
      <c r="B114" s="179"/>
      <c r="C114" s="179"/>
      <c r="D114" s="179"/>
      <c r="E114" s="179"/>
      <c r="F114" s="179"/>
      <c r="G114" s="179"/>
      <c r="H114" s="179"/>
      <c r="I114" s="179"/>
    </row>
    <row r="115" spans="1:9">
      <c r="A115" s="179"/>
      <c r="B115" s="179"/>
      <c r="C115" s="179"/>
      <c r="D115" s="179"/>
      <c r="E115" s="179"/>
      <c r="F115" s="179"/>
      <c r="G115" s="179"/>
      <c r="H115" s="179"/>
      <c r="I115" s="179"/>
    </row>
    <row r="116" spans="1:9">
      <c r="A116" s="179"/>
      <c r="B116" s="179"/>
      <c r="C116" s="179"/>
      <c r="D116" s="179"/>
      <c r="E116" s="179"/>
      <c r="F116" s="179"/>
      <c r="G116" s="179"/>
      <c r="H116" s="179"/>
      <c r="I116" s="179"/>
    </row>
    <row r="117" spans="1:9">
      <c r="A117" s="179"/>
      <c r="B117" s="179"/>
      <c r="C117" s="179"/>
      <c r="D117" s="179"/>
      <c r="E117" s="179"/>
      <c r="F117" s="179"/>
      <c r="G117" s="179"/>
      <c r="H117" s="179"/>
      <c r="I117" s="179"/>
    </row>
    <row r="118" spans="1:9">
      <c r="A118" s="179"/>
      <c r="B118" s="179"/>
      <c r="C118" s="179"/>
      <c r="D118" s="179"/>
      <c r="E118" s="179"/>
      <c r="F118" s="179"/>
      <c r="G118" s="179"/>
      <c r="H118" s="179"/>
      <c r="I118" s="179"/>
    </row>
    <row r="119" spans="1:9">
      <c r="A119" s="179"/>
      <c r="B119" s="179"/>
      <c r="C119" s="179"/>
      <c r="D119" s="179"/>
      <c r="E119" s="179"/>
      <c r="F119" s="179"/>
      <c r="G119" s="179"/>
      <c r="H119" s="179"/>
      <c r="I119" s="179"/>
    </row>
    <row r="120" spans="1:9">
      <c r="A120" s="179"/>
      <c r="B120" s="179"/>
      <c r="C120" s="179"/>
      <c r="D120" s="179"/>
      <c r="E120" s="179"/>
      <c r="F120" s="179"/>
      <c r="G120" s="179"/>
      <c r="H120" s="179"/>
      <c r="I120" s="179"/>
    </row>
    <row r="121" spans="1:9">
      <c r="A121" s="179"/>
      <c r="B121" s="179"/>
      <c r="C121" s="179"/>
      <c r="D121" s="179"/>
      <c r="E121" s="179"/>
      <c r="F121" s="179"/>
      <c r="G121" s="179"/>
      <c r="H121" s="179"/>
      <c r="I121" s="179"/>
    </row>
    <row r="122" spans="1:9">
      <c r="A122" s="179"/>
      <c r="B122" s="179"/>
      <c r="C122" s="179"/>
      <c r="D122" s="179"/>
      <c r="E122" s="179"/>
      <c r="F122" s="179"/>
      <c r="G122" s="179"/>
      <c r="H122" s="179"/>
      <c r="I122" s="179"/>
    </row>
    <row r="123" spans="1:9">
      <c r="A123" s="179"/>
      <c r="B123" s="179"/>
      <c r="C123" s="179"/>
      <c r="D123" s="179"/>
      <c r="E123" s="179"/>
      <c r="F123" s="179"/>
      <c r="G123" s="179"/>
      <c r="H123" s="179"/>
      <c r="I123" s="179"/>
    </row>
    <row r="124" spans="1:9">
      <c r="A124" s="179"/>
      <c r="B124" s="179"/>
      <c r="C124" s="179"/>
      <c r="D124" s="179"/>
      <c r="E124" s="179"/>
      <c r="F124" s="179"/>
      <c r="G124" s="179"/>
      <c r="H124" s="179"/>
      <c r="I124" s="179"/>
    </row>
    <row r="125" spans="1:9">
      <c r="A125" s="179"/>
      <c r="B125" s="179"/>
      <c r="C125" s="179"/>
      <c r="D125" s="179"/>
      <c r="E125" s="179"/>
      <c r="F125" s="179"/>
      <c r="G125" s="179"/>
      <c r="H125" s="179"/>
      <c r="I125" s="179"/>
    </row>
    <row r="126" spans="1:9">
      <c r="A126" s="179"/>
      <c r="B126" s="179"/>
      <c r="C126" s="179"/>
      <c r="D126" s="179"/>
      <c r="E126" s="179"/>
      <c r="F126" s="179"/>
      <c r="G126" s="179"/>
      <c r="H126" s="179"/>
      <c r="I126" s="179"/>
    </row>
    <row r="127" spans="1:9">
      <c r="A127" s="179"/>
      <c r="B127" s="179"/>
      <c r="C127" s="179"/>
      <c r="D127" s="179"/>
      <c r="E127" s="179"/>
      <c r="F127" s="179"/>
      <c r="G127" s="179"/>
      <c r="H127" s="179"/>
      <c r="I127" s="179"/>
    </row>
    <row r="128" spans="1:9">
      <c r="A128" s="179"/>
      <c r="B128" s="179"/>
      <c r="C128" s="179"/>
      <c r="D128" s="179"/>
      <c r="E128" s="179"/>
      <c r="F128" s="179"/>
      <c r="G128" s="179"/>
      <c r="H128" s="179"/>
      <c r="I128" s="179"/>
    </row>
    <row r="129" spans="1:9">
      <c r="A129" s="179"/>
      <c r="B129" s="179"/>
      <c r="C129" s="179"/>
      <c r="D129" s="179"/>
      <c r="E129" s="179"/>
      <c r="F129" s="179"/>
      <c r="G129" s="179"/>
      <c r="H129" s="179"/>
      <c r="I129" s="179"/>
    </row>
    <row r="130" spans="1:9">
      <c r="A130" s="179"/>
      <c r="B130" s="179"/>
      <c r="C130" s="179"/>
      <c r="D130" s="179"/>
      <c r="E130" s="179"/>
      <c r="F130" s="179"/>
      <c r="G130" s="179"/>
      <c r="H130" s="179"/>
      <c r="I130" s="179"/>
    </row>
    <row r="131" spans="1:9">
      <c r="A131" s="179"/>
      <c r="B131" s="179"/>
      <c r="C131" s="179"/>
      <c r="D131" s="179"/>
      <c r="E131" s="179"/>
      <c r="F131" s="179"/>
      <c r="G131" s="179"/>
      <c r="H131" s="179"/>
      <c r="I131" s="179"/>
    </row>
    <row r="132" spans="1:9">
      <c r="A132" s="179"/>
      <c r="B132" s="179"/>
      <c r="C132" s="179"/>
      <c r="D132" s="179"/>
      <c r="E132" s="179"/>
      <c r="F132" s="179"/>
      <c r="G132" s="179"/>
      <c r="H132" s="179"/>
      <c r="I132" s="179"/>
    </row>
    <row r="133" spans="1:9">
      <c r="A133" s="179"/>
      <c r="B133" s="179"/>
      <c r="C133" s="179"/>
      <c r="D133" s="179"/>
      <c r="E133" s="179"/>
      <c r="F133" s="179"/>
      <c r="G133" s="179"/>
      <c r="H133" s="179"/>
      <c r="I133" s="179"/>
    </row>
    <row r="134" spans="1:9">
      <c r="A134" s="179"/>
      <c r="B134" s="179"/>
      <c r="C134" s="179"/>
      <c r="D134" s="179"/>
      <c r="E134" s="179"/>
      <c r="F134" s="179"/>
      <c r="G134" s="179"/>
      <c r="H134" s="179"/>
      <c r="I134" s="179"/>
    </row>
    <row r="135" spans="1:9">
      <c r="A135" s="179"/>
      <c r="B135" s="179"/>
      <c r="C135" s="179"/>
      <c r="D135" s="179"/>
      <c r="E135" s="179"/>
      <c r="F135" s="179"/>
      <c r="G135" s="179"/>
      <c r="H135" s="179"/>
      <c r="I135" s="179"/>
    </row>
    <row r="136" spans="1:9">
      <c r="A136" s="179"/>
      <c r="B136" s="179"/>
      <c r="C136" s="179"/>
      <c r="D136" s="179"/>
      <c r="E136" s="179"/>
      <c r="F136" s="179"/>
      <c r="G136" s="179"/>
      <c r="H136" s="179"/>
      <c r="I136" s="179"/>
    </row>
    <row r="137" spans="1:9">
      <c r="A137" s="179"/>
      <c r="B137" s="179"/>
      <c r="C137" s="179"/>
      <c r="D137" s="179"/>
      <c r="E137" s="179"/>
      <c r="F137" s="179"/>
      <c r="G137" s="179"/>
      <c r="H137" s="179"/>
      <c r="I137" s="179"/>
    </row>
    <row r="138" spans="1:9">
      <c r="A138" s="179"/>
      <c r="B138" s="179"/>
      <c r="C138" s="179"/>
      <c r="D138" s="179"/>
      <c r="E138" s="179"/>
      <c r="F138" s="179"/>
      <c r="G138" s="179"/>
      <c r="H138" s="179"/>
      <c r="I138" s="179"/>
    </row>
    <row r="139" spans="1:9">
      <c r="A139" s="179"/>
      <c r="B139" s="179"/>
      <c r="C139" s="179"/>
      <c r="D139" s="179"/>
      <c r="E139" s="179"/>
      <c r="F139" s="179"/>
      <c r="G139" s="179"/>
      <c r="H139" s="179"/>
      <c r="I139" s="179"/>
    </row>
    <row r="140" spans="1:9">
      <c r="A140" s="179"/>
      <c r="B140" s="179"/>
      <c r="C140" s="179"/>
      <c r="D140" s="179"/>
      <c r="E140" s="179"/>
      <c r="F140" s="179"/>
      <c r="G140" s="179"/>
      <c r="H140" s="179"/>
      <c r="I140" s="179"/>
    </row>
    <row r="141" spans="1:9">
      <c r="A141" s="179"/>
      <c r="B141" s="179"/>
      <c r="C141" s="179"/>
      <c r="D141" s="179"/>
      <c r="E141" s="179"/>
      <c r="F141" s="179"/>
      <c r="G141" s="179"/>
      <c r="H141" s="179"/>
      <c r="I141" s="179"/>
    </row>
    <row r="142" spans="1:9">
      <c r="A142" s="179"/>
      <c r="B142" s="179"/>
      <c r="C142" s="179"/>
      <c r="D142" s="179"/>
      <c r="E142" s="179"/>
      <c r="F142" s="179"/>
      <c r="G142" s="179"/>
      <c r="H142" s="179"/>
      <c r="I142" s="179"/>
    </row>
    <row r="143" spans="1:9">
      <c r="A143" s="179"/>
      <c r="B143" s="179"/>
      <c r="C143" s="179"/>
      <c r="D143" s="179"/>
      <c r="E143" s="179"/>
      <c r="F143" s="179"/>
      <c r="G143" s="179"/>
      <c r="H143" s="179"/>
      <c r="I143" s="179"/>
    </row>
    <row r="144" spans="1:9">
      <c r="A144" s="179"/>
      <c r="B144" s="179"/>
      <c r="C144" s="179"/>
      <c r="D144" s="179"/>
      <c r="E144" s="179"/>
      <c r="F144" s="179"/>
      <c r="G144" s="179"/>
      <c r="H144" s="179"/>
      <c r="I144" s="179"/>
    </row>
    <row r="145" spans="1:9">
      <c r="A145" s="179"/>
      <c r="B145" s="179"/>
      <c r="C145" s="179"/>
      <c r="D145" s="179"/>
      <c r="E145" s="179"/>
      <c r="F145" s="179"/>
      <c r="G145" s="179"/>
      <c r="H145" s="179"/>
      <c r="I145" s="179"/>
    </row>
    <row r="146" spans="1:9">
      <c r="A146" s="179"/>
      <c r="B146" s="179"/>
      <c r="C146" s="179"/>
      <c r="D146" s="179"/>
      <c r="E146" s="179"/>
      <c r="F146" s="179"/>
      <c r="G146" s="179"/>
      <c r="H146" s="179"/>
      <c r="I146" s="179"/>
    </row>
    <row r="147" spans="1:9">
      <c r="A147" s="179"/>
      <c r="B147" s="179"/>
      <c r="C147" s="179"/>
      <c r="D147" s="179"/>
      <c r="E147" s="179"/>
      <c r="F147" s="179"/>
      <c r="G147" s="179"/>
      <c r="H147" s="179"/>
      <c r="I147" s="179"/>
    </row>
    <row r="148" spans="1:9">
      <c r="A148" s="179"/>
      <c r="B148" s="179"/>
      <c r="C148" s="179"/>
      <c r="D148" s="179"/>
      <c r="E148" s="179"/>
      <c r="F148" s="179"/>
      <c r="G148" s="179"/>
      <c r="H148" s="179"/>
      <c r="I148" s="179"/>
    </row>
    <row r="149" spans="1:9">
      <c r="A149" s="179"/>
      <c r="B149" s="179"/>
      <c r="C149" s="179"/>
      <c r="D149" s="179"/>
      <c r="E149" s="179"/>
      <c r="F149" s="179"/>
      <c r="G149" s="179"/>
      <c r="H149" s="179"/>
      <c r="I149" s="179"/>
    </row>
    <row r="150" spans="1:9">
      <c r="A150" s="179"/>
      <c r="B150" s="179"/>
      <c r="C150" s="179"/>
      <c r="D150" s="179"/>
      <c r="E150" s="179"/>
      <c r="F150" s="179"/>
      <c r="G150" s="179"/>
      <c r="H150" s="179"/>
      <c r="I150" s="179"/>
    </row>
    <row r="151" spans="1:9">
      <c r="A151" s="179"/>
      <c r="B151" s="179"/>
      <c r="C151" s="179"/>
      <c r="D151" s="179"/>
      <c r="E151" s="179"/>
      <c r="F151" s="179"/>
      <c r="G151" s="179"/>
      <c r="H151" s="179"/>
      <c r="I151" s="179"/>
    </row>
    <row r="152" spans="1:9">
      <c r="A152" s="179"/>
      <c r="B152" s="179"/>
      <c r="C152" s="179"/>
      <c r="D152" s="179"/>
      <c r="E152" s="179"/>
      <c r="F152" s="179"/>
      <c r="G152" s="179"/>
      <c r="H152" s="179"/>
      <c r="I152" s="179"/>
    </row>
    <row r="153" spans="1:9">
      <c r="A153" s="179"/>
      <c r="B153" s="179"/>
      <c r="C153" s="179"/>
      <c r="D153" s="179"/>
      <c r="E153" s="179"/>
      <c r="F153" s="179"/>
      <c r="G153" s="179"/>
      <c r="H153" s="179"/>
      <c r="I153" s="179"/>
    </row>
    <row r="154" spans="1:9">
      <c r="A154" s="179"/>
      <c r="B154" s="179"/>
      <c r="C154" s="179"/>
      <c r="D154" s="179"/>
      <c r="E154" s="179"/>
      <c r="F154" s="179"/>
      <c r="G154" s="179"/>
      <c r="H154" s="179"/>
      <c r="I154" s="179"/>
    </row>
    <row r="155" spans="1:9">
      <c r="A155" s="179"/>
      <c r="B155" s="179"/>
      <c r="C155" s="179"/>
      <c r="D155" s="179"/>
      <c r="E155" s="179"/>
      <c r="F155" s="179"/>
      <c r="G155" s="179"/>
      <c r="H155" s="179"/>
      <c r="I155" s="179"/>
    </row>
    <row r="156" spans="1:9">
      <c r="A156" s="179"/>
      <c r="B156" s="179"/>
      <c r="C156" s="179"/>
      <c r="D156" s="179"/>
      <c r="E156" s="179"/>
      <c r="F156" s="179"/>
      <c r="G156" s="179"/>
      <c r="H156" s="179"/>
      <c r="I156" s="179"/>
    </row>
    <row r="157" spans="1:9">
      <c r="A157" s="179"/>
      <c r="B157" s="179"/>
      <c r="C157" s="179"/>
      <c r="D157" s="179"/>
      <c r="E157" s="179"/>
      <c r="F157" s="179"/>
      <c r="G157" s="179"/>
      <c r="H157" s="179"/>
      <c r="I157" s="179"/>
    </row>
    <row r="158" spans="1:9">
      <c r="A158" s="179"/>
      <c r="B158" s="179"/>
      <c r="C158" s="179"/>
      <c r="D158" s="179"/>
      <c r="E158" s="179"/>
      <c r="F158" s="179"/>
      <c r="G158" s="179"/>
      <c r="H158" s="179"/>
      <c r="I158" s="179"/>
    </row>
    <row r="159" spans="1:9">
      <c r="A159" s="179"/>
      <c r="B159" s="179"/>
      <c r="C159" s="179"/>
      <c r="D159" s="179"/>
      <c r="E159" s="179"/>
      <c r="F159" s="179"/>
      <c r="G159" s="179"/>
      <c r="H159" s="179"/>
      <c r="I159" s="179"/>
    </row>
    <row r="160" spans="1:9">
      <c r="A160" s="179"/>
      <c r="B160" s="179"/>
      <c r="C160" s="179"/>
      <c r="D160" s="179"/>
      <c r="E160" s="179"/>
      <c r="F160" s="179"/>
      <c r="G160" s="179"/>
      <c r="H160" s="179"/>
      <c r="I160" s="179"/>
    </row>
    <row r="161" spans="1:9">
      <c r="A161" s="179"/>
      <c r="B161" s="179"/>
      <c r="C161" s="179"/>
      <c r="D161" s="179"/>
      <c r="E161" s="179"/>
      <c r="F161" s="179"/>
      <c r="G161" s="179"/>
      <c r="H161" s="179"/>
      <c r="I161" s="179"/>
    </row>
    <row r="162" spans="1:9">
      <c r="A162" s="179"/>
      <c r="B162" s="179"/>
      <c r="C162" s="179"/>
      <c r="D162" s="179"/>
      <c r="E162" s="179"/>
      <c r="F162" s="179"/>
      <c r="G162" s="179"/>
      <c r="H162" s="179"/>
      <c r="I162" s="179"/>
    </row>
    <row r="163" spans="1:9">
      <c r="A163" s="179"/>
      <c r="B163" s="179"/>
      <c r="C163" s="179"/>
      <c r="D163" s="179"/>
      <c r="E163" s="179"/>
      <c r="F163" s="179"/>
      <c r="G163" s="179"/>
      <c r="H163" s="179"/>
      <c r="I163" s="179"/>
    </row>
    <row r="164" spans="1:9">
      <c r="A164" s="179"/>
      <c r="B164" s="179"/>
      <c r="C164" s="179"/>
      <c r="D164" s="179"/>
      <c r="E164" s="179"/>
      <c r="F164" s="179"/>
      <c r="G164" s="179"/>
      <c r="H164" s="179"/>
      <c r="I164" s="179"/>
    </row>
    <row r="165" spans="1:9">
      <c r="A165" s="179"/>
      <c r="B165" s="179"/>
      <c r="C165" s="179"/>
      <c r="D165" s="179"/>
      <c r="E165" s="179"/>
      <c r="F165" s="179"/>
      <c r="G165" s="179"/>
      <c r="H165" s="179"/>
      <c r="I165" s="179"/>
    </row>
    <row r="166" spans="1:9">
      <c r="A166" s="179"/>
      <c r="B166" s="179"/>
      <c r="C166" s="179"/>
      <c r="D166" s="179"/>
      <c r="E166" s="179"/>
      <c r="F166" s="179"/>
      <c r="G166" s="179"/>
      <c r="H166" s="179"/>
      <c r="I166" s="179"/>
    </row>
    <row r="167" spans="1:9">
      <c r="A167" s="179"/>
      <c r="B167" s="179"/>
      <c r="C167" s="179"/>
      <c r="D167" s="179"/>
      <c r="E167" s="179"/>
      <c r="F167" s="179"/>
      <c r="G167" s="179"/>
      <c r="H167" s="179"/>
      <c r="I167" s="179"/>
    </row>
    <row r="168" spans="1:9">
      <c r="A168" s="179"/>
      <c r="B168" s="179"/>
      <c r="C168" s="179"/>
      <c r="D168" s="179"/>
      <c r="E168" s="179"/>
      <c r="F168" s="179"/>
      <c r="G168" s="179"/>
      <c r="H168" s="179"/>
      <c r="I168" s="179"/>
    </row>
    <row r="169" spans="1:9">
      <c r="A169" s="179"/>
      <c r="B169" s="179"/>
      <c r="C169" s="179"/>
      <c r="D169" s="179"/>
      <c r="E169" s="179"/>
      <c r="F169" s="179"/>
      <c r="G169" s="179"/>
      <c r="H169" s="179"/>
      <c r="I169" s="179"/>
    </row>
    <row r="170" spans="1:9">
      <c r="A170" s="179"/>
      <c r="B170" s="179"/>
      <c r="C170" s="179"/>
      <c r="D170" s="179"/>
      <c r="E170" s="179"/>
      <c r="F170" s="179"/>
      <c r="G170" s="179"/>
      <c r="H170" s="179"/>
      <c r="I170" s="179"/>
    </row>
    <row r="171" spans="1:9">
      <c r="A171" s="179"/>
      <c r="B171" s="179"/>
      <c r="C171" s="179"/>
      <c r="D171" s="179"/>
      <c r="E171" s="179"/>
      <c r="F171" s="179"/>
      <c r="G171" s="179"/>
      <c r="H171" s="179"/>
      <c r="I171" s="179"/>
    </row>
    <row r="172" spans="1:9">
      <c r="A172" s="179"/>
      <c r="B172" s="179"/>
      <c r="C172" s="179"/>
      <c r="D172" s="179"/>
      <c r="E172" s="179"/>
      <c r="F172" s="179"/>
      <c r="G172" s="179"/>
      <c r="H172" s="179"/>
      <c r="I172" s="179"/>
    </row>
    <row r="173" spans="1:9">
      <c r="A173" s="179"/>
      <c r="B173" s="179"/>
      <c r="C173" s="179"/>
      <c r="D173" s="179"/>
      <c r="E173" s="179"/>
      <c r="F173" s="179"/>
      <c r="G173" s="179"/>
      <c r="H173" s="179"/>
      <c r="I173" s="179"/>
    </row>
    <row r="174" spans="1:9">
      <c r="A174" s="179"/>
      <c r="B174" s="179"/>
      <c r="C174" s="179"/>
      <c r="D174" s="179"/>
      <c r="E174" s="179"/>
      <c r="F174" s="179"/>
      <c r="G174" s="179"/>
      <c r="H174" s="179"/>
      <c r="I174" s="179"/>
    </row>
    <row r="175" spans="1:9">
      <c r="A175" s="179"/>
      <c r="B175" s="179"/>
      <c r="C175" s="179"/>
      <c r="D175" s="179"/>
      <c r="E175" s="179"/>
      <c r="F175" s="179"/>
      <c r="G175" s="179"/>
      <c r="H175" s="179"/>
      <c r="I175" s="179"/>
    </row>
    <row r="176" spans="1:9">
      <c r="A176" s="179"/>
      <c r="B176" s="179"/>
      <c r="C176" s="179"/>
      <c r="D176" s="179"/>
      <c r="E176" s="179"/>
      <c r="F176" s="179"/>
      <c r="G176" s="179"/>
      <c r="H176" s="179"/>
      <c r="I176" s="179"/>
    </row>
  </sheetData>
  <mergeCells count="10">
    <mergeCell ref="C57:G57"/>
    <mergeCell ref="H57:L57"/>
    <mergeCell ref="B93:L93"/>
    <mergeCell ref="O1:P1"/>
    <mergeCell ref="F48:J48"/>
    <mergeCell ref="B9:D9"/>
    <mergeCell ref="B20:C20"/>
    <mergeCell ref="C25:O25"/>
    <mergeCell ref="F40:J40"/>
    <mergeCell ref="B39:B52"/>
  </mergeCells>
  <conditionalFormatting sqref="D20">
    <cfRule type="expression" priority="1" stopIfTrue="1">
      <formula>"$E$165&gt;=1,¨Aumento¨"</formula>
    </cfRule>
  </conditionalFormatting>
  <dataValidations count="1">
    <dataValidation type="list" allowBlank="1" showInputMessage="1" showErrorMessage="1" sqref="I10">
      <formula1>$I$4:$I$6</formula1>
    </dataValidation>
  </dataValidations>
  <hyperlinks>
    <hyperlink ref="G10" location="IPT!A1" display="INDICE"/>
  </hyperlinks>
  <printOptions horizontalCentered="1"/>
  <pageMargins left="0.51181102362204722" right="0.51181102362204722" top="0.74803149606299213" bottom="0.74803149606299213" header="0.31496062992125984" footer="0.31496062992125984"/>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
  <sheetViews>
    <sheetView workbookViewId="0">
      <selection activeCell="E23" sqref="E23"/>
    </sheetView>
  </sheetViews>
  <sheetFormatPr baseColWidth="10" defaultRowHeight="1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98"/>
  <sheetViews>
    <sheetView topLeftCell="A19" workbookViewId="0">
      <selection activeCell="D30" sqref="D30"/>
    </sheetView>
  </sheetViews>
  <sheetFormatPr baseColWidth="10" defaultColWidth="9.140625" defaultRowHeight="15"/>
  <cols>
    <col min="1" max="1" width="4" customWidth="1"/>
    <col min="2" max="2" width="35.5703125" customWidth="1"/>
    <col min="3" max="3" width="16.7109375" customWidth="1"/>
    <col min="4" max="4" width="14.140625" bestFit="1" customWidth="1"/>
    <col min="5" max="5" width="15" bestFit="1" customWidth="1"/>
    <col min="6" max="6" width="13.28515625" bestFit="1" customWidth="1"/>
    <col min="7" max="15" width="12.7109375" bestFit="1" customWidth="1"/>
    <col min="16" max="16" width="12.28515625" bestFit="1" customWidth="1"/>
    <col min="17" max="17" width="2.140625" customWidth="1"/>
  </cols>
  <sheetData>
    <row r="1" spans="1:16" ht="14.25" customHeight="1">
      <c r="A1" s="521"/>
      <c r="B1" s="574" t="str">
        <f>BALANZA!B1</f>
        <v>CORPORACION DEL ACUEDUCTO Y ALCANTARILLADO DE MOCA</v>
      </c>
      <c r="C1" s="522"/>
      <c r="D1" s="369"/>
      <c r="E1" s="369"/>
      <c r="F1" s="369"/>
      <c r="G1" s="369"/>
      <c r="H1" s="369"/>
      <c r="I1" s="179"/>
      <c r="J1" s="179"/>
      <c r="K1" s="375"/>
      <c r="L1" s="179"/>
      <c r="M1" s="179"/>
      <c r="O1" s="1895" t="str">
        <f>IPT!$F$5</f>
        <v>AUDITOR: JJSM</v>
      </c>
      <c r="P1" s="1895"/>
    </row>
    <row r="2" spans="1:16" ht="14.25" customHeight="1">
      <c r="A2" s="521"/>
      <c r="B2" s="522" t="str">
        <f>BALANZA!B2</f>
        <v>Del Ejercicio terminado el  31 de marzo de 2026  y  2025</v>
      </c>
      <c r="C2" s="522"/>
      <c r="D2" s="378"/>
      <c r="E2" s="378"/>
      <c r="F2" s="378"/>
      <c r="G2" s="378"/>
      <c r="H2" s="369"/>
      <c r="I2" s="535"/>
      <c r="J2" s="535"/>
      <c r="K2" s="375"/>
      <c r="L2" s="535"/>
      <c r="M2" s="535"/>
    </row>
    <row r="3" spans="1:16" ht="14.25" customHeight="1">
      <c r="A3" s="521"/>
      <c r="B3" s="522"/>
      <c r="C3" s="522"/>
      <c r="D3" s="378"/>
      <c r="E3" s="378"/>
      <c r="F3" s="378"/>
      <c r="G3" s="378"/>
      <c r="H3" s="369"/>
      <c r="I3" s="535"/>
      <c r="J3" s="535"/>
      <c r="K3" s="375"/>
      <c r="L3" s="535"/>
      <c r="M3" s="535"/>
    </row>
    <row r="4" spans="1:16" hidden="1">
      <c r="A4" s="446"/>
      <c r="B4" s="446"/>
      <c r="C4" s="492"/>
      <c r="D4" s="378"/>
      <c r="E4" s="378"/>
      <c r="F4" s="378"/>
      <c r="G4" s="492" t="s">
        <v>1532</v>
      </c>
      <c r="H4" s="369"/>
      <c r="I4" s="492"/>
      <c r="J4" s="492"/>
      <c r="K4" s="375"/>
      <c r="L4" s="492"/>
      <c r="M4" s="492"/>
    </row>
    <row r="5" spans="1:16" hidden="1">
      <c r="A5" s="446"/>
      <c r="B5" s="446"/>
      <c r="C5" s="492"/>
      <c r="D5" s="378"/>
      <c r="E5" s="378"/>
      <c r="F5" s="378"/>
      <c r="G5" s="492" t="s">
        <v>1533</v>
      </c>
      <c r="H5" s="369"/>
      <c r="I5" s="492"/>
      <c r="J5" s="492"/>
      <c r="K5" s="375"/>
      <c r="L5" s="492"/>
      <c r="M5" s="492"/>
    </row>
    <row r="6" spans="1:16" hidden="1">
      <c r="A6" s="446"/>
      <c r="B6" s="446"/>
      <c r="C6" s="492"/>
      <c r="D6" s="378"/>
      <c r="E6" s="378"/>
      <c r="F6" s="378"/>
      <c r="G6" s="492" t="s">
        <v>1531</v>
      </c>
      <c r="H6" s="369"/>
      <c r="I6" s="492"/>
      <c r="J6" s="492"/>
      <c r="K6" s="375"/>
      <c r="L6" s="492"/>
      <c r="M6" s="492"/>
    </row>
    <row r="7" spans="1:16">
      <c r="A7" s="396"/>
      <c r="B7" s="397" t="s">
        <v>1427</v>
      </c>
      <c r="D7" s="397"/>
      <c r="E7" s="397"/>
      <c r="F7" s="397"/>
      <c r="G7" s="492"/>
      <c r="H7" s="492"/>
    </row>
    <row r="8" spans="1:16" ht="6.75" customHeight="1">
      <c r="A8" s="492"/>
      <c r="B8" s="492"/>
      <c r="C8" s="492"/>
      <c r="D8" s="492"/>
      <c r="E8" s="492"/>
      <c r="F8" s="492"/>
      <c r="G8" s="492"/>
      <c r="H8" s="492"/>
    </row>
    <row r="9" spans="1:16">
      <c r="A9" s="492"/>
      <c r="B9" s="2021" t="s">
        <v>1475</v>
      </c>
      <c r="C9" s="2021"/>
      <c r="D9" s="2021"/>
      <c r="E9" s="492"/>
      <c r="F9" s="492"/>
      <c r="G9" s="492"/>
      <c r="H9" s="492"/>
    </row>
    <row r="10" spans="1:16" ht="18.75" customHeight="1">
      <c r="A10" s="492"/>
      <c r="B10" s="492"/>
      <c r="C10" s="492"/>
      <c r="D10" s="492"/>
      <c r="E10" s="539" t="s">
        <v>1355</v>
      </c>
      <c r="F10" s="538" t="str">
        <f>IPT!C21</f>
        <v>AA-2</v>
      </c>
      <c r="G10" s="529" t="str">
        <f>IF(C28=0,"Verificado","Pendiente")</f>
        <v>Verificado</v>
      </c>
      <c r="H10" s="492"/>
    </row>
    <row r="11" spans="1:16" ht="30">
      <c r="B11" s="200" t="s">
        <v>1149</v>
      </c>
      <c r="C11" s="201">
        <f>BALANZA!B4</f>
        <v>2026</v>
      </c>
      <c r="D11" s="201">
        <f>BALANZA!C4</f>
        <v>2025</v>
      </c>
      <c r="E11" s="615" t="s">
        <v>1213</v>
      </c>
      <c r="F11" s="494" t="s">
        <v>1465</v>
      </c>
      <c r="G11" s="494" t="s">
        <v>1476</v>
      </c>
    </row>
    <row r="12" spans="1:16" ht="27.75" customHeight="1">
      <c r="A12">
        <v>3</v>
      </c>
      <c r="B12" s="489" t="str">
        <f>Notas!B308</f>
        <v>Sobregiro Bancarios</v>
      </c>
      <c r="C12" s="204"/>
      <c r="D12" s="204"/>
      <c r="E12" s="650"/>
      <c r="F12" s="651">
        <f>IFERROR(E12/D12,0)</f>
        <v>0</v>
      </c>
      <c r="G12" s="450" t="s">
        <v>1428</v>
      </c>
    </row>
    <row r="13" spans="1:16" ht="27.75" customHeight="1">
      <c r="A13">
        <v>4</v>
      </c>
      <c r="B13" s="489" t="str">
        <f>Notas!B309</f>
        <v>Cuentas por pagar Suplidores (anexos)</v>
      </c>
      <c r="C13" s="204">
        <f>Notas!C309</f>
        <v>11936643.77</v>
      </c>
      <c r="D13" s="204">
        <f>Notas!D309</f>
        <v>8951565.0899999999</v>
      </c>
      <c r="E13" s="650">
        <f>+C13-D13</f>
        <v>2985078.6799999997</v>
      </c>
      <c r="F13" s="651">
        <f>IFERROR(E13/D13,0)</f>
        <v>0.33347003009950743</v>
      </c>
      <c r="G13" s="450" t="s">
        <v>1428</v>
      </c>
      <c r="I13">
        <v>2380290.0699999998</v>
      </c>
      <c r="J13" s="11">
        <f>+D13-I13</f>
        <v>6571275.0199999996</v>
      </c>
      <c r="K13" s="11">
        <f>2382624.92-D13</f>
        <v>-6568940.1699999999</v>
      </c>
    </row>
    <row r="14" spans="1:16" ht="27.75" customHeight="1">
      <c r="B14" s="205" t="s">
        <v>1160</v>
      </c>
      <c r="C14" s="199">
        <f>SUM(C12:C13)</f>
        <v>11936643.77</v>
      </c>
      <c r="D14" s="199">
        <f>SUM(D12:D13)</f>
        <v>8951565.0899999999</v>
      </c>
      <c r="E14" s="652">
        <f>SUM(E12:E13)</f>
        <v>2985078.6799999997</v>
      </c>
      <c r="F14" s="653">
        <f>IFERROR(E14/D14,0)</f>
        <v>0.33347003009950743</v>
      </c>
      <c r="G14" s="500" t="s">
        <v>1419</v>
      </c>
    </row>
    <row r="15" spans="1:16" ht="13.5" customHeight="1">
      <c r="B15" s="158"/>
      <c r="E15" s="206"/>
    </row>
    <row r="16" spans="1:16" s="5" customFormat="1" ht="27.75" customHeight="1">
      <c r="B16" s="1881" t="str">
        <f>+'1'!B21:C21</f>
        <v>Cambio porcentual con relación al 2025</v>
      </c>
      <c r="C16" s="1882"/>
      <c r="D16" s="304" t="str">
        <f>IF(E16&gt;=0,"Aumento","Disminución")</f>
        <v>Aumento</v>
      </c>
      <c r="E16" s="228">
        <f>+E14/D14</f>
        <v>0.33347003009950743</v>
      </c>
    </row>
    <row r="17" spans="1:16" ht="15.75">
      <c r="B17" s="158"/>
      <c r="E17" s="206"/>
    </row>
    <row r="18" spans="1:16">
      <c r="A18" s="492"/>
      <c r="B18" s="492"/>
      <c r="C18" s="492"/>
      <c r="D18" s="492"/>
      <c r="E18" s="492"/>
      <c r="F18" s="492"/>
      <c r="G18" s="492"/>
      <c r="H18" s="492"/>
    </row>
    <row r="19" spans="1:16">
      <c r="A19" s="492"/>
      <c r="B19" s="492"/>
      <c r="C19" s="492"/>
      <c r="D19" s="492"/>
      <c r="E19" s="492"/>
      <c r="F19" s="492"/>
      <c r="G19" s="492"/>
      <c r="H19" s="492"/>
    </row>
    <row r="20" spans="1:16">
      <c r="A20" s="492"/>
      <c r="B20" s="397" t="s">
        <v>1523</v>
      </c>
      <c r="C20" s="492"/>
      <c r="D20" s="492"/>
      <c r="E20" s="492"/>
      <c r="F20" s="492"/>
      <c r="G20" s="492"/>
      <c r="H20" s="492"/>
    </row>
    <row r="21" spans="1:16">
      <c r="A21" s="492"/>
      <c r="B21" s="482" t="s">
        <v>1467</v>
      </c>
      <c r="C21" s="482"/>
      <c r="D21" s="482"/>
      <c r="E21" s="492"/>
      <c r="G21" s="492"/>
      <c r="H21" s="492"/>
      <c r="I21" s="492"/>
      <c r="J21" s="492"/>
      <c r="K21" s="492"/>
    </row>
    <row r="22" spans="1:16" ht="21" customHeight="1">
      <c r="A22" s="492"/>
      <c r="B22" s="462"/>
      <c r="C22" s="1879">
        <f>C11</f>
        <v>2026</v>
      </c>
      <c r="D22" s="1880"/>
      <c r="E22" s="1880"/>
      <c r="F22" s="1880"/>
      <c r="G22" s="1880"/>
      <c r="H22" s="1880"/>
      <c r="I22" s="1880"/>
      <c r="J22" s="1880"/>
      <c r="K22" s="1880"/>
      <c r="L22" s="1880"/>
      <c r="M22" s="1880"/>
      <c r="N22" s="1880"/>
      <c r="O22" s="1880"/>
      <c r="P22" s="502">
        <f>D11</f>
        <v>2025</v>
      </c>
    </row>
    <row r="23" spans="1:16">
      <c r="A23" s="492"/>
      <c r="B23" s="462" t="s">
        <v>1149</v>
      </c>
      <c r="C23" s="463" t="s">
        <v>1415</v>
      </c>
      <c r="D23" s="463" t="s">
        <v>1418</v>
      </c>
      <c r="E23" s="463" t="s">
        <v>1434</v>
      </c>
      <c r="F23" s="463" t="s">
        <v>1435</v>
      </c>
      <c r="G23" s="463" t="s">
        <v>1436</v>
      </c>
      <c r="H23" s="463" t="s">
        <v>1437</v>
      </c>
      <c r="I23" s="463" t="s">
        <v>1438</v>
      </c>
      <c r="J23" s="463" t="s">
        <v>1439</v>
      </c>
      <c r="K23" s="463" t="s">
        <v>1440</v>
      </c>
      <c r="L23" s="463" t="s">
        <v>1441</v>
      </c>
      <c r="M23" s="463" t="s">
        <v>1410</v>
      </c>
      <c r="N23" s="463" t="s">
        <v>1411</v>
      </c>
      <c r="O23" s="463" t="s">
        <v>1412</v>
      </c>
      <c r="P23" s="502" t="s">
        <v>1526</v>
      </c>
    </row>
    <row r="24" spans="1:16" ht="27.75" customHeight="1">
      <c r="A24">
        <v>3</v>
      </c>
      <c r="B24" s="490" t="str">
        <f>B12</f>
        <v>Sobregiro Bancarios</v>
      </c>
      <c r="C24" s="213">
        <f>SUM(D24:P24)</f>
        <v>0</v>
      </c>
      <c r="D24" s="512"/>
      <c r="E24" s="512"/>
      <c r="F24" s="512"/>
      <c r="G24" s="512"/>
      <c r="H24" s="512"/>
      <c r="I24" s="512"/>
      <c r="J24" s="512"/>
      <c r="K24" s="512"/>
      <c r="L24" s="512"/>
      <c r="M24" s="512"/>
      <c r="N24" s="512"/>
      <c r="O24" s="512"/>
      <c r="P24" s="253">
        <f>D12</f>
        <v>0</v>
      </c>
    </row>
    <row r="25" spans="1:16" ht="27.75" customHeight="1">
      <c r="A25">
        <v>4</v>
      </c>
      <c r="B25" s="490" t="str">
        <f>B13</f>
        <v>Cuentas por pagar Suplidores (anexos)</v>
      </c>
      <c r="C25" s="213">
        <f>SUM(D25:P25)</f>
        <v>11936643.769999998</v>
      </c>
      <c r="D25" s="512">
        <f>-BALANZA!N90</f>
        <v>-69561.740000000224</v>
      </c>
      <c r="E25" s="512">
        <f>-BALANZA!O90</f>
        <v>968750.02999999933</v>
      </c>
      <c r="F25" s="512">
        <f>-BALANZA!P90</f>
        <v>2085890.3899999987</v>
      </c>
      <c r="G25" s="512">
        <f>-BALANZA!Q90</f>
        <v>0</v>
      </c>
      <c r="H25" s="512">
        <f>-BALANZA!R90</f>
        <v>0</v>
      </c>
      <c r="I25" s="512">
        <f>-BALANZA!S90</f>
        <v>0</v>
      </c>
      <c r="J25" s="512">
        <f>-BALANZA!T90</f>
        <v>0</v>
      </c>
      <c r="K25" s="512">
        <f>-BALANZA!U90</f>
        <v>0</v>
      </c>
      <c r="L25" s="512">
        <f>-BALANZA!V90</f>
        <v>0</v>
      </c>
      <c r="M25" s="512">
        <f>-BALANZA!W90</f>
        <v>0</v>
      </c>
      <c r="N25" s="512">
        <f>-BALANZA!X90</f>
        <v>0</v>
      </c>
      <c r="O25" s="512">
        <f>-BALANZA!Y90</f>
        <v>0</v>
      </c>
      <c r="P25" s="253">
        <f>D13</f>
        <v>8951565.0899999999</v>
      </c>
    </row>
    <row r="26" spans="1:16" ht="22.5" customHeight="1">
      <c r="A26" s="492"/>
      <c r="B26" s="192" t="s">
        <v>1152</v>
      </c>
      <c r="C26" s="214">
        <f t="shared" ref="C26:P26" si="0">SUM(C24:C25)</f>
        <v>11936643.769999998</v>
      </c>
      <c r="D26" s="514">
        <f t="shared" si="0"/>
        <v>-69561.740000000224</v>
      </c>
      <c r="E26" s="514">
        <f t="shared" si="0"/>
        <v>968750.02999999933</v>
      </c>
      <c r="F26" s="514">
        <f t="shared" si="0"/>
        <v>2085890.3899999987</v>
      </c>
      <c r="G26" s="514">
        <f t="shared" si="0"/>
        <v>0</v>
      </c>
      <c r="H26" s="514">
        <f t="shared" si="0"/>
        <v>0</v>
      </c>
      <c r="I26" s="514">
        <f t="shared" si="0"/>
        <v>0</v>
      </c>
      <c r="J26" s="514">
        <f t="shared" si="0"/>
        <v>0</v>
      </c>
      <c r="K26" s="514">
        <f t="shared" si="0"/>
        <v>0</v>
      </c>
      <c r="L26" s="514">
        <f t="shared" si="0"/>
        <v>0</v>
      </c>
      <c r="M26" s="514">
        <f t="shared" si="0"/>
        <v>0</v>
      </c>
      <c r="N26" s="514">
        <f t="shared" si="0"/>
        <v>0</v>
      </c>
      <c r="O26" s="514">
        <f t="shared" si="0"/>
        <v>0</v>
      </c>
      <c r="P26" s="514">
        <f t="shared" si="0"/>
        <v>8951565.0899999999</v>
      </c>
    </row>
    <row r="27" spans="1:16">
      <c r="A27" s="492"/>
      <c r="B27" s="483"/>
      <c r="C27" s="484"/>
      <c r="D27" s="484"/>
      <c r="E27" s="492"/>
      <c r="F27" s="492"/>
      <c r="G27" s="492"/>
    </row>
    <row r="28" spans="1:16">
      <c r="A28" s="492"/>
      <c r="B28" s="485" t="s">
        <v>1406</v>
      </c>
      <c r="C28" s="486">
        <f>ROUND(C26-C14,2)</f>
        <v>0</v>
      </c>
      <c r="D28" s="11">
        <f>+P26+D26</f>
        <v>8882003.3499999996</v>
      </c>
      <c r="E28" s="11">
        <f>+D28+E26</f>
        <v>9850753.379999999</v>
      </c>
      <c r="F28" s="11">
        <f t="shared" ref="F28:L28" si="1">+E28+F26</f>
        <v>11936643.769999998</v>
      </c>
      <c r="G28" s="11">
        <f t="shared" si="1"/>
        <v>11936643.769999998</v>
      </c>
      <c r="H28" s="11">
        <f t="shared" si="1"/>
        <v>11936643.769999998</v>
      </c>
      <c r="I28" s="11">
        <f t="shared" si="1"/>
        <v>11936643.769999998</v>
      </c>
      <c r="J28" s="11">
        <f t="shared" si="1"/>
        <v>11936643.769999998</v>
      </c>
      <c r="K28" s="11">
        <f t="shared" si="1"/>
        <v>11936643.769999998</v>
      </c>
      <c r="L28" s="11">
        <f t="shared" si="1"/>
        <v>11936643.769999998</v>
      </c>
      <c r="M28" s="11"/>
      <c r="N28" s="11"/>
      <c r="O28" s="11"/>
    </row>
    <row r="29" spans="1:16">
      <c r="A29" s="492"/>
      <c r="B29" s="393"/>
      <c r="C29" s="450" t="str">
        <f>IF(C28=0,m!$B$7,m!$B$11)</f>
        <v>P</v>
      </c>
    </row>
    <row r="30" spans="1:16">
      <c r="A30" s="492"/>
      <c r="B30" s="492"/>
      <c r="C30" s="492"/>
      <c r="D30" s="400"/>
      <c r="E30" s="835"/>
      <c r="F30" s="835"/>
      <c r="G30" s="835"/>
      <c r="H30" s="835"/>
      <c r="I30" s="835"/>
      <c r="J30" s="835"/>
      <c r="K30" s="835"/>
      <c r="L30" s="835"/>
      <c r="M30" s="835"/>
      <c r="N30" s="835"/>
      <c r="O30" s="835"/>
    </row>
    <row r="31" spans="1:16" ht="15.75" thickBot="1">
      <c r="B31" s="596" t="s">
        <v>1573</v>
      </c>
      <c r="M31" s="11"/>
    </row>
    <row r="32" spans="1:16" s="525" customFormat="1" ht="15.75" thickBot="1">
      <c r="B32" s="2022"/>
      <c r="C32" s="555" t="s">
        <v>1425</v>
      </c>
    </row>
    <row r="33" spans="2:12" s="525" customFormat="1" ht="18.75" customHeight="1">
      <c r="B33" s="2023"/>
      <c r="C33" s="556" t="s">
        <v>1477</v>
      </c>
      <c r="D33" s="557" t="s">
        <v>1478</v>
      </c>
      <c r="E33" s="557" t="s">
        <v>6</v>
      </c>
      <c r="F33" s="1891" t="s">
        <v>1356</v>
      </c>
      <c r="G33" s="1891"/>
      <c r="H33" s="1891"/>
      <c r="I33" s="1891"/>
      <c r="J33" s="1891"/>
      <c r="K33" s="559" t="s">
        <v>1357</v>
      </c>
      <c r="L33" s="560" t="s">
        <v>1358</v>
      </c>
    </row>
    <row r="34" spans="2:12" s="525" customFormat="1" ht="9.75" customHeight="1">
      <c r="B34" s="2023"/>
      <c r="C34" s="540"/>
      <c r="D34" s="451"/>
      <c r="E34" s="451"/>
      <c r="F34" s="451"/>
      <c r="G34" s="457"/>
      <c r="H34" s="457"/>
      <c r="I34" s="393"/>
      <c r="J34" s="393"/>
      <c r="K34" s="393"/>
      <c r="L34" s="418"/>
    </row>
    <row r="35" spans="2:12" s="525" customFormat="1" ht="18.75" customHeight="1">
      <c r="B35" s="2023"/>
      <c r="C35" s="561">
        <v>12</v>
      </c>
      <c r="D35" s="543" t="str">
        <f>F10</f>
        <v>AA-2</v>
      </c>
      <c r="E35" s="544"/>
      <c r="F35" s="545" t="s">
        <v>1570</v>
      </c>
      <c r="G35" s="546"/>
      <c r="H35" s="546"/>
      <c r="I35" s="546"/>
      <c r="J35" s="547"/>
      <c r="K35" s="544">
        <v>0</v>
      </c>
      <c r="L35" s="548"/>
    </row>
    <row r="36" spans="2:12" s="525" customFormat="1" ht="18.75" customHeight="1">
      <c r="B36" s="2023"/>
      <c r="C36" s="549"/>
      <c r="D36" s="550"/>
      <c r="E36" s="544"/>
      <c r="F36" s="545" t="s">
        <v>1570</v>
      </c>
      <c r="G36" s="546"/>
      <c r="H36" s="546"/>
      <c r="I36" s="546"/>
      <c r="J36" s="547"/>
      <c r="K36" s="544"/>
      <c r="L36" s="551">
        <f>K35</f>
        <v>0</v>
      </c>
    </row>
    <row r="37" spans="2:12" s="525" customFormat="1" ht="18.75" customHeight="1" thickBot="1">
      <c r="B37" s="2023"/>
      <c r="C37" s="552" t="s">
        <v>1562</v>
      </c>
      <c r="D37" s="553"/>
      <c r="E37" s="553"/>
      <c r="F37" s="553"/>
      <c r="G37" s="553"/>
      <c r="H37" s="553"/>
      <c r="I37" s="553"/>
      <c r="J37" s="553"/>
      <c r="K37" s="553"/>
      <c r="L37" s="554"/>
    </row>
    <row r="38" spans="2:12" s="525" customFormat="1">
      <c r="B38" s="2023"/>
    </row>
    <row r="39" spans="2:12" s="525" customFormat="1" ht="15.75" thickBot="1">
      <c r="B39" s="2023"/>
    </row>
    <row r="40" spans="2:12" s="525" customFormat="1" ht="15.75" thickBot="1">
      <c r="B40" s="2023"/>
      <c r="C40" s="555" t="s">
        <v>1561</v>
      </c>
    </row>
    <row r="41" spans="2:12" s="525" customFormat="1" ht="18.75" customHeight="1">
      <c r="B41" s="2023"/>
      <c r="C41" s="556" t="s">
        <v>1477</v>
      </c>
      <c r="D41" s="557" t="s">
        <v>1478</v>
      </c>
      <c r="E41" s="557" t="s">
        <v>6</v>
      </c>
      <c r="F41" s="1891" t="s">
        <v>1356</v>
      </c>
      <c r="G41" s="1891"/>
      <c r="H41" s="1891"/>
      <c r="I41" s="1891"/>
      <c r="J41" s="1891"/>
      <c r="K41" s="559" t="s">
        <v>1357</v>
      </c>
      <c r="L41" s="560" t="s">
        <v>1358</v>
      </c>
    </row>
    <row r="42" spans="2:12" s="525" customFormat="1" ht="9.75" customHeight="1">
      <c r="B42" s="2023"/>
      <c r="C42" s="540"/>
      <c r="D42" s="451"/>
      <c r="E42" s="451"/>
      <c r="F42" s="451"/>
      <c r="G42" s="457"/>
      <c r="H42" s="457"/>
      <c r="I42" s="393"/>
      <c r="J42" s="393"/>
      <c r="K42" s="393"/>
      <c r="L42" s="418"/>
    </row>
    <row r="43" spans="2:12" s="525" customFormat="1" ht="18.75" customHeight="1">
      <c r="B43" s="2023"/>
      <c r="C43" s="543">
        <f>C35</f>
        <v>12</v>
      </c>
      <c r="D43" s="543" t="str">
        <f>D35</f>
        <v>AA-2</v>
      </c>
      <c r="E43" s="544"/>
      <c r="F43" s="545" t="s">
        <v>1570</v>
      </c>
      <c r="G43" s="546"/>
      <c r="H43" s="546"/>
      <c r="I43" s="546"/>
      <c r="J43" s="547"/>
      <c r="K43" s="544"/>
      <c r="L43" s="548"/>
    </row>
    <row r="44" spans="2:12" s="525" customFormat="1" ht="18.75" customHeight="1">
      <c r="B44" s="2023"/>
      <c r="C44" s="549"/>
      <c r="D44" s="550"/>
      <c r="E44" s="544"/>
      <c r="F44" s="545" t="s">
        <v>1570</v>
      </c>
      <c r="G44" s="546"/>
      <c r="H44" s="546"/>
      <c r="I44" s="546"/>
      <c r="J44" s="547"/>
      <c r="K44" s="544"/>
      <c r="L44" s="551">
        <f>K43</f>
        <v>0</v>
      </c>
    </row>
    <row r="45" spans="2:12" s="525" customFormat="1" ht="18.75" customHeight="1" thickBot="1">
      <c r="B45" s="2024"/>
      <c r="C45" s="552" t="s">
        <v>1569</v>
      </c>
      <c r="D45" s="553"/>
      <c r="E45" s="553"/>
      <c r="F45" s="553"/>
      <c r="G45" s="553"/>
      <c r="H45" s="553"/>
      <c r="I45" s="553"/>
      <c r="J45" s="553"/>
      <c r="K45" s="553"/>
      <c r="L45" s="554"/>
    </row>
    <row r="46" spans="2:12" s="525" customFormat="1"/>
    <row r="49" spans="1:13" ht="15.75" thickBot="1"/>
    <row r="50" spans="1:13" ht="15.75" thickBot="1">
      <c r="A50" s="989"/>
      <c r="B50" s="989"/>
      <c r="C50" s="1887" t="s">
        <v>2413</v>
      </c>
      <c r="D50" s="1888"/>
      <c r="E50" s="1889"/>
      <c r="F50" s="1889"/>
      <c r="G50" s="1890"/>
      <c r="H50" s="1883" t="s">
        <v>2414</v>
      </c>
      <c r="I50" s="1884"/>
      <c r="J50" s="1884"/>
      <c r="K50" s="1884"/>
      <c r="L50" s="1885"/>
      <c r="M50" s="179"/>
    </row>
    <row r="51" spans="1:13" ht="27" thickBot="1">
      <c r="A51" s="990" t="s">
        <v>1481</v>
      </c>
      <c r="B51" s="990" t="s">
        <v>8</v>
      </c>
      <c r="C51" s="991" t="s">
        <v>2415</v>
      </c>
      <c r="D51" s="992" t="s">
        <v>2416</v>
      </c>
      <c r="E51" s="993" t="s">
        <v>2417</v>
      </c>
      <c r="F51" s="992" t="s">
        <v>2416</v>
      </c>
      <c r="G51" s="994" t="s">
        <v>2418</v>
      </c>
      <c r="H51" s="1123" t="s">
        <v>2415</v>
      </c>
      <c r="I51" s="995" t="s">
        <v>2416</v>
      </c>
      <c r="J51" s="996" t="s">
        <v>2417</v>
      </c>
      <c r="K51" s="995" t="s">
        <v>2416</v>
      </c>
      <c r="L51" s="997" t="s">
        <v>2418</v>
      </c>
      <c r="M51" s="179"/>
    </row>
    <row r="52" spans="1:13" ht="15.75" thickBot="1">
      <c r="M52" s="179"/>
    </row>
    <row r="53" spans="1:13" ht="37.5" thickBot="1">
      <c r="A53" s="1092">
        <v>1</v>
      </c>
      <c r="B53" s="1124" t="s">
        <v>2612</v>
      </c>
      <c r="C53" s="1025"/>
      <c r="D53" s="1014"/>
      <c r="E53" s="1000"/>
      <c r="F53" s="1025"/>
      <c r="G53" s="1000"/>
      <c r="H53" s="1025"/>
      <c r="I53" s="1014"/>
      <c r="J53" s="1000"/>
      <c r="K53" s="1025"/>
      <c r="L53" s="1002"/>
      <c r="M53" s="179"/>
    </row>
    <row r="54" spans="1:13" ht="15.75" thickBot="1">
      <c r="A54" s="1092"/>
      <c r="B54" s="63"/>
      <c r="M54" s="179"/>
    </row>
    <row r="55" spans="1:13" ht="37.5" thickBot="1">
      <c r="A55" s="1092">
        <v>2</v>
      </c>
      <c r="B55" s="1124" t="s">
        <v>2613</v>
      </c>
      <c r="C55" s="1000"/>
      <c r="D55" s="1025"/>
      <c r="E55" s="1000"/>
      <c r="F55" s="1000"/>
      <c r="G55" s="1025"/>
      <c r="H55" s="1000"/>
      <c r="I55" s="1025"/>
      <c r="J55" s="1000"/>
      <c r="K55" s="1000"/>
      <c r="L55" s="1094"/>
      <c r="M55" s="179"/>
    </row>
    <row r="56" spans="1:13" ht="15.75" thickBot="1">
      <c r="A56" s="1092"/>
      <c r="B56" s="63"/>
      <c r="M56" s="179"/>
    </row>
    <row r="57" spans="1:13" ht="37.5" thickBot="1">
      <c r="A57" s="1092">
        <v>3</v>
      </c>
      <c r="B57" s="1124" t="s">
        <v>2614</v>
      </c>
      <c r="C57" s="1000"/>
      <c r="D57" s="1025"/>
      <c r="E57" s="1000"/>
      <c r="F57" s="1000"/>
      <c r="G57" s="1025"/>
      <c r="H57" s="1000"/>
      <c r="I57" s="1025"/>
      <c r="J57" s="1000"/>
      <c r="K57" s="1000"/>
      <c r="L57" s="1094"/>
      <c r="M57" s="179"/>
    </row>
    <row r="58" spans="1:13" ht="15.75" thickBot="1">
      <c r="A58" s="1092"/>
      <c r="B58" s="63"/>
      <c r="M58" s="179"/>
    </row>
    <row r="59" spans="1:13" ht="39">
      <c r="A59" s="1092">
        <v>4</v>
      </c>
      <c r="B59" s="1125" t="s">
        <v>2615</v>
      </c>
      <c r="C59" s="1006"/>
      <c r="D59" s="2"/>
      <c r="E59" s="1006"/>
      <c r="F59" s="1006"/>
      <c r="G59" s="2"/>
      <c r="H59" s="1006"/>
      <c r="I59" s="2"/>
      <c r="J59" s="1006"/>
      <c r="K59" s="1006"/>
      <c r="L59" s="3"/>
      <c r="M59" s="179"/>
    </row>
    <row r="60" spans="1:13" ht="26.25">
      <c r="A60" s="1092"/>
      <c r="B60" s="1126" t="s">
        <v>2616</v>
      </c>
      <c r="C60" s="243"/>
      <c r="D60" s="1023"/>
      <c r="E60" s="243"/>
      <c r="F60" s="243"/>
      <c r="G60" s="1023"/>
      <c r="H60" s="243"/>
      <c r="I60" s="1023"/>
      <c r="J60" s="243"/>
      <c r="K60" s="243"/>
      <c r="L60" s="1107"/>
      <c r="M60" s="179"/>
    </row>
    <row r="61" spans="1:13">
      <c r="A61" s="1092"/>
      <c r="B61" s="1127" t="s">
        <v>2617</v>
      </c>
      <c r="C61" s="1009"/>
      <c r="E61" s="1009"/>
      <c r="F61" s="1009"/>
      <c r="H61" s="1009"/>
      <c r="J61" s="1009"/>
      <c r="K61" s="1009"/>
      <c r="L61" s="6"/>
      <c r="M61" s="179"/>
    </row>
    <row r="62" spans="1:13">
      <c r="A62" s="1092"/>
      <c r="B62" s="1127" t="s">
        <v>2618</v>
      </c>
      <c r="C62" s="1009"/>
      <c r="E62" s="1009"/>
      <c r="F62" s="1009"/>
      <c r="H62" s="1009"/>
      <c r="J62" s="1009"/>
      <c r="K62" s="1009"/>
      <c r="L62" s="6"/>
      <c r="M62" s="179"/>
    </row>
    <row r="63" spans="1:13">
      <c r="A63" s="1092"/>
      <c r="B63" s="1128" t="s">
        <v>2619</v>
      </c>
      <c r="C63" s="746"/>
      <c r="D63" s="1024"/>
      <c r="E63" s="746"/>
      <c r="F63" s="746"/>
      <c r="G63" s="1024"/>
      <c r="H63" s="746"/>
      <c r="I63" s="1024"/>
      <c r="J63" s="746"/>
      <c r="K63" s="746"/>
      <c r="L63" s="1109"/>
      <c r="M63" s="179"/>
    </row>
    <row r="64" spans="1:13">
      <c r="A64" s="1092"/>
      <c r="B64" s="1127" t="s">
        <v>2620</v>
      </c>
      <c r="C64" s="1009"/>
      <c r="E64" s="1009"/>
      <c r="F64" s="1009"/>
      <c r="H64" s="1009"/>
      <c r="J64" s="1009"/>
      <c r="K64" s="1009"/>
      <c r="L64" s="6"/>
      <c r="M64" s="179"/>
    </row>
    <row r="65" spans="1:13">
      <c r="A65" s="1092"/>
      <c r="B65" s="1127" t="s">
        <v>2621</v>
      </c>
      <c r="C65" s="1009"/>
      <c r="E65" s="1009"/>
      <c r="F65" s="1009"/>
      <c r="H65" s="1009"/>
      <c r="J65" s="1009"/>
      <c r="K65" s="1009"/>
      <c r="L65" s="6"/>
      <c r="M65" s="179"/>
    </row>
    <row r="66" spans="1:13">
      <c r="A66" s="1092"/>
      <c r="B66" s="1128" t="s">
        <v>2622</v>
      </c>
      <c r="C66" s="746"/>
      <c r="D66" s="1024"/>
      <c r="E66" s="746"/>
      <c r="F66" s="746"/>
      <c r="G66" s="1024"/>
      <c r="H66" s="746"/>
      <c r="I66" s="1024"/>
      <c r="J66" s="746"/>
      <c r="K66" s="746"/>
      <c r="L66" s="1109"/>
      <c r="M66" s="179"/>
    </row>
    <row r="67" spans="1:13">
      <c r="A67" s="1092"/>
      <c r="B67" s="1129" t="s">
        <v>2623</v>
      </c>
      <c r="C67" s="243"/>
      <c r="D67" s="1023"/>
      <c r="E67" s="243"/>
      <c r="F67" s="243"/>
      <c r="G67" s="1023"/>
      <c r="H67" s="243"/>
      <c r="I67" s="1023"/>
      <c r="J67" s="243"/>
      <c r="K67" s="243"/>
      <c r="L67" s="1107"/>
      <c r="M67" s="179"/>
    </row>
    <row r="68" spans="1:13">
      <c r="A68" s="1092"/>
      <c r="B68" s="1127" t="s">
        <v>2624</v>
      </c>
      <c r="C68" s="1130"/>
      <c r="E68" s="1130"/>
      <c r="G68" s="1130"/>
      <c r="I68" s="1130"/>
      <c r="K68" s="1130"/>
      <c r="L68" s="6"/>
      <c r="M68" s="179"/>
    </row>
    <row r="69" spans="1:13">
      <c r="A69" s="1092"/>
      <c r="B69" s="1127" t="s">
        <v>2625</v>
      </c>
      <c r="C69" s="1009"/>
      <c r="E69" s="1009"/>
      <c r="F69" s="1009"/>
      <c r="H69" s="1009"/>
      <c r="J69" s="1009"/>
      <c r="K69" s="1009"/>
      <c r="L69" s="6"/>
      <c r="M69" s="179"/>
    </row>
    <row r="70" spans="1:13">
      <c r="A70" s="1092"/>
      <c r="B70" s="1128" t="s">
        <v>2626</v>
      </c>
      <c r="C70" s="746"/>
      <c r="D70" s="1024"/>
      <c r="E70" s="746"/>
      <c r="F70" s="746"/>
      <c r="G70" s="1024"/>
      <c r="H70" s="746"/>
      <c r="I70" s="1024"/>
      <c r="J70" s="746"/>
      <c r="K70" s="746"/>
      <c r="L70" s="1109"/>
      <c r="M70" s="179"/>
    </row>
    <row r="71" spans="1:13">
      <c r="A71" s="1092"/>
      <c r="B71" s="1127" t="s">
        <v>2627</v>
      </c>
      <c r="C71" s="1009"/>
      <c r="E71" s="1009"/>
      <c r="F71" s="1009"/>
      <c r="H71" s="1009"/>
      <c r="J71" s="1009"/>
      <c r="K71" s="1009"/>
      <c r="L71" s="6"/>
      <c r="M71" s="179"/>
    </row>
    <row r="72" spans="1:13">
      <c r="A72" s="1092"/>
      <c r="B72" s="1127" t="s">
        <v>2628</v>
      </c>
      <c r="C72" s="1009"/>
      <c r="E72" s="1009"/>
      <c r="F72" s="1009"/>
      <c r="H72" s="1009"/>
      <c r="J72" s="1009"/>
      <c r="K72" s="1009"/>
      <c r="L72" s="6"/>
      <c r="M72" s="179"/>
    </row>
    <row r="73" spans="1:13" ht="15.75" thickBot="1">
      <c r="A73" s="1092"/>
      <c r="B73" s="1131" t="s">
        <v>2629</v>
      </c>
      <c r="C73" s="1012"/>
      <c r="D73" s="8"/>
      <c r="E73" s="1012"/>
      <c r="F73" s="1012"/>
      <c r="G73" s="8"/>
      <c r="H73" s="1012"/>
      <c r="I73" s="8"/>
      <c r="J73" s="1012"/>
      <c r="K73" s="1012"/>
      <c r="L73" s="9"/>
      <c r="M73" s="179"/>
    </row>
    <row r="74" spans="1:13" ht="15.75" thickBot="1">
      <c r="A74" s="1092"/>
      <c r="B74" s="63"/>
      <c r="M74" s="179"/>
    </row>
    <row r="75" spans="1:13" ht="61.5" thickBot="1">
      <c r="A75" s="1092">
        <v>5</v>
      </c>
      <c r="B75" s="1124" t="s">
        <v>2630</v>
      </c>
      <c r="C75" s="1000"/>
      <c r="D75" s="1025"/>
      <c r="E75" s="1000"/>
      <c r="F75" s="1000"/>
      <c r="G75" s="1025"/>
      <c r="H75" s="1000"/>
      <c r="I75" s="1025"/>
      <c r="J75" s="1000"/>
      <c r="K75" s="1000"/>
      <c r="L75" s="1094"/>
      <c r="M75" s="179"/>
    </row>
    <row r="76" spans="1:13" ht="15.75" thickBot="1">
      <c r="A76" s="1092"/>
      <c r="B76" s="63"/>
    </row>
    <row r="77" spans="1:13" ht="61.5" thickBot="1">
      <c r="A77" s="1092">
        <v>6</v>
      </c>
      <c r="B77" s="1124" t="s">
        <v>2631</v>
      </c>
      <c r="C77" s="1000"/>
      <c r="D77" s="1025"/>
      <c r="E77" s="1000"/>
      <c r="F77" s="1000"/>
      <c r="G77" s="1025"/>
      <c r="H77" s="1000"/>
      <c r="I77" s="1025"/>
      <c r="J77" s="1000"/>
      <c r="K77" s="1000"/>
      <c r="L77" s="1094"/>
    </row>
    <row r="78" spans="1:13" ht="15.75" thickBot="1">
      <c r="A78" s="1092"/>
      <c r="B78" s="63"/>
    </row>
    <row r="79" spans="1:13" ht="60.75" thickBot="1">
      <c r="A79" s="1092">
        <v>7</v>
      </c>
      <c r="B79" s="1132" t="s">
        <v>2632</v>
      </c>
      <c r="C79" s="1000"/>
      <c r="D79" s="1025"/>
      <c r="E79" s="1000"/>
      <c r="F79" s="1000"/>
      <c r="G79" s="1025"/>
      <c r="H79" s="1000"/>
      <c r="I79" s="1025"/>
      <c r="J79" s="1000"/>
      <c r="K79" s="1000"/>
      <c r="L79" s="1094"/>
    </row>
    <row r="80" spans="1:13" ht="15.75" thickBot="1">
      <c r="A80" s="1092"/>
      <c r="B80" s="63"/>
    </row>
    <row r="81" spans="1:12" ht="61.5" thickBot="1">
      <c r="A81" s="1092">
        <v>8</v>
      </c>
      <c r="B81" s="1124" t="s">
        <v>2633</v>
      </c>
      <c r="C81" s="1000"/>
      <c r="D81" s="1025"/>
      <c r="E81" s="1000"/>
      <c r="F81" s="1000"/>
      <c r="G81" s="1025"/>
      <c r="H81" s="1000"/>
      <c r="I81" s="1025"/>
      <c r="J81" s="1000"/>
      <c r="K81" s="1000"/>
      <c r="L81" s="1094"/>
    </row>
    <row r="82" spans="1:12" ht="15.75" thickBot="1">
      <c r="A82" s="1092"/>
      <c r="B82" s="1133"/>
    </row>
    <row r="83" spans="1:12" ht="96.75" thickBot="1">
      <c r="A83" s="1092">
        <v>9</v>
      </c>
      <c r="B83" s="1134" t="s">
        <v>2634</v>
      </c>
      <c r="C83" s="1000"/>
      <c r="D83" s="1025"/>
      <c r="E83" s="1000"/>
      <c r="F83" s="1000"/>
      <c r="G83" s="1025"/>
      <c r="H83" s="1000"/>
      <c r="I83" s="1025"/>
      <c r="J83" s="1000"/>
      <c r="K83" s="1000"/>
      <c r="L83" s="1094"/>
    </row>
    <row r="84" spans="1:12" ht="15.75" thickBot="1">
      <c r="A84" s="1092"/>
    </row>
    <row r="85" spans="1:12" ht="72.75" thickBot="1">
      <c r="A85" s="1092">
        <v>10</v>
      </c>
      <c r="B85" s="1134" t="s">
        <v>2635</v>
      </c>
      <c r="C85" s="1000"/>
      <c r="D85" s="1025"/>
      <c r="E85" s="1000"/>
      <c r="F85" s="1000"/>
      <c r="G85" s="1025"/>
      <c r="H85" s="1000"/>
      <c r="I85" s="1025"/>
      <c r="J85" s="1000"/>
      <c r="K85" s="1000"/>
      <c r="L85" s="1094"/>
    </row>
    <row r="86" spans="1:12" ht="15.75" thickBot="1">
      <c r="A86" s="1092"/>
    </row>
    <row r="87" spans="1:12" ht="96.75" thickBot="1">
      <c r="A87" s="1092">
        <v>11</v>
      </c>
      <c r="B87" s="1134" t="s">
        <v>2636</v>
      </c>
      <c r="C87" s="1000"/>
      <c r="D87" s="1025"/>
      <c r="E87" s="1000"/>
      <c r="F87" s="1000"/>
      <c r="G87" s="1025"/>
      <c r="H87" s="1000"/>
      <c r="I87" s="1025"/>
      <c r="J87" s="1000"/>
      <c r="K87" s="1000"/>
      <c r="L87" s="1094"/>
    </row>
    <row r="88" spans="1:12" ht="15.75" thickBot="1">
      <c r="A88" s="1092"/>
    </row>
    <row r="89" spans="1:12" ht="108.75" thickBot="1">
      <c r="A89" s="1092">
        <v>12</v>
      </c>
      <c r="B89" s="1134" t="s">
        <v>2637</v>
      </c>
      <c r="C89" s="1000"/>
      <c r="D89" s="1025"/>
      <c r="E89" s="1000"/>
      <c r="F89" s="1000"/>
      <c r="G89" s="1025"/>
      <c r="H89" s="1000"/>
      <c r="I89" s="1025"/>
      <c r="J89" s="1000"/>
      <c r="K89" s="1000"/>
      <c r="L89" s="1094"/>
    </row>
    <row r="90" spans="1:12" ht="15.75" thickBot="1">
      <c r="A90" s="1092"/>
    </row>
    <row r="91" spans="1:12" ht="72.75" thickBot="1">
      <c r="A91" s="1092">
        <v>13</v>
      </c>
      <c r="B91" s="1134" t="s">
        <v>2638</v>
      </c>
      <c r="C91" s="1000"/>
      <c r="D91" s="1025"/>
      <c r="E91" s="1000"/>
      <c r="F91" s="1000"/>
      <c r="G91" s="1025"/>
      <c r="H91" s="1000"/>
      <c r="I91" s="1025"/>
      <c r="J91" s="1000"/>
      <c r="K91" s="1000"/>
      <c r="L91" s="1094"/>
    </row>
    <row r="92" spans="1:12" ht="15.75" thickBot="1">
      <c r="A92" s="1092"/>
    </row>
    <row r="93" spans="1:12" ht="72.75" thickBot="1">
      <c r="A93" s="1092">
        <v>14</v>
      </c>
      <c r="B93" s="1134" t="s">
        <v>2639</v>
      </c>
      <c r="C93" s="1000"/>
      <c r="D93" s="1025"/>
      <c r="E93" s="1000"/>
      <c r="F93" s="1000"/>
      <c r="G93" s="1025"/>
      <c r="H93" s="1000"/>
      <c r="I93" s="1025"/>
      <c r="J93" s="1000"/>
      <c r="K93" s="1000"/>
      <c r="L93" s="1094"/>
    </row>
    <row r="94" spans="1:12" ht="15.75" thickBot="1">
      <c r="A94" s="1092"/>
    </row>
    <row r="95" spans="1:12" ht="60.75" thickBot="1">
      <c r="A95" s="1092">
        <v>15</v>
      </c>
      <c r="B95" s="1135" t="s">
        <v>2640</v>
      </c>
      <c r="C95" s="1000"/>
      <c r="D95" s="1025"/>
      <c r="E95" s="1000"/>
      <c r="F95" s="1025"/>
      <c r="G95" s="1000"/>
      <c r="H95" s="1025"/>
      <c r="I95" s="1000"/>
      <c r="J95" s="1025"/>
      <c r="K95" s="1000"/>
      <c r="L95" s="1094"/>
    </row>
    <row r="96" spans="1:12">
      <c r="A96" s="953"/>
    </row>
    <row r="97" spans="1:12">
      <c r="A97" s="953"/>
    </row>
    <row r="98" spans="1:12">
      <c r="A98" s="953"/>
      <c r="B98" s="1902" t="s">
        <v>2576</v>
      </c>
      <c r="C98" s="1902"/>
      <c r="D98" s="1902"/>
      <c r="E98" s="1902"/>
      <c r="F98" s="1902"/>
      <c r="G98" s="1902"/>
      <c r="H98" s="1902"/>
      <c r="I98" s="1902"/>
      <c r="J98" s="1902"/>
      <c r="K98" s="1902"/>
      <c r="L98" s="1902"/>
    </row>
  </sheetData>
  <mergeCells count="10">
    <mergeCell ref="C50:G50"/>
    <mergeCell ref="H50:L50"/>
    <mergeCell ref="B98:L98"/>
    <mergeCell ref="B32:B45"/>
    <mergeCell ref="O1:P1"/>
    <mergeCell ref="B9:D9"/>
    <mergeCell ref="B16:C16"/>
    <mergeCell ref="C22:O22"/>
    <mergeCell ref="F33:J33"/>
    <mergeCell ref="F41:J41"/>
  </mergeCells>
  <conditionalFormatting sqref="D16">
    <cfRule type="expression" priority="1" stopIfTrue="1">
      <formula>"$E$165&gt;=1,¨Aumento¨"</formula>
    </cfRule>
  </conditionalFormatting>
  <dataValidations count="1">
    <dataValidation type="list" allowBlank="1" showInputMessage="1" showErrorMessage="1" sqref="G10">
      <formula1>$G$4:$G$6</formula1>
    </dataValidation>
  </dataValidations>
  <hyperlinks>
    <hyperlink ref="E10" location="IPT!A1" display="INDICE"/>
  </hyperlinks>
  <pageMargins left="0.70866141732283472" right="0.70866141732283472" top="0.74803149606299213" bottom="0.74803149606299213" header="0.31496062992125984" footer="0.31496062992125984"/>
  <pageSetup scale="6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D11" sqref="D11"/>
    </sheetView>
  </sheetViews>
  <sheetFormatPr baseColWidth="10" defaultColWidth="9.140625" defaultRowHeight="15"/>
  <sheetData>
    <row r="1" spans="1:10">
      <c r="A1" s="446" t="s">
        <v>1355</v>
      </c>
      <c r="B1" s="179"/>
      <c r="C1" s="179"/>
      <c r="D1" s="2048" t="s">
        <v>1460</v>
      </c>
      <c r="E1" s="2048"/>
      <c r="F1" s="2048"/>
      <c r="G1" s="2048"/>
      <c r="H1" s="179"/>
      <c r="I1" s="179"/>
      <c r="J1" s="179"/>
    </row>
    <row r="2" spans="1:10">
      <c r="A2" s="179"/>
      <c r="B2" s="179"/>
      <c r="C2" s="179"/>
      <c r="D2" s="179"/>
      <c r="E2" s="179"/>
      <c r="F2" s="179"/>
      <c r="G2" s="179"/>
      <c r="H2" s="179"/>
      <c r="I2" s="179"/>
      <c r="J2" s="179"/>
    </row>
    <row r="3" spans="1:10">
      <c r="A3" s="399"/>
      <c r="B3" s="179"/>
      <c r="C3" s="179"/>
      <c r="D3" s="179"/>
      <c r="E3" s="179"/>
      <c r="F3" s="179"/>
      <c r="G3" s="179"/>
      <c r="H3" s="179"/>
      <c r="I3" s="179"/>
      <c r="J3" s="179"/>
    </row>
    <row r="4" spans="1:10">
      <c r="A4" s="377"/>
      <c r="B4" s="377"/>
      <c r="C4" s="377"/>
      <c r="D4" s="377"/>
      <c r="E4" s="377"/>
      <c r="F4" s="377"/>
      <c r="G4" s="377"/>
      <c r="H4" s="377"/>
      <c r="I4" s="377"/>
      <c r="J4" s="377"/>
    </row>
    <row r="5" spans="1:10">
      <c r="A5" s="377"/>
      <c r="B5" s="377"/>
      <c r="C5" s="377"/>
      <c r="D5" s="377"/>
      <c r="E5" s="377"/>
      <c r="F5" s="377"/>
      <c r="G5" s="377"/>
      <c r="H5" s="377"/>
      <c r="I5" s="377"/>
      <c r="J5" s="377"/>
    </row>
    <row r="6" spans="1:10">
      <c r="A6" s="2070" t="s">
        <v>1420</v>
      </c>
      <c r="B6" s="2062"/>
      <c r="C6" s="2062"/>
      <c r="D6" s="2062"/>
      <c r="E6" s="2062"/>
      <c r="F6" s="2062"/>
      <c r="G6" s="2062"/>
      <c r="H6" s="377"/>
      <c r="I6" s="377"/>
      <c r="J6" s="377"/>
    </row>
    <row r="7" spans="1:10">
      <c r="A7" s="2071" t="s">
        <v>1461</v>
      </c>
      <c r="B7" s="2062"/>
      <c r="C7" s="2062"/>
      <c r="D7" s="2062"/>
      <c r="E7" s="2062"/>
      <c r="F7" s="2062"/>
      <c r="G7" s="2062"/>
      <c r="H7" s="377"/>
      <c r="I7" s="377"/>
      <c r="J7" s="377"/>
    </row>
    <row r="8" spans="1:10">
      <c r="A8" s="2071" t="s">
        <v>1462</v>
      </c>
      <c r="B8" s="2062"/>
      <c r="C8" s="2062"/>
      <c r="D8" s="2062"/>
      <c r="E8" s="2062"/>
      <c r="F8" s="2062"/>
      <c r="G8" s="2062"/>
      <c r="H8" s="377"/>
      <c r="I8" s="377"/>
      <c r="J8" s="377"/>
    </row>
    <row r="9" spans="1:10">
      <c r="A9" s="377"/>
      <c r="B9" s="377"/>
      <c r="C9" s="377"/>
      <c r="D9" s="377"/>
      <c r="E9" s="377"/>
      <c r="F9" s="377"/>
      <c r="G9" s="377"/>
      <c r="H9" s="377"/>
      <c r="I9" s="377"/>
      <c r="J9" s="377"/>
    </row>
    <row r="10" spans="1:10">
      <c r="A10" s="377"/>
      <c r="B10" s="377"/>
      <c r="C10" s="377"/>
      <c r="D10" s="377"/>
      <c r="E10" s="377"/>
      <c r="F10" s="377"/>
      <c r="G10" s="377"/>
      <c r="H10" s="377"/>
      <c r="I10" s="377"/>
      <c r="J10" s="377"/>
    </row>
    <row r="11" spans="1:10">
      <c r="A11" s="377"/>
      <c r="B11" s="377"/>
      <c r="C11" s="377"/>
      <c r="D11" s="377"/>
      <c r="E11" s="377"/>
      <c r="F11" s="377"/>
      <c r="G11" s="377"/>
      <c r="H11" s="377"/>
      <c r="I11" s="377"/>
      <c r="J11" s="377"/>
    </row>
    <row r="12" spans="1:10">
      <c r="A12" s="377"/>
      <c r="B12" s="377"/>
      <c r="C12" s="377"/>
      <c r="D12" s="377"/>
      <c r="E12" s="377"/>
      <c r="F12" s="377"/>
      <c r="G12" s="377"/>
      <c r="H12" s="377"/>
      <c r="I12" s="377"/>
      <c r="J12" s="377"/>
    </row>
    <row r="13" spans="1:10">
      <c r="A13" s="179"/>
      <c r="B13" s="179"/>
      <c r="C13" s="179"/>
      <c r="D13" s="179"/>
      <c r="E13" s="179"/>
      <c r="F13" s="179"/>
      <c r="G13" s="179"/>
      <c r="H13" s="179"/>
      <c r="I13" s="179"/>
      <c r="J13" s="179"/>
    </row>
    <row r="14" spans="1:10">
      <c r="A14" s="179"/>
      <c r="B14" s="179"/>
      <c r="C14" s="179"/>
      <c r="D14" s="179"/>
      <c r="E14" s="179"/>
      <c r="F14" s="179"/>
      <c r="G14" s="179"/>
      <c r="H14" s="179"/>
      <c r="I14" s="179"/>
      <c r="J14" s="179"/>
    </row>
  </sheetData>
  <mergeCells count="4">
    <mergeCell ref="D1:G1"/>
    <mergeCell ref="A6:G6"/>
    <mergeCell ref="A7:G7"/>
    <mergeCell ref="A8:G8"/>
  </mergeCells>
  <hyperlinks>
    <hyperlink ref="A1" location="IPT!A1" display="INDICE"/>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57"/>
  <sheetViews>
    <sheetView workbookViewId="0">
      <selection activeCell="E18" sqref="E18"/>
    </sheetView>
  </sheetViews>
  <sheetFormatPr baseColWidth="10" defaultColWidth="9.140625" defaultRowHeight="15"/>
  <cols>
    <col min="1" max="1" width="4.85546875" customWidth="1"/>
    <col min="2" max="2" width="34.42578125" customWidth="1"/>
    <col min="3" max="3" width="16.85546875" customWidth="1"/>
    <col min="4" max="4" width="14.140625" bestFit="1" customWidth="1"/>
    <col min="5" max="5" width="13.85546875" bestFit="1" customWidth="1"/>
    <col min="6" max="6" width="15.85546875" customWidth="1"/>
    <col min="7" max="7" width="13.140625" customWidth="1"/>
    <col min="8" max="11" width="11.28515625" bestFit="1" customWidth="1"/>
    <col min="12" max="12" width="9.85546875" bestFit="1" customWidth="1"/>
    <col min="13" max="14" width="11.28515625" bestFit="1" customWidth="1"/>
    <col min="15" max="16" width="13" bestFit="1" customWidth="1"/>
  </cols>
  <sheetData>
    <row r="1" spans="1:16">
      <c r="B1" s="574" t="str">
        <f>BALANZA!B1</f>
        <v>CORPORACION DEL ACUEDUCTO Y ALCANTARILLADO DE MOCA</v>
      </c>
      <c r="C1" s="179"/>
      <c r="D1" s="179"/>
      <c r="E1" s="179"/>
      <c r="F1" s="179"/>
      <c r="O1" s="1895" t="str">
        <f>IPT!$F$5</f>
        <v>AUDITOR: JJSM</v>
      </c>
      <c r="P1" s="1895"/>
    </row>
    <row r="2" spans="1:16">
      <c r="B2" s="522" t="str">
        <f>BALANZA!B2</f>
        <v>Del Ejercicio terminado el  31 de marzo de 2026  y  2025</v>
      </c>
      <c r="C2" s="535"/>
      <c r="D2" s="535"/>
      <c r="E2" s="535"/>
      <c r="F2" s="535"/>
    </row>
    <row r="3" spans="1:16">
      <c r="B3" s="522"/>
      <c r="C3" s="535"/>
      <c r="D3" s="535"/>
      <c r="E3" s="535"/>
      <c r="F3" s="535"/>
    </row>
    <row r="4" spans="1:16" hidden="1">
      <c r="B4" s="492"/>
      <c r="C4" s="492"/>
      <c r="D4" s="492"/>
      <c r="E4" s="492"/>
      <c r="F4" s="492"/>
      <c r="G4" s="492" t="s">
        <v>1532</v>
      </c>
    </row>
    <row r="5" spans="1:16" hidden="1">
      <c r="B5" s="492"/>
      <c r="C5" s="492"/>
      <c r="D5" s="492"/>
      <c r="E5" s="492"/>
      <c r="F5" s="492"/>
      <c r="G5" s="492" t="s">
        <v>1533</v>
      </c>
    </row>
    <row r="6" spans="1:16" hidden="1">
      <c r="B6" s="492"/>
      <c r="C6" s="492"/>
      <c r="D6" s="492"/>
      <c r="E6" s="492"/>
      <c r="F6" s="492"/>
      <c r="G6" s="492" t="s">
        <v>1531</v>
      </c>
    </row>
    <row r="7" spans="1:16">
      <c r="A7" s="396"/>
      <c r="B7" s="397" t="s">
        <v>1521</v>
      </c>
      <c r="D7" s="397"/>
      <c r="E7" s="397"/>
      <c r="F7" s="397"/>
      <c r="G7" s="469"/>
      <c r="H7" s="469"/>
    </row>
    <row r="8" spans="1:16" ht="5.25" customHeight="1">
      <c r="A8" s="469"/>
      <c r="B8" s="469"/>
      <c r="C8" s="469"/>
      <c r="D8" s="469"/>
      <c r="E8" s="469"/>
      <c r="F8" s="469"/>
      <c r="G8" s="469"/>
      <c r="H8" s="469"/>
    </row>
    <row r="9" spans="1:16">
      <c r="A9" s="469"/>
      <c r="B9" s="2021" t="s">
        <v>1475</v>
      </c>
      <c r="C9" s="2021"/>
      <c r="D9" s="2021"/>
      <c r="E9" s="469"/>
      <c r="F9" s="469"/>
      <c r="G9" s="469"/>
      <c r="H9" s="469"/>
    </row>
    <row r="10" spans="1:16" ht="20.25" customHeight="1">
      <c r="A10" s="469"/>
      <c r="B10" s="469"/>
      <c r="C10" s="469"/>
      <c r="D10" s="469"/>
      <c r="E10" s="539" t="s">
        <v>1355</v>
      </c>
      <c r="F10" s="538" t="str">
        <f>IPT!C23</f>
        <v>AA-4</v>
      </c>
      <c r="G10" s="529" t="str">
        <f>IF(C39=0,"Verificado","Pendiente")</f>
        <v>Verificado</v>
      </c>
      <c r="H10" s="469"/>
    </row>
    <row r="11" spans="1:16" ht="30">
      <c r="B11" s="200" t="s">
        <v>1149</v>
      </c>
      <c r="C11" s="201">
        <f>BALANZA!B4</f>
        <v>2026</v>
      </c>
      <c r="D11" s="201">
        <f>BALANZA!C4</f>
        <v>2025</v>
      </c>
      <c r="E11" s="616" t="s">
        <v>1213</v>
      </c>
      <c r="F11" s="494" t="s">
        <v>1465</v>
      </c>
      <c r="G11" s="494" t="s">
        <v>1476</v>
      </c>
    </row>
    <row r="12" spans="1:16" ht="18" customHeight="1">
      <c r="A12">
        <v>1</v>
      </c>
      <c r="B12" s="448" t="str">
        <f>'BALANZA G'!A95</f>
        <v xml:space="preserve"> RET. IMPOS. POR PAGAR ISR IR-3</v>
      </c>
      <c r="C12" s="204">
        <f>'BALANZA G'!C95</f>
        <v>0</v>
      </c>
      <c r="D12" s="204">
        <f>'BALANZA G'!D95</f>
        <v>0</v>
      </c>
      <c r="E12" s="650">
        <f t="shared" ref="E12:E19" si="0">+C12-D12</f>
        <v>0</v>
      </c>
      <c r="F12" s="651">
        <f>IFERROR(E12/D12,0)</f>
        <v>0</v>
      </c>
      <c r="G12" s="450" t="s">
        <v>1582</v>
      </c>
      <c r="H12" s="664" t="s">
        <v>1500</v>
      </c>
    </row>
    <row r="13" spans="1:16" ht="18" customHeight="1">
      <c r="B13" s="448" t="str">
        <f>+'BALANZA G'!A97</f>
        <v xml:space="preserve"> RETENCIONES POR PAGAR DGII ACUERDOS</v>
      </c>
      <c r="C13" s="204">
        <f>+'BALANZA G'!C97</f>
        <v>0</v>
      </c>
      <c r="D13" s="204">
        <f>+'BALANZA G'!D97</f>
        <v>0</v>
      </c>
      <c r="E13" s="650"/>
      <c r="F13" s="651">
        <f>IFERROR(E13/D13,0)</f>
        <v>0</v>
      </c>
      <c r="G13" s="450" t="s">
        <v>1582</v>
      </c>
      <c r="H13" s="664" t="s">
        <v>1500</v>
      </c>
    </row>
    <row r="14" spans="1:16" ht="18" customHeight="1">
      <c r="A14">
        <v>2</v>
      </c>
      <c r="B14" s="448" t="str">
        <f>'BALANZA G'!A96</f>
        <v xml:space="preserve"> RET IMPOSIT POR PAGAR SEGURO S.</v>
      </c>
      <c r="C14" s="204">
        <f>'BALANZA G'!C96</f>
        <v>0</v>
      </c>
      <c r="D14" s="204">
        <f>'BALANZA G'!D96</f>
        <v>0</v>
      </c>
      <c r="E14" s="650">
        <f t="shared" si="0"/>
        <v>0</v>
      </c>
      <c r="F14" s="651">
        <f t="shared" ref="F14:F20" si="1">IFERROR(E14/D14,0)</f>
        <v>0</v>
      </c>
      <c r="G14" s="450" t="s">
        <v>1428</v>
      </c>
      <c r="H14" s="664" t="s">
        <v>1500</v>
      </c>
    </row>
    <row r="15" spans="1:16" ht="18" customHeight="1">
      <c r="A15">
        <v>3</v>
      </c>
      <c r="B15" s="448" t="str">
        <f>'BALANZA G'!A98</f>
        <v xml:space="preserve"> RET IMPOS POR PAGAR IR 17 (5%)</v>
      </c>
      <c r="C15" s="204">
        <f>'BALANZA G'!C98</f>
        <v>11361</v>
      </c>
      <c r="D15" s="204">
        <f>'BALANZA G'!D98</f>
        <v>11361</v>
      </c>
      <c r="E15" s="650">
        <f t="shared" si="0"/>
        <v>0</v>
      </c>
      <c r="F15" s="651">
        <f t="shared" si="1"/>
        <v>0</v>
      </c>
      <c r="G15" s="450" t="s">
        <v>1428</v>
      </c>
      <c r="H15" s="664" t="s">
        <v>1500</v>
      </c>
    </row>
    <row r="16" spans="1:16" ht="18" customHeight="1">
      <c r="A16">
        <v>4</v>
      </c>
      <c r="B16" s="448" t="str">
        <f>'BALANZA G'!A99</f>
        <v xml:space="preserve"> RET IMPOSIT POR PAGAR IR 17 (10%)</v>
      </c>
      <c r="C16" s="204">
        <f>'BALANZA G'!C99</f>
        <v>0</v>
      </c>
      <c r="D16" s="204">
        <f>'BALANZA G'!D99</f>
        <v>0</v>
      </c>
      <c r="E16" s="650">
        <f t="shared" si="0"/>
        <v>0</v>
      </c>
      <c r="F16" s="651">
        <f t="shared" si="1"/>
        <v>0</v>
      </c>
      <c r="G16" s="450" t="s">
        <v>1428</v>
      </c>
      <c r="H16" s="664" t="s">
        <v>1500</v>
      </c>
    </row>
    <row r="17" spans="1:16" ht="18" customHeight="1">
      <c r="A17">
        <v>5</v>
      </c>
      <c r="B17" s="448" t="str">
        <f>'BALANZA G'!A100</f>
        <v>RET IMPOSIT POR PAGAR IR 17 10% ALQUILER</v>
      </c>
      <c r="C17" s="204">
        <f>'BALANZA G'!C100</f>
        <v>56304.6</v>
      </c>
      <c r="D17" s="204">
        <f>'BALANZA G'!D100</f>
        <v>56304.6</v>
      </c>
      <c r="E17" s="650">
        <f t="shared" si="0"/>
        <v>0</v>
      </c>
      <c r="F17" s="651">
        <f t="shared" si="1"/>
        <v>0</v>
      </c>
      <c r="G17" s="450" t="s">
        <v>1428</v>
      </c>
      <c r="H17" s="664" t="s">
        <v>1500</v>
      </c>
    </row>
    <row r="18" spans="1:16" ht="18" customHeight="1">
      <c r="B18" s="448" t="s">
        <v>2342</v>
      </c>
      <c r="C18" s="204">
        <f>+'BALANZA G'!C102</f>
        <v>71945.25</v>
      </c>
      <c r="D18" s="204">
        <f>+'BALANZA G'!D102</f>
        <v>71945.25</v>
      </c>
      <c r="E18" s="650">
        <f>+C18-D18</f>
        <v>0</v>
      </c>
      <c r="F18" s="651">
        <f t="shared" si="1"/>
        <v>0</v>
      </c>
      <c r="G18" s="450" t="s">
        <v>1428</v>
      </c>
      <c r="H18" s="664" t="s">
        <v>1500</v>
      </c>
    </row>
    <row r="19" spans="1:16" ht="18" customHeight="1">
      <c r="B19" s="448" t="str">
        <f>'BALANZA G'!A101</f>
        <v>RET. P/SEGURO COMPLEMENTARIO</v>
      </c>
      <c r="C19" s="204">
        <f>'BALANZA G'!C101</f>
        <v>0</v>
      </c>
      <c r="D19" s="204">
        <f>'BALANZA G'!D101</f>
        <v>0</v>
      </c>
      <c r="E19" s="650">
        <f t="shared" si="0"/>
        <v>0</v>
      </c>
      <c r="F19" s="651">
        <f t="shared" si="1"/>
        <v>0</v>
      </c>
      <c r="G19" s="450" t="s">
        <v>1428</v>
      </c>
      <c r="H19" s="664" t="s">
        <v>1500</v>
      </c>
    </row>
    <row r="20" spans="1:16" ht="27.75" customHeight="1">
      <c r="A20">
        <v>7</v>
      </c>
      <c r="B20" s="205" t="s">
        <v>1160</v>
      </c>
      <c r="C20" s="199">
        <f>SUM(C12:C19)</f>
        <v>139610.85</v>
      </c>
      <c r="D20" s="199">
        <f>SUM(D12:D19)</f>
        <v>139610.85</v>
      </c>
      <c r="E20" s="652">
        <f>SUM(E12:E17)</f>
        <v>0</v>
      </c>
      <c r="F20" s="653">
        <f t="shared" si="1"/>
        <v>0</v>
      </c>
      <c r="G20" s="500" t="s">
        <v>1419</v>
      </c>
    </row>
    <row r="21" spans="1:16" ht="13.5" customHeight="1">
      <c r="B21" s="158"/>
      <c r="E21" s="206"/>
    </row>
    <row r="22" spans="1:16" s="5" customFormat="1" ht="27.75" customHeight="1">
      <c r="B22" s="2051" t="str">
        <f>+'1'!B21:C21</f>
        <v>Cambio porcentual con relación al 2025</v>
      </c>
      <c r="C22" s="2052"/>
      <c r="D22" s="618" t="str">
        <f>IF(E22&gt;=0,"Aumento","Disminución")</f>
        <v>Aumento</v>
      </c>
      <c r="E22" s="619">
        <f>+E20/D20</f>
        <v>0</v>
      </c>
    </row>
    <row r="23" spans="1:16" ht="15.75">
      <c r="B23" s="158"/>
      <c r="E23" s="206"/>
    </row>
    <row r="24" spans="1:16">
      <c r="A24" s="469"/>
      <c r="B24" s="469"/>
      <c r="C24" s="469"/>
      <c r="D24" s="469"/>
      <c r="E24" s="469"/>
      <c r="F24" s="469"/>
      <c r="G24" s="469"/>
      <c r="H24" s="469"/>
    </row>
    <row r="25" spans="1:16">
      <c r="A25" s="469"/>
      <c r="B25" s="397" t="s">
        <v>1522</v>
      </c>
      <c r="C25" s="469"/>
      <c r="D25" s="469"/>
      <c r="E25" s="469"/>
      <c r="F25" s="469"/>
      <c r="G25" s="469"/>
      <c r="H25" s="469"/>
    </row>
    <row r="26" spans="1:16">
      <c r="A26" s="469"/>
      <c r="B26" s="482" t="s">
        <v>1467</v>
      </c>
      <c r="C26" s="482"/>
      <c r="D26" s="482"/>
      <c r="E26" s="469"/>
      <c r="G26" s="469"/>
      <c r="H26" s="469"/>
      <c r="I26" s="469"/>
      <c r="J26" s="469"/>
      <c r="K26" s="469"/>
    </row>
    <row r="27" spans="1:16" ht="21" customHeight="1">
      <c r="A27" s="469"/>
      <c r="B27" s="462"/>
      <c r="C27" s="1879">
        <f>C11</f>
        <v>2026</v>
      </c>
      <c r="D27" s="1880"/>
      <c r="E27" s="1880"/>
      <c r="F27" s="1880"/>
      <c r="G27" s="1880"/>
      <c r="H27" s="1880"/>
      <c r="I27" s="1880"/>
      <c r="J27" s="1880"/>
      <c r="K27" s="1880"/>
      <c r="L27" s="1880"/>
      <c r="M27" s="1880"/>
      <c r="N27" s="1880"/>
      <c r="O27" s="1880"/>
      <c r="P27" s="502">
        <f>D11</f>
        <v>2025</v>
      </c>
    </row>
    <row r="28" spans="1:16">
      <c r="A28" s="469"/>
      <c r="B28" s="462" t="s">
        <v>1149</v>
      </c>
      <c r="C28" s="463" t="s">
        <v>1415</v>
      </c>
      <c r="D28" s="463" t="s">
        <v>1418</v>
      </c>
      <c r="E28" s="463" t="s">
        <v>1434</v>
      </c>
      <c r="F28" s="463" t="s">
        <v>1435</v>
      </c>
      <c r="G28" s="463" t="s">
        <v>1436</v>
      </c>
      <c r="H28" s="463" t="s">
        <v>1437</v>
      </c>
      <c r="I28" s="463" t="s">
        <v>1438</v>
      </c>
      <c r="J28" s="463" t="s">
        <v>1439</v>
      </c>
      <c r="K28" s="463" t="s">
        <v>1440</v>
      </c>
      <c r="L28" s="463" t="s">
        <v>1441</v>
      </c>
      <c r="M28" s="463" t="s">
        <v>1410</v>
      </c>
      <c r="N28" s="463" t="s">
        <v>1411</v>
      </c>
      <c r="O28" s="463" t="s">
        <v>1412</v>
      </c>
      <c r="P28" s="502" t="s">
        <v>1526</v>
      </c>
    </row>
    <row r="29" spans="1:16" ht="21.75" customHeight="1">
      <c r="A29">
        <v>1</v>
      </c>
      <c r="B29" s="622" t="str">
        <f t="shared" ref="B29:B34" si="2">B12</f>
        <v xml:space="preserve"> RET. IMPOS. POR PAGAR ISR IR-3</v>
      </c>
      <c r="C29" s="213">
        <f t="shared" ref="C29:C36" si="3">SUM(D29:P29)</f>
        <v>0</v>
      </c>
      <c r="D29" s="204">
        <f>-BALANZA!N105</f>
        <v>0</v>
      </c>
      <c r="E29" s="204">
        <f>-BALANZA!O105</f>
        <v>0</v>
      </c>
      <c r="F29" s="204">
        <f>-BALANZA!P105</f>
        <v>0</v>
      </c>
      <c r="G29" s="204">
        <f>-BALANZA!Q105</f>
        <v>0</v>
      </c>
      <c r="H29" s="204">
        <f>-BALANZA!R105</f>
        <v>0</v>
      </c>
      <c r="I29" s="204">
        <f>-BALANZA!S105</f>
        <v>0</v>
      </c>
      <c r="J29" s="204">
        <f>-BALANZA!T105</f>
        <v>0</v>
      </c>
      <c r="K29" s="204">
        <f>-BALANZA!U105</f>
        <v>0</v>
      </c>
      <c r="L29" s="204">
        <f>-BALANZA!V105</f>
        <v>0</v>
      </c>
      <c r="M29" s="204">
        <f>-BALANZA!W105</f>
        <v>0</v>
      </c>
      <c r="N29" s="204">
        <f>-BALANZA!X105</f>
        <v>0</v>
      </c>
      <c r="O29" s="204">
        <f>-BALANZA!Y105</f>
        <v>0</v>
      </c>
      <c r="P29" s="253">
        <f t="shared" ref="P29:P34" si="4">D12</f>
        <v>0</v>
      </c>
    </row>
    <row r="30" spans="1:16" ht="21.75" customHeight="1">
      <c r="B30" s="622" t="str">
        <f t="shared" si="2"/>
        <v xml:space="preserve"> RETENCIONES POR PAGAR DGII ACUERDOS</v>
      </c>
      <c r="C30" s="213">
        <f t="shared" si="3"/>
        <v>0</v>
      </c>
      <c r="D30" s="204">
        <f>-BALANZA!N107</f>
        <v>0</v>
      </c>
      <c r="E30" s="204">
        <f>-BALANZA!O107</f>
        <v>0</v>
      </c>
      <c r="F30" s="204">
        <f>-BALANZA!P107</f>
        <v>0</v>
      </c>
      <c r="G30" s="204">
        <f>-BALANZA!Q107</f>
        <v>0</v>
      </c>
      <c r="H30" s="204">
        <f>-BALANZA!R107</f>
        <v>0</v>
      </c>
      <c r="I30" s="204">
        <f>-BALANZA!S107</f>
        <v>0</v>
      </c>
      <c r="J30" s="204">
        <f>-BALANZA!T107</f>
        <v>0</v>
      </c>
      <c r="K30" s="204">
        <f>-BALANZA!U107</f>
        <v>0</v>
      </c>
      <c r="L30" s="204">
        <f>-BALANZA!V107</f>
        <v>0</v>
      </c>
      <c r="M30" s="204">
        <f>-BALANZA!W107</f>
        <v>0</v>
      </c>
      <c r="N30" s="204">
        <f>-BALANZA!X107</f>
        <v>0</v>
      </c>
      <c r="O30" s="204">
        <f>-BALANZA!Y107</f>
        <v>0</v>
      </c>
      <c r="P30" s="253">
        <f t="shared" si="4"/>
        <v>0</v>
      </c>
    </row>
    <row r="31" spans="1:16" ht="21.75" customHeight="1">
      <c r="A31">
        <v>2</v>
      </c>
      <c r="B31" s="622" t="str">
        <f t="shared" si="2"/>
        <v xml:space="preserve"> RET IMPOSIT POR PAGAR SEGURO S.</v>
      </c>
      <c r="C31" s="213">
        <f t="shared" si="3"/>
        <v>0</v>
      </c>
      <c r="D31" s="204">
        <f>-BALANZA!N106</f>
        <v>0</v>
      </c>
      <c r="E31" s="204">
        <f>-BALANZA!O106</f>
        <v>0</v>
      </c>
      <c r="F31" s="204">
        <f>-BALANZA!P106</f>
        <v>0</v>
      </c>
      <c r="G31" s="204">
        <f>-BALANZA!Q106</f>
        <v>0</v>
      </c>
      <c r="H31" s="204">
        <f>-BALANZA!R106</f>
        <v>0</v>
      </c>
      <c r="I31" s="204">
        <f>-BALANZA!S106</f>
        <v>0</v>
      </c>
      <c r="J31" s="204">
        <f>-BALANZA!T106</f>
        <v>0</v>
      </c>
      <c r="K31" s="204">
        <f>-BALANZA!U106</f>
        <v>0</v>
      </c>
      <c r="L31" s="204">
        <f>-BALANZA!V106</f>
        <v>0</v>
      </c>
      <c r="M31" s="204">
        <f>-BALANZA!W106</f>
        <v>0</v>
      </c>
      <c r="N31" s="204">
        <f>-BALANZA!X106</f>
        <v>0</v>
      </c>
      <c r="O31" s="204">
        <f>-BALANZA!Y106</f>
        <v>0</v>
      </c>
      <c r="P31" s="253">
        <f t="shared" si="4"/>
        <v>0</v>
      </c>
    </row>
    <row r="32" spans="1:16" ht="21.75" customHeight="1">
      <c r="A32">
        <v>3</v>
      </c>
      <c r="B32" s="622" t="str">
        <f t="shared" si="2"/>
        <v xml:space="preserve"> RET IMPOS POR PAGAR IR 17 (5%)</v>
      </c>
      <c r="C32" s="213">
        <f t="shared" si="3"/>
        <v>11361</v>
      </c>
      <c r="D32" s="204">
        <f>-BALANZA!N108</f>
        <v>0</v>
      </c>
      <c r="E32" s="204">
        <f>-BALANZA!O108</f>
        <v>0</v>
      </c>
      <c r="F32" s="204">
        <f>-BALANZA!P108</f>
        <v>0</v>
      </c>
      <c r="G32" s="204">
        <f>-BALANZA!Q108</f>
        <v>0</v>
      </c>
      <c r="H32" s="204">
        <f>-BALANZA!R108</f>
        <v>0</v>
      </c>
      <c r="I32" s="204">
        <f>-BALANZA!S108</f>
        <v>0</v>
      </c>
      <c r="J32" s="204">
        <f>-BALANZA!T108</f>
        <v>0</v>
      </c>
      <c r="K32" s="204">
        <f>-BALANZA!U108</f>
        <v>0</v>
      </c>
      <c r="L32" s="204">
        <f>-BALANZA!V108</f>
        <v>0</v>
      </c>
      <c r="M32" s="204">
        <f>-BALANZA!W108</f>
        <v>0</v>
      </c>
      <c r="N32" s="204">
        <f>-BALANZA!X108</f>
        <v>0</v>
      </c>
      <c r="O32" s="204">
        <f>-BALANZA!Y108</f>
        <v>0</v>
      </c>
      <c r="P32" s="253">
        <f t="shared" si="4"/>
        <v>11361</v>
      </c>
    </row>
    <row r="33" spans="1:16" ht="21.75" customHeight="1">
      <c r="A33">
        <v>4</v>
      </c>
      <c r="B33" s="622" t="str">
        <f t="shared" si="2"/>
        <v xml:space="preserve"> RET IMPOSIT POR PAGAR IR 17 (10%)</v>
      </c>
      <c r="C33" s="213">
        <f t="shared" si="3"/>
        <v>0</v>
      </c>
      <c r="D33" s="204">
        <f>-BALANZA!N109</f>
        <v>0</v>
      </c>
      <c r="E33" s="204">
        <f>-BALANZA!O109</f>
        <v>0</v>
      </c>
      <c r="F33" s="204">
        <f>-BALANZA!P109</f>
        <v>0</v>
      </c>
      <c r="G33" s="204">
        <f>-BALANZA!Q109</f>
        <v>0</v>
      </c>
      <c r="H33" s="204">
        <f>-BALANZA!R109</f>
        <v>0</v>
      </c>
      <c r="I33" s="204">
        <f>-BALANZA!S109</f>
        <v>0</v>
      </c>
      <c r="J33" s="204">
        <f>-BALANZA!T109</f>
        <v>0</v>
      </c>
      <c r="K33" s="204">
        <f>-BALANZA!U109</f>
        <v>0</v>
      </c>
      <c r="L33" s="204">
        <f>-BALANZA!V109</f>
        <v>0</v>
      </c>
      <c r="M33" s="204">
        <f>-BALANZA!W109</f>
        <v>0</v>
      </c>
      <c r="N33" s="204">
        <f>-BALANZA!X109</f>
        <v>0</v>
      </c>
      <c r="O33" s="204">
        <f>-BALANZA!Y109</f>
        <v>0</v>
      </c>
      <c r="P33" s="253">
        <f t="shared" si="4"/>
        <v>0</v>
      </c>
    </row>
    <row r="34" spans="1:16" ht="21.75" customHeight="1">
      <c r="A34">
        <v>5</v>
      </c>
      <c r="B34" s="622" t="str">
        <f t="shared" si="2"/>
        <v>RET IMPOSIT POR PAGAR IR 17 10% ALQUILER</v>
      </c>
      <c r="C34" s="213">
        <f t="shared" si="3"/>
        <v>56304.6</v>
      </c>
      <c r="D34" s="204">
        <f>-BALANZA!N110</f>
        <v>0</v>
      </c>
      <c r="E34" s="204">
        <f>-BALANZA!O110</f>
        <v>0</v>
      </c>
      <c r="F34" s="204">
        <f>-BALANZA!P110</f>
        <v>0</v>
      </c>
      <c r="G34" s="204">
        <f>-BALANZA!Q110</f>
        <v>0</v>
      </c>
      <c r="H34" s="204">
        <f>-BALANZA!R110</f>
        <v>0</v>
      </c>
      <c r="I34" s="204">
        <f>-BALANZA!S110</f>
        <v>0</v>
      </c>
      <c r="J34" s="204">
        <f>-BALANZA!T110</f>
        <v>0</v>
      </c>
      <c r="K34" s="204">
        <f>-BALANZA!U110</f>
        <v>0</v>
      </c>
      <c r="L34" s="204">
        <f>-BALANZA!V110</f>
        <v>0</v>
      </c>
      <c r="M34" s="204">
        <f>-BALANZA!W110</f>
        <v>0</v>
      </c>
      <c r="N34" s="204">
        <f>-BALANZA!X110</f>
        <v>0</v>
      </c>
      <c r="O34" s="204">
        <f>-BALANZA!Y110</f>
        <v>0</v>
      </c>
      <c r="P34" s="253">
        <f t="shared" si="4"/>
        <v>56304.6</v>
      </c>
    </row>
    <row r="35" spans="1:16" ht="21.75" customHeight="1">
      <c r="A35">
        <v>6</v>
      </c>
      <c r="B35" s="622" t="str">
        <f>+B18</f>
        <v xml:space="preserve"> RET IMPOS POR PAGAR ITBIS</v>
      </c>
      <c r="C35" s="213">
        <f t="shared" si="3"/>
        <v>71945.25</v>
      </c>
      <c r="D35" s="204">
        <f>-BALANZA!N111</f>
        <v>0</v>
      </c>
      <c r="E35" s="204">
        <f>-BALANZA!O111</f>
        <v>0</v>
      </c>
      <c r="F35" s="204">
        <f>-BALANZA!P111</f>
        <v>0</v>
      </c>
      <c r="G35" s="204">
        <f>-BALANZA!Q111</f>
        <v>0</v>
      </c>
      <c r="H35" s="204">
        <f>-BALANZA!R111</f>
        <v>0</v>
      </c>
      <c r="I35" s="204">
        <f>-BALANZA!S111</f>
        <v>0</v>
      </c>
      <c r="J35" s="204">
        <f>-BALANZA!T111</f>
        <v>0</v>
      </c>
      <c r="K35" s="204">
        <f>-BALANZA!U111</f>
        <v>0</v>
      </c>
      <c r="L35" s="204">
        <f>-BALANZA!V111</f>
        <v>0</v>
      </c>
      <c r="M35" s="204">
        <f>-BALANZA!W111</f>
        <v>0</v>
      </c>
      <c r="N35" s="204">
        <f>-BALANZA!X111</f>
        <v>0</v>
      </c>
      <c r="O35" s="204">
        <f>-BALANZA!Y111</f>
        <v>0</v>
      </c>
      <c r="P35" s="253">
        <f>+D18</f>
        <v>71945.25</v>
      </c>
    </row>
    <row r="36" spans="1:16" ht="21.75" customHeight="1">
      <c r="A36">
        <v>7</v>
      </c>
      <c r="B36" s="622" t="str">
        <f>B19</f>
        <v>RET. P/SEGURO COMPLEMENTARIO</v>
      </c>
      <c r="C36" s="213">
        <f t="shared" si="3"/>
        <v>0</v>
      </c>
      <c r="D36" s="204">
        <f>-BALANZA!N112</f>
        <v>0</v>
      </c>
      <c r="E36" s="204">
        <f>-BALANZA!O112</f>
        <v>0</v>
      </c>
      <c r="F36" s="204">
        <f>-BALANZA!P112</f>
        <v>0</v>
      </c>
      <c r="G36" s="204">
        <f>-BALANZA!Q112</f>
        <v>0</v>
      </c>
      <c r="H36" s="204">
        <f>-BALANZA!R112</f>
        <v>0</v>
      </c>
      <c r="I36" s="204">
        <f>-BALANZA!S112</f>
        <v>0</v>
      </c>
      <c r="J36" s="204">
        <f>-BALANZA!T112</f>
        <v>0</v>
      </c>
      <c r="K36" s="204">
        <f>-BALANZA!U112</f>
        <v>0</v>
      </c>
      <c r="L36" s="204">
        <f>-BALANZA!V112</f>
        <v>0</v>
      </c>
      <c r="M36" s="204">
        <f>-BALANZA!W112</f>
        <v>0</v>
      </c>
      <c r="N36" s="204">
        <f>-BALANZA!X112</f>
        <v>0</v>
      </c>
      <c r="O36" s="204">
        <f>-BALANZA!Y112</f>
        <v>0</v>
      </c>
      <c r="P36" s="253">
        <f>D19</f>
        <v>0</v>
      </c>
    </row>
    <row r="37" spans="1:16" ht="22.5" customHeight="1">
      <c r="A37" s="469"/>
      <c r="B37" s="192" t="s">
        <v>1152</v>
      </c>
      <c r="C37" s="214">
        <f>SUM(C29:C36)</f>
        <v>139610.85</v>
      </c>
      <c r="D37" s="214">
        <f t="shared" ref="D37:P37" si="5">SUM(D29:D36)</f>
        <v>0</v>
      </c>
      <c r="E37" s="214">
        <f t="shared" si="5"/>
        <v>0</v>
      </c>
      <c r="F37" s="214">
        <f t="shared" si="5"/>
        <v>0</v>
      </c>
      <c r="G37" s="214">
        <f t="shared" si="5"/>
        <v>0</v>
      </c>
      <c r="H37" s="214">
        <f t="shared" si="5"/>
        <v>0</v>
      </c>
      <c r="I37" s="214">
        <f t="shared" si="5"/>
        <v>0</v>
      </c>
      <c r="J37" s="214">
        <f t="shared" si="5"/>
        <v>0</v>
      </c>
      <c r="K37" s="214">
        <f t="shared" si="5"/>
        <v>0</v>
      </c>
      <c r="L37" s="214">
        <f t="shared" si="5"/>
        <v>0</v>
      </c>
      <c r="M37" s="214">
        <f t="shared" si="5"/>
        <v>0</v>
      </c>
      <c r="N37" s="214">
        <f t="shared" si="5"/>
        <v>0</v>
      </c>
      <c r="O37" s="214">
        <f t="shared" si="5"/>
        <v>0</v>
      </c>
      <c r="P37" s="214">
        <f t="shared" si="5"/>
        <v>139610.85</v>
      </c>
    </row>
    <row r="38" spans="1:16">
      <c r="A38" s="469"/>
      <c r="B38" s="483"/>
      <c r="C38" s="484"/>
      <c r="D38" s="484"/>
      <c r="E38" s="469"/>
      <c r="F38" s="469"/>
      <c r="G38" s="469"/>
    </row>
    <row r="39" spans="1:16">
      <c r="A39" s="469"/>
      <c r="B39" s="485" t="s">
        <v>1406</v>
      </c>
      <c r="C39" s="486">
        <f>C37-C20</f>
        <v>0</v>
      </c>
    </row>
    <row r="40" spans="1:16">
      <c r="A40" s="469"/>
      <c r="B40" s="393"/>
      <c r="C40" s="450" t="str">
        <f>IF(C39=0,m!$B$7,m!$B$11)</f>
        <v>P</v>
      </c>
    </row>
    <row r="41" spans="1:16">
      <c r="A41" s="469"/>
      <c r="B41" s="469"/>
      <c r="C41" s="469"/>
      <c r="D41" s="469"/>
      <c r="E41" s="469"/>
      <c r="F41" s="469"/>
      <c r="G41" s="469"/>
      <c r="H41" s="469"/>
    </row>
    <row r="42" spans="1:16" ht="15.75" thickBot="1">
      <c r="B42" s="596" t="s">
        <v>1573</v>
      </c>
    </row>
    <row r="43" spans="1:16" s="525" customFormat="1" ht="15.75" thickBot="1">
      <c r="B43" s="2022"/>
      <c r="C43" s="555" t="s">
        <v>1425</v>
      </c>
    </row>
    <row r="44" spans="1:16" s="525" customFormat="1" ht="18.75" customHeight="1">
      <c r="B44" s="2023"/>
      <c r="C44" s="556" t="s">
        <v>1477</v>
      </c>
      <c r="D44" s="557" t="s">
        <v>1478</v>
      </c>
      <c r="E44" s="557" t="s">
        <v>6</v>
      </c>
      <c r="F44" s="1891" t="s">
        <v>1356</v>
      </c>
      <c r="G44" s="1891"/>
      <c r="H44" s="1891"/>
      <c r="I44" s="1891"/>
      <c r="J44" s="1891"/>
      <c r="K44" s="559" t="s">
        <v>1357</v>
      </c>
      <c r="L44" s="560" t="s">
        <v>1358</v>
      </c>
    </row>
    <row r="45" spans="1:16" s="525" customFormat="1" ht="9.75" customHeight="1">
      <c r="B45" s="2023"/>
      <c r="C45" s="540"/>
      <c r="D45" s="451"/>
      <c r="E45" s="451"/>
      <c r="F45" s="451"/>
      <c r="G45" s="457"/>
      <c r="H45" s="457"/>
      <c r="I45" s="393"/>
      <c r="J45" s="393"/>
      <c r="K45" s="393"/>
      <c r="L45" s="418"/>
    </row>
    <row r="46" spans="1:16" s="525" customFormat="1" ht="18.75" customHeight="1">
      <c r="B46" s="2023"/>
      <c r="C46" s="561">
        <v>14</v>
      </c>
      <c r="D46" s="543" t="str">
        <f>F10</f>
        <v>AA-4</v>
      </c>
      <c r="E46" s="544"/>
      <c r="F46" s="545" t="s">
        <v>1570</v>
      </c>
      <c r="G46" s="546"/>
      <c r="H46" s="546"/>
      <c r="I46" s="546"/>
      <c r="J46" s="547"/>
      <c r="K46" s="544">
        <v>0</v>
      </c>
      <c r="L46" s="548"/>
    </row>
    <row r="47" spans="1:16" s="525" customFormat="1" ht="18.75" customHeight="1">
      <c r="B47" s="2023"/>
      <c r="C47" s="549"/>
      <c r="D47" s="550"/>
      <c r="E47" s="544"/>
      <c r="F47" s="545" t="s">
        <v>1570</v>
      </c>
      <c r="G47" s="546"/>
      <c r="H47" s="546"/>
      <c r="I47" s="546"/>
      <c r="J47" s="547"/>
      <c r="K47" s="544"/>
      <c r="L47" s="551">
        <f>K46</f>
        <v>0</v>
      </c>
    </row>
    <row r="48" spans="1:16" s="525" customFormat="1" ht="18.75" customHeight="1" thickBot="1">
      <c r="B48" s="2023"/>
      <c r="C48" s="552" t="s">
        <v>1562</v>
      </c>
      <c r="D48" s="553"/>
      <c r="E48" s="553"/>
      <c r="F48" s="553"/>
      <c r="G48" s="553"/>
      <c r="H48" s="553"/>
      <c r="I48" s="553"/>
      <c r="J48" s="553"/>
      <c r="K48" s="553"/>
      <c r="L48" s="554"/>
    </row>
    <row r="49" spans="2:12" s="525" customFormat="1">
      <c r="B49" s="2023"/>
    </row>
    <row r="50" spans="2:12" s="525" customFormat="1" ht="15.75" thickBot="1">
      <c r="B50" s="2023"/>
    </row>
    <row r="51" spans="2:12" s="525" customFormat="1" ht="15.75" thickBot="1">
      <c r="B51" s="2023"/>
      <c r="C51" s="555" t="s">
        <v>1561</v>
      </c>
    </row>
    <row r="52" spans="2:12" s="525" customFormat="1" ht="18.75" customHeight="1">
      <c r="B52" s="2023"/>
      <c r="C52" s="556" t="s">
        <v>1477</v>
      </c>
      <c r="D52" s="557" t="s">
        <v>1478</v>
      </c>
      <c r="E52" s="557" t="s">
        <v>6</v>
      </c>
      <c r="F52" s="1891" t="s">
        <v>1356</v>
      </c>
      <c r="G52" s="1891"/>
      <c r="H52" s="1891"/>
      <c r="I52" s="1891"/>
      <c r="J52" s="1891"/>
      <c r="K52" s="559" t="s">
        <v>1357</v>
      </c>
      <c r="L52" s="560" t="s">
        <v>1358</v>
      </c>
    </row>
    <row r="53" spans="2:12" s="525" customFormat="1" ht="9.75" customHeight="1">
      <c r="B53" s="2023"/>
      <c r="C53" s="540"/>
      <c r="D53" s="451"/>
      <c r="E53" s="451"/>
      <c r="F53" s="451"/>
      <c r="G53" s="457"/>
      <c r="H53" s="457"/>
      <c r="I53" s="393"/>
      <c r="J53" s="393"/>
      <c r="K53" s="393"/>
      <c r="L53" s="418"/>
    </row>
    <row r="54" spans="2:12" s="525" customFormat="1" ht="18.75" customHeight="1">
      <c r="B54" s="2023"/>
      <c r="C54" s="561">
        <f>C46</f>
        <v>14</v>
      </c>
      <c r="D54" s="543" t="str">
        <f>D46</f>
        <v>AA-4</v>
      </c>
      <c r="E54" s="544"/>
      <c r="F54" s="545" t="s">
        <v>1570</v>
      </c>
      <c r="G54" s="546"/>
      <c r="H54" s="546"/>
      <c r="I54" s="546"/>
      <c r="J54" s="547"/>
      <c r="K54" s="544"/>
      <c r="L54" s="548"/>
    </row>
    <row r="55" spans="2:12" s="525" customFormat="1" ht="18.75" customHeight="1">
      <c r="B55" s="2023"/>
      <c r="C55" s="549"/>
      <c r="D55" s="550"/>
      <c r="E55" s="544"/>
      <c r="F55" s="545" t="s">
        <v>1570</v>
      </c>
      <c r="G55" s="546"/>
      <c r="H55" s="546"/>
      <c r="I55" s="546"/>
      <c r="J55" s="547"/>
      <c r="K55" s="544"/>
      <c r="L55" s="551">
        <f>K54</f>
        <v>0</v>
      </c>
    </row>
    <row r="56" spans="2:12" s="525" customFormat="1" ht="18.75" customHeight="1" thickBot="1">
      <c r="B56" s="2024"/>
      <c r="C56" s="552" t="s">
        <v>1569</v>
      </c>
      <c r="D56" s="553"/>
      <c r="E56" s="553"/>
      <c r="F56" s="553"/>
      <c r="G56" s="553"/>
      <c r="H56" s="553"/>
      <c r="I56" s="553"/>
      <c r="J56" s="553"/>
      <c r="K56" s="553"/>
      <c r="L56" s="554"/>
    </row>
    <row r="57" spans="2:12" s="525" customFormat="1"/>
  </sheetData>
  <mergeCells count="7">
    <mergeCell ref="O1:P1"/>
    <mergeCell ref="F52:J52"/>
    <mergeCell ref="B9:D9"/>
    <mergeCell ref="B22:C22"/>
    <mergeCell ref="C27:O27"/>
    <mergeCell ref="F44:J44"/>
    <mergeCell ref="B43:B56"/>
  </mergeCells>
  <conditionalFormatting sqref="D22">
    <cfRule type="expression" priority="1" stopIfTrue="1">
      <formula>"$E$165&gt;=1,¨Aumento¨"</formula>
    </cfRule>
  </conditionalFormatting>
  <dataValidations count="1">
    <dataValidation type="list" allowBlank="1" showInputMessage="1" showErrorMessage="1" sqref="G10">
      <formula1>$G$4:$G$6</formula1>
    </dataValidation>
  </dataValidations>
  <hyperlinks>
    <hyperlink ref="E10" location="IPT!A1" display="INDICE"/>
  </hyperlinks>
  <printOptions horizontalCentered="1"/>
  <pageMargins left="0.51181102362204722" right="0.51181102362204722" top="0.74803149606299213" bottom="0.74803149606299213" header="0.31496062992125984" footer="0.31496062992125984"/>
  <pageSetup scale="6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baseColWidth="10" defaultColWidth="9.140625" defaultRowHeight="1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86"/>
  <sheetViews>
    <sheetView workbookViewId="0">
      <selection activeCell="B19" sqref="B19:C19"/>
    </sheetView>
  </sheetViews>
  <sheetFormatPr baseColWidth="10" defaultColWidth="9.140625" defaultRowHeight="15"/>
  <cols>
    <col min="1" max="1" width="4.28515625" customWidth="1"/>
    <col min="2" max="2" width="33.140625" customWidth="1"/>
    <col min="3" max="4" width="17.140625" bestFit="1" customWidth="1"/>
    <col min="5" max="5" width="15" bestFit="1" customWidth="1"/>
    <col min="6" max="6" width="13.28515625" bestFit="1" customWidth="1"/>
    <col min="7" max="7" width="10.28515625" bestFit="1" customWidth="1"/>
    <col min="8" max="9" width="9.85546875" bestFit="1" customWidth="1"/>
    <col min="10" max="10" width="8.85546875" bestFit="1" customWidth="1"/>
    <col min="11" max="11" width="6.42578125" bestFit="1" customWidth="1"/>
    <col min="12" max="12" width="9.85546875" bestFit="1" customWidth="1"/>
    <col min="13" max="13" width="7.42578125" bestFit="1" customWidth="1"/>
    <col min="14" max="14" width="9.28515625" bestFit="1" customWidth="1"/>
    <col min="15" max="15" width="9.85546875" bestFit="1" customWidth="1"/>
    <col min="16" max="16" width="13.28515625" bestFit="1" customWidth="1"/>
  </cols>
  <sheetData>
    <row r="1" spans="1:16" ht="15.75" customHeight="1">
      <c r="A1" s="523"/>
      <c r="B1" s="574" t="str">
        <f>BALANZA!B1</f>
        <v>CORPORACION DEL ACUEDUCTO Y ALCANTARILLADO DE MOCA</v>
      </c>
      <c r="C1" s="377"/>
      <c r="D1" s="377"/>
      <c r="E1" s="2048"/>
      <c r="F1" s="2048"/>
      <c r="G1" s="2048"/>
      <c r="H1" s="2048"/>
      <c r="I1" s="2048"/>
      <c r="J1" s="377"/>
      <c r="K1" s="377"/>
      <c r="L1" s="377"/>
      <c r="O1" s="1895" t="str">
        <f>IPT!$F$5</f>
        <v>AUDITOR: JJSM</v>
      </c>
      <c r="P1" s="1895"/>
    </row>
    <row r="2" spans="1:16" ht="15.75" customHeight="1">
      <c r="A2" s="523"/>
      <c r="B2" s="522" t="str">
        <f>BALANZA!B2</f>
        <v>Del Ejercicio terminado el  31 de marzo de 2026  y  2025</v>
      </c>
      <c r="C2" s="377"/>
      <c r="D2" s="377"/>
      <c r="E2" s="491"/>
      <c r="F2" s="491"/>
      <c r="G2" s="491"/>
      <c r="H2" s="491"/>
      <c r="I2" s="491"/>
      <c r="J2" s="377"/>
      <c r="K2" s="377"/>
      <c r="L2" s="377"/>
    </row>
    <row r="3" spans="1:16" ht="10.5" customHeight="1">
      <c r="A3" s="523"/>
      <c r="B3" s="522"/>
      <c r="C3" s="377"/>
      <c r="D3" s="377"/>
      <c r="E3" s="491"/>
      <c r="F3" s="491"/>
      <c r="G3" s="491"/>
      <c r="H3" s="491"/>
      <c r="I3" s="491"/>
      <c r="J3" s="377"/>
      <c r="K3" s="377"/>
      <c r="L3" s="377"/>
    </row>
    <row r="4" spans="1:16" hidden="1">
      <c r="A4" s="368"/>
      <c r="B4" s="377"/>
      <c r="C4" s="377"/>
      <c r="D4" s="377"/>
      <c r="E4" s="491"/>
      <c r="F4" s="491"/>
      <c r="G4" s="492" t="s">
        <v>1532</v>
      </c>
      <c r="H4" s="491"/>
      <c r="I4" s="491"/>
      <c r="J4" s="377"/>
      <c r="K4" s="377"/>
      <c r="L4" s="377"/>
    </row>
    <row r="5" spans="1:16" hidden="1">
      <c r="A5" s="368"/>
      <c r="B5" s="377"/>
      <c r="C5" s="377"/>
      <c r="D5" s="377"/>
      <c r="E5" s="491"/>
      <c r="F5" s="491"/>
      <c r="G5" s="492" t="s">
        <v>1533</v>
      </c>
      <c r="H5" s="491"/>
      <c r="I5" s="491"/>
      <c r="J5" s="377"/>
      <c r="K5" s="377"/>
      <c r="L5" s="377"/>
    </row>
    <row r="6" spans="1:16" hidden="1">
      <c r="A6" s="368"/>
      <c r="B6" s="377"/>
      <c r="C6" s="377"/>
      <c r="D6" s="377"/>
      <c r="E6" s="491"/>
      <c r="F6" s="491"/>
      <c r="G6" s="492" t="s">
        <v>1531</v>
      </c>
      <c r="H6" s="491"/>
      <c r="I6" s="491"/>
      <c r="J6" s="377"/>
      <c r="K6" s="377"/>
      <c r="L6" s="377"/>
    </row>
    <row r="7" spans="1:16" hidden="1">
      <c r="A7" s="377"/>
      <c r="B7" s="377"/>
      <c r="C7" s="377"/>
      <c r="D7" s="377"/>
      <c r="E7" s="377"/>
      <c r="F7" s="377"/>
      <c r="G7" s="377"/>
      <c r="H7" s="377"/>
      <c r="I7" s="377"/>
      <c r="J7" s="377"/>
      <c r="K7" s="377"/>
      <c r="L7" s="377"/>
    </row>
    <row r="8" spans="1:16">
      <c r="A8" s="396"/>
      <c r="B8" s="397" t="s">
        <v>1565</v>
      </c>
      <c r="D8" s="397"/>
      <c r="E8" s="397"/>
      <c r="F8" s="397"/>
      <c r="G8" s="492"/>
      <c r="H8" s="492"/>
    </row>
    <row r="9" spans="1:16" ht="7.5" customHeight="1">
      <c r="A9" s="492"/>
      <c r="B9" s="492"/>
      <c r="C9" s="492"/>
      <c r="D9" s="492"/>
      <c r="E9" s="492"/>
      <c r="F9" s="492"/>
      <c r="G9" s="492"/>
      <c r="H9" s="492"/>
    </row>
    <row r="10" spans="1:16">
      <c r="A10" s="492"/>
      <c r="B10" s="2021" t="s">
        <v>1475</v>
      </c>
      <c r="C10" s="2021"/>
      <c r="D10" s="2021"/>
      <c r="E10" s="492"/>
      <c r="F10" s="492"/>
      <c r="G10" s="492"/>
      <c r="H10" s="492"/>
    </row>
    <row r="11" spans="1:16" ht="21" customHeight="1">
      <c r="A11" s="492"/>
      <c r="B11" s="492"/>
      <c r="C11" s="492"/>
      <c r="D11" s="492"/>
      <c r="E11" s="539" t="s">
        <v>1355</v>
      </c>
      <c r="F11" s="538" t="str">
        <f>IPT!C27</f>
        <v>CC</v>
      </c>
      <c r="G11" s="529" t="str">
        <f>IF(C33=0,"Verificado","Pendiente")</f>
        <v>Verificado</v>
      </c>
      <c r="H11" s="492"/>
    </row>
    <row r="12" spans="1:16" ht="30">
      <c r="B12" s="200" t="s">
        <v>1149</v>
      </c>
      <c r="C12" s="201">
        <f>BALANZA!B4</f>
        <v>2026</v>
      </c>
      <c r="D12" s="201">
        <f>BALANZA!C4</f>
        <v>2025</v>
      </c>
      <c r="E12" s="616" t="s">
        <v>1213</v>
      </c>
      <c r="F12" s="494" t="s">
        <v>1465</v>
      </c>
      <c r="G12" s="494" t="s">
        <v>1476</v>
      </c>
    </row>
    <row r="13" spans="1:16" ht="23.25" customHeight="1">
      <c r="A13">
        <v>1</v>
      </c>
      <c r="B13" s="519" t="str">
        <f>Notas!B326</f>
        <v>Balance acumulativo  del Patrimonio</v>
      </c>
      <c r="C13" s="520">
        <f>+'Notas NF'!C459</f>
        <v>808793054.60000002</v>
      </c>
      <c r="D13" s="520">
        <f>+'Notas NF'!D459</f>
        <v>808793054.60000002</v>
      </c>
      <c r="E13" s="650">
        <f>+C13-D13</f>
        <v>0</v>
      </c>
      <c r="F13" s="651">
        <f>IFERROR(E13/D13,0)</f>
        <v>0</v>
      </c>
      <c r="G13" s="450" t="s">
        <v>1428</v>
      </c>
    </row>
    <row r="14" spans="1:16" ht="23.25" customHeight="1">
      <c r="A14">
        <v>2</v>
      </c>
      <c r="B14" s="519" t="str">
        <f>Notas!B327</f>
        <v>Resultados periodo anterior</v>
      </c>
      <c r="C14" s="520">
        <f>+D15+D14+D16</f>
        <v>399663227.34979993</v>
      </c>
      <c r="D14" s="520">
        <f>+'Notas NF'!D460</f>
        <v>277803499.63989997</v>
      </c>
      <c r="E14" s="650">
        <f>+C14-D14</f>
        <v>121859727.70989996</v>
      </c>
      <c r="F14" s="651">
        <f>IFERROR(E14/D14,0)</f>
        <v>0.43865440092676811</v>
      </c>
      <c r="G14" s="450" t="s">
        <v>1428</v>
      </c>
    </row>
    <row r="15" spans="1:16" ht="23.25" customHeight="1">
      <c r="A15">
        <v>3</v>
      </c>
      <c r="B15" s="519" t="str">
        <f>Notas!B328</f>
        <v>Ajuste al Resultados periodo anterior</v>
      </c>
      <c r="C15" s="520">
        <f>+'Notas NF'!C461</f>
        <v>0</v>
      </c>
      <c r="D15" s="520">
        <f>+'Notas NF'!D461</f>
        <v>1485895.3399999999</v>
      </c>
      <c r="E15" s="650">
        <f>+C15-D15</f>
        <v>-1485895.3399999999</v>
      </c>
      <c r="F15" s="651">
        <f>IFERROR(E15/D15,0)</f>
        <v>-1</v>
      </c>
      <c r="G15" s="450" t="s">
        <v>1428</v>
      </c>
    </row>
    <row r="16" spans="1:16" ht="23.25" customHeight="1">
      <c r="A16">
        <v>4</v>
      </c>
      <c r="B16" s="519" t="str">
        <f>Notas!B329</f>
        <v xml:space="preserve">Resultado Neto del Período </v>
      </c>
      <c r="C16" s="520">
        <f>+'Notas NF'!C462</f>
        <v>202390.76999999583</v>
      </c>
      <c r="D16" s="520">
        <f>+'Notas NF'!D462</f>
        <v>120373832.36989999</v>
      </c>
      <c r="E16" s="650">
        <f>+C16-D16</f>
        <v>-120171441.59989999</v>
      </c>
      <c r="F16" s="651">
        <f>IFERROR(E16/D16,0)</f>
        <v>-0.99831864811466609</v>
      </c>
      <c r="G16" s="450" t="s">
        <v>1428</v>
      </c>
    </row>
    <row r="17" spans="1:16" ht="27.75" customHeight="1">
      <c r="A17">
        <v>7</v>
      </c>
      <c r="B17" s="205" t="s">
        <v>1160</v>
      </c>
      <c r="C17" s="199">
        <f>SUM(C13:C16)</f>
        <v>1208658672.7198</v>
      </c>
      <c r="D17" s="199">
        <f>SUM(D13:D16)</f>
        <v>1208456281.9498</v>
      </c>
      <c r="E17" s="652">
        <f>SUM(E13:E16)</f>
        <v>202390.76999996603</v>
      </c>
      <c r="F17" s="653">
        <f>IFERROR(E17/D17,0)</f>
        <v>1.6747876859344544E-4</v>
      </c>
      <c r="G17" s="500" t="s">
        <v>1419</v>
      </c>
    </row>
    <row r="18" spans="1:16" ht="9.75" customHeight="1">
      <c r="B18" s="158"/>
      <c r="E18" s="206"/>
    </row>
    <row r="19" spans="1:16" s="5" customFormat="1" ht="27.75" customHeight="1">
      <c r="B19" s="2051" t="str">
        <f>+'1'!B21:C21</f>
        <v>Cambio porcentual con relación al 2025</v>
      </c>
      <c r="C19" s="2052"/>
      <c r="D19" s="618" t="str">
        <f>IF(E19&gt;=0,"Aumento","Disminución")</f>
        <v>Aumento</v>
      </c>
      <c r="E19" s="619">
        <f>+E17/D17</f>
        <v>1.6747876859344544E-4</v>
      </c>
    </row>
    <row r="20" spans="1:16" ht="15.75">
      <c r="B20" s="158"/>
      <c r="E20" s="206"/>
    </row>
    <row r="21" spans="1:16" ht="3" customHeight="1">
      <c r="A21" s="492"/>
      <c r="B21" s="492"/>
      <c r="C21" s="492"/>
      <c r="D21" s="492"/>
      <c r="E21" s="492"/>
      <c r="F21" s="492"/>
      <c r="G21" s="492"/>
      <c r="H21" s="492"/>
    </row>
    <row r="22" spans="1:16">
      <c r="A22" s="492"/>
      <c r="B22" s="492"/>
      <c r="C22" s="492"/>
      <c r="D22" s="492"/>
      <c r="E22" s="492"/>
      <c r="F22" s="492"/>
      <c r="G22" s="492"/>
      <c r="H22" s="492"/>
    </row>
    <row r="23" spans="1:16">
      <c r="A23" s="492"/>
      <c r="B23" s="397" t="s">
        <v>1556</v>
      </c>
      <c r="C23" s="492"/>
      <c r="D23" s="492"/>
      <c r="E23" s="492"/>
      <c r="F23" s="492"/>
      <c r="G23" s="492"/>
      <c r="H23" s="492"/>
    </row>
    <row r="24" spans="1:16">
      <c r="A24" s="492"/>
      <c r="B24" s="482" t="s">
        <v>1467</v>
      </c>
      <c r="C24" s="482"/>
      <c r="D24" s="482"/>
      <c r="E24" s="492"/>
      <c r="G24" s="492"/>
      <c r="H24" s="492"/>
      <c r="I24" s="492"/>
      <c r="J24" s="492"/>
      <c r="K24" s="492"/>
    </row>
    <row r="25" spans="1:16" ht="21" customHeight="1">
      <c r="A25" s="492"/>
      <c r="B25" s="462"/>
      <c r="C25" s="1879">
        <f>C12</f>
        <v>2026</v>
      </c>
      <c r="D25" s="1880"/>
      <c r="E25" s="1880"/>
      <c r="F25" s="1880"/>
      <c r="G25" s="1880"/>
      <c r="H25" s="1880"/>
      <c r="I25" s="1880"/>
      <c r="J25" s="1880"/>
      <c r="K25" s="1880"/>
      <c r="L25" s="1880"/>
      <c r="M25" s="1880"/>
      <c r="N25" s="1880"/>
      <c r="O25" s="1880"/>
      <c r="P25" s="502">
        <f>D12</f>
        <v>2025</v>
      </c>
    </row>
    <row r="26" spans="1:16">
      <c r="A26" s="492"/>
      <c r="B26" s="462" t="s">
        <v>1149</v>
      </c>
      <c r="C26" s="463" t="s">
        <v>1415</v>
      </c>
      <c r="D26" s="463" t="s">
        <v>1418</v>
      </c>
      <c r="E26" s="463" t="s">
        <v>1434</v>
      </c>
      <c r="F26" s="463" t="s">
        <v>1435</v>
      </c>
      <c r="G26" s="463" t="s">
        <v>1436</v>
      </c>
      <c r="H26" s="463" t="s">
        <v>1437</v>
      </c>
      <c r="I26" s="463" t="s">
        <v>1438</v>
      </c>
      <c r="J26" s="463" t="s">
        <v>1439</v>
      </c>
      <c r="K26" s="463" t="s">
        <v>1440</v>
      </c>
      <c r="L26" s="463" t="s">
        <v>1441</v>
      </c>
      <c r="M26" s="463" t="s">
        <v>1410</v>
      </c>
      <c r="N26" s="463" t="s">
        <v>1411</v>
      </c>
      <c r="O26" s="463" t="s">
        <v>1412</v>
      </c>
      <c r="P26" s="502" t="s">
        <v>1526</v>
      </c>
    </row>
    <row r="27" spans="1:16" ht="21.75" customHeight="1">
      <c r="A27">
        <v>1</v>
      </c>
      <c r="B27" s="490" t="str">
        <f>B13</f>
        <v>Balance acumulativo  del Patrimonio</v>
      </c>
      <c r="C27" s="213">
        <f>SUM(D27:P27)</f>
        <v>808793054.60000002</v>
      </c>
      <c r="D27" s="512">
        <f>-BALANZA!N168</f>
        <v>0</v>
      </c>
      <c r="E27" s="512">
        <f>-BALANZA!O168</f>
        <v>0</v>
      </c>
      <c r="F27" s="512">
        <f>-BALANZA!P168</f>
        <v>0</v>
      </c>
      <c r="G27" s="512">
        <f>-BALANZA!Q168</f>
        <v>0</v>
      </c>
      <c r="H27" s="512">
        <f>-BALANZA!R168</f>
        <v>0</v>
      </c>
      <c r="I27" s="512">
        <f>-BALANZA!S168</f>
        <v>0</v>
      </c>
      <c r="J27" s="512">
        <f>-BALANZA!T168</f>
        <v>0</v>
      </c>
      <c r="K27" s="512">
        <f>-BALANZA!U168</f>
        <v>0</v>
      </c>
      <c r="L27" s="512">
        <f>-BALANZA!V168</f>
        <v>0</v>
      </c>
      <c r="M27" s="512">
        <f>-BALANZA!W168</f>
        <v>0</v>
      </c>
      <c r="N27" s="512">
        <f>-BALANZA!X168</f>
        <v>0</v>
      </c>
      <c r="O27" s="512">
        <f>-BALANZA!Y168</f>
        <v>0</v>
      </c>
      <c r="P27" s="253">
        <f>D13</f>
        <v>808793054.60000002</v>
      </c>
    </row>
    <row r="28" spans="1:16" ht="21.75" customHeight="1">
      <c r="A28">
        <v>2</v>
      </c>
      <c r="B28" s="490" t="str">
        <f>B14</f>
        <v>Resultados periodo anterior</v>
      </c>
      <c r="C28" s="213">
        <f>+C14</f>
        <v>399663227.34979993</v>
      </c>
      <c r="D28" s="512"/>
      <c r="E28" s="512"/>
      <c r="F28" s="512"/>
      <c r="G28" s="512"/>
      <c r="H28" s="512"/>
      <c r="I28" s="512"/>
      <c r="J28" s="512"/>
      <c r="K28" s="512"/>
      <c r="L28" s="512"/>
      <c r="M28" s="512"/>
      <c r="N28" s="512"/>
      <c r="O28" s="512"/>
      <c r="P28" s="253">
        <f>D14</f>
        <v>277803499.63989997</v>
      </c>
    </row>
    <row r="29" spans="1:16" ht="21.75" customHeight="1">
      <c r="A29">
        <v>3</v>
      </c>
      <c r="B29" s="490" t="str">
        <f>B15</f>
        <v>Ajuste al Resultados periodo anterior</v>
      </c>
      <c r="C29" s="213">
        <f>SUM(D29:P29)</f>
        <v>0</v>
      </c>
      <c r="D29" s="512">
        <f>-BALANZA!N180</f>
        <v>0</v>
      </c>
      <c r="E29" s="512">
        <f>-BALANZA!O180</f>
        <v>0</v>
      </c>
      <c r="F29" s="512">
        <f>-BALANZA!P180</f>
        <v>0</v>
      </c>
      <c r="G29" s="512">
        <f>-BALANZA!Q180</f>
        <v>0</v>
      </c>
      <c r="H29" s="512">
        <f>-BALANZA!R180</f>
        <v>0</v>
      </c>
      <c r="I29" s="512">
        <f>-BALANZA!S180</f>
        <v>0</v>
      </c>
      <c r="J29" s="512">
        <f>-BALANZA!T180</f>
        <v>0</v>
      </c>
      <c r="K29" s="512">
        <f>-BALANZA!U180</f>
        <v>0</v>
      </c>
      <c r="L29" s="512">
        <f>-BALANZA!V180</f>
        <v>0</v>
      </c>
      <c r="M29" s="512">
        <f>-BALANZA!W180</f>
        <v>0</v>
      </c>
      <c r="N29" s="512">
        <f>-BALANZA!X180</f>
        <v>0</v>
      </c>
      <c r="O29" s="512">
        <f>-BALANZA!Y180</f>
        <v>0</v>
      </c>
      <c r="P29" s="253"/>
    </row>
    <row r="30" spans="1:16" ht="21.75" customHeight="1">
      <c r="A30">
        <v>4</v>
      </c>
      <c r="B30" s="490" t="str">
        <f>B16</f>
        <v xml:space="preserve">Resultado Neto del Período </v>
      </c>
      <c r="C30" s="213">
        <f>+C16</f>
        <v>202390.76999999583</v>
      </c>
      <c r="D30" s="512"/>
      <c r="E30" s="512"/>
      <c r="F30" s="512"/>
      <c r="G30" s="512"/>
      <c r="H30" s="512"/>
      <c r="I30" s="512"/>
      <c r="J30" s="512"/>
      <c r="K30" s="512"/>
      <c r="L30" s="512"/>
      <c r="M30" s="512"/>
      <c r="N30" s="512"/>
      <c r="O30" s="512"/>
      <c r="P30" s="253">
        <f>D16</f>
        <v>120373832.36989999</v>
      </c>
    </row>
    <row r="31" spans="1:16" ht="22.5" customHeight="1">
      <c r="A31" s="492"/>
      <c r="B31" s="192" t="s">
        <v>1152</v>
      </c>
      <c r="C31" s="214">
        <f t="shared" ref="C31:P31" si="0">SUM(C27:C30)</f>
        <v>1208658672.7198</v>
      </c>
      <c r="D31" s="514">
        <f t="shared" si="0"/>
        <v>0</v>
      </c>
      <c r="E31" s="514">
        <f t="shared" si="0"/>
        <v>0</v>
      </c>
      <c r="F31" s="514">
        <f t="shared" si="0"/>
        <v>0</v>
      </c>
      <c r="G31" s="514">
        <f t="shared" si="0"/>
        <v>0</v>
      </c>
      <c r="H31" s="514">
        <f t="shared" si="0"/>
        <v>0</v>
      </c>
      <c r="I31" s="514">
        <f t="shared" si="0"/>
        <v>0</v>
      </c>
      <c r="J31" s="514">
        <f t="shared" si="0"/>
        <v>0</v>
      </c>
      <c r="K31" s="514">
        <f t="shared" si="0"/>
        <v>0</v>
      </c>
      <c r="L31" s="514">
        <f t="shared" si="0"/>
        <v>0</v>
      </c>
      <c r="M31" s="514">
        <f t="shared" si="0"/>
        <v>0</v>
      </c>
      <c r="N31" s="514">
        <f t="shared" si="0"/>
        <v>0</v>
      </c>
      <c r="O31" s="514">
        <f t="shared" si="0"/>
        <v>0</v>
      </c>
      <c r="P31" s="514">
        <f t="shared" si="0"/>
        <v>1206970386.6098001</v>
      </c>
    </row>
    <row r="32" spans="1:16">
      <c r="A32" s="492"/>
      <c r="B32" s="483"/>
      <c r="C32" s="484"/>
      <c r="D32" s="484"/>
      <c r="E32" s="492"/>
      <c r="F32" s="492"/>
      <c r="G32" s="492"/>
    </row>
    <row r="33" spans="1:12">
      <c r="A33" s="492"/>
      <c r="B33" s="485" t="s">
        <v>1406</v>
      </c>
      <c r="C33" s="486">
        <f>C31-C17</f>
        <v>0</v>
      </c>
    </row>
    <row r="34" spans="1:12">
      <c r="A34" s="492"/>
      <c r="B34" s="393"/>
      <c r="C34" s="450" t="str">
        <f>IF(C33=0,m!$B$7,m!$B$11)</f>
        <v>P</v>
      </c>
    </row>
    <row r="35" spans="1:12" ht="15.75" thickBot="1">
      <c r="A35" s="492"/>
      <c r="B35" s="596" t="s">
        <v>1573</v>
      </c>
      <c r="C35" s="492"/>
      <c r="D35" s="492"/>
      <c r="E35" s="492"/>
      <c r="F35" s="492"/>
      <c r="G35" s="492"/>
      <c r="H35" s="492"/>
    </row>
    <row r="36" spans="1:12" s="525" customFormat="1" ht="15.75" thickBot="1">
      <c r="B36" s="2022"/>
      <c r="C36" s="555" t="s">
        <v>1425</v>
      </c>
    </row>
    <row r="37" spans="1:12" s="525" customFormat="1" ht="18.75" customHeight="1">
      <c r="B37" s="2023"/>
      <c r="C37" s="556" t="s">
        <v>1477</v>
      </c>
      <c r="D37" s="557" t="s">
        <v>1478</v>
      </c>
      <c r="E37" s="557" t="s">
        <v>6</v>
      </c>
      <c r="F37" s="1891" t="s">
        <v>1356</v>
      </c>
      <c r="G37" s="1891"/>
      <c r="H37" s="1891"/>
      <c r="I37" s="1891"/>
      <c r="J37" s="1891"/>
      <c r="K37" s="559" t="s">
        <v>1357</v>
      </c>
      <c r="L37" s="560" t="s">
        <v>1358</v>
      </c>
    </row>
    <row r="38" spans="1:12" s="525" customFormat="1" ht="9.75" customHeight="1">
      <c r="B38" s="2023"/>
      <c r="C38" s="540"/>
      <c r="D38" s="451"/>
      <c r="E38" s="451"/>
      <c r="F38" s="451"/>
      <c r="G38" s="457"/>
      <c r="H38" s="457"/>
      <c r="I38" s="393"/>
      <c r="J38" s="393"/>
      <c r="K38" s="393"/>
      <c r="L38" s="418"/>
    </row>
    <row r="39" spans="1:12" s="525" customFormat="1" ht="18.75" customHeight="1">
      <c r="B39" s="2023"/>
      <c r="C39" s="561">
        <v>16</v>
      </c>
      <c r="D39" s="543" t="str">
        <f>F11</f>
        <v>CC</v>
      </c>
      <c r="E39" s="544"/>
      <c r="F39" s="545" t="s">
        <v>1570</v>
      </c>
      <c r="G39" s="546"/>
      <c r="H39" s="546"/>
      <c r="I39" s="546"/>
      <c r="J39" s="547"/>
      <c r="K39" s="544">
        <v>0</v>
      </c>
      <c r="L39" s="548"/>
    </row>
    <row r="40" spans="1:12" s="525" customFormat="1" ht="18.75" customHeight="1">
      <c r="B40" s="2023"/>
      <c r="C40" s="549"/>
      <c r="D40" s="550"/>
      <c r="E40" s="544"/>
      <c r="F40" s="545" t="s">
        <v>1570</v>
      </c>
      <c r="G40" s="546"/>
      <c r="H40" s="546"/>
      <c r="I40" s="546"/>
      <c r="J40" s="547"/>
      <c r="K40" s="544"/>
      <c r="L40" s="551">
        <f>K39</f>
        <v>0</v>
      </c>
    </row>
    <row r="41" spans="1:12" s="525" customFormat="1" ht="18.75" customHeight="1" thickBot="1">
      <c r="B41" s="2023"/>
      <c r="C41" s="552" t="s">
        <v>1562</v>
      </c>
      <c r="D41" s="553"/>
      <c r="E41" s="553"/>
      <c r="F41" s="553"/>
      <c r="G41" s="553"/>
      <c r="H41" s="553"/>
      <c r="I41" s="553"/>
      <c r="J41" s="553"/>
      <c r="K41" s="553"/>
      <c r="L41" s="554"/>
    </row>
    <row r="42" spans="1:12" s="525" customFormat="1" ht="6.75" customHeight="1">
      <c r="B42" s="2023"/>
    </row>
    <row r="43" spans="1:12" s="525" customFormat="1" ht="6" customHeight="1" thickBot="1">
      <c r="B43" s="2023"/>
    </row>
    <row r="44" spans="1:12" s="525" customFormat="1" ht="15.75" thickBot="1">
      <c r="B44" s="2023"/>
      <c r="C44" s="555" t="s">
        <v>1561</v>
      </c>
    </row>
    <row r="45" spans="1:12" s="525" customFormat="1" ht="18.75" customHeight="1">
      <c r="B45" s="2023"/>
      <c r="C45" s="556" t="s">
        <v>1477</v>
      </c>
      <c r="D45" s="557" t="s">
        <v>1478</v>
      </c>
      <c r="E45" s="557" t="s">
        <v>6</v>
      </c>
      <c r="F45" s="1891" t="s">
        <v>1356</v>
      </c>
      <c r="G45" s="1891"/>
      <c r="H45" s="1891"/>
      <c r="I45" s="1891"/>
      <c r="J45" s="1891"/>
      <c r="K45" s="559" t="s">
        <v>1357</v>
      </c>
      <c r="L45" s="560" t="s">
        <v>1358</v>
      </c>
    </row>
    <row r="46" spans="1:12" s="525" customFormat="1" ht="9.75" customHeight="1">
      <c r="B46" s="2023"/>
      <c r="C46" s="540"/>
      <c r="D46" s="451"/>
      <c r="E46" s="451"/>
      <c r="F46" s="451"/>
      <c r="G46" s="457"/>
      <c r="H46" s="457"/>
      <c r="I46" s="393"/>
      <c r="J46" s="393"/>
      <c r="K46" s="393"/>
      <c r="L46" s="418"/>
    </row>
    <row r="47" spans="1:12" s="525" customFormat="1" ht="18.75" customHeight="1">
      <c r="B47" s="2023"/>
      <c r="C47" s="561">
        <f>C39</f>
        <v>16</v>
      </c>
      <c r="D47" s="543" t="str">
        <f>D39</f>
        <v>CC</v>
      </c>
      <c r="E47" s="544"/>
      <c r="F47" s="545" t="s">
        <v>1570</v>
      </c>
      <c r="G47" s="546"/>
      <c r="H47" s="546"/>
      <c r="I47" s="546"/>
      <c r="J47" s="547"/>
      <c r="K47" s="544"/>
      <c r="L47" s="548"/>
    </row>
    <row r="48" spans="1:12" s="525" customFormat="1" ht="18.75" customHeight="1">
      <c r="B48" s="2023"/>
      <c r="C48" s="549"/>
      <c r="D48" s="550"/>
      <c r="E48" s="544"/>
      <c r="F48" s="545" t="s">
        <v>1570</v>
      </c>
      <c r="G48" s="546"/>
      <c r="H48" s="546"/>
      <c r="I48" s="546"/>
      <c r="J48" s="547"/>
      <c r="K48" s="544"/>
      <c r="L48" s="551">
        <f>K47</f>
        <v>0</v>
      </c>
    </row>
    <row r="49" spans="1:12" s="525" customFormat="1" ht="18.75" customHeight="1" thickBot="1">
      <c r="B49" s="2024"/>
      <c r="C49" s="552" t="s">
        <v>1569</v>
      </c>
      <c r="D49" s="553"/>
      <c r="E49" s="553"/>
      <c r="F49" s="553"/>
      <c r="G49" s="553"/>
      <c r="H49" s="553"/>
      <c r="I49" s="553"/>
      <c r="J49" s="553"/>
      <c r="K49" s="553"/>
      <c r="L49" s="554"/>
    </row>
    <row r="50" spans="1:12" s="525" customFormat="1"/>
    <row r="51" spans="1:12">
      <c r="A51" s="2070" t="s">
        <v>1420</v>
      </c>
      <c r="B51" s="2062"/>
      <c r="C51" s="2062"/>
      <c r="D51" s="2062"/>
      <c r="E51" s="2062"/>
      <c r="F51" s="2062"/>
      <c r="G51" s="2062"/>
      <c r="H51" s="377"/>
      <c r="I51" s="377"/>
      <c r="J51" s="377"/>
      <c r="K51" s="377"/>
      <c r="L51" s="377"/>
    </row>
    <row r="52" spans="1:12" ht="15" customHeight="1">
      <c r="A52" s="2072" t="s">
        <v>1572</v>
      </c>
      <c r="B52" s="2072"/>
      <c r="C52" s="2072"/>
      <c r="D52" s="2072"/>
      <c r="E52" s="2072"/>
      <c r="F52" s="2072"/>
      <c r="G52" s="2072"/>
      <c r="H52" s="2072"/>
      <c r="I52" s="2072"/>
      <c r="J52" s="2072"/>
      <c r="K52" s="2072"/>
      <c r="L52" s="2072"/>
    </row>
    <row r="53" spans="1:12">
      <c r="A53" s="2062"/>
      <c r="B53" s="2062"/>
      <c r="C53" s="2062"/>
      <c r="D53" s="2062"/>
      <c r="E53" s="2062"/>
      <c r="F53" s="2062"/>
      <c r="G53" s="2062"/>
      <c r="H53" s="377"/>
      <c r="I53" s="377"/>
      <c r="J53" s="377"/>
      <c r="K53" s="377"/>
      <c r="L53" s="377"/>
    </row>
    <row r="54" spans="1:12">
      <c r="A54" s="377"/>
      <c r="B54" s="377"/>
      <c r="C54" s="377"/>
      <c r="D54" s="377"/>
      <c r="E54" s="377"/>
      <c r="F54" s="377"/>
      <c r="G54" s="377"/>
      <c r="H54" s="377"/>
      <c r="I54" s="377"/>
      <c r="J54" s="377"/>
      <c r="K54" s="377"/>
      <c r="L54" s="377"/>
    </row>
    <row r="55" spans="1:12">
      <c r="A55" s="179"/>
      <c r="B55" s="179"/>
      <c r="C55" s="179"/>
      <c r="D55" s="179"/>
      <c r="E55" s="179"/>
      <c r="F55" s="179"/>
      <c r="G55" s="179"/>
      <c r="H55" s="179"/>
      <c r="I55" s="179"/>
      <c r="J55" s="179"/>
      <c r="K55" s="179"/>
      <c r="L55" s="179"/>
    </row>
    <row r="56" spans="1:12">
      <c r="A56" s="179"/>
      <c r="B56" s="179"/>
      <c r="C56" s="179"/>
      <c r="D56" s="179"/>
      <c r="E56" s="179"/>
      <c r="F56" s="179"/>
      <c r="G56" s="179"/>
      <c r="H56" s="179"/>
      <c r="I56" s="179"/>
      <c r="J56" s="179"/>
      <c r="K56" s="179"/>
      <c r="L56" s="179"/>
    </row>
    <row r="57" spans="1:12">
      <c r="A57" s="179"/>
      <c r="B57" s="179"/>
      <c r="C57" s="179"/>
      <c r="D57" s="179"/>
      <c r="E57" s="179"/>
      <c r="F57" s="179"/>
      <c r="G57" s="179"/>
      <c r="H57" s="179"/>
      <c r="I57" s="179"/>
      <c r="J57" s="179"/>
      <c r="K57" s="179"/>
      <c r="L57" s="179"/>
    </row>
    <row r="58" spans="1:12">
      <c r="A58" s="179"/>
      <c r="B58" s="179"/>
      <c r="C58" s="179"/>
      <c r="D58" s="179"/>
      <c r="E58" s="179"/>
      <c r="F58" s="179"/>
      <c r="G58" s="179"/>
      <c r="H58" s="179"/>
      <c r="I58" s="179"/>
      <c r="J58" s="179"/>
      <c r="K58" s="179"/>
      <c r="L58" s="179"/>
    </row>
    <row r="59" spans="1:12" ht="15.75" thickBot="1">
      <c r="A59" s="179"/>
      <c r="B59" s="179"/>
      <c r="C59" s="179"/>
      <c r="D59" s="179"/>
      <c r="E59" s="179"/>
      <c r="F59" s="179"/>
      <c r="G59" s="179"/>
      <c r="H59" s="179"/>
      <c r="I59" s="179"/>
      <c r="J59" s="179"/>
      <c r="K59" s="179"/>
      <c r="L59" s="179"/>
    </row>
    <row r="60" spans="1:12" ht="15.75" thickBot="1">
      <c r="A60" s="989"/>
      <c r="B60" s="989"/>
      <c r="C60" s="1887" t="s">
        <v>2413</v>
      </c>
      <c r="D60" s="1888"/>
      <c r="E60" s="1889"/>
      <c r="F60" s="1889"/>
      <c r="G60" s="1890"/>
      <c r="H60" s="1883" t="s">
        <v>2414</v>
      </c>
      <c r="I60" s="1884"/>
      <c r="J60" s="1884"/>
      <c r="K60" s="1884"/>
      <c r="L60" s="1885"/>
    </row>
    <row r="61" spans="1:12" ht="27" thickBot="1">
      <c r="A61" s="990" t="s">
        <v>1481</v>
      </c>
      <c r="B61" s="990" t="s">
        <v>8</v>
      </c>
      <c r="C61" s="991" t="s">
        <v>2415</v>
      </c>
      <c r="D61" s="992" t="s">
        <v>2416</v>
      </c>
      <c r="E61" s="993" t="s">
        <v>2417</v>
      </c>
      <c r="F61" s="992" t="s">
        <v>2416</v>
      </c>
      <c r="G61" s="994" t="s">
        <v>2418</v>
      </c>
      <c r="H61" s="1123" t="s">
        <v>2415</v>
      </c>
      <c r="I61" s="995" t="s">
        <v>2416</v>
      </c>
      <c r="J61" s="996" t="s">
        <v>2417</v>
      </c>
      <c r="K61" s="995" t="s">
        <v>2416</v>
      </c>
      <c r="L61" s="997" t="s">
        <v>2418</v>
      </c>
    </row>
    <row r="62" spans="1:12" ht="15.75" thickBot="1"/>
    <row r="63" spans="1:12" ht="60.75" thickBot="1">
      <c r="A63" s="1092">
        <v>1</v>
      </c>
      <c r="B63" s="1135" t="s">
        <v>2658</v>
      </c>
      <c r="C63" s="1000"/>
      <c r="D63" s="1025"/>
      <c r="E63" s="1000"/>
      <c r="F63" s="1025"/>
      <c r="G63" s="1000"/>
      <c r="H63" s="1025"/>
      <c r="I63" s="1000"/>
      <c r="J63" s="1025"/>
      <c r="K63" s="1000"/>
      <c r="L63" s="1094"/>
    </row>
    <row r="64" spans="1:12" ht="15.75" thickBot="1">
      <c r="A64" s="1092"/>
    </row>
    <row r="65" spans="1:12" ht="150.75" thickBot="1">
      <c r="A65" s="1092">
        <v>2</v>
      </c>
      <c r="B65" s="1135" t="s">
        <v>2659</v>
      </c>
      <c r="C65" s="1000"/>
      <c r="D65" s="1025"/>
      <c r="E65" s="1000"/>
      <c r="F65" s="1025"/>
      <c r="G65" s="1000"/>
      <c r="H65" s="1025"/>
      <c r="I65" s="1000"/>
      <c r="J65" s="1025"/>
      <c r="K65" s="1000"/>
      <c r="L65" s="1094"/>
    </row>
    <row r="66" spans="1:12" ht="15.75" thickBot="1">
      <c r="A66" s="1092"/>
    </row>
    <row r="67" spans="1:12" ht="45.75" thickBot="1">
      <c r="A67" s="1092">
        <v>3</v>
      </c>
      <c r="B67" s="1135" t="s">
        <v>2660</v>
      </c>
      <c r="C67" s="1000"/>
      <c r="D67" s="1025"/>
      <c r="E67" s="1000"/>
      <c r="F67" s="1025"/>
      <c r="G67" s="1000"/>
      <c r="H67" s="1025"/>
      <c r="I67" s="1000"/>
      <c r="J67" s="1025"/>
      <c r="K67" s="1000"/>
      <c r="L67" s="1094"/>
    </row>
    <row r="68" spans="1:12" ht="15.75" thickBot="1">
      <c r="A68" s="1092"/>
    </row>
    <row r="69" spans="1:12" ht="75">
      <c r="A69" s="1092">
        <v>4</v>
      </c>
      <c r="B69" s="1145" t="s">
        <v>2661</v>
      </c>
      <c r="C69" s="1021"/>
      <c r="D69" s="1022"/>
      <c r="E69" s="1021"/>
      <c r="F69" s="1022"/>
      <c r="G69" s="1021"/>
      <c r="H69" s="1022"/>
      <c r="I69" s="1021"/>
      <c r="J69" s="1022"/>
      <c r="K69" s="1021"/>
      <c r="L69" s="1105"/>
    </row>
    <row r="70" spans="1:12">
      <c r="A70" s="1092"/>
      <c r="B70" s="1020" t="s">
        <v>2662</v>
      </c>
      <c r="C70" s="243"/>
      <c r="D70" s="1023"/>
      <c r="E70" s="243"/>
      <c r="F70" s="1023"/>
      <c r="G70" s="243"/>
      <c r="H70" s="1023"/>
      <c r="I70" s="243"/>
      <c r="J70" s="1023"/>
      <c r="K70" s="243"/>
      <c r="L70" s="1107"/>
    </row>
    <row r="71" spans="1:12">
      <c r="A71" s="1092"/>
      <c r="B71" s="1020" t="s">
        <v>2663</v>
      </c>
      <c r="C71" s="243"/>
      <c r="D71" s="1023"/>
      <c r="E71" s="243"/>
      <c r="F71" s="1023"/>
      <c r="G71" s="243"/>
      <c r="H71" s="1023"/>
      <c r="I71" s="243"/>
      <c r="J71" s="1023"/>
      <c r="K71" s="243"/>
      <c r="L71" s="1107"/>
    </row>
    <row r="72" spans="1:12">
      <c r="A72" s="1092"/>
      <c r="B72" s="1020" t="s">
        <v>2664</v>
      </c>
      <c r="C72" s="243"/>
      <c r="D72" s="1023"/>
      <c r="E72" s="243"/>
      <c r="F72" s="1023"/>
      <c r="G72" s="243"/>
      <c r="H72" s="1023"/>
      <c r="I72" s="243"/>
      <c r="J72" s="1023"/>
      <c r="K72" s="243"/>
      <c r="L72" s="1107"/>
    </row>
    <row r="73" spans="1:12" ht="15.75" thickBot="1">
      <c r="A73" s="1092"/>
      <c r="B73" s="1011" t="s">
        <v>2665</v>
      </c>
      <c r="C73" s="1012"/>
      <c r="D73" s="8"/>
      <c r="E73" s="1012"/>
      <c r="F73" s="8"/>
      <c r="G73" s="1012"/>
      <c r="H73" s="8"/>
      <c r="I73" s="1012"/>
      <c r="J73" s="8"/>
      <c r="K73" s="1012"/>
      <c r="L73" s="9"/>
    </row>
    <row r="74" spans="1:12" ht="15.75" thickBot="1">
      <c r="A74" s="1092"/>
    </row>
    <row r="75" spans="1:12" ht="135.75" thickBot="1">
      <c r="A75" s="1092">
        <v>5</v>
      </c>
      <c r="B75" s="1135" t="s">
        <v>2666</v>
      </c>
      <c r="C75" s="1000"/>
      <c r="D75" s="1025"/>
      <c r="E75" s="1000"/>
      <c r="F75" s="1025"/>
      <c r="G75" s="1000"/>
      <c r="H75" s="1025"/>
      <c r="I75" s="1000"/>
      <c r="J75" s="1025"/>
      <c r="K75" s="1000"/>
      <c r="L75" s="1094"/>
    </row>
    <row r="76" spans="1:12" ht="15.75" thickBot="1">
      <c r="A76" s="1092"/>
    </row>
    <row r="77" spans="1:12" ht="120.75" thickBot="1">
      <c r="A77" s="1092">
        <v>6</v>
      </c>
      <c r="B77" s="1135" t="s">
        <v>2667</v>
      </c>
      <c r="C77" s="1000"/>
      <c r="D77" s="1025"/>
      <c r="E77" s="1000"/>
      <c r="F77" s="1025"/>
      <c r="G77" s="1000"/>
      <c r="H77" s="1025"/>
      <c r="I77" s="1000"/>
      <c r="J77" s="1025"/>
      <c r="K77" s="1000"/>
      <c r="L77" s="1094"/>
    </row>
    <row r="78" spans="1:12" ht="15.75" thickBot="1">
      <c r="A78" s="1092"/>
    </row>
    <row r="79" spans="1:12" ht="90.75" thickBot="1">
      <c r="A79" s="1092">
        <v>7</v>
      </c>
      <c r="B79" s="1135" t="s">
        <v>2668</v>
      </c>
      <c r="C79" s="1000"/>
      <c r="D79" s="1025"/>
      <c r="E79" s="1000"/>
      <c r="F79" s="1025"/>
      <c r="G79" s="1000"/>
      <c r="H79" s="1025"/>
      <c r="I79" s="1000"/>
      <c r="J79" s="1025"/>
      <c r="K79" s="1000"/>
      <c r="L79" s="1094"/>
    </row>
    <row r="80" spans="1:12" ht="15.75" thickBot="1">
      <c r="A80" s="1092"/>
      <c r="B80" s="1146"/>
    </row>
    <row r="81" spans="1:12" ht="90.75" thickBot="1">
      <c r="A81" s="1092">
        <v>8</v>
      </c>
      <c r="B81" s="1135" t="s">
        <v>2669</v>
      </c>
      <c r="C81" s="1000"/>
      <c r="D81" s="1025"/>
      <c r="E81" s="1000"/>
      <c r="F81" s="1025"/>
      <c r="G81" s="1000"/>
      <c r="H81" s="1025"/>
      <c r="I81" s="1000"/>
      <c r="J81" s="1025"/>
      <c r="K81" s="1000"/>
      <c r="L81" s="1094"/>
    </row>
    <row r="82" spans="1:12" ht="15.75" thickBot="1">
      <c r="A82" s="1092"/>
    </row>
    <row r="83" spans="1:12" ht="60.75" thickBot="1">
      <c r="A83" s="1092">
        <v>9</v>
      </c>
      <c r="B83" s="1135" t="s">
        <v>2670</v>
      </c>
      <c r="C83" s="1000"/>
      <c r="D83" s="1025"/>
      <c r="E83" s="1000"/>
      <c r="F83" s="1025"/>
      <c r="G83" s="1000"/>
      <c r="H83" s="1025"/>
      <c r="I83" s="1000"/>
      <c r="J83" s="1025"/>
      <c r="K83" s="1000"/>
      <c r="L83" s="1094"/>
    </row>
    <row r="84" spans="1:12">
      <c r="A84" s="65"/>
    </row>
    <row r="85" spans="1:12">
      <c r="A85" s="65"/>
      <c r="B85" s="1902" t="s">
        <v>2576</v>
      </c>
      <c r="C85" s="1902"/>
      <c r="D85" s="1902"/>
      <c r="E85" s="1902"/>
      <c r="F85" s="1902"/>
      <c r="G85" s="1902"/>
      <c r="H85" s="1902"/>
      <c r="I85" s="1902"/>
      <c r="J85" s="1902"/>
      <c r="K85" s="1902"/>
      <c r="L85" s="1902"/>
    </row>
    <row r="86" spans="1:12">
      <c r="A86" s="65"/>
    </row>
  </sheetData>
  <mergeCells count="14">
    <mergeCell ref="C60:G60"/>
    <mergeCell ref="H60:L60"/>
    <mergeCell ref="B85:L85"/>
    <mergeCell ref="A53:G53"/>
    <mergeCell ref="E1:I1"/>
    <mergeCell ref="A52:L52"/>
    <mergeCell ref="B36:B49"/>
    <mergeCell ref="O1:P1"/>
    <mergeCell ref="B10:D10"/>
    <mergeCell ref="B19:C19"/>
    <mergeCell ref="C25:O25"/>
    <mergeCell ref="A51:G51"/>
    <mergeCell ref="F37:J37"/>
    <mergeCell ref="F45:J45"/>
  </mergeCells>
  <conditionalFormatting sqref="D19">
    <cfRule type="expression" priority="1" stopIfTrue="1">
      <formula>"$E$165&gt;=1,¨Aumento¨"</formula>
    </cfRule>
  </conditionalFormatting>
  <dataValidations count="1">
    <dataValidation type="list" allowBlank="1" showInputMessage="1" showErrorMessage="1" sqref="G11">
      <formula1>$G$4:$G$6</formula1>
    </dataValidation>
  </dataValidations>
  <hyperlinks>
    <hyperlink ref="E11" location="IPT!A1" display="INDICE"/>
  </hyperlinks>
  <printOptions horizontalCentered="1"/>
  <pageMargins left="0.51181102362204722" right="0.51181102362204722" top="0.74803149606299213" bottom="0.94488188976377963" header="0.31496062992125984" footer="0.31496062992125984"/>
  <pageSetup scale="6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8"/>
  <sheetViews>
    <sheetView topLeftCell="A7" workbookViewId="0">
      <selection activeCell="N26" sqref="N26"/>
    </sheetView>
  </sheetViews>
  <sheetFormatPr baseColWidth="10" defaultColWidth="9.140625" defaultRowHeight="15"/>
  <cols>
    <col min="1" max="1" width="5.140625" customWidth="1"/>
    <col min="2" max="2" width="34.7109375" customWidth="1"/>
    <col min="3" max="4" width="15.28515625" bestFit="1" customWidth="1"/>
    <col min="5" max="5" width="14.140625" bestFit="1" customWidth="1"/>
    <col min="6" max="7" width="12.28515625" bestFit="1" customWidth="1"/>
    <col min="8" max="8" width="9.85546875" bestFit="1" customWidth="1"/>
    <col min="9" max="15" width="9.42578125" customWidth="1"/>
    <col min="16" max="16" width="13.28515625" bestFit="1" customWidth="1"/>
  </cols>
  <sheetData>
    <row r="1" spans="1:16">
      <c r="A1" s="179"/>
      <c r="B1" s="574" t="str">
        <f>BALANZA!B1</f>
        <v>CORPORACION DEL ACUEDUCTO Y ALCANTARILLADO DE MOCA</v>
      </c>
      <c r="C1" s="397"/>
      <c r="D1" s="397"/>
      <c r="E1" s="397"/>
      <c r="F1" s="397"/>
      <c r="G1" s="179"/>
      <c r="H1" s="179"/>
      <c r="O1" s="1895" t="str">
        <f>IPT!$F$5</f>
        <v>AUDITOR: JJSM</v>
      </c>
      <c r="P1" s="1895"/>
    </row>
    <row r="2" spans="1:16">
      <c r="A2" s="535"/>
      <c r="B2" s="522" t="str">
        <f>BALANZA!B2</f>
        <v>Del Ejercicio terminado el  31 de marzo de 2026  y  2025</v>
      </c>
      <c r="C2" s="397"/>
      <c r="D2" s="397"/>
      <c r="E2" s="397"/>
      <c r="F2" s="397"/>
      <c r="G2" s="535"/>
      <c r="H2" s="535"/>
    </row>
    <row r="3" spans="1:16">
      <c r="A3" s="492"/>
      <c r="B3" s="492"/>
      <c r="C3" s="491"/>
      <c r="D3" s="491"/>
      <c r="E3" s="491"/>
      <c r="F3" s="491"/>
      <c r="G3" s="492"/>
      <c r="H3" s="492"/>
    </row>
    <row r="4" spans="1:16" hidden="1">
      <c r="A4" s="492"/>
      <c r="B4" s="492"/>
      <c r="C4" s="491"/>
      <c r="D4" s="491"/>
      <c r="E4" s="491"/>
      <c r="F4" s="491"/>
      <c r="G4" s="492" t="s">
        <v>1532</v>
      </c>
      <c r="H4" s="492"/>
    </row>
    <row r="5" spans="1:16" hidden="1">
      <c r="A5" s="492"/>
      <c r="B5" s="492"/>
      <c r="C5" s="491"/>
      <c r="D5" s="491"/>
      <c r="E5" s="491"/>
      <c r="F5" s="491"/>
      <c r="G5" s="492" t="s">
        <v>1533</v>
      </c>
      <c r="H5" s="492"/>
    </row>
    <row r="6" spans="1:16" hidden="1">
      <c r="A6" s="383"/>
      <c r="B6" s="179"/>
      <c r="C6" s="179"/>
      <c r="D6" s="179"/>
      <c r="E6" s="179"/>
      <c r="F6" s="179"/>
      <c r="G6" s="492" t="s">
        <v>1531</v>
      </c>
      <c r="H6" s="179"/>
    </row>
    <row r="7" spans="1:16">
      <c r="A7" s="396"/>
      <c r="B7" s="397" t="s">
        <v>1463</v>
      </c>
      <c r="D7" s="397"/>
      <c r="E7" s="397"/>
      <c r="F7" s="397"/>
      <c r="G7" s="492"/>
      <c r="H7" s="492"/>
    </row>
    <row r="8" spans="1:16">
      <c r="A8" s="492"/>
      <c r="B8" s="492"/>
      <c r="C8" s="492"/>
      <c r="D8" s="492"/>
      <c r="E8" s="492"/>
      <c r="F8" s="492"/>
      <c r="G8" s="492"/>
      <c r="H8" s="492"/>
    </row>
    <row r="9" spans="1:16">
      <c r="A9" s="492"/>
      <c r="B9" s="2021" t="s">
        <v>1475</v>
      </c>
      <c r="C9" s="2021"/>
      <c r="D9" s="2021"/>
      <c r="E9" s="492"/>
      <c r="F9" s="492"/>
      <c r="G9" s="492"/>
      <c r="H9" s="492"/>
    </row>
    <row r="10" spans="1:16" ht="19.5" customHeight="1">
      <c r="A10" s="492"/>
      <c r="B10" s="492"/>
      <c r="C10" s="492"/>
      <c r="D10" s="492"/>
      <c r="E10" s="539" t="s">
        <v>1355</v>
      </c>
      <c r="F10" s="538" t="str">
        <f>IPT!C28</f>
        <v>RR</v>
      </c>
      <c r="G10" s="529" t="str">
        <f>IF(C30=0,"Verificado","Pendiente")</f>
        <v>Verificado</v>
      </c>
      <c r="H10" s="492"/>
    </row>
    <row r="11" spans="1:16" ht="45">
      <c r="B11" s="200" t="s">
        <v>1149</v>
      </c>
      <c r="C11" s="201">
        <f>BALANZA!B4</f>
        <v>2026</v>
      </c>
      <c r="D11" s="201">
        <f>BALANZA!C4</f>
        <v>2025</v>
      </c>
      <c r="E11" s="616" t="s">
        <v>1213</v>
      </c>
      <c r="F11" s="494" t="s">
        <v>1465</v>
      </c>
      <c r="G11" s="494" t="s">
        <v>1476</v>
      </c>
    </row>
    <row r="12" spans="1:16" ht="22.5" customHeight="1">
      <c r="A12">
        <v>2</v>
      </c>
      <c r="B12" s="657" t="str">
        <f>Notas!B327</f>
        <v>Resultados periodo anterior</v>
      </c>
      <c r="C12" s="658">
        <f>+'16'!C14</f>
        <v>399663227.34979993</v>
      </c>
      <c r="D12" s="658">
        <f>+'16'!D14</f>
        <v>277803499.63989997</v>
      </c>
      <c r="E12" s="253">
        <f>+C12-D12</f>
        <v>121859727.70989996</v>
      </c>
      <c r="F12" s="647">
        <f>IFERROR(E12/D12,0)</f>
        <v>0.43865440092676811</v>
      </c>
      <c r="G12" s="450" t="s">
        <v>1428</v>
      </c>
    </row>
    <row r="13" spans="1:16" ht="22.5" customHeight="1">
      <c r="A13">
        <v>3</v>
      </c>
      <c r="B13" s="657" t="str">
        <f>Notas!B328</f>
        <v>Ajuste al Resultados periodo anterior</v>
      </c>
      <c r="C13" s="658">
        <f>+'16'!C15</f>
        <v>0</v>
      </c>
      <c r="D13" s="658">
        <f>+'16'!D15</f>
        <v>1485895.3399999999</v>
      </c>
      <c r="E13" s="253">
        <f>+C13-D13</f>
        <v>-1485895.3399999999</v>
      </c>
      <c r="F13" s="647">
        <f>IFERROR(E13/D13,0)</f>
        <v>-1</v>
      </c>
      <c r="G13" s="450" t="s">
        <v>1428</v>
      </c>
    </row>
    <row r="14" spans="1:16" ht="22.5" customHeight="1">
      <c r="A14">
        <v>4</v>
      </c>
      <c r="B14" s="657" t="str">
        <f>Notas!B329</f>
        <v xml:space="preserve">Resultado Neto del Período </v>
      </c>
      <c r="C14" s="658">
        <f>+'16'!C16</f>
        <v>202390.76999999583</v>
      </c>
      <c r="D14" s="658">
        <f>+'16'!D16</f>
        <v>120373832.36989999</v>
      </c>
      <c r="E14" s="253">
        <f>+C14-D14</f>
        <v>-120171441.59989999</v>
      </c>
      <c r="F14" s="647">
        <f>IFERROR(E14/D14,0)</f>
        <v>-0.99831864811466609</v>
      </c>
      <c r="G14" s="450" t="s">
        <v>1428</v>
      </c>
    </row>
    <row r="15" spans="1:16" ht="27.75" customHeight="1">
      <c r="A15">
        <v>7</v>
      </c>
      <c r="B15" s="644" t="s">
        <v>1160</v>
      </c>
      <c r="C15" s="645">
        <f>SUM(C12:C14)</f>
        <v>399865618.11979991</v>
      </c>
      <c r="D15" s="646">
        <f>SUM(D12:D14)</f>
        <v>399663227.34979993</v>
      </c>
      <c r="E15" s="648">
        <f>SUM(E12:E14)</f>
        <v>202390.76999996603</v>
      </c>
      <c r="F15" s="649">
        <f>IFERROR(E15/D15,0)</f>
        <v>5.0640328193823599E-4</v>
      </c>
      <c r="G15" s="500" t="s">
        <v>1419</v>
      </c>
    </row>
    <row r="16" spans="1:16" ht="17.25" customHeight="1">
      <c r="B16" s="158"/>
      <c r="E16" s="206"/>
    </row>
    <row r="17" spans="1:16" s="5" customFormat="1" ht="27.75" customHeight="1">
      <c r="B17" s="2051" t="str">
        <f>+'1'!B21:C21</f>
        <v>Cambio porcentual con relación al 2025</v>
      </c>
      <c r="C17" s="2052"/>
      <c r="D17" s="618" t="str">
        <f>IF(E17&gt;=0,"Aumento","Disminución")</f>
        <v>Aumento</v>
      </c>
      <c r="E17" s="619">
        <f>+E15/D15</f>
        <v>5.0640328193823599E-4</v>
      </c>
    </row>
    <row r="18" spans="1:16" ht="15.75">
      <c r="B18" s="158"/>
      <c r="E18" s="206"/>
    </row>
    <row r="19" spans="1:16">
      <c r="A19" s="492"/>
      <c r="B19" s="492"/>
      <c r="C19" s="492"/>
      <c r="D19" s="492"/>
      <c r="E19" s="492"/>
      <c r="F19" s="492"/>
      <c r="G19" s="492"/>
      <c r="H19" s="492"/>
    </row>
    <row r="20" spans="1:16">
      <c r="A20" s="492"/>
      <c r="B20" s="492"/>
      <c r="C20" s="492"/>
      <c r="D20" s="492"/>
      <c r="E20" s="492"/>
      <c r="F20" s="492"/>
      <c r="G20" s="492"/>
      <c r="H20" s="492"/>
    </row>
    <row r="21" spans="1:16">
      <c r="A21" s="492"/>
      <c r="B21" s="397" t="s">
        <v>1557</v>
      </c>
      <c r="C21" s="492"/>
      <c r="D21" s="492"/>
      <c r="E21" s="492"/>
      <c r="F21" s="492"/>
      <c r="G21" s="492"/>
      <c r="H21" s="492"/>
    </row>
    <row r="22" spans="1:16" ht="18" customHeight="1">
      <c r="A22" s="492"/>
      <c r="B22" s="482" t="s">
        <v>1467</v>
      </c>
      <c r="C22" s="482"/>
      <c r="D22" s="482"/>
      <c r="E22" s="492"/>
      <c r="G22" s="492"/>
      <c r="H22" s="492"/>
      <c r="I22" s="492"/>
      <c r="J22" s="492"/>
      <c r="K22" s="492"/>
    </row>
    <row r="23" spans="1:16" ht="21" customHeight="1">
      <c r="A23" s="492"/>
      <c r="B23" s="462"/>
      <c r="C23" s="1879">
        <f>C11</f>
        <v>2026</v>
      </c>
      <c r="D23" s="1880"/>
      <c r="E23" s="1880"/>
      <c r="F23" s="1880"/>
      <c r="G23" s="1880"/>
      <c r="H23" s="1880"/>
      <c r="I23" s="1880"/>
      <c r="J23" s="1880"/>
      <c r="K23" s="1880"/>
      <c r="L23" s="1880"/>
      <c r="M23" s="1880"/>
      <c r="N23" s="1880"/>
      <c r="O23" s="1880"/>
      <c r="P23" s="502">
        <f>D11</f>
        <v>2025</v>
      </c>
    </row>
    <row r="24" spans="1:16" ht="26.25">
      <c r="A24" s="492"/>
      <c r="B24" s="462" t="s">
        <v>1149</v>
      </c>
      <c r="C24" s="463" t="s">
        <v>1415</v>
      </c>
      <c r="D24" s="463" t="s">
        <v>1418</v>
      </c>
      <c r="E24" s="463" t="s">
        <v>1434</v>
      </c>
      <c r="F24" s="463" t="s">
        <v>1435</v>
      </c>
      <c r="G24" s="463" t="s">
        <v>1436</v>
      </c>
      <c r="H24" s="463" t="s">
        <v>1437</v>
      </c>
      <c r="I24" s="463" t="s">
        <v>1438</v>
      </c>
      <c r="J24" s="463" t="s">
        <v>1439</v>
      </c>
      <c r="K24" s="463" t="s">
        <v>1440</v>
      </c>
      <c r="L24" s="463" t="s">
        <v>1441</v>
      </c>
      <c r="M24" s="463" t="s">
        <v>1410</v>
      </c>
      <c r="N24" s="463" t="s">
        <v>1411</v>
      </c>
      <c r="O24" s="463" t="s">
        <v>1412</v>
      </c>
      <c r="P24" s="502" t="s">
        <v>1526</v>
      </c>
    </row>
    <row r="25" spans="1:16" ht="19.5" customHeight="1">
      <c r="A25">
        <v>2</v>
      </c>
      <c r="B25" s="490" t="str">
        <f>B12</f>
        <v>Resultados periodo anterior</v>
      </c>
      <c r="C25" s="213">
        <f>SUM(D12:D14)</f>
        <v>399663227.34979993</v>
      </c>
      <c r="D25" s="512"/>
      <c r="E25" s="512"/>
      <c r="F25" s="512"/>
      <c r="G25" s="512"/>
      <c r="H25" s="512"/>
      <c r="I25" s="512"/>
      <c r="J25" s="512"/>
      <c r="K25" s="512"/>
      <c r="L25" s="512"/>
      <c r="M25" s="512"/>
      <c r="N25" s="512"/>
      <c r="O25" s="512"/>
      <c r="P25" s="253">
        <f>D12</f>
        <v>277803499.63989997</v>
      </c>
    </row>
    <row r="26" spans="1:16" ht="19.5" customHeight="1">
      <c r="A26">
        <v>3</v>
      </c>
      <c r="B26" s="490" t="str">
        <f>B13</f>
        <v>Ajuste al Resultados periodo anterior</v>
      </c>
      <c r="C26" s="213">
        <f>SUM(D26:P26)</f>
        <v>0</v>
      </c>
      <c r="D26" s="512">
        <f>-BALANZA!N180</f>
        <v>0</v>
      </c>
      <c r="E26" s="512">
        <f>-BALANZA!O180</f>
        <v>0</v>
      </c>
      <c r="F26" s="512">
        <f>-BALANZA!P180</f>
        <v>0</v>
      </c>
      <c r="G26" s="512">
        <f>-BALANZA!Q180</f>
        <v>0</v>
      </c>
      <c r="H26" s="512">
        <f>-BALANZA!R180</f>
        <v>0</v>
      </c>
      <c r="I26" s="512">
        <f>-BALANZA!S180</f>
        <v>0</v>
      </c>
      <c r="J26" s="512">
        <f>-BALANZA!T180</f>
        <v>0</v>
      </c>
      <c r="K26" s="512">
        <f>-BALANZA!U180</f>
        <v>0</v>
      </c>
      <c r="L26" s="512">
        <f>-BALANZA!V180</f>
        <v>0</v>
      </c>
      <c r="M26" s="512">
        <f>-BALANZA!W180</f>
        <v>0</v>
      </c>
      <c r="N26" s="512">
        <f>-BALANZA!X180</f>
        <v>0</v>
      </c>
      <c r="O26" s="512">
        <f>-BALANZA!Y180</f>
        <v>0</v>
      </c>
      <c r="P26" s="253"/>
    </row>
    <row r="27" spans="1:16" ht="19.5" customHeight="1">
      <c r="A27">
        <v>4</v>
      </c>
      <c r="B27" s="490" t="str">
        <f>B14</f>
        <v xml:space="preserve">Resultado Neto del Período </v>
      </c>
      <c r="C27" s="213">
        <f>+C14</f>
        <v>202390.76999999583</v>
      </c>
      <c r="D27" s="512"/>
      <c r="E27" s="512"/>
      <c r="F27" s="512"/>
      <c r="G27" s="512"/>
      <c r="H27" s="512"/>
      <c r="I27" s="512"/>
      <c r="J27" s="512"/>
      <c r="K27" s="512"/>
      <c r="L27" s="512"/>
      <c r="M27" s="512"/>
      <c r="N27" s="512"/>
      <c r="O27" s="512"/>
      <c r="P27" s="253">
        <f>D14</f>
        <v>120373832.36989999</v>
      </c>
    </row>
    <row r="28" spans="1:16" ht="22.5" customHeight="1">
      <c r="A28" s="492"/>
      <c r="B28" s="192" t="s">
        <v>1152</v>
      </c>
      <c r="C28" s="214">
        <f t="shared" ref="C28:P28" si="0">SUM(C25:C27)</f>
        <v>399865618.11979991</v>
      </c>
      <c r="D28" s="514">
        <f t="shared" si="0"/>
        <v>0</v>
      </c>
      <c r="E28" s="514">
        <f t="shared" si="0"/>
        <v>0</v>
      </c>
      <c r="F28" s="514">
        <f t="shared" si="0"/>
        <v>0</v>
      </c>
      <c r="G28" s="514">
        <f t="shared" si="0"/>
        <v>0</v>
      </c>
      <c r="H28" s="514">
        <f t="shared" si="0"/>
        <v>0</v>
      </c>
      <c r="I28" s="514">
        <f t="shared" si="0"/>
        <v>0</v>
      </c>
      <c r="J28" s="514">
        <f t="shared" si="0"/>
        <v>0</v>
      </c>
      <c r="K28" s="514">
        <f t="shared" si="0"/>
        <v>0</v>
      </c>
      <c r="L28" s="514">
        <f t="shared" si="0"/>
        <v>0</v>
      </c>
      <c r="M28" s="514">
        <f t="shared" si="0"/>
        <v>0</v>
      </c>
      <c r="N28" s="514">
        <f t="shared" si="0"/>
        <v>0</v>
      </c>
      <c r="O28" s="514">
        <f t="shared" si="0"/>
        <v>0</v>
      </c>
      <c r="P28" s="514">
        <f t="shared" si="0"/>
        <v>398177332.00979996</v>
      </c>
    </row>
    <row r="29" spans="1:16">
      <c r="A29" s="492"/>
      <c r="B29" s="483"/>
      <c r="C29" s="484"/>
      <c r="D29" s="484"/>
      <c r="E29" s="492"/>
      <c r="F29" s="492"/>
      <c r="G29" s="492"/>
    </row>
    <row r="30" spans="1:16">
      <c r="A30" s="492"/>
      <c r="B30" s="485" t="s">
        <v>1406</v>
      </c>
      <c r="C30" s="486">
        <f>C28-C15</f>
        <v>0</v>
      </c>
    </row>
    <row r="31" spans="1:16">
      <c r="A31" s="492"/>
      <c r="B31" s="393"/>
      <c r="C31" s="450" t="str">
        <f>IF(C30=0,m!$B$7,m!$B$11)</f>
        <v>P</v>
      </c>
    </row>
    <row r="32" spans="1:16">
      <c r="A32" s="492"/>
      <c r="B32" s="492"/>
      <c r="C32" s="492"/>
      <c r="D32" s="492"/>
      <c r="E32" s="492"/>
      <c r="F32" s="492"/>
      <c r="G32" s="492"/>
      <c r="H32" s="492"/>
    </row>
    <row r="33" spans="2:12" ht="15.75" thickBot="1">
      <c r="B33" s="596" t="s">
        <v>1573</v>
      </c>
    </row>
    <row r="34" spans="2:12" s="525" customFormat="1" ht="15.75" thickBot="1">
      <c r="B34" s="2022"/>
      <c r="C34" s="555" t="s">
        <v>1425</v>
      </c>
    </row>
    <row r="35" spans="2:12" s="525" customFormat="1" ht="18.75" customHeight="1">
      <c r="B35" s="2023"/>
      <c r="C35" s="556" t="s">
        <v>1477</v>
      </c>
      <c r="D35" s="557" t="s">
        <v>1478</v>
      </c>
      <c r="E35" s="557" t="s">
        <v>6</v>
      </c>
      <c r="F35" s="1891" t="s">
        <v>1356</v>
      </c>
      <c r="G35" s="1891"/>
      <c r="H35" s="1891"/>
      <c r="I35" s="1891"/>
      <c r="J35" s="1891"/>
      <c r="K35" s="559" t="s">
        <v>1357</v>
      </c>
      <c r="L35" s="560" t="s">
        <v>1358</v>
      </c>
    </row>
    <row r="36" spans="2:12" s="525" customFormat="1" ht="9.75" customHeight="1">
      <c r="B36" s="2023"/>
      <c r="C36" s="540"/>
      <c r="D36" s="451"/>
      <c r="E36" s="451"/>
      <c r="F36" s="451"/>
      <c r="G36" s="457"/>
      <c r="H36" s="457"/>
      <c r="I36" s="393"/>
      <c r="J36" s="393"/>
      <c r="K36" s="393"/>
      <c r="L36" s="418"/>
    </row>
    <row r="37" spans="2:12" s="525" customFormat="1" ht="18.75" customHeight="1">
      <c r="B37" s="2023"/>
      <c r="C37" s="561">
        <v>17</v>
      </c>
      <c r="D37" s="543" t="str">
        <f>F10</f>
        <v>RR</v>
      </c>
      <c r="E37" s="544"/>
      <c r="F37" s="545" t="s">
        <v>1570</v>
      </c>
      <c r="G37" s="546"/>
      <c r="H37" s="546"/>
      <c r="I37" s="546"/>
      <c r="J37" s="547"/>
      <c r="K37" s="544">
        <v>0</v>
      </c>
      <c r="L37" s="548"/>
    </row>
    <row r="38" spans="2:12" s="525" customFormat="1" ht="18.75" customHeight="1">
      <c r="B38" s="2023"/>
      <c r="C38" s="549"/>
      <c r="D38" s="550"/>
      <c r="E38" s="544"/>
      <c r="F38" s="545" t="s">
        <v>1570</v>
      </c>
      <c r="G38" s="546"/>
      <c r="H38" s="546"/>
      <c r="I38" s="546"/>
      <c r="J38" s="547"/>
      <c r="K38" s="544"/>
      <c r="L38" s="551">
        <f>K37</f>
        <v>0</v>
      </c>
    </row>
    <row r="39" spans="2:12" s="525" customFormat="1" ht="18.75" customHeight="1" thickBot="1">
      <c r="B39" s="2023"/>
      <c r="C39" s="552" t="s">
        <v>1562</v>
      </c>
      <c r="D39" s="553"/>
      <c r="E39" s="553"/>
      <c r="F39" s="553"/>
      <c r="G39" s="553"/>
      <c r="H39" s="553"/>
      <c r="I39" s="553"/>
      <c r="J39" s="553"/>
      <c r="K39" s="553"/>
      <c r="L39" s="554"/>
    </row>
    <row r="40" spans="2:12" s="525" customFormat="1">
      <c r="B40" s="2023"/>
    </row>
    <row r="41" spans="2:12" s="525" customFormat="1" ht="15.75" thickBot="1">
      <c r="B41" s="2023"/>
    </row>
    <row r="42" spans="2:12" s="525" customFormat="1" ht="15.75" thickBot="1">
      <c r="B42" s="2023"/>
      <c r="C42" s="555" t="s">
        <v>1561</v>
      </c>
    </row>
    <row r="43" spans="2:12" s="525" customFormat="1" ht="18.75" customHeight="1">
      <c r="B43" s="2023"/>
      <c r="C43" s="556" t="s">
        <v>1477</v>
      </c>
      <c r="D43" s="557" t="s">
        <v>1478</v>
      </c>
      <c r="E43" s="557" t="s">
        <v>6</v>
      </c>
      <c r="F43" s="1891" t="s">
        <v>1356</v>
      </c>
      <c r="G43" s="1891"/>
      <c r="H43" s="1891"/>
      <c r="I43" s="1891"/>
      <c r="J43" s="1891"/>
      <c r="K43" s="559" t="s">
        <v>1357</v>
      </c>
      <c r="L43" s="560" t="s">
        <v>1358</v>
      </c>
    </row>
    <row r="44" spans="2:12" s="525" customFormat="1" ht="9.75" customHeight="1">
      <c r="B44" s="2023"/>
      <c r="C44" s="540"/>
      <c r="D44" s="451"/>
      <c r="E44" s="451"/>
      <c r="F44" s="451"/>
      <c r="G44" s="457"/>
      <c r="H44" s="457"/>
      <c r="I44" s="393"/>
      <c r="J44" s="393"/>
      <c r="K44" s="393"/>
      <c r="L44" s="418"/>
    </row>
    <row r="45" spans="2:12" s="525" customFormat="1" ht="18.75" customHeight="1">
      <c r="B45" s="2023"/>
      <c r="C45" s="561">
        <f>C37</f>
        <v>17</v>
      </c>
      <c r="D45" s="543" t="str">
        <f>D37</f>
        <v>RR</v>
      </c>
      <c r="E45" s="544"/>
      <c r="F45" s="545" t="s">
        <v>1570</v>
      </c>
      <c r="G45" s="546"/>
      <c r="H45" s="546"/>
      <c r="I45" s="546"/>
      <c r="J45" s="547"/>
      <c r="K45" s="544"/>
      <c r="L45" s="548"/>
    </row>
    <row r="46" spans="2:12" s="525" customFormat="1" ht="18.75" customHeight="1">
      <c r="B46" s="2023"/>
      <c r="C46" s="549"/>
      <c r="D46" s="550"/>
      <c r="E46" s="544"/>
      <c r="F46" s="545" t="s">
        <v>1570</v>
      </c>
      <c r="G46" s="546"/>
      <c r="H46" s="546"/>
      <c r="I46" s="546"/>
      <c r="J46" s="547"/>
      <c r="K46" s="544"/>
      <c r="L46" s="551">
        <f>K45</f>
        <v>0</v>
      </c>
    </row>
    <row r="47" spans="2:12" s="525" customFormat="1" ht="18.75" customHeight="1" thickBot="1">
      <c r="B47" s="2024"/>
      <c r="C47" s="552" t="s">
        <v>1569</v>
      </c>
      <c r="D47" s="553"/>
      <c r="E47" s="553"/>
      <c r="F47" s="553"/>
      <c r="G47" s="553"/>
      <c r="H47" s="553"/>
      <c r="I47" s="553"/>
      <c r="J47" s="553"/>
      <c r="K47" s="553"/>
      <c r="L47" s="554"/>
    </row>
    <row r="48" spans="2:12" s="525" customFormat="1"/>
  </sheetData>
  <mergeCells count="7">
    <mergeCell ref="O1:P1"/>
    <mergeCell ref="F43:J43"/>
    <mergeCell ref="B9:D9"/>
    <mergeCell ref="B17:C17"/>
    <mergeCell ref="C23:O23"/>
    <mergeCell ref="F35:J35"/>
    <mergeCell ref="B34:B47"/>
  </mergeCells>
  <conditionalFormatting sqref="D17">
    <cfRule type="expression" priority="1" stopIfTrue="1">
      <formula>"$E$165&gt;=1,¨Aumento¨"</formula>
    </cfRule>
  </conditionalFormatting>
  <dataValidations count="1">
    <dataValidation type="list" allowBlank="1" showInputMessage="1" showErrorMessage="1" sqref="G10">
      <formula1>$G$4:$G$6</formula1>
    </dataValidation>
  </dataValidations>
  <hyperlinks>
    <hyperlink ref="E10" location="IPT!A1" display="INDICE"/>
  </hyperlinks>
  <printOptions horizontalCentered="1"/>
  <pageMargins left="0.51181102362204722" right="0.51181102362204722" top="0.74803149606299213" bottom="0.74803149606299213" header="0.31496062992125984" footer="0.31496062992125984"/>
  <pageSetup scale="6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744"/>
  <sheetViews>
    <sheetView topLeftCell="A16" workbookViewId="0"/>
  </sheetViews>
  <sheetFormatPr baseColWidth="10" defaultColWidth="9.140625" defaultRowHeight="15"/>
  <cols>
    <col min="1" max="1" width="5.140625" customWidth="1"/>
    <col min="2" max="2" width="38.42578125" customWidth="1"/>
    <col min="3" max="3" width="16.28515625" bestFit="1" customWidth="1"/>
    <col min="4" max="4" width="15.5703125" customWidth="1"/>
    <col min="5" max="5" width="16.28515625" bestFit="1" customWidth="1"/>
    <col min="6" max="8" width="14" customWidth="1"/>
    <col min="9" max="10" width="11.7109375" bestFit="1" customWidth="1"/>
    <col min="11" max="11" width="10.85546875" bestFit="1" customWidth="1"/>
    <col min="12" max="12" width="11.42578125" bestFit="1" customWidth="1"/>
    <col min="13" max="13" width="10.85546875" bestFit="1" customWidth="1"/>
    <col min="14" max="15" width="11.7109375" bestFit="1" customWidth="1"/>
  </cols>
  <sheetData>
    <row r="1" spans="1:15">
      <c r="A1" t="s">
        <v>1038</v>
      </c>
      <c r="B1" s="574" t="str">
        <f>BALANZA!B1</f>
        <v>CORPORACION DEL ACUEDUCTO Y ALCANTARILLADO DE MOCA</v>
      </c>
      <c r="N1" s="1895" t="str">
        <f>IPT!$F$5</f>
        <v>AUDITOR: JJSM</v>
      </c>
      <c r="O1" s="1895"/>
    </row>
    <row r="2" spans="1:15">
      <c r="B2" s="522" t="str">
        <f>BALANZA!B2</f>
        <v>Del Ejercicio terminado el  31 de marzo de 2026  y  2025</v>
      </c>
    </row>
    <row r="3" spans="1:15" ht="14.25" customHeight="1">
      <c r="B3" s="522"/>
    </row>
    <row r="4" spans="1:15" hidden="1">
      <c r="G4" s="492" t="s">
        <v>1532</v>
      </c>
    </row>
    <row r="5" spans="1:15" hidden="1">
      <c r="G5" s="492" t="s">
        <v>1533</v>
      </c>
    </row>
    <row r="6" spans="1:15" hidden="1">
      <c r="G6" s="492" t="s">
        <v>1531</v>
      </c>
    </row>
    <row r="7" spans="1:15">
      <c r="B7" s="397" t="s">
        <v>1490</v>
      </c>
      <c r="E7" s="397"/>
      <c r="F7" s="397"/>
    </row>
    <row r="8" spans="1:15">
      <c r="A8" s="179"/>
      <c r="B8" s="392"/>
      <c r="C8" s="179"/>
      <c r="G8" s="179"/>
      <c r="H8" s="179"/>
      <c r="I8" s="179"/>
    </row>
    <row r="9" spans="1:15" ht="22.5" customHeight="1">
      <c r="A9" s="179"/>
      <c r="B9" s="1886" t="s">
        <v>1464</v>
      </c>
      <c r="C9" s="1886"/>
      <c r="D9" s="1886"/>
      <c r="E9" s="539" t="s">
        <v>1355</v>
      </c>
      <c r="F9" s="538" t="str">
        <f>IPT!C33</f>
        <v>AA-10</v>
      </c>
      <c r="G9" s="529" t="str">
        <f>IF(C31=0,"Verificado","Pendiente")</f>
        <v>Verificado</v>
      </c>
      <c r="H9" s="179"/>
      <c r="I9" s="179"/>
    </row>
    <row r="10" spans="1:15" ht="21" customHeight="1">
      <c r="A10" s="179"/>
      <c r="B10" s="462" t="s">
        <v>1149</v>
      </c>
      <c r="C10" s="1880" t="s">
        <v>921</v>
      </c>
      <c r="D10" s="1880"/>
      <c r="E10" s="1896" t="s">
        <v>1213</v>
      </c>
      <c r="F10" s="1898" t="s">
        <v>1465</v>
      </c>
      <c r="G10" s="1900" t="s">
        <v>1466</v>
      </c>
      <c r="H10" s="179"/>
      <c r="I10" s="179"/>
    </row>
    <row r="11" spans="1:15">
      <c r="A11" s="179"/>
      <c r="B11" s="462" t="s">
        <v>1150</v>
      </c>
      <c r="C11" s="463">
        <f>BALANZA!B4</f>
        <v>2026</v>
      </c>
      <c r="D11" s="463">
        <f>BALANZA!C4</f>
        <v>2025</v>
      </c>
      <c r="E11" s="1897"/>
      <c r="F11" s="1899"/>
      <c r="G11" s="1901"/>
      <c r="H11" s="179"/>
      <c r="I11" s="179"/>
    </row>
    <row r="12" spans="1:15" ht="20.25" customHeight="1">
      <c r="A12" s="179"/>
      <c r="B12" s="194" t="str">
        <f>+'Notas NF'!B494</f>
        <v>Transferencias de la Adm. Central: corriente</v>
      </c>
      <c r="C12" s="213">
        <f>+'Notas NF'!C494</f>
        <v>11979501</v>
      </c>
      <c r="D12" s="213">
        <f>+'Notas NF'!D494</f>
        <v>243333278.95999998</v>
      </c>
      <c r="E12" s="650">
        <f>+C12-D12</f>
        <v>-231353777.95999998</v>
      </c>
      <c r="F12" s="651">
        <f>IFERROR(E12/D12,0)</f>
        <v>-0.95076916297187108</v>
      </c>
      <c r="G12" s="449" t="s">
        <v>1428</v>
      </c>
      <c r="H12" s="179"/>
      <c r="I12" s="179"/>
    </row>
    <row r="13" spans="1:15" ht="20.25" customHeight="1">
      <c r="A13" s="179"/>
      <c r="B13" s="194" t="str">
        <f>+'Notas NF'!B495</f>
        <v>Transferencias de la Adm. Central: capital</v>
      </c>
      <c r="C13" s="213">
        <f>+'Notas NF'!C495</f>
        <v>0</v>
      </c>
      <c r="D13" s="213">
        <f>+'Notas NF'!D496</f>
        <v>51161468</v>
      </c>
      <c r="E13" s="650">
        <f>+C13-D13</f>
        <v>-51161468</v>
      </c>
      <c r="F13" s="651">
        <f>IFERROR(E13/D13,0)</f>
        <v>-1</v>
      </c>
      <c r="G13" s="449" t="s">
        <v>1428</v>
      </c>
      <c r="H13" s="179"/>
      <c r="I13" s="179"/>
      <c r="J13" s="179"/>
      <c r="K13" s="179"/>
    </row>
    <row r="14" spans="1:15" ht="33" customHeight="1">
      <c r="A14" s="1461"/>
      <c r="B14" s="194" t="str">
        <f>+'Notas NF'!B496</f>
        <v>Transferencias de la Adm. Central: energía no cortable</v>
      </c>
      <c r="C14" s="213">
        <f>+'Notas NF'!C496</f>
        <v>13885956</v>
      </c>
      <c r="D14" s="213"/>
      <c r="E14" s="650">
        <f>+C14-D14</f>
        <v>13885956</v>
      </c>
      <c r="F14" s="651">
        <f>IFERROR(E14/D14,0)</f>
        <v>0</v>
      </c>
      <c r="G14" s="449" t="s">
        <v>1428</v>
      </c>
      <c r="H14" s="1461"/>
      <c r="I14" s="1461"/>
      <c r="J14" s="1461"/>
      <c r="K14" s="1461"/>
    </row>
    <row r="15" spans="1:15" ht="20.25" customHeight="1">
      <c r="A15" s="179"/>
      <c r="B15" s="194" t="s">
        <v>1209</v>
      </c>
      <c r="C15" s="213">
        <f>+'Notas NF'!C481</f>
        <v>45032091.25</v>
      </c>
      <c r="D15" s="213">
        <f>+'Notas NF'!D481</f>
        <v>186534488.11000001</v>
      </c>
      <c r="E15" s="650">
        <f>+C15-D15</f>
        <v>-141502396.86000001</v>
      </c>
      <c r="F15" s="651">
        <f>IFERROR(E15/D15,0)</f>
        <v>-0.75858570870044995</v>
      </c>
      <c r="G15" s="449" t="s">
        <v>1428</v>
      </c>
      <c r="H15" s="179"/>
      <c r="I15" s="179"/>
      <c r="J15" s="179"/>
      <c r="K15" s="179"/>
    </row>
    <row r="16" spans="1:15" ht="24.75" customHeight="1">
      <c r="A16" s="179"/>
      <c r="B16" s="192" t="s">
        <v>1152</v>
      </c>
      <c r="C16" s="214">
        <f>SUM(C12:C15)</f>
        <v>70897548.25</v>
      </c>
      <c r="D16" s="214">
        <f>SUM(D12:D15)</f>
        <v>481029235.06999999</v>
      </c>
      <c r="E16" s="214">
        <f>SUM(E12:E15)</f>
        <v>-410131686.81999999</v>
      </c>
      <c r="F16" s="653">
        <f>IFERROR(E16/D16,0)</f>
        <v>-0.85261280795192651</v>
      </c>
      <c r="G16" s="597" t="s">
        <v>1428</v>
      </c>
      <c r="H16" s="179"/>
      <c r="I16" s="179"/>
      <c r="J16" s="179"/>
      <c r="K16" s="179"/>
    </row>
    <row r="17" spans="1:15">
      <c r="A17" s="179"/>
      <c r="B17" s="236"/>
      <c r="C17" s="237"/>
      <c r="D17" s="237"/>
      <c r="E17" s="237"/>
      <c r="G17" s="179"/>
      <c r="H17" s="179"/>
      <c r="I17" s="179"/>
      <c r="J17" s="179"/>
      <c r="K17" s="179"/>
    </row>
    <row r="18" spans="1:15" ht="15.75">
      <c r="A18" s="179"/>
      <c r="B18" s="1881" t="str">
        <f>+'1'!B21:C21</f>
        <v>Cambio porcentual con relación al 2025</v>
      </c>
      <c r="C18" s="1882"/>
      <c r="D18" s="304" t="str">
        <f>IF(E18&gt;=0,"Aumento","Disminución")</f>
        <v>Disminución</v>
      </c>
      <c r="E18" s="228">
        <f>+E16/D16</f>
        <v>-0.85261280795192651</v>
      </c>
      <c r="G18" s="179"/>
      <c r="H18" s="179"/>
      <c r="I18" s="179"/>
      <c r="J18" s="179"/>
      <c r="K18" s="179"/>
    </row>
    <row r="19" spans="1:15" ht="15.75">
      <c r="A19" s="179"/>
      <c r="B19" s="150"/>
      <c r="E19" s="206"/>
      <c r="G19" s="179"/>
      <c r="H19" s="179"/>
      <c r="I19" s="179"/>
      <c r="J19" s="179"/>
      <c r="K19" s="179"/>
    </row>
    <row r="20" spans="1:15">
      <c r="A20" s="179"/>
      <c r="B20" s="179"/>
      <c r="C20" s="179"/>
      <c r="D20" s="179"/>
      <c r="E20" s="179"/>
      <c r="G20" s="179"/>
      <c r="H20" s="179"/>
      <c r="I20" s="179"/>
      <c r="J20" s="1671">
        <v>0</v>
      </c>
      <c r="K20" s="179"/>
    </row>
    <row r="21" spans="1:15">
      <c r="A21" s="179"/>
      <c r="B21" s="179"/>
      <c r="C21" s="179"/>
      <c r="D21" s="179"/>
      <c r="E21" s="179"/>
      <c r="F21" s="11"/>
      <c r="G21" s="179"/>
      <c r="H21" s="179"/>
      <c r="I21" s="179"/>
      <c r="J21" s="400"/>
      <c r="K21" s="179"/>
      <c r="N21" s="11">
        <f>+N25-M25</f>
        <v>0</v>
      </c>
      <c r="O21" s="11">
        <f>+O25-M25</f>
        <v>0</v>
      </c>
    </row>
    <row r="22" spans="1:15">
      <c r="A22" s="179"/>
      <c r="B22" s="482" t="s">
        <v>1467</v>
      </c>
      <c r="C22" s="482"/>
      <c r="D22" s="482"/>
      <c r="E22" s="179"/>
      <c r="G22" s="179"/>
      <c r="H22" s="179"/>
      <c r="I22" s="179"/>
      <c r="J22" s="179"/>
      <c r="K22" s="179"/>
    </row>
    <row r="23" spans="1:15" ht="21" customHeight="1">
      <c r="A23" s="407"/>
      <c r="B23" s="462"/>
      <c r="C23" s="1879">
        <f>C11</f>
        <v>2026</v>
      </c>
      <c r="D23" s="1880"/>
      <c r="E23" s="1880"/>
      <c r="F23" s="1880"/>
      <c r="G23" s="1880"/>
      <c r="H23" s="1880"/>
      <c r="I23" s="1880"/>
      <c r="J23" s="1880"/>
      <c r="K23" s="1880"/>
      <c r="L23" s="1880"/>
      <c r="M23" s="1880"/>
      <c r="N23" s="1880"/>
      <c r="O23" s="1880"/>
    </row>
    <row r="24" spans="1:15">
      <c r="A24" s="407"/>
      <c r="B24" s="462" t="s">
        <v>1149</v>
      </c>
      <c r="C24" s="463" t="s">
        <v>1415</v>
      </c>
      <c r="D24" s="463" t="s">
        <v>1418</v>
      </c>
      <c r="E24" s="463" t="s">
        <v>1434</v>
      </c>
      <c r="F24" s="463" t="s">
        <v>1435</v>
      </c>
      <c r="G24" s="463" t="s">
        <v>1436</v>
      </c>
      <c r="H24" s="463" t="s">
        <v>1437</v>
      </c>
      <c r="I24" s="463" t="s">
        <v>1438</v>
      </c>
      <c r="J24" s="463" t="s">
        <v>1439</v>
      </c>
      <c r="K24" s="463" t="s">
        <v>1440</v>
      </c>
      <c r="L24" s="463" t="s">
        <v>1441</v>
      </c>
      <c r="M24" s="463" t="s">
        <v>1410</v>
      </c>
      <c r="N24" s="463" t="s">
        <v>1411</v>
      </c>
      <c r="O24" s="463" t="s">
        <v>1412</v>
      </c>
    </row>
    <row r="25" spans="1:15" ht="21.75" customHeight="1">
      <c r="A25" s="407"/>
      <c r="B25" s="194" t="str">
        <f>+B12</f>
        <v>Transferencias de la Adm. Central: corriente</v>
      </c>
      <c r="C25" s="629">
        <f>SUM(D25:O25)</f>
        <v>11979501</v>
      </c>
      <c r="D25" s="629">
        <f>-BALANZA!N198</f>
        <v>3993167</v>
      </c>
      <c r="E25" s="629">
        <f>-BALANZA!O198</f>
        <v>3993167</v>
      </c>
      <c r="F25" s="629">
        <f>-BALANZA!P198</f>
        <v>3993167</v>
      </c>
      <c r="G25" s="629">
        <f>-BALANZA!Q198</f>
        <v>0</v>
      </c>
      <c r="H25" s="629">
        <f>-BALANZA!R198</f>
        <v>0</v>
      </c>
      <c r="I25" s="629">
        <f>-BALANZA!S198+J20</f>
        <v>0</v>
      </c>
      <c r="J25" s="629">
        <f>-BALANZA!T198-J20</f>
        <v>0</v>
      </c>
      <c r="K25" s="629">
        <f>-BALANZA!U198</f>
        <v>0</v>
      </c>
      <c r="L25" s="629">
        <f>-BALANZA!V198</f>
        <v>0</v>
      </c>
      <c r="M25" s="629">
        <f>-BALANZA!W198</f>
        <v>0</v>
      </c>
      <c r="N25" s="629">
        <f>-BALANZA!X198</f>
        <v>0</v>
      </c>
      <c r="O25" s="629">
        <f>-BALANZA!Y198</f>
        <v>0</v>
      </c>
    </row>
    <row r="26" spans="1:15" ht="21.75" customHeight="1">
      <c r="A26" s="407"/>
      <c r="B26" s="194" t="str">
        <f>+B13</f>
        <v>Transferencias de la Adm. Central: capital</v>
      </c>
      <c r="C26" s="629">
        <f>SUM(D26:O26)</f>
        <v>0</v>
      </c>
      <c r="D26" s="629">
        <f>-BALANZA!N199</f>
        <v>0</v>
      </c>
      <c r="E26" s="629">
        <f>-BALANZA!O199</f>
        <v>0</v>
      </c>
      <c r="F26" s="629">
        <f>-BALANZA!P199</f>
        <v>0</v>
      </c>
      <c r="G26" s="629">
        <f>-BALANZA!Q199</f>
        <v>0</v>
      </c>
      <c r="H26" s="629">
        <f>-BALANZA!R199</f>
        <v>0</v>
      </c>
      <c r="I26" s="629">
        <f>-BALANZA!S199</f>
        <v>0</v>
      </c>
      <c r="J26" s="629">
        <f>-BALANZA!T199</f>
        <v>0</v>
      </c>
      <c r="K26" s="629">
        <f>-BALANZA!U199</f>
        <v>0</v>
      </c>
      <c r="L26" s="629">
        <f>-BALANZA!V199</f>
        <v>0</v>
      </c>
      <c r="M26" s="629">
        <f>-BALANZA!W199</f>
        <v>0</v>
      </c>
      <c r="N26" s="629">
        <f>-BALANZA!X199</f>
        <v>0</v>
      </c>
      <c r="O26" s="629">
        <f>-BALANZA!Y199</f>
        <v>0</v>
      </c>
    </row>
    <row r="27" spans="1:15" ht="36" customHeight="1">
      <c r="A27" s="1461"/>
      <c r="B27" s="194" t="str">
        <f>+B14</f>
        <v>Transferencias de la Adm. Central: energía no cortable</v>
      </c>
      <c r="C27" s="629">
        <f>SUM(D27:O27)</f>
        <v>13885956</v>
      </c>
      <c r="D27" s="629">
        <f>-BALANZA!N200</f>
        <v>4628652</v>
      </c>
      <c r="E27" s="629">
        <f>-BALANZA!O200</f>
        <v>4628652</v>
      </c>
      <c r="F27" s="629">
        <f>-BALANZA!P200</f>
        <v>4628652</v>
      </c>
      <c r="G27" s="629">
        <f>-BALANZA!Q200</f>
        <v>0</v>
      </c>
      <c r="H27" s="629">
        <f>-BALANZA!R200</f>
        <v>0</v>
      </c>
      <c r="I27" s="629">
        <f>-BALANZA!S200</f>
        <v>0</v>
      </c>
      <c r="J27" s="629">
        <f>-BALANZA!T200</f>
        <v>0</v>
      </c>
      <c r="K27" s="629">
        <f>-BALANZA!U200</f>
        <v>0</v>
      </c>
      <c r="L27" s="629">
        <f>-BALANZA!V200</f>
        <v>0</v>
      </c>
      <c r="M27" s="629">
        <f>-BALANZA!W200</f>
        <v>0</v>
      </c>
      <c r="N27" s="629">
        <f>-BALANZA!X200</f>
        <v>0</v>
      </c>
      <c r="O27" s="629">
        <f>-BALANZA!Y200</f>
        <v>0</v>
      </c>
    </row>
    <row r="28" spans="1:15" ht="21.75" customHeight="1">
      <c r="A28" s="407"/>
      <c r="B28" s="194" t="s">
        <v>1209</v>
      </c>
      <c r="C28" s="629">
        <f>SUM(D28:O28)</f>
        <v>45032091.25</v>
      </c>
      <c r="D28" s="629">
        <f>-SUM(BALANZA!N182:N197)</f>
        <v>14809357.609999999</v>
      </c>
      <c r="E28" s="629">
        <f>-SUM(BALANZA!O182:O197)</f>
        <v>11120286.07</v>
      </c>
      <c r="F28" s="629">
        <f>-SUM(BALANZA!P182:P197)</f>
        <v>19102447.57</v>
      </c>
      <c r="G28" s="629">
        <f>-SUM(BALANZA!Q182:Q197)</f>
        <v>0</v>
      </c>
      <c r="H28" s="629">
        <f>-SUM(BALANZA!R182:R197)</f>
        <v>0</v>
      </c>
      <c r="I28" s="629">
        <f>-SUM(BALANZA!S182:S197)</f>
        <v>0</v>
      </c>
      <c r="J28" s="629">
        <f>-SUM(BALANZA!T182:T197)</f>
        <v>0</v>
      </c>
      <c r="K28" s="629">
        <f>-SUM(BALANZA!U182:U197)</f>
        <v>0</v>
      </c>
      <c r="L28" s="629">
        <f>-SUM(BALANZA!V182:V197)</f>
        <v>0</v>
      </c>
      <c r="M28" s="629">
        <f>-SUM(BALANZA!W182:W197)</f>
        <v>0</v>
      </c>
      <c r="N28" s="629">
        <f>-SUM(BALANZA!X182:X197)</f>
        <v>0</v>
      </c>
      <c r="O28" s="629">
        <f>-SUM(BALANZA!Y182:Y197)</f>
        <v>0</v>
      </c>
    </row>
    <row r="29" spans="1:15">
      <c r="A29" s="407"/>
      <c r="B29" s="632" t="s">
        <v>1152</v>
      </c>
      <c r="C29" s="633">
        <f>SUM(C25:C28)</f>
        <v>70897548.25</v>
      </c>
      <c r="D29" s="634">
        <f>SUM(D25:D28)</f>
        <v>23431176.609999999</v>
      </c>
      <c r="E29" s="634">
        <f t="shared" ref="E29:O29" si="0">SUM(E25:E28)</f>
        <v>19742105.07</v>
      </c>
      <c r="F29" s="634">
        <f t="shared" si="0"/>
        <v>27724266.57</v>
      </c>
      <c r="G29" s="634">
        <f t="shared" si="0"/>
        <v>0</v>
      </c>
      <c r="H29" s="634">
        <f t="shared" si="0"/>
        <v>0</v>
      </c>
      <c r="I29" s="634">
        <f t="shared" si="0"/>
        <v>0</v>
      </c>
      <c r="J29" s="634">
        <f t="shared" si="0"/>
        <v>0</v>
      </c>
      <c r="K29" s="634">
        <f t="shared" si="0"/>
        <v>0</v>
      </c>
      <c r="L29" s="634">
        <f t="shared" si="0"/>
        <v>0</v>
      </c>
      <c r="M29" s="634">
        <f t="shared" si="0"/>
        <v>0</v>
      </c>
      <c r="N29" s="634">
        <f t="shared" si="0"/>
        <v>0</v>
      </c>
      <c r="O29" s="634">
        <f t="shared" si="0"/>
        <v>0</v>
      </c>
    </row>
    <row r="30" spans="1:15">
      <c r="A30" s="407"/>
      <c r="B30" s="483"/>
      <c r="C30" s="484"/>
      <c r="D30" s="484"/>
      <c r="E30" s="407"/>
      <c r="F30" s="407"/>
      <c r="G30" s="407"/>
    </row>
    <row r="31" spans="1:15" ht="15.75" thickBot="1">
      <c r="A31" s="407"/>
      <c r="B31" s="485" t="s">
        <v>1406</v>
      </c>
      <c r="C31" s="486">
        <f>C29-C16</f>
        <v>0</v>
      </c>
      <c r="F31" s="1886" t="s">
        <v>1468</v>
      </c>
      <c r="G31" s="1886"/>
      <c r="H31" s="1886"/>
    </row>
    <row r="32" spans="1:15">
      <c r="A32" s="407"/>
      <c r="B32" s="393"/>
      <c r="C32" s="450" t="str">
        <f>IF(C31=0,m!$B$7,m!$B$11)</f>
        <v>P</v>
      </c>
      <c r="F32" s="630">
        <f>C11</f>
        <v>2026</v>
      </c>
      <c r="G32" s="630">
        <f>D11</f>
        <v>2025</v>
      </c>
      <c r="H32" s="631" t="s">
        <v>1466</v>
      </c>
    </row>
    <row r="33" spans="1:12" ht="18.75" customHeight="1">
      <c r="A33" s="179"/>
      <c r="B33" s="179"/>
      <c r="C33" s="179"/>
      <c r="D33" s="400"/>
      <c r="E33" s="179"/>
      <c r="F33" s="624" t="s">
        <v>1469</v>
      </c>
      <c r="G33" s="623" t="s">
        <v>1470</v>
      </c>
      <c r="H33" s="625"/>
      <c r="I33" s="179"/>
    </row>
    <row r="34" spans="1:12" ht="24" customHeight="1" thickBot="1">
      <c r="A34" s="374"/>
      <c r="B34" s="596" t="s">
        <v>1573</v>
      </c>
      <c r="E34" s="179"/>
      <c r="F34" s="626"/>
      <c r="G34" s="627"/>
      <c r="H34" s="628" t="s">
        <v>1419</v>
      </c>
      <c r="I34" s="179"/>
    </row>
    <row r="35" spans="1:12" s="525" customFormat="1" ht="15.75" thickBot="1">
      <c r="B35" s="2022"/>
      <c r="C35" s="555" t="s">
        <v>1425</v>
      </c>
    </row>
    <row r="36" spans="1:12" s="525" customFormat="1" ht="18.75" customHeight="1">
      <c r="B36" s="2023"/>
      <c r="C36" s="556" t="s">
        <v>1477</v>
      </c>
      <c r="D36" s="557" t="s">
        <v>1478</v>
      </c>
      <c r="E36" s="557" t="s">
        <v>6</v>
      </c>
      <c r="F36" s="1891" t="s">
        <v>1356</v>
      </c>
      <c r="G36" s="1891"/>
      <c r="H36" s="1891"/>
      <c r="I36" s="1891"/>
      <c r="J36" s="1891"/>
      <c r="K36" s="559" t="s">
        <v>1357</v>
      </c>
      <c r="L36" s="560" t="s">
        <v>1358</v>
      </c>
    </row>
    <row r="37" spans="1:12" s="525" customFormat="1" ht="9.75" customHeight="1">
      <c r="B37" s="2023"/>
      <c r="C37" s="540"/>
      <c r="D37" s="451"/>
      <c r="E37" s="451"/>
      <c r="F37" s="451"/>
      <c r="G37" s="457"/>
      <c r="H37" s="457"/>
      <c r="I37" s="393"/>
      <c r="J37" s="393"/>
      <c r="K37" s="393"/>
      <c r="L37" s="418"/>
    </row>
    <row r="38" spans="1:12" s="525" customFormat="1" ht="18.75" customHeight="1">
      <c r="B38" s="2023"/>
      <c r="C38" s="561">
        <v>19</v>
      </c>
      <c r="D38" s="543" t="str">
        <f>F9</f>
        <v>AA-10</v>
      </c>
      <c r="E38" s="544"/>
      <c r="F38" s="545" t="s">
        <v>1570</v>
      </c>
      <c r="G38" s="546"/>
      <c r="H38" s="546"/>
      <c r="I38" s="546"/>
      <c r="J38" s="547"/>
      <c r="K38" s="544">
        <v>0</v>
      </c>
      <c r="L38" s="548"/>
    </row>
    <row r="39" spans="1:12" s="525" customFormat="1" ht="18.75" customHeight="1">
      <c r="B39" s="2023"/>
      <c r="C39" s="549"/>
      <c r="D39" s="550"/>
      <c r="E39" s="544"/>
      <c r="F39" s="545" t="s">
        <v>1570</v>
      </c>
      <c r="G39" s="546"/>
      <c r="H39" s="546"/>
      <c r="I39" s="546"/>
      <c r="J39" s="547"/>
      <c r="K39" s="544"/>
      <c r="L39" s="551">
        <f>K38</f>
        <v>0</v>
      </c>
    </row>
    <row r="40" spans="1:12" s="525" customFormat="1" ht="18.75" customHeight="1" thickBot="1">
      <c r="B40" s="2023"/>
      <c r="C40" s="552" t="s">
        <v>1562</v>
      </c>
      <c r="D40" s="553"/>
      <c r="E40" s="553"/>
      <c r="F40" s="553"/>
      <c r="G40" s="553"/>
      <c r="H40" s="553"/>
      <c r="I40" s="553"/>
      <c r="J40" s="553"/>
      <c r="K40" s="553"/>
      <c r="L40" s="554"/>
    </row>
    <row r="41" spans="1:12" s="525" customFormat="1">
      <c r="B41" s="2023"/>
    </row>
    <row r="42" spans="1:12" s="525" customFormat="1" ht="15.75" thickBot="1">
      <c r="B42" s="2023"/>
    </row>
    <row r="43" spans="1:12" s="525" customFormat="1" ht="15.75" thickBot="1">
      <c r="B43" s="2023"/>
      <c r="C43" s="555" t="s">
        <v>1561</v>
      </c>
    </row>
    <row r="44" spans="1:12" s="525" customFormat="1" ht="18.75" customHeight="1">
      <c r="B44" s="2023"/>
      <c r="C44" s="556" t="s">
        <v>1477</v>
      </c>
      <c r="D44" s="557" t="s">
        <v>1478</v>
      </c>
      <c r="E44" s="557" t="s">
        <v>6</v>
      </c>
      <c r="F44" s="1891" t="s">
        <v>1356</v>
      </c>
      <c r="G44" s="1891"/>
      <c r="H44" s="1891"/>
      <c r="I44" s="1891"/>
      <c r="J44" s="1891"/>
      <c r="K44" s="559" t="s">
        <v>1357</v>
      </c>
      <c r="L44" s="560" t="s">
        <v>1358</v>
      </c>
    </row>
    <row r="45" spans="1:12" s="525" customFormat="1" ht="9.75" customHeight="1">
      <c r="B45" s="2023"/>
      <c r="C45" s="540"/>
      <c r="D45" s="451"/>
      <c r="E45" s="451"/>
      <c r="F45" s="451"/>
      <c r="G45" s="457"/>
      <c r="H45" s="457"/>
      <c r="I45" s="393"/>
      <c r="J45" s="393"/>
      <c r="K45" s="393"/>
      <c r="L45" s="418"/>
    </row>
    <row r="46" spans="1:12" s="525" customFormat="1" ht="18.75" customHeight="1">
      <c r="B46" s="2023"/>
      <c r="C46" s="561">
        <f>C38</f>
        <v>19</v>
      </c>
      <c r="D46" s="543" t="str">
        <f>D38</f>
        <v>AA-10</v>
      </c>
      <c r="E46" s="544"/>
      <c r="F46" s="545" t="s">
        <v>1570</v>
      </c>
      <c r="G46" s="546"/>
      <c r="H46" s="546"/>
      <c r="I46" s="546"/>
      <c r="J46" s="547"/>
      <c r="K46" s="544"/>
      <c r="L46" s="548"/>
    </row>
    <row r="47" spans="1:12" s="525" customFormat="1" ht="18.75" customHeight="1">
      <c r="B47" s="2023"/>
      <c r="C47" s="549"/>
      <c r="D47" s="550"/>
      <c r="E47" s="544"/>
      <c r="F47" s="545" t="s">
        <v>1570</v>
      </c>
      <c r="G47" s="546"/>
      <c r="H47" s="546"/>
      <c r="I47" s="546"/>
      <c r="J47" s="547"/>
      <c r="K47" s="544"/>
      <c r="L47" s="551">
        <f>K46</f>
        <v>0</v>
      </c>
    </row>
    <row r="48" spans="1:12" s="525" customFormat="1" ht="18.75" customHeight="1" thickBot="1">
      <c r="B48" s="2024"/>
      <c r="C48" s="552" t="s">
        <v>1569</v>
      </c>
      <c r="D48" s="553"/>
      <c r="E48" s="553"/>
      <c r="F48" s="553"/>
      <c r="G48" s="553"/>
      <c r="H48" s="553"/>
      <c r="I48" s="553"/>
      <c r="J48" s="553"/>
      <c r="K48" s="553"/>
      <c r="L48" s="554"/>
    </row>
    <row r="49" spans="1:12" s="525" customFormat="1"/>
    <row r="50" spans="1:12">
      <c r="A50" s="179"/>
      <c r="B50" s="179"/>
      <c r="C50" s="179"/>
      <c r="D50" s="179"/>
      <c r="E50" s="179"/>
      <c r="F50" s="179"/>
      <c r="G50" s="179"/>
      <c r="H50" s="179"/>
      <c r="I50" s="179"/>
    </row>
    <row r="51" spans="1:12">
      <c r="A51" s="179"/>
      <c r="B51" s="179"/>
      <c r="C51" s="179"/>
      <c r="D51" s="179"/>
      <c r="E51" s="179"/>
      <c r="F51" s="179"/>
      <c r="G51" s="179"/>
      <c r="H51" s="179"/>
      <c r="I51" s="179"/>
    </row>
    <row r="52" spans="1:12" ht="15.75" thickBot="1">
      <c r="A52" s="179"/>
      <c r="B52" s="179"/>
      <c r="C52" s="179"/>
      <c r="D52" s="179"/>
      <c r="E52" s="179"/>
      <c r="F52" s="179"/>
      <c r="G52" s="179"/>
      <c r="H52" s="179"/>
      <c r="I52" s="179"/>
    </row>
    <row r="53" spans="1:12" ht="15.75" thickBot="1">
      <c r="A53" s="989"/>
      <c r="B53" s="989"/>
      <c r="C53" s="1887" t="s">
        <v>2413</v>
      </c>
      <c r="D53" s="1888"/>
      <c r="E53" s="1889"/>
      <c r="F53" s="1889"/>
      <c r="G53" s="1890"/>
      <c r="H53" s="1883" t="s">
        <v>2414</v>
      </c>
      <c r="I53" s="1884"/>
      <c r="J53" s="1884"/>
      <c r="K53" s="1884"/>
      <c r="L53" s="1885"/>
    </row>
    <row r="54" spans="1:12" ht="27" thickBot="1">
      <c r="A54" s="990" t="s">
        <v>1481</v>
      </c>
      <c r="B54" s="990" t="s">
        <v>8</v>
      </c>
      <c r="C54" s="991" t="s">
        <v>2415</v>
      </c>
      <c r="D54" s="992" t="s">
        <v>2416</v>
      </c>
      <c r="E54" s="993" t="s">
        <v>2417</v>
      </c>
      <c r="F54" s="992" t="s">
        <v>2416</v>
      </c>
      <c r="G54" s="994" t="s">
        <v>2418</v>
      </c>
      <c r="H54" s="1123" t="s">
        <v>2415</v>
      </c>
      <c r="I54" s="995" t="s">
        <v>2416</v>
      </c>
      <c r="J54" s="996" t="s">
        <v>2417</v>
      </c>
      <c r="K54" s="995" t="s">
        <v>2416</v>
      </c>
      <c r="L54" s="997" t="s">
        <v>2418</v>
      </c>
    </row>
    <row r="55" spans="1:12" ht="15.75" thickBot="1"/>
    <row r="56" spans="1:12" ht="45.75" thickBot="1">
      <c r="A56" s="982">
        <v>1</v>
      </c>
      <c r="B56" s="1135" t="s">
        <v>2658</v>
      </c>
      <c r="C56" s="1000"/>
      <c r="D56" s="1025"/>
      <c r="E56" s="1000"/>
      <c r="F56" s="1025"/>
      <c r="G56" s="1000"/>
      <c r="H56" s="1025"/>
      <c r="I56" s="1000"/>
      <c r="J56" s="1025"/>
      <c r="K56" s="1000"/>
      <c r="L56" s="1094"/>
    </row>
    <row r="57" spans="1:12" ht="15.75" thickBot="1">
      <c r="A57" s="982"/>
    </row>
    <row r="58" spans="1:12" ht="60">
      <c r="A58" s="982">
        <v>2</v>
      </c>
      <c r="B58" s="1147" t="s">
        <v>2671</v>
      </c>
      <c r="C58" s="1021"/>
      <c r="D58" s="1022"/>
      <c r="E58" s="1021"/>
      <c r="F58" s="1022"/>
      <c r="G58" s="1021"/>
      <c r="H58" s="1022"/>
      <c r="I58" s="1021"/>
      <c r="J58" s="1022"/>
      <c r="K58" s="1021"/>
      <c r="L58" s="1105"/>
    </row>
    <row r="59" spans="1:12">
      <c r="A59" s="982"/>
      <c r="B59" s="1148" t="s">
        <v>2672</v>
      </c>
      <c r="C59" s="243"/>
      <c r="D59" s="1023"/>
      <c r="E59" s="243"/>
      <c r="F59" s="1023"/>
      <c r="G59" s="243"/>
      <c r="H59" s="1023"/>
      <c r="I59" s="243"/>
      <c r="J59" s="1023"/>
      <c r="K59" s="243"/>
      <c r="L59" s="1107"/>
    </row>
    <row r="60" spans="1:12">
      <c r="A60" s="982"/>
      <c r="B60" s="1148" t="s">
        <v>2673</v>
      </c>
      <c r="C60" s="243"/>
      <c r="D60" s="1023"/>
      <c r="E60" s="243"/>
      <c r="F60" s="1023"/>
      <c r="G60" s="243"/>
      <c r="H60" s="1023"/>
      <c r="I60" s="243"/>
      <c r="J60" s="1023"/>
      <c r="K60" s="243"/>
      <c r="L60" s="1107"/>
    </row>
    <row r="61" spans="1:12" ht="15.75" thickBot="1">
      <c r="A61" s="982"/>
      <c r="B61" s="7" t="s">
        <v>2674</v>
      </c>
      <c r="C61" s="1012"/>
      <c r="D61" s="8"/>
      <c r="E61" s="1012"/>
      <c r="F61" s="8"/>
      <c r="G61" s="1012"/>
      <c r="H61" s="8"/>
      <c r="I61" s="1012"/>
      <c r="J61" s="8"/>
      <c r="K61" s="1012"/>
      <c r="L61" s="9"/>
    </row>
    <row r="62" spans="1:12" ht="15.75" thickBot="1">
      <c r="A62" s="982"/>
    </row>
    <row r="63" spans="1:12" ht="90.75" thickBot="1">
      <c r="A63" s="982">
        <v>3</v>
      </c>
      <c r="B63" s="1135" t="s">
        <v>2675</v>
      </c>
      <c r="C63" s="1000"/>
      <c r="D63" s="1025"/>
      <c r="E63" s="1000"/>
      <c r="F63" s="1025"/>
      <c r="G63" s="1000"/>
      <c r="H63" s="1025"/>
      <c r="I63" s="1000"/>
      <c r="J63" s="1025"/>
      <c r="K63" s="1000"/>
      <c r="L63" s="1094"/>
    </row>
    <row r="64" spans="1:12" ht="15.75" thickBot="1">
      <c r="A64" s="982"/>
    </row>
    <row r="65" spans="1:12" ht="45">
      <c r="A65" s="982">
        <v>4</v>
      </c>
      <c r="B65" s="1145" t="s">
        <v>2676</v>
      </c>
      <c r="C65" s="1021"/>
      <c r="D65" s="1022"/>
      <c r="E65" s="1021"/>
      <c r="F65" s="1022"/>
      <c r="G65" s="1021"/>
      <c r="H65" s="1022"/>
      <c r="I65" s="1021"/>
      <c r="J65" s="1022"/>
      <c r="K65" s="1021"/>
      <c r="L65" s="1105"/>
    </row>
    <row r="66" spans="1:12" ht="30">
      <c r="A66" s="982"/>
      <c r="B66" s="1149" t="s">
        <v>2696</v>
      </c>
      <c r="C66" s="1009"/>
      <c r="E66" s="1009"/>
      <c r="G66" s="1009"/>
      <c r="I66" s="1009"/>
      <c r="K66" s="1009"/>
      <c r="L66" s="6"/>
    </row>
    <row r="67" spans="1:12">
      <c r="A67" s="982"/>
      <c r="B67" s="1019" t="s">
        <v>2695</v>
      </c>
      <c r="C67" s="746"/>
      <c r="D67" s="1024"/>
      <c r="E67" s="746"/>
      <c r="F67" s="1024"/>
      <c r="G67" s="746"/>
      <c r="H67" s="1024"/>
      <c r="I67" s="746"/>
      <c r="J67" s="1024"/>
      <c r="K67" s="746"/>
      <c r="L67" s="1109"/>
    </row>
    <row r="68" spans="1:12" ht="30">
      <c r="A68" s="982"/>
      <c r="B68" s="1149" t="s">
        <v>2677</v>
      </c>
      <c r="C68" s="1009"/>
      <c r="E68" s="1009"/>
      <c r="G68" s="1009"/>
      <c r="I68" s="1009"/>
      <c r="K68" s="1009"/>
      <c r="L68" s="6"/>
    </row>
    <row r="69" spans="1:12">
      <c r="A69" s="982"/>
      <c r="B69" s="1008" t="s">
        <v>2678</v>
      </c>
      <c r="C69" s="1009"/>
      <c r="E69" s="1009"/>
      <c r="G69" s="1009"/>
      <c r="I69" s="1009"/>
      <c r="K69" s="1009"/>
      <c r="L69" s="6"/>
    </row>
    <row r="70" spans="1:12">
      <c r="A70" s="982"/>
      <c r="B70" s="1019" t="s">
        <v>2679</v>
      </c>
      <c r="C70" s="746"/>
      <c r="D70" s="1024"/>
      <c r="E70" s="746"/>
      <c r="F70" s="1024"/>
      <c r="G70" s="746"/>
      <c r="H70" s="1024"/>
      <c r="I70" s="746"/>
      <c r="J70" s="1024"/>
      <c r="K70" s="746"/>
      <c r="L70" s="1109"/>
    </row>
    <row r="71" spans="1:12">
      <c r="A71" s="982"/>
      <c r="B71" s="1008" t="s">
        <v>2680</v>
      </c>
      <c r="C71" s="1009"/>
      <c r="E71" s="1009"/>
      <c r="G71" s="1009"/>
      <c r="I71" s="1009"/>
      <c r="K71" s="1009"/>
      <c r="L71" s="6"/>
    </row>
    <row r="72" spans="1:12">
      <c r="A72" s="982"/>
      <c r="B72" s="1019" t="s">
        <v>2681</v>
      </c>
      <c r="C72" s="746"/>
      <c r="D72" s="1024"/>
      <c r="E72" s="746"/>
      <c r="F72" s="1024"/>
      <c r="G72" s="746"/>
      <c r="H72" s="1024"/>
      <c r="I72" s="746"/>
      <c r="J72" s="1024"/>
      <c r="K72" s="746"/>
      <c r="L72" s="1109"/>
    </row>
    <row r="73" spans="1:12">
      <c r="A73" s="982"/>
      <c r="B73" s="1008" t="s">
        <v>2682</v>
      </c>
      <c r="C73" s="1009"/>
      <c r="E73" s="1009"/>
      <c r="G73" s="1009"/>
      <c r="I73" s="1009"/>
      <c r="K73" s="1009"/>
      <c r="L73" s="6"/>
    </row>
    <row r="74" spans="1:12">
      <c r="A74" s="982"/>
      <c r="B74" s="1019" t="s">
        <v>2683</v>
      </c>
      <c r="C74" s="746"/>
      <c r="D74" s="1024"/>
      <c r="E74" s="746"/>
      <c r="F74" s="1024"/>
      <c r="G74" s="746"/>
      <c r="H74" s="1024"/>
      <c r="I74" s="746"/>
      <c r="J74" s="1024"/>
      <c r="K74" s="746"/>
      <c r="L74" s="1109"/>
    </row>
    <row r="75" spans="1:12">
      <c r="A75" s="982"/>
      <c r="B75" s="1008" t="s">
        <v>2684</v>
      </c>
      <c r="C75" s="1009"/>
      <c r="E75" s="1009"/>
      <c r="G75" s="1009"/>
      <c r="I75" s="1009"/>
      <c r="K75" s="1009"/>
      <c r="L75" s="6"/>
    </row>
    <row r="76" spans="1:12">
      <c r="A76" s="982"/>
      <c r="B76" s="1019" t="s">
        <v>2685</v>
      </c>
      <c r="C76" s="746"/>
      <c r="D76" s="1024"/>
      <c r="E76" s="746"/>
      <c r="F76" s="1024"/>
      <c r="G76" s="746"/>
      <c r="H76" s="1024"/>
      <c r="I76" s="746"/>
      <c r="J76" s="1024"/>
      <c r="K76" s="746"/>
      <c r="L76" s="1109"/>
    </row>
    <row r="77" spans="1:12">
      <c r="A77" s="982"/>
      <c r="B77" s="1008" t="s">
        <v>2686</v>
      </c>
      <c r="C77" s="1009"/>
      <c r="E77" s="1009"/>
      <c r="G77" s="1009"/>
      <c r="I77" s="1009"/>
      <c r="K77" s="1009"/>
      <c r="L77" s="6"/>
    </row>
    <row r="78" spans="1:12">
      <c r="A78" s="982"/>
      <c r="B78" s="1008" t="s">
        <v>2687</v>
      </c>
      <c r="C78" s="1009"/>
      <c r="E78" s="1009"/>
      <c r="G78" s="1009"/>
      <c r="I78" s="1009"/>
      <c r="K78" s="1009"/>
      <c r="L78" s="6"/>
    </row>
    <row r="79" spans="1:12">
      <c r="A79" s="982"/>
      <c r="B79" s="1019" t="s">
        <v>2688</v>
      </c>
      <c r="C79" s="746"/>
      <c r="D79" s="1024"/>
      <c r="E79" s="746"/>
      <c r="F79" s="1024"/>
      <c r="G79" s="746"/>
      <c r="H79" s="1024"/>
      <c r="I79" s="746"/>
      <c r="J79" s="1024"/>
      <c r="K79" s="746"/>
      <c r="L79" s="1109"/>
    </row>
    <row r="80" spans="1:12">
      <c r="A80" s="982"/>
      <c r="B80" s="1008" t="s">
        <v>2689</v>
      </c>
      <c r="C80" s="1009"/>
      <c r="E80" s="1009"/>
      <c r="G80" s="1009"/>
      <c r="I80" s="1009"/>
      <c r="K80" s="1009"/>
      <c r="L80" s="6"/>
    </row>
    <row r="81" spans="1:12">
      <c r="A81" s="982"/>
      <c r="B81" s="1008" t="s">
        <v>2690</v>
      </c>
      <c r="C81" s="1009"/>
      <c r="E81" s="1009"/>
      <c r="G81" s="1009"/>
      <c r="I81" s="1009"/>
      <c r="K81" s="1009"/>
      <c r="L81" s="6"/>
    </row>
    <row r="82" spans="1:12" ht="15.75" thickBot="1">
      <c r="A82" s="982"/>
      <c r="B82" s="1011" t="s">
        <v>2691</v>
      </c>
      <c r="C82" s="1012"/>
      <c r="D82" s="8"/>
      <c r="E82" s="1012"/>
      <c r="F82" s="8"/>
      <c r="G82" s="1012"/>
      <c r="H82" s="8"/>
      <c r="I82" s="1012"/>
      <c r="J82" s="8"/>
      <c r="K82" s="1012"/>
      <c r="L82" s="9"/>
    </row>
    <row r="83" spans="1:12" ht="15.75" thickBot="1">
      <c r="A83" s="982"/>
    </row>
    <row r="84" spans="1:12" ht="45.75" thickBot="1">
      <c r="A84" s="982">
        <v>5</v>
      </c>
      <c r="B84" s="1135" t="s">
        <v>2692</v>
      </c>
      <c r="C84" s="1000"/>
      <c r="D84" s="1025"/>
      <c r="E84" s="1000"/>
      <c r="F84" s="1025"/>
      <c r="G84" s="1000"/>
      <c r="H84" s="1025"/>
      <c r="I84" s="1000"/>
      <c r="J84" s="1025"/>
      <c r="K84" s="1000"/>
      <c r="L84" s="1094"/>
    </row>
    <row r="85" spans="1:12" ht="15.75" thickBot="1">
      <c r="A85" s="982"/>
    </row>
    <row r="86" spans="1:12" ht="75.75" thickBot="1">
      <c r="A86" s="982">
        <v>6</v>
      </c>
      <c r="B86" s="1135" t="s">
        <v>2693</v>
      </c>
      <c r="C86" s="1000"/>
      <c r="D86" s="1025"/>
      <c r="E86" s="1000"/>
      <c r="F86" s="1025"/>
      <c r="G86" s="1000"/>
      <c r="H86" s="1025"/>
      <c r="I86" s="1000"/>
      <c r="J86" s="1025"/>
      <c r="K86" s="1000"/>
      <c r="L86" s="1094"/>
    </row>
    <row r="87" spans="1:12" ht="15.75" thickBot="1">
      <c r="A87" s="982"/>
    </row>
    <row r="88" spans="1:12" ht="90.75" thickBot="1">
      <c r="A88" s="982">
        <v>7</v>
      </c>
      <c r="B88" s="1135" t="s">
        <v>2668</v>
      </c>
      <c r="C88" s="1000"/>
      <c r="D88" s="1025"/>
      <c r="E88" s="1000"/>
      <c r="F88" s="1025"/>
      <c r="G88" s="1000"/>
      <c r="H88" s="1025"/>
      <c r="I88" s="1000"/>
      <c r="J88" s="1025"/>
      <c r="K88" s="1000"/>
      <c r="L88" s="1094"/>
    </row>
    <row r="89" spans="1:12" ht="15.75" thickBot="1">
      <c r="A89" s="982"/>
    </row>
    <row r="90" spans="1:12" ht="90.75" thickBot="1">
      <c r="A90" s="982">
        <v>8</v>
      </c>
      <c r="B90" s="1135" t="s">
        <v>2694</v>
      </c>
      <c r="C90" s="1000"/>
      <c r="D90" s="1025"/>
      <c r="E90" s="1000"/>
      <c r="F90" s="1025"/>
      <c r="G90" s="1000"/>
      <c r="H90" s="1025"/>
      <c r="I90" s="1000"/>
      <c r="J90" s="1025"/>
      <c r="K90" s="1000"/>
      <c r="L90" s="1094"/>
    </row>
    <row r="91" spans="1:12" ht="15.75" thickBot="1">
      <c r="A91" s="982"/>
    </row>
    <row r="92" spans="1:12" ht="45.75" thickBot="1">
      <c r="A92" s="982">
        <v>9</v>
      </c>
      <c r="B92" s="1135" t="s">
        <v>2670</v>
      </c>
      <c r="C92" s="1000"/>
      <c r="D92" s="1025"/>
      <c r="E92" s="1000"/>
      <c r="F92" s="1025"/>
      <c r="G92" s="1000"/>
      <c r="H92" s="1025"/>
      <c r="I92" s="1000"/>
      <c r="J92" s="1025"/>
      <c r="K92" s="1000"/>
      <c r="L92" s="1094"/>
    </row>
    <row r="93" spans="1:12">
      <c r="A93" s="65"/>
    </row>
    <row r="94" spans="1:12">
      <c r="A94" s="65"/>
    </row>
    <row r="95" spans="1:12">
      <c r="A95" s="65"/>
      <c r="B95" s="1902" t="s">
        <v>2576</v>
      </c>
      <c r="C95" s="1902"/>
      <c r="D95" s="1902"/>
      <c r="E95" s="1902"/>
      <c r="F95" s="1902"/>
      <c r="G95" s="1902"/>
      <c r="H95" s="1902"/>
      <c r="I95" s="1902"/>
      <c r="J95" s="1902"/>
      <c r="K95" s="1902"/>
      <c r="L95" s="1902"/>
    </row>
    <row r="96" spans="1:12">
      <c r="A96" s="179"/>
      <c r="B96" s="179"/>
      <c r="C96" s="179"/>
      <c r="D96" s="179"/>
      <c r="E96" s="179"/>
      <c r="F96" s="179"/>
      <c r="G96" s="179"/>
      <c r="H96" s="179"/>
      <c r="I96" s="179"/>
    </row>
    <row r="97" spans="1:9" ht="15" customHeight="1">
      <c r="A97" s="179"/>
      <c r="B97" s="179"/>
      <c r="C97" s="179"/>
      <c r="D97" s="179"/>
      <c r="E97" s="179"/>
      <c r="F97" s="179"/>
      <c r="G97" s="179"/>
      <c r="H97" s="179"/>
      <c r="I97" s="179"/>
    </row>
    <row r="98" spans="1:9">
      <c r="A98" s="179"/>
      <c r="B98" s="179"/>
      <c r="C98" s="179"/>
      <c r="D98" s="179"/>
      <c r="E98" s="179"/>
      <c r="F98" s="179"/>
      <c r="G98" s="179"/>
      <c r="H98" s="179"/>
      <c r="I98" s="179"/>
    </row>
    <row r="99" spans="1:9">
      <c r="A99" s="179"/>
      <c r="B99" s="179"/>
      <c r="C99" s="179"/>
      <c r="D99" s="179"/>
      <c r="E99" s="179"/>
      <c r="F99" s="179"/>
      <c r="G99" s="179"/>
      <c r="H99" s="179"/>
      <c r="I99" s="179"/>
    </row>
    <row r="100" spans="1:9">
      <c r="A100" s="179"/>
      <c r="B100" s="179"/>
      <c r="C100" s="179"/>
      <c r="D100" s="179"/>
      <c r="E100" s="179"/>
      <c r="F100" s="179"/>
      <c r="G100" s="179"/>
      <c r="H100" s="179"/>
      <c r="I100" s="179"/>
    </row>
    <row r="101" spans="1:9">
      <c r="A101" s="179"/>
      <c r="B101" s="179"/>
      <c r="C101" s="179"/>
      <c r="D101" s="179"/>
      <c r="E101" s="179"/>
      <c r="F101" s="179"/>
      <c r="G101" s="179"/>
      <c r="H101" s="179"/>
      <c r="I101" s="179"/>
    </row>
    <row r="102" spans="1:9">
      <c r="A102" s="179"/>
      <c r="B102" s="179"/>
      <c r="C102" s="179"/>
      <c r="D102" s="179"/>
      <c r="E102" s="179"/>
      <c r="F102" s="179"/>
      <c r="G102" s="179"/>
      <c r="H102" s="179"/>
      <c r="I102" s="179"/>
    </row>
    <row r="103" spans="1:9">
      <c r="A103" s="179"/>
      <c r="B103" s="179"/>
      <c r="C103" s="179"/>
      <c r="D103" s="179"/>
      <c r="E103" s="179"/>
      <c r="F103" s="179"/>
      <c r="G103" s="179"/>
      <c r="H103" s="179"/>
      <c r="I103" s="179"/>
    </row>
    <row r="104" spans="1:9">
      <c r="A104" s="179"/>
      <c r="B104" s="179"/>
      <c r="C104" s="179"/>
      <c r="D104" s="179"/>
      <c r="E104" s="179"/>
      <c r="F104" s="179"/>
      <c r="G104" s="179"/>
      <c r="H104" s="179"/>
      <c r="I104" s="179"/>
    </row>
    <row r="105" spans="1:9">
      <c r="A105" s="179"/>
      <c r="B105" s="179"/>
      <c r="C105" s="179"/>
      <c r="D105" s="179"/>
      <c r="E105" s="179"/>
      <c r="F105" s="179"/>
      <c r="G105" s="179"/>
      <c r="H105" s="179"/>
      <c r="I105" s="179"/>
    </row>
    <row r="106" spans="1:9">
      <c r="A106" s="179"/>
      <c r="B106" s="179"/>
      <c r="C106" s="179"/>
      <c r="D106" s="179"/>
      <c r="E106" s="179"/>
      <c r="F106" s="179"/>
      <c r="G106" s="179"/>
      <c r="H106" s="179"/>
      <c r="I106" s="179"/>
    </row>
    <row r="107" spans="1:9">
      <c r="A107" s="179"/>
      <c r="B107" s="179"/>
      <c r="C107" s="179"/>
      <c r="D107" s="179"/>
      <c r="E107" s="179"/>
      <c r="F107" s="179"/>
      <c r="G107" s="179"/>
      <c r="H107" s="179"/>
      <c r="I107" s="179"/>
    </row>
    <row r="108" spans="1:9">
      <c r="A108" s="179"/>
      <c r="B108" s="179"/>
      <c r="C108" s="179"/>
      <c r="D108" s="179"/>
      <c r="E108" s="179"/>
      <c r="F108" s="179"/>
      <c r="G108" s="179"/>
      <c r="H108" s="179"/>
      <c r="I108" s="179"/>
    </row>
    <row r="109" spans="1:9">
      <c r="A109" s="179"/>
      <c r="B109" s="179"/>
      <c r="C109" s="179"/>
      <c r="D109" s="179"/>
      <c r="E109" s="179"/>
      <c r="F109" s="179"/>
      <c r="G109" s="179"/>
      <c r="H109" s="179"/>
      <c r="I109" s="179"/>
    </row>
    <row r="110" spans="1:9">
      <c r="A110" s="179"/>
      <c r="B110" s="179"/>
      <c r="C110" s="179"/>
      <c r="D110" s="179"/>
      <c r="E110" s="179"/>
      <c r="F110" s="179"/>
      <c r="G110" s="179"/>
      <c r="H110" s="179"/>
      <c r="I110" s="179"/>
    </row>
    <row r="111" spans="1:9">
      <c r="A111" s="179"/>
      <c r="B111" s="179"/>
      <c r="C111" s="179"/>
      <c r="D111" s="179"/>
      <c r="E111" s="179"/>
      <c r="F111" s="179"/>
      <c r="G111" s="179"/>
      <c r="H111" s="179"/>
      <c r="I111" s="179"/>
    </row>
    <row r="112" spans="1:9">
      <c r="A112" s="179"/>
      <c r="B112" s="179"/>
      <c r="C112" s="179"/>
      <c r="D112" s="179"/>
      <c r="E112" s="179"/>
      <c r="F112" s="179"/>
      <c r="G112" s="179"/>
      <c r="H112" s="179"/>
      <c r="I112" s="179"/>
    </row>
    <row r="113" spans="1:9">
      <c r="A113" s="179"/>
      <c r="B113" s="179"/>
      <c r="C113" s="179"/>
      <c r="D113" s="179"/>
      <c r="E113" s="179"/>
      <c r="F113" s="179"/>
      <c r="G113" s="179"/>
      <c r="H113" s="179"/>
      <c r="I113" s="179"/>
    </row>
    <row r="114" spans="1:9">
      <c r="A114" s="179"/>
      <c r="B114" s="179"/>
      <c r="C114" s="179"/>
      <c r="D114" s="179"/>
      <c r="E114" s="179"/>
      <c r="F114" s="179"/>
      <c r="G114" s="179"/>
      <c r="H114" s="179"/>
      <c r="I114" s="179"/>
    </row>
    <row r="115" spans="1:9">
      <c r="A115" s="179"/>
      <c r="B115" s="179"/>
      <c r="C115" s="179"/>
      <c r="D115" s="179"/>
      <c r="E115" s="179"/>
      <c r="F115" s="179"/>
      <c r="G115" s="179"/>
      <c r="H115" s="179"/>
      <c r="I115" s="179"/>
    </row>
    <row r="116" spans="1:9">
      <c r="A116" s="179"/>
      <c r="B116" s="179"/>
      <c r="C116" s="179"/>
      <c r="D116" s="179"/>
      <c r="E116" s="179"/>
      <c r="F116" s="179"/>
      <c r="G116" s="179"/>
      <c r="H116" s="179"/>
      <c r="I116" s="179"/>
    </row>
    <row r="117" spans="1:9">
      <c r="A117" s="179"/>
      <c r="B117" s="179"/>
      <c r="C117" s="179"/>
      <c r="D117" s="179"/>
      <c r="E117" s="179"/>
      <c r="F117" s="179"/>
      <c r="G117" s="179"/>
      <c r="H117" s="179"/>
      <c r="I117" s="179"/>
    </row>
    <row r="118" spans="1:9">
      <c r="A118" s="179"/>
      <c r="B118" s="179"/>
      <c r="C118" s="179"/>
      <c r="D118" s="179"/>
      <c r="E118" s="179"/>
      <c r="F118" s="179"/>
      <c r="G118" s="179"/>
      <c r="H118" s="179"/>
      <c r="I118" s="179"/>
    </row>
    <row r="119" spans="1:9">
      <c r="A119" s="179"/>
      <c r="B119" s="179"/>
      <c r="C119" s="179"/>
      <c r="D119" s="179"/>
      <c r="E119" s="179"/>
      <c r="F119" s="179"/>
      <c r="G119" s="179"/>
      <c r="H119" s="179"/>
      <c r="I119" s="179"/>
    </row>
    <row r="120" spans="1:9">
      <c r="A120" s="179"/>
      <c r="B120" s="179"/>
      <c r="C120" s="179"/>
      <c r="D120" s="179"/>
      <c r="E120" s="179"/>
      <c r="F120" s="179"/>
      <c r="G120" s="179"/>
      <c r="H120" s="179"/>
      <c r="I120" s="179"/>
    </row>
    <row r="121" spans="1:9">
      <c r="A121" s="179"/>
      <c r="B121" s="179"/>
      <c r="C121" s="179"/>
      <c r="D121" s="179"/>
      <c r="E121" s="179"/>
      <c r="F121" s="179"/>
      <c r="G121" s="179"/>
      <c r="H121" s="179"/>
      <c r="I121" s="179"/>
    </row>
    <row r="122" spans="1:9">
      <c r="A122" s="179"/>
      <c r="B122" s="179"/>
      <c r="C122" s="179"/>
      <c r="D122" s="179"/>
      <c r="E122" s="179"/>
      <c r="F122" s="179"/>
      <c r="G122" s="179"/>
      <c r="H122" s="179"/>
      <c r="I122" s="179"/>
    </row>
    <row r="123" spans="1:9">
      <c r="A123" s="179"/>
      <c r="B123" s="179"/>
      <c r="C123" s="179"/>
      <c r="D123" s="179"/>
      <c r="E123" s="179"/>
      <c r="F123" s="179"/>
      <c r="G123" s="179"/>
      <c r="H123" s="179"/>
      <c r="I123" s="179"/>
    </row>
    <row r="124" spans="1:9">
      <c r="A124" s="179"/>
      <c r="B124" s="179"/>
      <c r="C124" s="179"/>
      <c r="D124" s="179"/>
      <c r="E124" s="179"/>
      <c r="F124" s="179"/>
      <c r="G124" s="179"/>
      <c r="H124" s="179"/>
      <c r="I124" s="179"/>
    </row>
    <row r="125" spans="1:9">
      <c r="A125" s="179"/>
      <c r="B125" s="179"/>
      <c r="C125" s="179"/>
      <c r="D125" s="179"/>
      <c r="E125" s="179"/>
      <c r="F125" s="179"/>
      <c r="G125" s="179"/>
      <c r="H125" s="179"/>
      <c r="I125" s="179"/>
    </row>
    <row r="126" spans="1:9">
      <c r="A126" s="179"/>
      <c r="B126" s="179"/>
      <c r="C126" s="179"/>
      <c r="D126" s="179"/>
      <c r="E126" s="179"/>
      <c r="F126" s="179"/>
      <c r="G126" s="179"/>
      <c r="H126" s="179"/>
      <c r="I126" s="179"/>
    </row>
    <row r="127" spans="1:9">
      <c r="A127" s="179"/>
      <c r="B127" s="179"/>
      <c r="C127" s="179"/>
      <c r="D127" s="179"/>
      <c r="E127" s="179"/>
      <c r="F127" s="179"/>
      <c r="G127" s="179"/>
      <c r="H127" s="179"/>
      <c r="I127" s="179"/>
    </row>
    <row r="128" spans="1:9">
      <c r="A128" s="179"/>
      <c r="B128" s="179"/>
      <c r="C128" s="179"/>
      <c r="D128" s="179"/>
      <c r="E128" s="179"/>
      <c r="F128" s="179"/>
      <c r="G128" s="179"/>
      <c r="H128" s="179"/>
      <c r="I128" s="179"/>
    </row>
    <row r="129" spans="1:9">
      <c r="A129" s="179"/>
      <c r="B129" s="179"/>
      <c r="C129" s="179"/>
      <c r="D129" s="179"/>
      <c r="E129" s="179"/>
      <c r="F129" s="179"/>
      <c r="G129" s="179"/>
      <c r="H129" s="179"/>
      <c r="I129" s="179"/>
    </row>
    <row r="130" spans="1:9">
      <c r="A130" s="179"/>
      <c r="B130" s="179"/>
      <c r="C130" s="179"/>
      <c r="D130" s="179"/>
      <c r="E130" s="179"/>
      <c r="F130" s="179"/>
      <c r="G130" s="179"/>
      <c r="H130" s="179"/>
      <c r="I130" s="179"/>
    </row>
    <row r="131" spans="1:9">
      <c r="A131" s="179"/>
      <c r="B131" s="179"/>
      <c r="C131" s="179"/>
      <c r="D131" s="179"/>
      <c r="E131" s="179"/>
      <c r="F131" s="179"/>
      <c r="G131" s="179"/>
      <c r="H131" s="179"/>
      <c r="I131" s="179"/>
    </row>
    <row r="132" spans="1:9">
      <c r="A132" s="179"/>
      <c r="B132" s="179"/>
      <c r="C132" s="179"/>
      <c r="D132" s="179"/>
      <c r="E132" s="179"/>
      <c r="F132" s="179"/>
      <c r="G132" s="179"/>
      <c r="H132" s="179"/>
      <c r="I132" s="179"/>
    </row>
    <row r="133" spans="1:9">
      <c r="A133" s="179"/>
      <c r="B133" s="179"/>
      <c r="C133" s="179"/>
      <c r="D133" s="179"/>
      <c r="E133" s="179"/>
      <c r="F133" s="179"/>
      <c r="G133" s="179"/>
      <c r="H133" s="179"/>
      <c r="I133" s="179"/>
    </row>
    <row r="134" spans="1:9">
      <c r="A134" s="179"/>
      <c r="B134" s="179"/>
      <c r="C134" s="179"/>
      <c r="D134" s="179"/>
      <c r="E134" s="179"/>
      <c r="F134" s="179"/>
      <c r="G134" s="179"/>
      <c r="H134" s="179"/>
      <c r="I134" s="179"/>
    </row>
    <row r="135" spans="1:9">
      <c r="A135" s="179"/>
      <c r="B135" s="179"/>
      <c r="C135" s="179"/>
      <c r="D135" s="179"/>
      <c r="E135" s="179"/>
      <c r="F135" s="179"/>
      <c r="G135" s="179"/>
      <c r="H135" s="179"/>
      <c r="I135" s="179"/>
    </row>
    <row r="136" spans="1:9">
      <c r="A136" s="179"/>
      <c r="B136" s="179"/>
      <c r="C136" s="179"/>
      <c r="D136" s="179"/>
      <c r="E136" s="179"/>
      <c r="F136" s="179"/>
      <c r="G136" s="179"/>
      <c r="H136" s="179"/>
      <c r="I136" s="179"/>
    </row>
    <row r="137" spans="1:9">
      <c r="A137" s="179"/>
      <c r="B137" s="179"/>
      <c r="C137" s="179"/>
      <c r="D137" s="179"/>
      <c r="E137" s="179"/>
      <c r="F137" s="179"/>
      <c r="G137" s="179"/>
      <c r="H137" s="179"/>
      <c r="I137" s="179"/>
    </row>
    <row r="138" spans="1:9">
      <c r="A138" s="179"/>
      <c r="B138" s="179"/>
      <c r="C138" s="179"/>
      <c r="D138" s="179"/>
      <c r="E138" s="179"/>
      <c r="F138" s="179"/>
      <c r="G138" s="179"/>
      <c r="H138" s="179"/>
      <c r="I138" s="179"/>
    </row>
    <row r="139" spans="1:9">
      <c r="A139" s="179"/>
      <c r="B139" s="179"/>
      <c r="C139" s="179"/>
      <c r="D139" s="179"/>
      <c r="E139" s="179"/>
      <c r="F139" s="179"/>
      <c r="G139" s="179"/>
      <c r="H139" s="179"/>
      <c r="I139" s="179"/>
    </row>
    <row r="140" spans="1:9">
      <c r="A140" s="179"/>
      <c r="B140" s="179"/>
      <c r="C140" s="179"/>
      <c r="D140" s="179"/>
      <c r="E140" s="179"/>
      <c r="F140" s="179"/>
      <c r="G140" s="179"/>
      <c r="H140" s="179"/>
      <c r="I140" s="179"/>
    </row>
    <row r="141" spans="1:9">
      <c r="A141" s="179"/>
      <c r="B141" s="179"/>
      <c r="C141" s="179"/>
      <c r="D141" s="179"/>
      <c r="E141" s="179"/>
      <c r="F141" s="179"/>
      <c r="G141" s="179"/>
      <c r="H141" s="179"/>
      <c r="I141" s="179"/>
    </row>
    <row r="142" spans="1:9">
      <c r="A142" s="179"/>
      <c r="B142" s="179"/>
      <c r="C142" s="179"/>
      <c r="D142" s="179"/>
      <c r="E142" s="179"/>
      <c r="F142" s="179"/>
      <c r="G142" s="179"/>
      <c r="H142" s="179"/>
      <c r="I142" s="179"/>
    </row>
    <row r="143" spans="1:9">
      <c r="A143" s="179"/>
      <c r="B143" s="179"/>
      <c r="C143" s="179"/>
      <c r="D143" s="179"/>
      <c r="E143" s="179"/>
      <c r="F143" s="179"/>
      <c r="G143" s="179"/>
      <c r="H143" s="179"/>
      <c r="I143" s="179"/>
    </row>
    <row r="144" spans="1:9">
      <c r="A144" s="179"/>
      <c r="B144" s="179"/>
      <c r="C144" s="179"/>
      <c r="D144" s="179"/>
      <c r="E144" s="179"/>
      <c r="F144" s="179"/>
      <c r="G144" s="179"/>
      <c r="H144" s="179"/>
      <c r="I144" s="179"/>
    </row>
    <row r="145" spans="1:9">
      <c r="A145" s="179"/>
      <c r="B145" s="179"/>
      <c r="C145" s="179"/>
      <c r="D145" s="179"/>
      <c r="E145" s="179"/>
      <c r="F145" s="179"/>
      <c r="G145" s="179"/>
      <c r="H145" s="179"/>
      <c r="I145" s="179"/>
    </row>
    <row r="146" spans="1:9">
      <c r="A146" s="179"/>
      <c r="B146" s="179"/>
      <c r="C146" s="179"/>
      <c r="D146" s="179"/>
      <c r="E146" s="179"/>
      <c r="F146" s="179"/>
      <c r="G146" s="179"/>
      <c r="H146" s="179"/>
      <c r="I146" s="179"/>
    </row>
    <row r="147" spans="1:9">
      <c r="A147" s="179"/>
      <c r="B147" s="179"/>
      <c r="C147" s="179"/>
      <c r="D147" s="179"/>
      <c r="E147" s="179"/>
      <c r="F147" s="179"/>
      <c r="G147" s="179"/>
      <c r="H147" s="179"/>
      <c r="I147" s="179"/>
    </row>
    <row r="148" spans="1:9">
      <c r="A148" s="179"/>
      <c r="B148" s="179"/>
      <c r="C148" s="179"/>
      <c r="D148" s="179"/>
      <c r="E148" s="179"/>
      <c r="F148" s="179"/>
      <c r="G148" s="179"/>
      <c r="H148" s="179"/>
      <c r="I148" s="179"/>
    </row>
    <row r="149" spans="1:9">
      <c r="A149" s="179"/>
      <c r="B149" s="179"/>
      <c r="C149" s="179"/>
      <c r="D149" s="179"/>
      <c r="E149" s="179"/>
      <c r="F149" s="179"/>
      <c r="G149" s="179"/>
      <c r="H149" s="179"/>
      <c r="I149" s="179"/>
    </row>
    <row r="150" spans="1:9">
      <c r="A150" s="179"/>
      <c r="B150" s="179"/>
      <c r="C150" s="179"/>
      <c r="D150" s="179"/>
      <c r="E150" s="179"/>
      <c r="F150" s="179"/>
      <c r="G150" s="179"/>
      <c r="H150" s="179"/>
      <c r="I150" s="179"/>
    </row>
    <row r="151" spans="1:9">
      <c r="A151" s="179"/>
      <c r="B151" s="179"/>
      <c r="C151" s="179"/>
      <c r="D151" s="179"/>
      <c r="E151" s="179"/>
      <c r="F151" s="179"/>
      <c r="G151" s="179"/>
      <c r="H151" s="179"/>
      <c r="I151" s="179"/>
    </row>
    <row r="152" spans="1:9">
      <c r="A152" s="179"/>
      <c r="B152" s="179"/>
      <c r="C152" s="179"/>
      <c r="D152" s="179"/>
      <c r="E152" s="179"/>
      <c r="F152" s="179"/>
      <c r="G152" s="179"/>
      <c r="H152" s="179"/>
      <c r="I152" s="179"/>
    </row>
    <row r="153" spans="1:9">
      <c r="A153" s="179"/>
      <c r="B153" s="179"/>
      <c r="C153" s="179"/>
      <c r="D153" s="179"/>
      <c r="E153" s="179"/>
      <c r="F153" s="179"/>
      <c r="G153" s="179"/>
      <c r="H153" s="179"/>
      <c r="I153" s="179"/>
    </row>
    <row r="154" spans="1:9">
      <c r="A154" s="179"/>
      <c r="B154" s="179"/>
      <c r="C154" s="179"/>
      <c r="D154" s="179"/>
      <c r="E154" s="179"/>
      <c r="F154" s="179"/>
      <c r="G154" s="179"/>
      <c r="H154" s="179"/>
      <c r="I154" s="179"/>
    </row>
    <row r="155" spans="1:9">
      <c r="A155" s="179"/>
      <c r="B155" s="179"/>
      <c r="C155" s="179"/>
      <c r="D155" s="179"/>
      <c r="E155" s="179"/>
      <c r="F155" s="179"/>
      <c r="G155" s="179"/>
      <c r="H155" s="179"/>
      <c r="I155" s="179"/>
    </row>
    <row r="156" spans="1:9">
      <c r="A156" s="179"/>
      <c r="B156" s="179"/>
      <c r="C156" s="179"/>
      <c r="D156" s="179"/>
      <c r="E156" s="179"/>
      <c r="F156" s="179"/>
      <c r="G156" s="179"/>
      <c r="H156" s="179"/>
      <c r="I156" s="179"/>
    </row>
    <row r="157" spans="1:9">
      <c r="A157" s="179"/>
      <c r="B157" s="179"/>
      <c r="C157" s="179"/>
      <c r="D157" s="179"/>
      <c r="E157" s="179"/>
      <c r="F157" s="179"/>
      <c r="G157" s="179"/>
      <c r="H157" s="179"/>
      <c r="I157" s="179"/>
    </row>
    <row r="158" spans="1:9">
      <c r="A158" s="179"/>
      <c r="B158" s="179"/>
      <c r="C158" s="179"/>
      <c r="D158" s="179"/>
      <c r="E158" s="179"/>
      <c r="F158" s="179"/>
      <c r="G158" s="179"/>
      <c r="H158" s="179"/>
      <c r="I158" s="179"/>
    </row>
    <row r="159" spans="1:9">
      <c r="A159" s="179"/>
      <c r="B159" s="179"/>
      <c r="C159" s="179"/>
      <c r="D159" s="179"/>
      <c r="E159" s="179"/>
      <c r="F159" s="179"/>
      <c r="G159" s="179"/>
      <c r="H159" s="179"/>
      <c r="I159" s="179"/>
    </row>
    <row r="160" spans="1:9">
      <c r="A160" s="179"/>
      <c r="B160" s="179"/>
      <c r="C160" s="179"/>
      <c r="D160" s="179"/>
      <c r="E160" s="179"/>
      <c r="F160" s="179"/>
      <c r="G160" s="179"/>
      <c r="H160" s="179"/>
      <c r="I160" s="179"/>
    </row>
    <row r="161" spans="1:9">
      <c r="A161" s="179"/>
      <c r="B161" s="179"/>
      <c r="C161" s="179"/>
      <c r="D161" s="179"/>
      <c r="E161" s="179"/>
      <c r="F161" s="179"/>
      <c r="G161" s="179"/>
      <c r="H161" s="179"/>
      <c r="I161" s="179"/>
    </row>
    <row r="162" spans="1:9">
      <c r="A162" s="179"/>
      <c r="B162" s="179"/>
      <c r="C162" s="179"/>
      <c r="D162" s="179"/>
      <c r="E162" s="179"/>
      <c r="F162" s="179"/>
      <c r="G162" s="179"/>
      <c r="H162" s="179"/>
      <c r="I162" s="179"/>
    </row>
    <row r="163" spans="1:9">
      <c r="A163" s="179"/>
      <c r="B163" s="179"/>
      <c r="C163" s="179"/>
      <c r="D163" s="179"/>
      <c r="E163" s="179"/>
      <c r="F163" s="179"/>
      <c r="G163" s="179"/>
      <c r="H163" s="179"/>
      <c r="I163" s="179"/>
    </row>
    <row r="164" spans="1:9">
      <c r="A164" s="179"/>
      <c r="B164" s="179"/>
      <c r="C164" s="179"/>
      <c r="D164" s="179"/>
      <c r="E164" s="179"/>
      <c r="F164" s="179"/>
      <c r="G164" s="179"/>
      <c r="H164" s="179"/>
      <c r="I164" s="179"/>
    </row>
    <row r="165" spans="1:9">
      <c r="A165" s="179"/>
      <c r="B165" s="179"/>
      <c r="C165" s="179"/>
      <c r="D165" s="179"/>
      <c r="E165" s="179"/>
      <c r="F165" s="179"/>
      <c r="G165" s="179"/>
      <c r="H165" s="179"/>
      <c r="I165" s="179"/>
    </row>
    <row r="166" spans="1:9">
      <c r="A166" s="179"/>
      <c r="B166" s="179"/>
      <c r="C166" s="179"/>
      <c r="D166" s="179"/>
      <c r="E166" s="179"/>
      <c r="F166" s="179"/>
      <c r="G166" s="179"/>
      <c r="H166" s="179"/>
      <c r="I166" s="179"/>
    </row>
    <row r="167" spans="1:9">
      <c r="A167" s="179"/>
      <c r="B167" s="179"/>
      <c r="C167" s="179"/>
      <c r="D167" s="179"/>
      <c r="E167" s="179"/>
      <c r="F167" s="179"/>
      <c r="G167" s="179"/>
      <c r="H167" s="179"/>
      <c r="I167" s="179"/>
    </row>
    <row r="168" spans="1:9">
      <c r="A168" s="179"/>
      <c r="B168" s="179"/>
      <c r="C168" s="179"/>
      <c r="D168" s="179"/>
      <c r="E168" s="179"/>
      <c r="F168" s="179"/>
      <c r="G168" s="179"/>
      <c r="H168" s="179"/>
      <c r="I168" s="179"/>
    </row>
    <row r="169" spans="1:9">
      <c r="A169" s="179"/>
      <c r="B169" s="179"/>
      <c r="C169" s="179"/>
      <c r="D169" s="179"/>
      <c r="E169" s="179"/>
      <c r="F169" s="179"/>
      <c r="G169" s="179"/>
      <c r="H169" s="179"/>
      <c r="I169" s="179"/>
    </row>
    <row r="170" spans="1:9">
      <c r="A170" s="179"/>
      <c r="B170" s="179"/>
      <c r="C170" s="179"/>
      <c r="D170" s="179"/>
      <c r="E170" s="179"/>
      <c r="F170" s="179"/>
      <c r="G170" s="179"/>
      <c r="H170" s="179"/>
      <c r="I170" s="179"/>
    </row>
    <row r="171" spans="1:9">
      <c r="A171" s="179"/>
      <c r="B171" s="179"/>
      <c r="C171" s="179"/>
      <c r="D171" s="179"/>
      <c r="E171" s="179"/>
      <c r="F171" s="179"/>
      <c r="G171" s="179"/>
      <c r="H171" s="179"/>
      <c r="I171" s="179"/>
    </row>
    <row r="172" spans="1:9">
      <c r="A172" s="179"/>
      <c r="B172" s="179"/>
      <c r="C172" s="179"/>
      <c r="D172" s="179"/>
      <c r="E172" s="179"/>
      <c r="F172" s="179"/>
      <c r="G172" s="179"/>
      <c r="H172" s="179"/>
      <c r="I172" s="179"/>
    </row>
    <row r="173" spans="1:9">
      <c r="A173" s="179"/>
      <c r="B173" s="179"/>
      <c r="C173" s="179"/>
      <c r="D173" s="179"/>
      <c r="E173" s="179"/>
      <c r="F173" s="179"/>
      <c r="G173" s="179"/>
      <c r="H173" s="179"/>
      <c r="I173" s="179"/>
    </row>
    <row r="174" spans="1:9">
      <c r="A174" s="179"/>
      <c r="B174" s="179"/>
      <c r="C174" s="179"/>
      <c r="D174" s="179"/>
      <c r="E174" s="179"/>
      <c r="F174" s="179"/>
      <c r="G174" s="179"/>
      <c r="H174" s="179"/>
      <c r="I174" s="179"/>
    </row>
    <row r="175" spans="1:9">
      <c r="A175" s="179"/>
      <c r="B175" s="179"/>
      <c r="C175" s="179"/>
      <c r="D175" s="179"/>
      <c r="E175" s="179"/>
      <c r="F175" s="179"/>
      <c r="G175" s="179"/>
      <c r="H175" s="179"/>
      <c r="I175" s="179"/>
    </row>
    <row r="176" spans="1:9">
      <c r="A176" s="179"/>
      <c r="B176" s="179"/>
      <c r="C176" s="179"/>
      <c r="D176" s="179"/>
      <c r="E176" s="179"/>
      <c r="F176" s="179"/>
      <c r="G176" s="179"/>
      <c r="H176" s="179"/>
      <c r="I176" s="179"/>
    </row>
    <row r="177" spans="1:9">
      <c r="A177" s="179"/>
      <c r="B177" s="179"/>
      <c r="C177" s="179"/>
      <c r="D177" s="179"/>
      <c r="E177" s="179"/>
      <c r="F177" s="179"/>
      <c r="G177" s="179"/>
      <c r="H177" s="179"/>
      <c r="I177" s="179"/>
    </row>
    <row r="178" spans="1:9">
      <c r="A178" s="179"/>
      <c r="B178" s="179"/>
      <c r="C178" s="179"/>
      <c r="D178" s="179"/>
      <c r="E178" s="179"/>
      <c r="F178" s="179"/>
      <c r="G178" s="179"/>
      <c r="H178" s="179"/>
      <c r="I178" s="179"/>
    </row>
    <row r="179" spans="1:9">
      <c r="A179" s="179"/>
      <c r="B179" s="179"/>
      <c r="C179" s="179"/>
      <c r="D179" s="179"/>
      <c r="E179" s="179"/>
      <c r="F179" s="179"/>
      <c r="G179" s="179"/>
      <c r="H179" s="179"/>
      <c r="I179" s="179"/>
    </row>
    <row r="180" spans="1:9">
      <c r="A180" s="179"/>
      <c r="B180" s="179"/>
      <c r="C180" s="179"/>
      <c r="D180" s="179"/>
      <c r="E180" s="179"/>
      <c r="F180" s="179"/>
      <c r="G180" s="179"/>
      <c r="H180" s="179"/>
      <c r="I180" s="179"/>
    </row>
    <row r="181" spans="1:9">
      <c r="A181" s="179"/>
      <c r="B181" s="179"/>
      <c r="C181" s="179"/>
      <c r="D181" s="179"/>
      <c r="E181" s="179"/>
      <c r="F181" s="179"/>
      <c r="G181" s="179"/>
      <c r="H181" s="179"/>
      <c r="I181" s="179"/>
    </row>
    <row r="182" spans="1:9">
      <c r="A182" s="179"/>
      <c r="B182" s="179"/>
      <c r="C182" s="179"/>
      <c r="D182" s="179"/>
      <c r="E182" s="179"/>
      <c r="F182" s="179"/>
      <c r="G182" s="179"/>
      <c r="H182" s="179"/>
      <c r="I182" s="179"/>
    </row>
    <row r="183" spans="1:9">
      <c r="A183" s="179"/>
      <c r="B183" s="179"/>
      <c r="C183" s="179"/>
      <c r="D183" s="179"/>
      <c r="E183" s="179"/>
      <c r="F183" s="179"/>
      <c r="G183" s="179"/>
      <c r="H183" s="179"/>
      <c r="I183" s="179"/>
    </row>
    <row r="184" spans="1:9">
      <c r="A184" s="179"/>
      <c r="B184" s="179"/>
      <c r="C184" s="179"/>
      <c r="D184" s="179"/>
      <c r="E184" s="179"/>
      <c r="F184" s="179"/>
      <c r="G184" s="179"/>
      <c r="H184" s="179"/>
      <c r="I184" s="179"/>
    </row>
    <row r="185" spans="1:9">
      <c r="A185" s="179"/>
      <c r="B185" s="179"/>
      <c r="C185" s="179"/>
      <c r="D185" s="179"/>
      <c r="E185" s="179"/>
      <c r="F185" s="179"/>
      <c r="G185" s="179"/>
      <c r="H185" s="179"/>
      <c r="I185" s="179"/>
    </row>
    <row r="186" spans="1:9">
      <c r="A186" s="179"/>
      <c r="B186" s="179"/>
      <c r="C186" s="179"/>
      <c r="D186" s="179"/>
      <c r="E186" s="179"/>
      <c r="F186" s="179"/>
      <c r="G186" s="179"/>
      <c r="H186" s="179"/>
      <c r="I186" s="179"/>
    </row>
    <row r="187" spans="1:9">
      <c r="A187" s="179"/>
      <c r="B187" s="179"/>
      <c r="C187" s="179"/>
      <c r="D187" s="179"/>
      <c r="E187" s="179"/>
      <c r="F187" s="179"/>
      <c r="G187" s="179"/>
      <c r="H187" s="179"/>
      <c r="I187" s="179"/>
    </row>
    <row r="188" spans="1:9">
      <c r="A188" s="179"/>
      <c r="B188" s="179"/>
      <c r="C188" s="179"/>
      <c r="D188" s="179"/>
      <c r="E188" s="179"/>
      <c r="F188" s="179"/>
      <c r="G188" s="179"/>
      <c r="H188" s="179"/>
      <c r="I188" s="179"/>
    </row>
    <row r="189" spans="1:9">
      <c r="A189" s="179"/>
      <c r="B189" s="179"/>
      <c r="C189" s="179"/>
      <c r="D189" s="179"/>
      <c r="E189" s="179"/>
      <c r="F189" s="179"/>
      <c r="G189" s="179"/>
      <c r="H189" s="179"/>
      <c r="I189" s="179"/>
    </row>
    <row r="190" spans="1:9">
      <c r="A190" s="179"/>
      <c r="B190" s="179"/>
      <c r="C190" s="179"/>
      <c r="D190" s="179"/>
      <c r="E190" s="179"/>
      <c r="F190" s="179"/>
      <c r="G190" s="179"/>
      <c r="H190" s="179"/>
      <c r="I190" s="179"/>
    </row>
    <row r="191" spans="1:9">
      <c r="A191" s="179"/>
      <c r="B191" s="179"/>
      <c r="C191" s="179"/>
      <c r="D191" s="179"/>
      <c r="E191" s="179"/>
      <c r="F191" s="179"/>
      <c r="G191" s="179"/>
      <c r="H191" s="179"/>
      <c r="I191" s="179"/>
    </row>
    <row r="192" spans="1:9">
      <c r="A192" s="179"/>
      <c r="B192" s="179"/>
      <c r="C192" s="179"/>
      <c r="D192" s="179"/>
      <c r="E192" s="179"/>
      <c r="F192" s="179"/>
      <c r="G192" s="179"/>
      <c r="H192" s="179"/>
      <c r="I192" s="179"/>
    </row>
    <row r="193" spans="1:9">
      <c r="A193" s="179"/>
      <c r="B193" s="179"/>
      <c r="C193" s="179"/>
      <c r="D193" s="179"/>
      <c r="E193" s="179"/>
      <c r="F193" s="179"/>
      <c r="G193" s="179"/>
      <c r="H193" s="179"/>
      <c r="I193" s="179"/>
    </row>
    <row r="194" spans="1:9">
      <c r="A194" s="179"/>
      <c r="B194" s="179"/>
      <c r="C194" s="179"/>
      <c r="D194" s="179"/>
      <c r="E194" s="179"/>
      <c r="F194" s="179"/>
      <c r="G194" s="179"/>
      <c r="H194" s="179"/>
      <c r="I194" s="179"/>
    </row>
    <row r="195" spans="1:9">
      <c r="A195" s="179"/>
      <c r="B195" s="179"/>
      <c r="C195" s="179"/>
      <c r="D195" s="179"/>
      <c r="E195" s="179"/>
      <c r="F195" s="179"/>
      <c r="G195" s="179"/>
      <c r="H195" s="179"/>
      <c r="I195" s="179"/>
    </row>
    <row r="196" spans="1:9">
      <c r="A196" s="179"/>
      <c r="B196" s="179"/>
      <c r="C196" s="179"/>
      <c r="D196" s="179"/>
      <c r="E196" s="179"/>
      <c r="F196" s="179"/>
      <c r="G196" s="179"/>
      <c r="H196" s="179"/>
      <c r="I196" s="179"/>
    </row>
    <row r="197" spans="1:9">
      <c r="A197" s="179"/>
      <c r="B197" s="179"/>
      <c r="C197" s="179"/>
      <c r="D197" s="179"/>
      <c r="E197" s="179"/>
      <c r="F197" s="179"/>
      <c r="G197" s="179"/>
      <c r="H197" s="179"/>
      <c r="I197" s="179"/>
    </row>
    <row r="198" spans="1:9">
      <c r="A198" s="179"/>
      <c r="B198" s="179"/>
      <c r="C198" s="179"/>
      <c r="D198" s="179"/>
      <c r="E198" s="179"/>
      <c r="F198" s="179"/>
      <c r="G198" s="179"/>
      <c r="H198" s="179"/>
      <c r="I198" s="179"/>
    </row>
    <row r="199" spans="1:9">
      <c r="A199" s="179"/>
      <c r="B199" s="179"/>
      <c r="C199" s="179"/>
      <c r="D199" s="179"/>
      <c r="E199" s="179"/>
      <c r="F199" s="179"/>
      <c r="G199" s="179"/>
      <c r="H199" s="179"/>
      <c r="I199" s="179"/>
    </row>
    <row r="200" spans="1:9">
      <c r="A200" s="179"/>
      <c r="B200" s="179"/>
      <c r="C200" s="179"/>
      <c r="D200" s="179"/>
      <c r="E200" s="179"/>
      <c r="F200" s="179"/>
      <c r="G200" s="179"/>
      <c r="H200" s="179"/>
      <c r="I200" s="179"/>
    </row>
    <row r="201" spans="1:9">
      <c r="A201" s="179"/>
      <c r="B201" s="179"/>
      <c r="C201" s="179"/>
      <c r="D201" s="179"/>
      <c r="E201" s="179"/>
      <c r="F201" s="179"/>
      <c r="G201" s="179"/>
      <c r="H201" s="179"/>
      <c r="I201" s="179"/>
    </row>
    <row r="202" spans="1:9">
      <c r="A202" s="179"/>
      <c r="B202" s="179"/>
      <c r="C202" s="179"/>
      <c r="D202" s="179"/>
      <c r="E202" s="179"/>
      <c r="F202" s="179"/>
      <c r="G202" s="179"/>
      <c r="H202" s="179"/>
      <c r="I202" s="179"/>
    </row>
    <row r="203" spans="1:9">
      <c r="A203" s="179"/>
      <c r="B203" s="179"/>
      <c r="C203" s="179"/>
      <c r="D203" s="179"/>
      <c r="E203" s="179"/>
      <c r="F203" s="179"/>
      <c r="G203" s="179"/>
      <c r="H203" s="179"/>
      <c r="I203" s="179"/>
    </row>
    <row r="204" spans="1:9">
      <c r="A204" s="179"/>
      <c r="B204" s="179"/>
      <c r="C204" s="179"/>
      <c r="D204" s="179"/>
      <c r="E204" s="179"/>
      <c r="F204" s="179"/>
      <c r="G204" s="179"/>
      <c r="H204" s="179"/>
      <c r="I204" s="179"/>
    </row>
    <row r="205" spans="1:9">
      <c r="A205" s="179"/>
      <c r="B205" s="179"/>
      <c r="C205" s="179"/>
      <c r="D205" s="179"/>
      <c r="E205" s="179"/>
      <c r="F205" s="179"/>
      <c r="G205" s="179"/>
      <c r="H205" s="179"/>
      <c r="I205" s="179"/>
    </row>
    <row r="206" spans="1:9">
      <c r="A206" s="179"/>
      <c r="B206" s="179"/>
      <c r="C206" s="179"/>
      <c r="D206" s="179"/>
      <c r="E206" s="179"/>
      <c r="F206" s="179"/>
      <c r="G206" s="179"/>
      <c r="H206" s="179"/>
      <c r="I206" s="179"/>
    </row>
    <row r="207" spans="1:9">
      <c r="A207" s="179"/>
      <c r="B207" s="179"/>
      <c r="C207" s="179"/>
      <c r="D207" s="179"/>
      <c r="E207" s="179"/>
      <c r="F207" s="179"/>
      <c r="G207" s="179"/>
      <c r="H207" s="179"/>
      <c r="I207" s="179"/>
    </row>
    <row r="208" spans="1:9">
      <c r="A208" s="179"/>
      <c r="B208" s="179"/>
      <c r="C208" s="179"/>
      <c r="D208" s="179"/>
      <c r="E208" s="179"/>
      <c r="F208" s="179"/>
      <c r="G208" s="179"/>
      <c r="H208" s="179"/>
      <c r="I208" s="179"/>
    </row>
    <row r="209" spans="1:9">
      <c r="A209" s="179"/>
      <c r="B209" s="179"/>
      <c r="C209" s="179"/>
      <c r="D209" s="179"/>
      <c r="E209" s="179"/>
      <c r="F209" s="179"/>
      <c r="G209" s="179"/>
      <c r="H209" s="179"/>
      <c r="I209" s="179"/>
    </row>
    <row r="210" spans="1:9">
      <c r="A210" s="179"/>
      <c r="B210" s="179"/>
      <c r="C210" s="179"/>
      <c r="D210" s="179"/>
      <c r="E210" s="179"/>
      <c r="F210" s="179"/>
      <c r="G210" s="179"/>
      <c r="H210" s="179"/>
      <c r="I210" s="179"/>
    </row>
    <row r="211" spans="1:9">
      <c r="A211" s="179"/>
      <c r="B211" s="179"/>
      <c r="C211" s="179"/>
      <c r="D211" s="179"/>
      <c r="E211" s="179"/>
      <c r="F211" s="179"/>
      <c r="G211" s="179"/>
      <c r="H211" s="179"/>
      <c r="I211" s="179"/>
    </row>
    <row r="212" spans="1:9">
      <c r="A212" s="179"/>
      <c r="B212" s="179"/>
      <c r="C212" s="179"/>
      <c r="D212" s="179"/>
      <c r="E212" s="179"/>
      <c r="F212" s="179"/>
      <c r="G212" s="179"/>
      <c r="H212" s="179"/>
      <c r="I212" s="179"/>
    </row>
    <row r="213" spans="1:9">
      <c r="A213" s="179"/>
      <c r="B213" s="179"/>
      <c r="C213" s="179"/>
      <c r="D213" s="179"/>
      <c r="E213" s="179"/>
      <c r="F213" s="179"/>
      <c r="G213" s="179"/>
      <c r="H213" s="179"/>
      <c r="I213" s="179"/>
    </row>
    <row r="214" spans="1:9">
      <c r="A214" s="179"/>
      <c r="B214" s="179"/>
      <c r="C214" s="179"/>
      <c r="D214" s="179"/>
      <c r="E214" s="179"/>
      <c r="F214" s="179"/>
      <c r="G214" s="179"/>
      <c r="H214" s="179"/>
      <c r="I214" s="179"/>
    </row>
    <row r="215" spans="1:9">
      <c r="A215" s="179"/>
      <c r="B215" s="179"/>
      <c r="C215" s="179"/>
      <c r="D215" s="179"/>
      <c r="E215" s="179"/>
      <c r="F215" s="179"/>
      <c r="G215" s="179"/>
      <c r="H215" s="179"/>
      <c r="I215" s="179"/>
    </row>
    <row r="216" spans="1:9">
      <c r="A216" s="179"/>
      <c r="B216" s="179"/>
      <c r="C216" s="179"/>
      <c r="D216" s="179"/>
      <c r="E216" s="179"/>
      <c r="F216" s="179"/>
      <c r="G216" s="179"/>
      <c r="H216" s="179"/>
      <c r="I216" s="179"/>
    </row>
    <row r="217" spans="1:9">
      <c r="A217" s="179"/>
      <c r="B217" s="179"/>
      <c r="C217" s="179"/>
      <c r="D217" s="179"/>
      <c r="E217" s="179"/>
      <c r="F217" s="179"/>
      <c r="G217" s="179"/>
      <c r="H217" s="179"/>
      <c r="I217" s="179"/>
    </row>
    <row r="218" spans="1:9">
      <c r="A218" s="179"/>
      <c r="B218" s="179"/>
      <c r="C218" s="179"/>
      <c r="D218" s="179"/>
      <c r="E218" s="179"/>
      <c r="F218" s="179"/>
      <c r="G218" s="179"/>
      <c r="H218" s="179"/>
      <c r="I218" s="179"/>
    </row>
    <row r="219" spans="1:9">
      <c r="A219" s="179"/>
      <c r="B219" s="179"/>
      <c r="C219" s="179"/>
      <c r="D219" s="179"/>
      <c r="E219" s="179"/>
      <c r="F219" s="179"/>
      <c r="G219" s="179"/>
      <c r="H219" s="179"/>
      <c r="I219" s="179"/>
    </row>
    <row r="220" spans="1:9">
      <c r="A220" s="179"/>
      <c r="B220" s="179"/>
      <c r="C220" s="179"/>
      <c r="D220" s="179"/>
      <c r="E220" s="179"/>
      <c r="F220" s="179"/>
      <c r="G220" s="179"/>
      <c r="H220" s="179"/>
      <c r="I220" s="179"/>
    </row>
    <row r="221" spans="1:9">
      <c r="A221" s="179"/>
      <c r="B221" s="179"/>
      <c r="C221" s="179"/>
      <c r="D221" s="179"/>
      <c r="E221" s="179"/>
      <c r="F221" s="179"/>
      <c r="G221" s="179"/>
      <c r="H221" s="179"/>
      <c r="I221" s="179"/>
    </row>
    <row r="222" spans="1:9">
      <c r="A222" s="179"/>
      <c r="B222" s="179"/>
      <c r="C222" s="179"/>
      <c r="D222" s="179"/>
      <c r="E222" s="179"/>
      <c r="F222" s="179"/>
      <c r="G222" s="179"/>
      <c r="H222" s="179"/>
      <c r="I222" s="179"/>
    </row>
    <row r="223" spans="1:9">
      <c r="A223" s="179"/>
      <c r="B223" s="179"/>
      <c r="C223" s="179"/>
      <c r="D223" s="179"/>
      <c r="E223" s="179"/>
      <c r="F223" s="179"/>
      <c r="G223" s="179"/>
      <c r="H223" s="179"/>
      <c r="I223" s="179"/>
    </row>
    <row r="224" spans="1:9">
      <c r="A224" s="179"/>
      <c r="B224" s="179"/>
      <c r="C224" s="179"/>
      <c r="D224" s="179"/>
      <c r="E224" s="179"/>
      <c r="F224" s="179"/>
      <c r="G224" s="179"/>
      <c r="H224" s="179"/>
      <c r="I224" s="179"/>
    </row>
    <row r="225" spans="1:9">
      <c r="A225" s="179"/>
      <c r="B225" s="179"/>
      <c r="C225" s="179"/>
      <c r="D225" s="179"/>
      <c r="E225" s="179"/>
      <c r="F225" s="179"/>
      <c r="G225" s="179"/>
      <c r="H225" s="179"/>
      <c r="I225" s="179"/>
    </row>
    <row r="226" spans="1:9">
      <c r="A226" s="179"/>
      <c r="B226" s="179"/>
      <c r="C226" s="179"/>
      <c r="D226" s="179"/>
      <c r="E226" s="179"/>
      <c r="F226" s="179"/>
      <c r="G226" s="179"/>
      <c r="H226" s="179"/>
      <c r="I226" s="179"/>
    </row>
    <row r="227" spans="1:9">
      <c r="A227" s="179"/>
      <c r="B227" s="179"/>
      <c r="C227" s="179"/>
      <c r="D227" s="179"/>
      <c r="E227" s="179"/>
      <c r="F227" s="179"/>
      <c r="G227" s="179"/>
      <c r="H227" s="179"/>
      <c r="I227" s="179"/>
    </row>
    <row r="228" spans="1:9">
      <c r="A228" s="179"/>
      <c r="B228" s="179"/>
      <c r="C228" s="179"/>
      <c r="D228" s="179"/>
      <c r="E228" s="179"/>
      <c r="F228" s="179"/>
      <c r="G228" s="179"/>
      <c r="H228" s="179"/>
      <c r="I228" s="179"/>
    </row>
    <row r="229" spans="1:9">
      <c r="A229" s="179"/>
      <c r="B229" s="179"/>
      <c r="C229" s="179"/>
      <c r="D229" s="179"/>
      <c r="E229" s="179"/>
      <c r="F229" s="179"/>
      <c r="G229" s="179"/>
      <c r="H229" s="179"/>
      <c r="I229" s="179"/>
    </row>
    <row r="230" spans="1:9">
      <c r="A230" s="179"/>
      <c r="B230" s="179"/>
      <c r="C230" s="179"/>
      <c r="D230" s="179"/>
      <c r="E230" s="179"/>
      <c r="F230" s="179"/>
      <c r="G230" s="179"/>
      <c r="H230" s="179"/>
      <c r="I230" s="179"/>
    </row>
    <row r="231" spans="1:9">
      <c r="A231" s="179"/>
      <c r="B231" s="179"/>
      <c r="C231" s="179"/>
      <c r="D231" s="179"/>
      <c r="E231" s="179"/>
      <c r="F231" s="179"/>
      <c r="G231" s="179"/>
      <c r="H231" s="179"/>
      <c r="I231" s="179"/>
    </row>
    <row r="232" spans="1:9">
      <c r="A232" s="179"/>
      <c r="B232" s="179"/>
      <c r="C232" s="179"/>
      <c r="D232" s="179"/>
      <c r="E232" s="179"/>
      <c r="F232" s="179"/>
      <c r="G232" s="179"/>
      <c r="H232" s="179"/>
      <c r="I232" s="179"/>
    </row>
    <row r="233" spans="1:9">
      <c r="A233" s="179"/>
      <c r="B233" s="179"/>
      <c r="C233" s="179"/>
      <c r="D233" s="179"/>
      <c r="E233" s="179"/>
      <c r="F233" s="179"/>
      <c r="G233" s="179"/>
      <c r="H233" s="179"/>
      <c r="I233" s="179"/>
    </row>
    <row r="234" spans="1:9">
      <c r="A234" s="179"/>
      <c r="B234" s="179"/>
      <c r="C234" s="179"/>
      <c r="D234" s="179"/>
      <c r="E234" s="179"/>
      <c r="F234" s="179"/>
      <c r="G234" s="179"/>
      <c r="H234" s="179"/>
      <c r="I234" s="179"/>
    </row>
    <row r="235" spans="1:9">
      <c r="A235" s="179"/>
      <c r="B235" s="179"/>
      <c r="C235" s="179"/>
      <c r="D235" s="179"/>
      <c r="E235" s="179"/>
      <c r="F235" s="179"/>
      <c r="G235" s="179"/>
      <c r="H235" s="179"/>
      <c r="I235" s="179"/>
    </row>
    <row r="236" spans="1:9">
      <c r="A236" s="179"/>
      <c r="B236" s="179"/>
      <c r="C236" s="179"/>
      <c r="D236" s="179"/>
      <c r="E236" s="179"/>
      <c r="F236" s="179"/>
      <c r="G236" s="179"/>
      <c r="H236" s="179"/>
      <c r="I236" s="179"/>
    </row>
    <row r="237" spans="1:9">
      <c r="A237" s="179"/>
      <c r="B237" s="179"/>
      <c r="C237" s="179"/>
      <c r="D237" s="179"/>
      <c r="E237" s="179"/>
      <c r="F237" s="179"/>
      <c r="G237" s="179"/>
      <c r="H237" s="179"/>
      <c r="I237" s="179"/>
    </row>
    <row r="238" spans="1:9">
      <c r="A238" s="179"/>
      <c r="B238" s="179"/>
      <c r="C238" s="179"/>
      <c r="D238" s="179"/>
      <c r="E238" s="179"/>
      <c r="F238" s="179"/>
      <c r="G238" s="179"/>
      <c r="H238" s="179"/>
      <c r="I238" s="179"/>
    </row>
    <row r="239" spans="1:9">
      <c r="A239" s="179"/>
      <c r="B239" s="179"/>
      <c r="C239" s="179"/>
      <c r="D239" s="179"/>
      <c r="E239" s="179"/>
      <c r="F239" s="179"/>
      <c r="G239" s="179"/>
      <c r="H239" s="179"/>
      <c r="I239" s="179"/>
    </row>
    <row r="240" spans="1:9">
      <c r="A240" s="179"/>
      <c r="B240" s="179"/>
      <c r="C240" s="179"/>
      <c r="D240" s="179"/>
      <c r="E240" s="179"/>
      <c r="F240" s="179"/>
      <c r="G240" s="179"/>
      <c r="H240" s="179"/>
      <c r="I240" s="179"/>
    </row>
    <row r="241" spans="1:9">
      <c r="A241" s="179"/>
      <c r="B241" s="179"/>
      <c r="C241" s="179"/>
      <c r="D241" s="179"/>
      <c r="E241" s="179"/>
      <c r="F241" s="179"/>
      <c r="G241" s="179"/>
      <c r="H241" s="179"/>
      <c r="I241" s="179"/>
    </row>
    <row r="242" spans="1:9">
      <c r="A242" s="179"/>
      <c r="B242" s="179"/>
      <c r="C242" s="179"/>
      <c r="D242" s="179"/>
      <c r="E242" s="179"/>
      <c r="F242" s="179"/>
      <c r="G242" s="179"/>
      <c r="H242" s="179"/>
      <c r="I242" s="179"/>
    </row>
    <row r="243" spans="1:9">
      <c r="A243" s="179"/>
      <c r="B243" s="179"/>
      <c r="C243" s="179"/>
      <c r="D243" s="179"/>
      <c r="E243" s="179"/>
      <c r="F243" s="179"/>
      <c r="G243" s="179"/>
      <c r="H243" s="179"/>
      <c r="I243" s="179"/>
    </row>
    <row r="244" spans="1:9">
      <c r="A244" s="179"/>
      <c r="B244" s="179"/>
      <c r="C244" s="179"/>
      <c r="D244" s="179"/>
      <c r="E244" s="179"/>
      <c r="F244" s="179"/>
      <c r="G244" s="179"/>
      <c r="H244" s="179"/>
      <c r="I244" s="179"/>
    </row>
    <row r="245" spans="1:9">
      <c r="A245" s="179"/>
      <c r="B245" s="179"/>
      <c r="C245" s="179"/>
      <c r="D245" s="179"/>
      <c r="E245" s="179"/>
      <c r="F245" s="179"/>
      <c r="G245" s="179"/>
      <c r="H245" s="179"/>
      <c r="I245" s="179"/>
    </row>
    <row r="246" spans="1:9">
      <c r="A246" s="179"/>
      <c r="B246" s="179"/>
      <c r="C246" s="179"/>
      <c r="D246" s="179"/>
      <c r="E246" s="179"/>
      <c r="F246" s="179"/>
      <c r="G246" s="179"/>
      <c r="H246" s="179"/>
      <c r="I246" s="179"/>
    </row>
    <row r="247" spans="1:9">
      <c r="A247" s="179"/>
      <c r="B247" s="179"/>
      <c r="C247" s="179"/>
      <c r="D247" s="179"/>
      <c r="E247" s="179"/>
      <c r="F247" s="179"/>
      <c r="G247" s="179"/>
      <c r="H247" s="179"/>
      <c r="I247" s="179"/>
    </row>
    <row r="248" spans="1:9">
      <c r="A248" s="179"/>
      <c r="B248" s="179"/>
      <c r="C248" s="179"/>
      <c r="D248" s="179"/>
      <c r="E248" s="179"/>
      <c r="F248" s="179"/>
      <c r="G248" s="179"/>
      <c r="H248" s="179"/>
      <c r="I248" s="179"/>
    </row>
    <row r="249" spans="1:9">
      <c r="A249" s="179"/>
      <c r="B249" s="179"/>
      <c r="C249" s="179"/>
      <c r="D249" s="179"/>
      <c r="E249" s="179"/>
      <c r="F249" s="179"/>
      <c r="G249" s="179"/>
      <c r="H249" s="179"/>
      <c r="I249" s="179"/>
    </row>
    <row r="250" spans="1:9">
      <c r="A250" s="179"/>
      <c r="B250" s="179"/>
      <c r="C250" s="179"/>
      <c r="D250" s="179"/>
      <c r="E250" s="179"/>
      <c r="F250" s="179"/>
      <c r="G250" s="179"/>
      <c r="H250" s="179"/>
      <c r="I250" s="179"/>
    </row>
    <row r="251" spans="1:9">
      <c r="A251" s="179"/>
      <c r="B251" s="179"/>
      <c r="C251" s="179"/>
      <c r="D251" s="179"/>
      <c r="E251" s="179"/>
      <c r="F251" s="179"/>
      <c r="G251" s="179"/>
      <c r="H251" s="179"/>
      <c r="I251" s="179"/>
    </row>
    <row r="252" spans="1:9">
      <c r="A252" s="179"/>
      <c r="B252" s="179"/>
      <c r="C252" s="179"/>
      <c r="D252" s="179"/>
      <c r="E252" s="179"/>
      <c r="F252" s="179"/>
      <c r="G252" s="179"/>
      <c r="H252" s="179"/>
      <c r="I252" s="179"/>
    </row>
    <row r="253" spans="1:9">
      <c r="A253" s="179"/>
      <c r="B253" s="179"/>
      <c r="C253" s="179"/>
      <c r="D253" s="179"/>
      <c r="E253" s="179"/>
      <c r="F253" s="179"/>
      <c r="G253" s="179"/>
      <c r="H253" s="179"/>
      <c r="I253" s="179"/>
    </row>
    <row r="254" spans="1:9">
      <c r="A254" s="179"/>
      <c r="B254" s="179"/>
      <c r="C254" s="179"/>
      <c r="D254" s="179"/>
      <c r="E254" s="179"/>
      <c r="F254" s="179"/>
      <c r="G254" s="179"/>
      <c r="H254" s="179"/>
      <c r="I254" s="179"/>
    </row>
    <row r="255" spans="1:9">
      <c r="A255" s="179"/>
      <c r="B255" s="179"/>
      <c r="C255" s="179"/>
      <c r="D255" s="179"/>
      <c r="E255" s="179"/>
      <c r="F255" s="179"/>
      <c r="G255" s="179"/>
      <c r="H255" s="179"/>
      <c r="I255" s="179"/>
    </row>
    <row r="256" spans="1:9">
      <c r="A256" s="179"/>
      <c r="B256" s="179"/>
      <c r="C256" s="179"/>
      <c r="D256" s="179"/>
      <c r="E256" s="179"/>
      <c r="F256" s="179"/>
      <c r="G256" s="179"/>
      <c r="H256" s="179"/>
      <c r="I256" s="179"/>
    </row>
    <row r="257" spans="1:9">
      <c r="A257" s="179"/>
      <c r="B257" s="179"/>
      <c r="C257" s="179"/>
      <c r="D257" s="179"/>
      <c r="E257" s="179"/>
      <c r="F257" s="179"/>
      <c r="G257" s="179"/>
      <c r="H257" s="179"/>
      <c r="I257" s="179"/>
    </row>
    <row r="258" spans="1:9">
      <c r="A258" s="179"/>
      <c r="B258" s="179"/>
      <c r="C258" s="179"/>
      <c r="D258" s="179"/>
      <c r="E258" s="179"/>
      <c r="F258" s="179"/>
      <c r="G258" s="179"/>
      <c r="H258" s="179"/>
      <c r="I258" s="179"/>
    </row>
    <row r="259" spans="1:9">
      <c r="A259" s="179"/>
      <c r="B259" s="179"/>
      <c r="C259" s="179"/>
      <c r="D259" s="179"/>
      <c r="E259" s="179"/>
      <c r="F259" s="179"/>
      <c r="G259" s="179"/>
      <c r="H259" s="179"/>
      <c r="I259" s="179"/>
    </row>
    <row r="260" spans="1:9">
      <c r="A260" s="179"/>
      <c r="B260" s="179"/>
      <c r="C260" s="179"/>
      <c r="D260" s="179"/>
      <c r="E260" s="179"/>
      <c r="F260" s="179"/>
      <c r="G260" s="179"/>
      <c r="H260" s="179"/>
      <c r="I260" s="179"/>
    </row>
    <row r="261" spans="1:9">
      <c r="A261" s="179"/>
      <c r="B261" s="179"/>
      <c r="C261" s="179"/>
      <c r="D261" s="179"/>
      <c r="E261" s="179"/>
      <c r="F261" s="179"/>
      <c r="G261" s="179"/>
      <c r="H261" s="179"/>
      <c r="I261" s="179"/>
    </row>
    <row r="262" spans="1:9">
      <c r="A262" s="179"/>
      <c r="B262" s="179"/>
      <c r="C262" s="179"/>
      <c r="D262" s="179"/>
      <c r="E262" s="179"/>
      <c r="F262" s="179"/>
      <c r="G262" s="179"/>
      <c r="H262" s="179"/>
      <c r="I262" s="179"/>
    </row>
    <row r="263" spans="1:9">
      <c r="A263" s="179"/>
      <c r="B263" s="179"/>
      <c r="C263" s="179"/>
      <c r="D263" s="179"/>
      <c r="E263" s="179"/>
      <c r="F263" s="179"/>
      <c r="G263" s="179"/>
      <c r="H263" s="179"/>
      <c r="I263" s="179"/>
    </row>
    <row r="264" spans="1:9">
      <c r="A264" s="179"/>
      <c r="B264" s="179"/>
      <c r="C264" s="179"/>
      <c r="D264" s="179"/>
      <c r="E264" s="179"/>
      <c r="F264" s="179"/>
      <c r="G264" s="179"/>
      <c r="H264" s="179"/>
      <c r="I264" s="179"/>
    </row>
    <row r="265" spans="1:9">
      <c r="A265" s="179"/>
      <c r="B265" s="179"/>
      <c r="C265" s="179"/>
      <c r="D265" s="179"/>
      <c r="E265" s="179"/>
      <c r="F265" s="179"/>
      <c r="G265" s="179"/>
      <c r="H265" s="179"/>
      <c r="I265" s="179"/>
    </row>
    <row r="266" spans="1:9">
      <c r="A266" s="179"/>
      <c r="B266" s="179"/>
      <c r="C266" s="179"/>
      <c r="D266" s="179"/>
      <c r="E266" s="179"/>
      <c r="F266" s="179"/>
      <c r="G266" s="179"/>
      <c r="H266" s="179"/>
      <c r="I266" s="179"/>
    </row>
    <row r="267" spans="1:9">
      <c r="A267" s="179"/>
      <c r="B267" s="179"/>
      <c r="C267" s="179"/>
      <c r="D267" s="179"/>
      <c r="E267" s="179"/>
      <c r="F267" s="179"/>
      <c r="G267" s="179"/>
      <c r="H267" s="179"/>
      <c r="I267" s="179"/>
    </row>
    <row r="268" spans="1:9">
      <c r="A268" s="179"/>
      <c r="B268" s="179"/>
      <c r="C268" s="179"/>
      <c r="D268" s="179"/>
      <c r="E268" s="179"/>
      <c r="F268" s="179"/>
      <c r="G268" s="179"/>
      <c r="H268" s="179"/>
      <c r="I268" s="179"/>
    </row>
    <row r="269" spans="1:9">
      <c r="A269" s="179"/>
      <c r="B269" s="179"/>
      <c r="C269" s="179"/>
      <c r="D269" s="179"/>
      <c r="E269" s="179"/>
      <c r="F269" s="179"/>
      <c r="G269" s="179"/>
      <c r="H269" s="179"/>
      <c r="I269" s="179"/>
    </row>
    <row r="270" spans="1:9">
      <c r="A270" s="179"/>
      <c r="B270" s="179"/>
      <c r="C270" s="179"/>
      <c r="D270" s="179"/>
      <c r="E270" s="179"/>
      <c r="F270" s="179"/>
      <c r="G270" s="179"/>
      <c r="H270" s="179"/>
      <c r="I270" s="179"/>
    </row>
    <row r="271" spans="1:9">
      <c r="A271" s="179"/>
      <c r="B271" s="179"/>
      <c r="C271" s="179"/>
      <c r="D271" s="179"/>
      <c r="E271" s="179"/>
      <c r="F271" s="179"/>
      <c r="G271" s="179"/>
      <c r="H271" s="179"/>
      <c r="I271" s="179"/>
    </row>
    <row r="272" spans="1:9">
      <c r="A272" s="179"/>
      <c r="B272" s="179"/>
      <c r="C272" s="179"/>
      <c r="D272" s="179"/>
      <c r="E272" s="179"/>
      <c r="F272" s="179"/>
      <c r="G272" s="179"/>
      <c r="H272" s="179"/>
      <c r="I272" s="179"/>
    </row>
    <row r="273" spans="1:9">
      <c r="A273" s="179"/>
      <c r="B273" s="179"/>
      <c r="C273" s="179"/>
      <c r="D273" s="179"/>
      <c r="E273" s="179"/>
      <c r="F273" s="179"/>
      <c r="G273" s="179"/>
      <c r="H273" s="179"/>
      <c r="I273" s="179"/>
    </row>
    <row r="274" spans="1:9">
      <c r="A274" s="179"/>
      <c r="B274" s="179"/>
      <c r="C274" s="179"/>
      <c r="D274" s="179"/>
      <c r="E274" s="179"/>
      <c r="F274" s="179"/>
      <c r="G274" s="179"/>
      <c r="H274" s="179"/>
      <c r="I274" s="179"/>
    </row>
    <row r="275" spans="1:9">
      <c r="A275" s="179"/>
      <c r="B275" s="179"/>
      <c r="C275" s="179"/>
      <c r="D275" s="179"/>
      <c r="E275" s="179"/>
      <c r="F275" s="179"/>
      <c r="G275" s="179"/>
      <c r="H275" s="179"/>
      <c r="I275" s="179"/>
    </row>
    <row r="276" spans="1:9">
      <c r="A276" s="179"/>
      <c r="B276" s="179"/>
      <c r="C276" s="179"/>
      <c r="D276" s="179"/>
      <c r="E276" s="179"/>
      <c r="F276" s="179"/>
      <c r="G276" s="179"/>
      <c r="H276" s="179"/>
      <c r="I276" s="179"/>
    </row>
    <row r="277" spans="1:9">
      <c r="A277" s="179"/>
      <c r="B277" s="179"/>
      <c r="C277" s="179"/>
      <c r="D277" s="179"/>
      <c r="E277" s="179"/>
      <c r="F277" s="179"/>
      <c r="G277" s="179"/>
      <c r="H277" s="179"/>
      <c r="I277" s="179"/>
    </row>
    <row r="278" spans="1:9">
      <c r="A278" s="179"/>
      <c r="B278" s="179"/>
      <c r="C278" s="179"/>
      <c r="D278" s="179"/>
      <c r="E278" s="179"/>
      <c r="F278" s="179"/>
      <c r="G278" s="179"/>
      <c r="H278" s="179"/>
      <c r="I278" s="179"/>
    </row>
    <row r="279" spans="1:9">
      <c r="A279" s="179"/>
      <c r="B279" s="179"/>
      <c r="C279" s="179"/>
      <c r="D279" s="179"/>
      <c r="E279" s="179"/>
      <c r="F279" s="179"/>
      <c r="G279" s="179"/>
      <c r="H279" s="179"/>
      <c r="I279" s="179"/>
    </row>
    <row r="280" spans="1:9">
      <c r="A280" s="179"/>
      <c r="B280" s="179"/>
      <c r="C280" s="179"/>
      <c r="D280" s="179"/>
      <c r="E280" s="179"/>
      <c r="F280" s="179"/>
      <c r="G280" s="179"/>
      <c r="H280" s="179"/>
      <c r="I280" s="179"/>
    </row>
    <row r="281" spans="1:9">
      <c r="A281" s="179"/>
      <c r="B281" s="179"/>
      <c r="C281" s="179"/>
      <c r="D281" s="179"/>
      <c r="E281" s="179"/>
      <c r="F281" s="179"/>
      <c r="G281" s="179"/>
      <c r="H281" s="179"/>
      <c r="I281" s="179"/>
    </row>
    <row r="282" spans="1:9">
      <c r="A282" s="179"/>
      <c r="B282" s="179"/>
      <c r="C282" s="179"/>
      <c r="D282" s="179"/>
      <c r="E282" s="179"/>
      <c r="F282" s="179"/>
      <c r="G282" s="179"/>
      <c r="H282" s="179"/>
      <c r="I282" s="179"/>
    </row>
    <row r="283" spans="1:9">
      <c r="A283" s="179"/>
      <c r="B283" s="179"/>
      <c r="C283" s="179"/>
      <c r="D283" s="179"/>
      <c r="E283" s="179"/>
      <c r="F283" s="179"/>
      <c r="G283" s="179"/>
      <c r="H283" s="179"/>
      <c r="I283" s="179"/>
    </row>
    <row r="284" spans="1:9">
      <c r="A284" s="179"/>
      <c r="B284" s="179"/>
      <c r="C284" s="179"/>
      <c r="D284" s="179"/>
      <c r="E284" s="179"/>
      <c r="F284" s="179"/>
      <c r="G284" s="179"/>
      <c r="H284" s="179"/>
      <c r="I284" s="179"/>
    </row>
    <row r="285" spans="1:9">
      <c r="A285" s="179"/>
      <c r="B285" s="179"/>
      <c r="C285" s="179"/>
      <c r="D285" s="179"/>
      <c r="E285" s="179"/>
      <c r="F285" s="179"/>
      <c r="G285" s="179"/>
      <c r="H285" s="179"/>
      <c r="I285" s="179"/>
    </row>
    <row r="286" spans="1:9">
      <c r="A286" s="179"/>
      <c r="B286" s="179"/>
      <c r="C286" s="179"/>
      <c r="D286" s="179"/>
      <c r="E286" s="179"/>
      <c r="F286" s="179"/>
      <c r="G286" s="179"/>
      <c r="H286" s="179"/>
      <c r="I286" s="179"/>
    </row>
    <row r="287" spans="1:9">
      <c r="A287" s="179"/>
      <c r="B287" s="179"/>
      <c r="C287" s="179"/>
      <c r="D287" s="179"/>
      <c r="E287" s="179"/>
      <c r="F287" s="179"/>
      <c r="G287" s="179"/>
      <c r="H287" s="179"/>
      <c r="I287" s="179"/>
    </row>
    <row r="288" spans="1:9">
      <c r="A288" s="179"/>
      <c r="B288" s="179"/>
      <c r="C288" s="179"/>
      <c r="D288" s="179"/>
      <c r="E288" s="179"/>
      <c r="F288" s="179"/>
      <c r="G288" s="179"/>
      <c r="H288" s="179"/>
      <c r="I288" s="179"/>
    </row>
    <row r="289" spans="1:9">
      <c r="A289" s="179"/>
      <c r="B289" s="179"/>
      <c r="C289" s="179"/>
      <c r="D289" s="179"/>
      <c r="E289" s="179"/>
      <c r="F289" s="179"/>
      <c r="G289" s="179"/>
      <c r="H289" s="179"/>
      <c r="I289" s="179"/>
    </row>
    <row r="290" spans="1:9">
      <c r="A290" s="179"/>
      <c r="B290" s="179"/>
      <c r="C290" s="179"/>
      <c r="D290" s="179"/>
      <c r="E290" s="179"/>
      <c r="F290" s="179"/>
      <c r="G290" s="179"/>
      <c r="H290" s="179"/>
      <c r="I290" s="179"/>
    </row>
    <row r="291" spans="1:9">
      <c r="A291" s="179"/>
      <c r="B291" s="179"/>
      <c r="C291" s="179"/>
      <c r="D291" s="179"/>
      <c r="E291" s="179"/>
      <c r="F291" s="179"/>
      <c r="G291" s="179"/>
      <c r="H291" s="179"/>
      <c r="I291" s="179"/>
    </row>
    <row r="292" spans="1:9">
      <c r="A292" s="179"/>
      <c r="B292" s="179"/>
      <c r="C292" s="179"/>
      <c r="D292" s="179"/>
      <c r="E292" s="179"/>
      <c r="F292" s="179"/>
      <c r="G292" s="179"/>
      <c r="H292" s="179"/>
      <c r="I292" s="179"/>
    </row>
    <row r="293" spans="1:9">
      <c r="A293" s="179"/>
      <c r="B293" s="179"/>
      <c r="C293" s="179"/>
      <c r="D293" s="179"/>
      <c r="E293" s="179"/>
      <c r="F293" s="179"/>
      <c r="G293" s="179"/>
      <c r="H293" s="179"/>
      <c r="I293" s="179"/>
    </row>
    <row r="294" spans="1:9">
      <c r="A294" s="179"/>
      <c r="B294" s="179"/>
      <c r="C294" s="179"/>
      <c r="D294" s="179"/>
      <c r="E294" s="179"/>
      <c r="F294" s="179"/>
      <c r="G294" s="179"/>
      <c r="H294" s="179"/>
      <c r="I294" s="179"/>
    </row>
    <row r="295" spans="1:9">
      <c r="A295" s="179"/>
      <c r="B295" s="179"/>
      <c r="C295" s="179"/>
      <c r="D295" s="179"/>
      <c r="E295" s="179"/>
      <c r="F295" s="179"/>
      <c r="G295" s="179"/>
      <c r="H295" s="179"/>
      <c r="I295" s="179"/>
    </row>
    <row r="296" spans="1:9">
      <c r="A296" s="179"/>
      <c r="B296" s="179"/>
      <c r="C296" s="179"/>
      <c r="D296" s="179"/>
      <c r="E296" s="179"/>
      <c r="F296" s="179"/>
      <c r="G296" s="179"/>
      <c r="H296" s="179"/>
      <c r="I296" s="179"/>
    </row>
    <row r="297" spans="1:9">
      <c r="A297" s="179"/>
      <c r="B297" s="179"/>
      <c r="C297" s="179"/>
      <c r="D297" s="179"/>
      <c r="E297" s="179"/>
      <c r="F297" s="179"/>
      <c r="G297" s="179"/>
      <c r="H297" s="179"/>
      <c r="I297" s="179"/>
    </row>
    <row r="298" spans="1:9">
      <c r="A298" s="179"/>
      <c r="B298" s="179"/>
      <c r="C298" s="179"/>
      <c r="D298" s="179"/>
      <c r="E298" s="179"/>
      <c r="F298" s="179"/>
      <c r="G298" s="179"/>
      <c r="H298" s="179"/>
      <c r="I298" s="179"/>
    </row>
    <row r="299" spans="1:9">
      <c r="A299" s="179"/>
      <c r="B299" s="179"/>
      <c r="C299" s="179"/>
      <c r="D299" s="179"/>
      <c r="E299" s="179"/>
      <c r="F299" s="179"/>
      <c r="G299" s="179"/>
      <c r="H299" s="179"/>
      <c r="I299" s="179"/>
    </row>
    <row r="300" spans="1:9">
      <c r="A300" s="179"/>
      <c r="B300" s="179"/>
      <c r="C300" s="179"/>
      <c r="D300" s="179"/>
      <c r="E300" s="179"/>
      <c r="F300" s="179"/>
      <c r="G300" s="179"/>
      <c r="H300" s="179"/>
      <c r="I300" s="179"/>
    </row>
    <row r="301" spans="1:9">
      <c r="A301" s="179"/>
      <c r="B301" s="179"/>
      <c r="C301" s="179"/>
      <c r="D301" s="179"/>
      <c r="E301" s="179"/>
      <c r="F301" s="179"/>
      <c r="G301" s="179"/>
      <c r="H301" s="179"/>
      <c r="I301" s="179"/>
    </row>
    <row r="302" spans="1:9">
      <c r="A302" s="179"/>
      <c r="B302" s="179"/>
      <c r="C302" s="179"/>
      <c r="D302" s="179"/>
      <c r="E302" s="179"/>
      <c r="F302" s="179"/>
      <c r="G302" s="179"/>
      <c r="H302" s="179"/>
      <c r="I302" s="179"/>
    </row>
    <row r="303" spans="1:9">
      <c r="A303" s="179"/>
      <c r="B303" s="179"/>
      <c r="C303" s="179"/>
      <c r="D303" s="179"/>
      <c r="E303" s="179"/>
      <c r="F303" s="179"/>
      <c r="G303" s="179"/>
      <c r="H303" s="179"/>
      <c r="I303" s="179"/>
    </row>
    <row r="304" spans="1:9">
      <c r="A304" s="179"/>
      <c r="B304" s="179"/>
      <c r="C304" s="179"/>
      <c r="D304" s="179"/>
      <c r="E304" s="179"/>
      <c r="F304" s="179"/>
      <c r="G304" s="179"/>
      <c r="H304" s="179"/>
      <c r="I304" s="179"/>
    </row>
    <row r="305" spans="1:9">
      <c r="A305" s="179"/>
      <c r="B305" s="179"/>
      <c r="C305" s="179"/>
      <c r="D305" s="179"/>
      <c r="E305" s="179"/>
      <c r="F305" s="179"/>
      <c r="G305" s="179"/>
      <c r="H305" s="179"/>
      <c r="I305" s="179"/>
    </row>
    <row r="306" spans="1:9">
      <c r="A306" s="179"/>
      <c r="B306" s="179"/>
      <c r="C306" s="179"/>
      <c r="D306" s="179"/>
      <c r="E306" s="179"/>
      <c r="F306" s="179"/>
      <c r="G306" s="179"/>
      <c r="H306" s="179"/>
      <c r="I306" s="179"/>
    </row>
    <row r="307" spans="1:9">
      <c r="A307" s="179"/>
      <c r="B307" s="179"/>
      <c r="C307" s="179"/>
      <c r="D307" s="179"/>
      <c r="E307" s="179"/>
      <c r="F307" s="179"/>
      <c r="G307" s="179"/>
      <c r="H307" s="179"/>
      <c r="I307" s="179"/>
    </row>
    <row r="308" spans="1:9">
      <c r="A308" s="179"/>
      <c r="B308" s="179"/>
      <c r="C308" s="179"/>
      <c r="D308" s="179"/>
      <c r="E308" s="179"/>
      <c r="F308" s="179"/>
      <c r="G308" s="179"/>
      <c r="H308" s="179"/>
      <c r="I308" s="179"/>
    </row>
    <row r="309" spans="1:9">
      <c r="A309" s="179"/>
      <c r="B309" s="179"/>
      <c r="C309" s="179"/>
      <c r="D309" s="179"/>
      <c r="E309" s="179"/>
      <c r="F309" s="179"/>
      <c r="G309" s="179"/>
      <c r="H309" s="179"/>
      <c r="I309" s="179"/>
    </row>
    <row r="310" spans="1:9">
      <c r="A310" s="179"/>
      <c r="B310" s="179"/>
      <c r="C310" s="179"/>
      <c r="D310" s="179"/>
      <c r="E310" s="179"/>
      <c r="F310" s="179"/>
      <c r="G310" s="179"/>
      <c r="H310" s="179"/>
      <c r="I310" s="179"/>
    </row>
    <row r="311" spans="1:9">
      <c r="A311" s="179"/>
      <c r="B311" s="179"/>
      <c r="C311" s="179"/>
      <c r="D311" s="179"/>
      <c r="E311" s="179"/>
      <c r="F311" s="179"/>
      <c r="G311" s="179"/>
      <c r="H311" s="179"/>
      <c r="I311" s="179"/>
    </row>
    <row r="312" spans="1:9">
      <c r="A312" s="179"/>
      <c r="B312" s="179"/>
      <c r="C312" s="179"/>
      <c r="D312" s="179"/>
      <c r="E312" s="179"/>
      <c r="F312" s="179"/>
      <c r="G312" s="179"/>
      <c r="H312" s="179"/>
      <c r="I312" s="179"/>
    </row>
    <row r="313" spans="1:9">
      <c r="A313" s="179"/>
      <c r="B313" s="179"/>
      <c r="C313" s="179"/>
      <c r="D313" s="179"/>
      <c r="E313" s="179"/>
      <c r="F313" s="179"/>
      <c r="G313" s="179"/>
      <c r="H313" s="179"/>
      <c r="I313" s="179"/>
    </row>
    <row r="314" spans="1:9">
      <c r="A314" s="179"/>
      <c r="B314" s="179"/>
      <c r="C314" s="179"/>
      <c r="D314" s="179"/>
      <c r="E314" s="179"/>
      <c r="F314" s="179"/>
      <c r="G314" s="179"/>
      <c r="H314" s="179"/>
      <c r="I314" s="179"/>
    </row>
    <row r="315" spans="1:9">
      <c r="A315" s="179"/>
      <c r="B315" s="179"/>
      <c r="C315" s="179"/>
      <c r="D315" s="179"/>
      <c r="E315" s="179"/>
      <c r="F315" s="179"/>
      <c r="G315" s="179"/>
      <c r="H315" s="179"/>
      <c r="I315" s="179"/>
    </row>
    <row r="316" spans="1:9">
      <c r="A316" s="179"/>
      <c r="B316" s="179"/>
      <c r="C316" s="179"/>
      <c r="D316" s="179"/>
      <c r="E316" s="179"/>
      <c r="F316" s="179"/>
      <c r="G316" s="179"/>
      <c r="H316" s="179"/>
      <c r="I316" s="179"/>
    </row>
    <row r="317" spans="1:9">
      <c r="A317" s="179"/>
      <c r="B317" s="179"/>
      <c r="C317" s="179"/>
      <c r="D317" s="179"/>
      <c r="E317" s="179"/>
      <c r="F317" s="179"/>
      <c r="G317" s="179"/>
      <c r="H317" s="179"/>
      <c r="I317" s="179"/>
    </row>
    <row r="318" spans="1:9">
      <c r="A318" s="179"/>
      <c r="B318" s="179"/>
      <c r="C318" s="179"/>
      <c r="D318" s="179"/>
      <c r="E318" s="179"/>
      <c r="F318" s="179"/>
      <c r="G318" s="179"/>
      <c r="H318" s="179"/>
      <c r="I318" s="179"/>
    </row>
    <row r="319" spans="1:9">
      <c r="A319" s="179"/>
      <c r="B319" s="179"/>
      <c r="C319" s="179"/>
      <c r="D319" s="179"/>
      <c r="E319" s="179"/>
      <c r="F319" s="179"/>
      <c r="G319" s="179"/>
      <c r="H319" s="179"/>
      <c r="I319" s="179"/>
    </row>
    <row r="320" spans="1:9">
      <c r="A320" s="179"/>
      <c r="B320" s="179"/>
      <c r="C320" s="179"/>
      <c r="D320" s="179"/>
      <c r="E320" s="179"/>
      <c r="F320" s="179"/>
      <c r="G320" s="179"/>
      <c r="H320" s="179"/>
      <c r="I320" s="179"/>
    </row>
    <row r="321" spans="1:9">
      <c r="A321" s="179"/>
      <c r="B321" s="179"/>
      <c r="C321" s="179"/>
      <c r="D321" s="179"/>
      <c r="E321" s="179"/>
      <c r="F321" s="179"/>
      <c r="G321" s="179"/>
      <c r="H321" s="179"/>
      <c r="I321" s="179"/>
    </row>
    <row r="322" spans="1:9">
      <c r="A322" s="179"/>
      <c r="B322" s="179"/>
      <c r="C322" s="179"/>
      <c r="D322" s="179"/>
      <c r="E322" s="179"/>
      <c r="F322" s="179"/>
      <c r="G322" s="179"/>
      <c r="H322" s="179"/>
      <c r="I322" s="179"/>
    </row>
    <row r="323" spans="1:9">
      <c r="A323" s="179"/>
      <c r="B323" s="179"/>
      <c r="C323" s="179"/>
      <c r="D323" s="179"/>
      <c r="E323" s="179"/>
      <c r="F323" s="179"/>
      <c r="G323" s="179"/>
      <c r="H323" s="179"/>
      <c r="I323" s="179"/>
    </row>
    <row r="324" spans="1:9">
      <c r="A324" s="179"/>
      <c r="B324" s="179"/>
      <c r="C324" s="179"/>
      <c r="D324" s="179"/>
      <c r="E324" s="179"/>
      <c r="F324" s="179"/>
      <c r="G324" s="179"/>
      <c r="H324" s="179"/>
      <c r="I324" s="179"/>
    </row>
    <row r="325" spans="1:9">
      <c r="A325" s="179"/>
      <c r="B325" s="179"/>
      <c r="C325" s="179"/>
      <c r="D325" s="179"/>
      <c r="E325" s="179"/>
      <c r="F325" s="179"/>
      <c r="G325" s="179"/>
      <c r="H325" s="179"/>
      <c r="I325" s="179"/>
    </row>
    <row r="326" spans="1:9">
      <c r="A326" s="179"/>
      <c r="B326" s="179"/>
      <c r="C326" s="179"/>
      <c r="D326" s="179"/>
      <c r="E326" s="179"/>
      <c r="F326" s="179"/>
      <c r="G326" s="179"/>
      <c r="H326" s="179"/>
      <c r="I326" s="179"/>
    </row>
    <row r="327" spans="1:9">
      <c r="A327" s="179"/>
      <c r="B327" s="179"/>
      <c r="C327" s="179"/>
      <c r="D327" s="179"/>
      <c r="E327" s="179"/>
      <c r="F327" s="179"/>
      <c r="G327" s="179"/>
      <c r="H327" s="179"/>
      <c r="I327" s="179"/>
    </row>
    <row r="328" spans="1:9">
      <c r="A328" s="179"/>
      <c r="B328" s="179"/>
      <c r="C328" s="179"/>
      <c r="D328" s="179"/>
      <c r="E328" s="179"/>
      <c r="F328" s="179"/>
      <c r="G328" s="179"/>
      <c r="H328" s="179"/>
      <c r="I328" s="179"/>
    </row>
    <row r="329" spans="1:9">
      <c r="A329" s="179"/>
      <c r="B329" s="179"/>
      <c r="C329" s="179"/>
      <c r="D329" s="179"/>
      <c r="E329" s="179"/>
      <c r="F329" s="179"/>
      <c r="G329" s="179"/>
      <c r="H329" s="179"/>
      <c r="I329" s="179"/>
    </row>
    <row r="330" spans="1:9">
      <c r="A330" s="179"/>
      <c r="B330" s="179"/>
      <c r="C330" s="179"/>
      <c r="D330" s="179"/>
      <c r="E330" s="179"/>
      <c r="F330" s="179"/>
      <c r="G330" s="179"/>
      <c r="H330" s="179"/>
      <c r="I330" s="179"/>
    </row>
    <row r="331" spans="1:9">
      <c r="A331" s="179"/>
      <c r="B331" s="179"/>
      <c r="C331" s="179"/>
      <c r="D331" s="179"/>
      <c r="E331" s="179"/>
      <c r="F331" s="179"/>
      <c r="G331" s="179"/>
      <c r="H331" s="179"/>
      <c r="I331" s="179"/>
    </row>
    <row r="332" spans="1:9">
      <c r="A332" s="179"/>
      <c r="B332" s="179"/>
      <c r="C332" s="179"/>
      <c r="D332" s="179"/>
      <c r="E332" s="179"/>
      <c r="F332" s="179"/>
      <c r="G332" s="179"/>
      <c r="H332" s="179"/>
      <c r="I332" s="179"/>
    </row>
    <row r="333" spans="1:9">
      <c r="A333" s="179"/>
      <c r="B333" s="179"/>
      <c r="C333" s="179"/>
      <c r="D333" s="179"/>
      <c r="E333" s="179"/>
      <c r="F333" s="179"/>
      <c r="G333" s="179"/>
      <c r="H333" s="179"/>
      <c r="I333" s="179"/>
    </row>
    <row r="334" spans="1:9">
      <c r="A334" s="179"/>
      <c r="B334" s="179"/>
      <c r="C334" s="179"/>
      <c r="D334" s="179"/>
      <c r="E334" s="179"/>
      <c r="F334" s="179"/>
      <c r="G334" s="179"/>
      <c r="H334" s="179"/>
      <c r="I334" s="179"/>
    </row>
    <row r="335" spans="1:9">
      <c r="A335" s="179"/>
      <c r="B335" s="179"/>
      <c r="C335" s="179"/>
      <c r="D335" s="179"/>
      <c r="E335" s="179"/>
      <c r="F335" s="179"/>
      <c r="G335" s="179"/>
      <c r="H335" s="179"/>
      <c r="I335" s="179"/>
    </row>
    <row r="336" spans="1:9">
      <c r="A336" s="179"/>
      <c r="B336" s="179"/>
      <c r="C336" s="179"/>
      <c r="D336" s="179"/>
      <c r="E336" s="179"/>
      <c r="F336" s="179"/>
      <c r="G336" s="179"/>
      <c r="H336" s="179"/>
      <c r="I336" s="179"/>
    </row>
    <row r="337" spans="1:9">
      <c r="A337" s="179"/>
      <c r="B337" s="179"/>
      <c r="C337" s="179"/>
      <c r="D337" s="179"/>
      <c r="E337" s="179"/>
      <c r="F337" s="179"/>
      <c r="G337" s="179"/>
      <c r="H337" s="179"/>
      <c r="I337" s="179"/>
    </row>
    <row r="338" spans="1:9">
      <c r="A338" s="179"/>
      <c r="B338" s="179"/>
      <c r="C338" s="179"/>
      <c r="D338" s="179"/>
      <c r="E338" s="179"/>
      <c r="F338" s="179"/>
      <c r="G338" s="179"/>
      <c r="H338" s="179"/>
      <c r="I338" s="179"/>
    </row>
    <row r="339" spans="1:9">
      <c r="A339" s="179"/>
      <c r="B339" s="179"/>
      <c r="C339" s="179"/>
      <c r="D339" s="179"/>
      <c r="E339" s="179"/>
      <c r="F339" s="179"/>
      <c r="G339" s="179"/>
      <c r="H339" s="179"/>
      <c r="I339" s="179"/>
    </row>
    <row r="340" spans="1:9">
      <c r="A340" s="179"/>
      <c r="B340" s="179"/>
      <c r="C340" s="179"/>
      <c r="D340" s="179"/>
      <c r="E340" s="179"/>
      <c r="F340" s="179"/>
      <c r="G340" s="179"/>
      <c r="H340" s="179"/>
      <c r="I340" s="179"/>
    </row>
    <row r="341" spans="1:9">
      <c r="A341" s="179"/>
      <c r="B341" s="179"/>
      <c r="C341" s="179"/>
      <c r="D341" s="179"/>
      <c r="E341" s="179"/>
      <c r="F341" s="179"/>
      <c r="G341" s="179"/>
      <c r="H341" s="179"/>
      <c r="I341" s="179"/>
    </row>
    <row r="342" spans="1:9">
      <c r="A342" s="179"/>
      <c r="B342" s="179"/>
      <c r="C342" s="179"/>
      <c r="D342" s="179"/>
      <c r="E342" s="179"/>
      <c r="F342" s="179"/>
      <c r="G342" s="179"/>
      <c r="H342" s="179"/>
      <c r="I342" s="179"/>
    </row>
    <row r="343" spans="1:9">
      <c r="A343" s="179"/>
      <c r="B343" s="179"/>
      <c r="C343" s="179"/>
      <c r="D343" s="179"/>
      <c r="E343" s="179"/>
      <c r="F343" s="179"/>
      <c r="G343" s="179"/>
      <c r="H343" s="179"/>
      <c r="I343" s="179"/>
    </row>
    <row r="344" spans="1:9">
      <c r="A344" s="179"/>
      <c r="B344" s="179"/>
      <c r="C344" s="179"/>
      <c r="D344" s="179"/>
      <c r="E344" s="179"/>
      <c r="F344" s="179"/>
      <c r="G344" s="179"/>
      <c r="H344" s="179"/>
      <c r="I344" s="179"/>
    </row>
    <row r="345" spans="1:9">
      <c r="A345" s="179"/>
      <c r="B345" s="179"/>
      <c r="C345" s="179"/>
      <c r="D345" s="179"/>
      <c r="E345" s="179"/>
      <c r="F345" s="179"/>
      <c r="G345" s="179"/>
      <c r="H345" s="179"/>
      <c r="I345" s="179"/>
    </row>
    <row r="346" spans="1:9">
      <c r="A346" s="179"/>
      <c r="B346" s="179"/>
      <c r="C346" s="179"/>
      <c r="D346" s="179"/>
      <c r="E346" s="179"/>
      <c r="F346" s="179"/>
      <c r="G346" s="179"/>
      <c r="H346" s="179"/>
      <c r="I346" s="179"/>
    </row>
    <row r="347" spans="1:9">
      <c r="A347" s="179"/>
      <c r="B347" s="179"/>
      <c r="C347" s="179"/>
      <c r="D347" s="179"/>
      <c r="E347" s="179"/>
      <c r="F347" s="179"/>
      <c r="G347" s="179"/>
      <c r="H347" s="179"/>
      <c r="I347" s="179"/>
    </row>
    <row r="348" spans="1:9">
      <c r="A348" s="179"/>
      <c r="B348" s="179"/>
      <c r="C348" s="179"/>
      <c r="D348" s="179"/>
      <c r="E348" s="179"/>
      <c r="F348" s="179"/>
      <c r="G348" s="179"/>
      <c r="H348" s="179"/>
      <c r="I348" s="179"/>
    </row>
    <row r="349" spans="1:9">
      <c r="A349" s="179"/>
      <c r="B349" s="179"/>
      <c r="C349" s="179"/>
      <c r="D349" s="179"/>
      <c r="E349" s="179"/>
      <c r="F349" s="179"/>
      <c r="G349" s="179"/>
      <c r="H349" s="179"/>
      <c r="I349" s="179"/>
    </row>
    <row r="350" spans="1:9">
      <c r="A350" s="179"/>
      <c r="B350" s="179"/>
      <c r="C350" s="179"/>
      <c r="D350" s="179"/>
      <c r="E350" s="179"/>
      <c r="F350" s="179"/>
      <c r="G350" s="179"/>
      <c r="H350" s="179"/>
      <c r="I350" s="179"/>
    </row>
    <row r="351" spans="1:9">
      <c r="A351" s="179"/>
      <c r="B351" s="179"/>
      <c r="C351" s="179"/>
      <c r="D351" s="179"/>
      <c r="E351" s="179"/>
      <c r="F351" s="179"/>
      <c r="G351" s="179"/>
      <c r="H351" s="179"/>
      <c r="I351" s="179"/>
    </row>
    <row r="352" spans="1:9">
      <c r="A352" s="179"/>
      <c r="B352" s="179"/>
      <c r="C352" s="179"/>
      <c r="D352" s="179"/>
      <c r="E352" s="179"/>
      <c r="F352" s="179"/>
      <c r="G352" s="179"/>
      <c r="H352" s="179"/>
      <c r="I352" s="179"/>
    </row>
    <row r="353" spans="1:9">
      <c r="A353" s="179"/>
      <c r="B353" s="179"/>
      <c r="C353" s="179"/>
      <c r="D353" s="179"/>
      <c r="E353" s="179"/>
      <c r="F353" s="179"/>
      <c r="G353" s="179"/>
      <c r="H353" s="179"/>
      <c r="I353" s="179"/>
    </row>
    <row r="354" spans="1:9">
      <c r="A354" s="179"/>
      <c r="B354" s="179"/>
      <c r="C354" s="179"/>
      <c r="D354" s="179"/>
      <c r="E354" s="179"/>
      <c r="F354" s="179"/>
      <c r="G354" s="179"/>
      <c r="H354" s="179"/>
      <c r="I354" s="179"/>
    </row>
    <row r="355" spans="1:9">
      <c r="A355" s="179"/>
      <c r="B355" s="179"/>
      <c r="C355" s="179"/>
      <c r="D355" s="179"/>
      <c r="E355" s="179"/>
      <c r="F355" s="179"/>
      <c r="G355" s="179"/>
      <c r="H355" s="179"/>
      <c r="I355" s="179"/>
    </row>
    <row r="356" spans="1:9">
      <c r="A356" s="179"/>
      <c r="B356" s="179"/>
      <c r="C356" s="179"/>
      <c r="D356" s="179"/>
      <c r="E356" s="179"/>
      <c r="F356" s="179"/>
      <c r="G356" s="179"/>
      <c r="H356" s="179"/>
      <c r="I356" s="179"/>
    </row>
    <row r="357" spans="1:9">
      <c r="A357" s="179"/>
      <c r="B357" s="179"/>
      <c r="C357" s="179"/>
      <c r="D357" s="179"/>
      <c r="E357" s="179"/>
      <c r="F357" s="179"/>
      <c r="G357" s="179"/>
      <c r="H357" s="179"/>
      <c r="I357" s="179"/>
    </row>
    <row r="358" spans="1:9">
      <c r="A358" s="179"/>
      <c r="B358" s="179"/>
      <c r="C358" s="179"/>
      <c r="D358" s="179"/>
      <c r="E358" s="179"/>
      <c r="F358" s="179"/>
      <c r="G358" s="179"/>
      <c r="H358" s="179"/>
      <c r="I358" s="179"/>
    </row>
    <row r="359" spans="1:9">
      <c r="A359" s="179"/>
      <c r="B359" s="179"/>
      <c r="C359" s="179"/>
      <c r="D359" s="179"/>
      <c r="E359" s="179"/>
      <c r="F359" s="179"/>
      <c r="G359" s="179"/>
      <c r="H359" s="179"/>
      <c r="I359" s="179"/>
    </row>
    <row r="360" spans="1:9">
      <c r="A360" s="179"/>
      <c r="B360" s="179"/>
      <c r="C360" s="179"/>
      <c r="D360" s="179"/>
      <c r="E360" s="179"/>
      <c r="F360" s="179"/>
      <c r="G360" s="179"/>
      <c r="H360" s="179"/>
      <c r="I360" s="179"/>
    </row>
    <row r="361" spans="1:9">
      <c r="A361" s="179"/>
      <c r="B361" s="179"/>
      <c r="C361" s="179"/>
      <c r="D361" s="179"/>
      <c r="E361" s="179"/>
      <c r="F361" s="179"/>
      <c r="G361" s="179"/>
      <c r="H361" s="179"/>
      <c r="I361" s="179"/>
    </row>
    <row r="362" spans="1:9">
      <c r="A362" s="179"/>
      <c r="B362" s="179"/>
      <c r="C362" s="179"/>
      <c r="D362" s="179"/>
      <c r="E362" s="179"/>
      <c r="F362" s="179"/>
      <c r="G362" s="179"/>
      <c r="H362" s="179"/>
      <c r="I362" s="179"/>
    </row>
    <row r="363" spans="1:9">
      <c r="A363" s="179"/>
      <c r="B363" s="179"/>
      <c r="C363" s="179"/>
      <c r="D363" s="179"/>
      <c r="E363" s="179"/>
      <c r="F363" s="179"/>
      <c r="G363" s="179"/>
      <c r="H363" s="179"/>
      <c r="I363" s="179"/>
    </row>
    <row r="364" spans="1:9">
      <c r="A364" s="179"/>
      <c r="B364" s="179"/>
      <c r="C364" s="179"/>
      <c r="D364" s="179"/>
      <c r="E364" s="179"/>
      <c r="F364" s="179"/>
      <c r="G364" s="179"/>
      <c r="H364" s="179"/>
      <c r="I364" s="179"/>
    </row>
    <row r="365" spans="1:9">
      <c r="A365" s="179"/>
      <c r="B365" s="179"/>
      <c r="C365" s="179"/>
      <c r="D365" s="179"/>
      <c r="E365" s="179"/>
      <c r="F365" s="179"/>
      <c r="G365" s="179"/>
      <c r="H365" s="179"/>
      <c r="I365" s="179"/>
    </row>
    <row r="366" spans="1:9">
      <c r="A366" s="179"/>
      <c r="B366" s="179"/>
      <c r="C366" s="179"/>
      <c r="D366" s="179"/>
      <c r="E366" s="179"/>
      <c r="F366" s="179"/>
      <c r="G366" s="179"/>
      <c r="H366" s="179"/>
      <c r="I366" s="179"/>
    </row>
    <row r="367" spans="1:9">
      <c r="A367" s="179"/>
      <c r="B367" s="179"/>
      <c r="C367" s="179"/>
      <c r="D367" s="179"/>
      <c r="E367" s="179"/>
      <c r="F367" s="179"/>
      <c r="G367" s="179"/>
      <c r="H367" s="179"/>
      <c r="I367" s="179"/>
    </row>
    <row r="368" spans="1:9">
      <c r="A368" s="179"/>
      <c r="B368" s="179"/>
      <c r="C368" s="179"/>
      <c r="D368" s="179"/>
      <c r="E368" s="179"/>
      <c r="F368" s="179"/>
      <c r="G368" s="179"/>
      <c r="H368" s="179"/>
      <c r="I368" s="179"/>
    </row>
    <row r="369" spans="1:9">
      <c r="A369" s="179"/>
      <c r="B369" s="179"/>
      <c r="C369" s="179"/>
      <c r="D369" s="179"/>
      <c r="E369" s="179"/>
      <c r="F369" s="179"/>
      <c r="G369" s="179"/>
      <c r="H369" s="179"/>
      <c r="I369" s="179"/>
    </row>
    <row r="370" spans="1:9">
      <c r="A370" s="179"/>
      <c r="B370" s="179"/>
      <c r="C370" s="179"/>
      <c r="D370" s="179"/>
      <c r="E370" s="179"/>
      <c r="F370" s="179"/>
      <c r="G370" s="179"/>
      <c r="H370" s="179"/>
      <c r="I370" s="179"/>
    </row>
    <row r="371" spans="1:9">
      <c r="A371" s="179"/>
      <c r="B371" s="179"/>
      <c r="C371" s="179"/>
      <c r="D371" s="179"/>
      <c r="E371" s="179"/>
      <c r="F371" s="179"/>
      <c r="G371" s="179"/>
      <c r="H371" s="179"/>
      <c r="I371" s="179"/>
    </row>
    <row r="372" spans="1:9">
      <c r="A372" s="179"/>
      <c r="B372" s="179"/>
      <c r="C372" s="179"/>
      <c r="D372" s="179"/>
      <c r="E372" s="179"/>
      <c r="F372" s="179"/>
      <c r="G372" s="179"/>
      <c r="H372" s="179"/>
      <c r="I372" s="179"/>
    </row>
    <row r="373" spans="1:9">
      <c r="A373" s="179"/>
      <c r="B373" s="179"/>
      <c r="C373" s="179"/>
      <c r="D373" s="179"/>
      <c r="E373" s="179"/>
      <c r="F373" s="179"/>
      <c r="G373" s="179"/>
      <c r="H373" s="179"/>
      <c r="I373" s="179"/>
    </row>
    <row r="374" spans="1:9">
      <c r="A374" s="179"/>
      <c r="B374" s="179"/>
      <c r="C374" s="179"/>
      <c r="D374" s="179"/>
      <c r="E374" s="179"/>
      <c r="F374" s="179"/>
      <c r="G374" s="179"/>
      <c r="H374" s="179"/>
      <c r="I374" s="179"/>
    </row>
    <row r="375" spans="1:9">
      <c r="A375" s="179"/>
      <c r="B375" s="179"/>
      <c r="C375" s="179"/>
      <c r="D375" s="179"/>
      <c r="E375" s="179"/>
      <c r="F375" s="179"/>
      <c r="G375" s="179"/>
      <c r="H375" s="179"/>
      <c r="I375" s="179"/>
    </row>
    <row r="376" spans="1:9">
      <c r="A376" s="179"/>
      <c r="B376" s="179"/>
      <c r="C376" s="179"/>
      <c r="D376" s="179"/>
      <c r="E376" s="179"/>
      <c r="F376" s="179"/>
      <c r="G376" s="179"/>
      <c r="H376" s="179"/>
      <c r="I376" s="179"/>
    </row>
    <row r="377" spans="1:9">
      <c r="A377" s="179"/>
      <c r="B377" s="179"/>
      <c r="C377" s="179"/>
      <c r="D377" s="179"/>
      <c r="E377" s="179"/>
      <c r="F377" s="179"/>
      <c r="G377" s="179"/>
      <c r="H377" s="179"/>
      <c r="I377" s="179"/>
    </row>
    <row r="378" spans="1:9">
      <c r="A378" s="179"/>
      <c r="B378" s="179"/>
      <c r="C378" s="179"/>
      <c r="D378" s="179"/>
      <c r="E378" s="179"/>
      <c r="F378" s="179"/>
      <c r="G378" s="179"/>
      <c r="H378" s="179"/>
      <c r="I378" s="179"/>
    </row>
    <row r="379" spans="1:9">
      <c r="A379" s="179"/>
      <c r="B379" s="179"/>
      <c r="C379" s="179"/>
      <c r="D379" s="179"/>
      <c r="E379" s="179"/>
      <c r="F379" s="179"/>
      <c r="G379" s="179"/>
      <c r="H379" s="179"/>
      <c r="I379" s="179"/>
    </row>
    <row r="380" spans="1:9">
      <c r="A380" s="179"/>
      <c r="B380" s="179"/>
      <c r="C380" s="179"/>
      <c r="D380" s="179"/>
      <c r="E380" s="179"/>
      <c r="F380" s="179"/>
      <c r="G380" s="179"/>
      <c r="H380" s="179"/>
      <c r="I380" s="179"/>
    </row>
    <row r="381" spans="1:9">
      <c r="A381" s="179"/>
      <c r="B381" s="179"/>
      <c r="C381" s="179"/>
      <c r="D381" s="179"/>
      <c r="E381" s="179"/>
      <c r="F381" s="179"/>
      <c r="G381" s="179"/>
      <c r="H381" s="179"/>
      <c r="I381" s="179"/>
    </row>
    <row r="382" spans="1:9">
      <c r="A382" s="179"/>
      <c r="B382" s="179"/>
      <c r="C382" s="179"/>
      <c r="D382" s="179"/>
      <c r="E382" s="179"/>
      <c r="F382" s="179"/>
      <c r="G382" s="179"/>
      <c r="H382" s="179"/>
      <c r="I382" s="179"/>
    </row>
    <row r="383" spans="1:9">
      <c r="A383" s="179"/>
      <c r="B383" s="179"/>
      <c r="C383" s="179"/>
      <c r="D383" s="179"/>
      <c r="E383" s="179"/>
      <c r="F383" s="179"/>
      <c r="G383" s="179"/>
      <c r="H383" s="179"/>
      <c r="I383" s="179"/>
    </row>
    <row r="384" spans="1:9">
      <c r="A384" s="179"/>
      <c r="B384" s="179"/>
      <c r="C384" s="179"/>
      <c r="D384" s="179"/>
      <c r="E384" s="179"/>
      <c r="F384" s="179"/>
      <c r="G384" s="179"/>
      <c r="H384" s="179"/>
      <c r="I384" s="179"/>
    </row>
    <row r="385" spans="1:9">
      <c r="A385" s="179"/>
      <c r="B385" s="179"/>
      <c r="C385" s="179"/>
      <c r="D385" s="179"/>
      <c r="E385" s="179"/>
      <c r="F385" s="179"/>
      <c r="G385" s="179"/>
      <c r="H385" s="179"/>
      <c r="I385" s="179"/>
    </row>
    <row r="386" spans="1:9">
      <c r="A386" s="179"/>
      <c r="B386" s="179"/>
      <c r="C386" s="179"/>
      <c r="D386" s="179"/>
      <c r="E386" s="179"/>
      <c r="F386" s="179"/>
      <c r="G386" s="179"/>
      <c r="H386" s="179"/>
      <c r="I386" s="179"/>
    </row>
    <row r="387" spans="1:9">
      <c r="A387" s="179"/>
      <c r="B387" s="179"/>
      <c r="C387" s="179"/>
      <c r="D387" s="179"/>
      <c r="E387" s="179"/>
      <c r="F387" s="179"/>
      <c r="G387" s="179"/>
      <c r="H387" s="179"/>
      <c r="I387" s="179"/>
    </row>
    <row r="388" spans="1:9">
      <c r="A388" s="179"/>
      <c r="B388" s="179"/>
      <c r="C388" s="179"/>
      <c r="D388" s="179"/>
      <c r="E388" s="179"/>
      <c r="F388" s="179"/>
      <c r="G388" s="179"/>
      <c r="H388" s="179"/>
      <c r="I388" s="179"/>
    </row>
    <row r="389" spans="1:9">
      <c r="A389" s="179"/>
      <c r="B389" s="179"/>
      <c r="C389" s="179"/>
      <c r="D389" s="179"/>
      <c r="E389" s="179"/>
      <c r="F389" s="179"/>
      <c r="G389" s="179"/>
      <c r="H389" s="179"/>
      <c r="I389" s="179"/>
    </row>
    <row r="390" spans="1:9">
      <c r="A390" s="179"/>
      <c r="B390" s="179"/>
      <c r="C390" s="179"/>
      <c r="D390" s="179"/>
      <c r="E390" s="179"/>
      <c r="F390" s="179"/>
      <c r="G390" s="179"/>
      <c r="H390" s="179"/>
      <c r="I390" s="179"/>
    </row>
    <row r="391" spans="1:9">
      <c r="A391" s="179"/>
      <c r="B391" s="179"/>
      <c r="C391" s="179"/>
      <c r="D391" s="179"/>
      <c r="E391" s="179"/>
      <c r="F391" s="179"/>
      <c r="G391" s="179"/>
      <c r="H391" s="179"/>
      <c r="I391" s="179"/>
    </row>
    <row r="392" spans="1:9">
      <c r="A392" s="179"/>
      <c r="B392" s="179"/>
      <c r="C392" s="179"/>
      <c r="D392" s="179"/>
      <c r="E392" s="179"/>
      <c r="F392" s="179"/>
      <c r="G392" s="179"/>
      <c r="H392" s="179"/>
      <c r="I392" s="179"/>
    </row>
    <row r="393" spans="1:9">
      <c r="A393" s="179"/>
      <c r="B393" s="179"/>
      <c r="C393" s="179"/>
      <c r="D393" s="179"/>
      <c r="E393" s="179"/>
      <c r="F393" s="179"/>
      <c r="G393" s="179"/>
      <c r="H393" s="179"/>
      <c r="I393" s="179"/>
    </row>
    <row r="394" spans="1:9">
      <c r="A394" s="179"/>
      <c r="B394" s="179"/>
      <c r="C394" s="179"/>
      <c r="D394" s="179"/>
      <c r="E394" s="179"/>
      <c r="F394" s="179"/>
      <c r="G394" s="179"/>
      <c r="H394" s="179"/>
      <c r="I394" s="179"/>
    </row>
    <row r="395" spans="1:9">
      <c r="A395" s="179"/>
      <c r="B395" s="179"/>
      <c r="C395" s="179"/>
      <c r="D395" s="179"/>
      <c r="E395" s="179"/>
      <c r="F395" s="179"/>
      <c r="G395" s="179"/>
      <c r="H395" s="179"/>
      <c r="I395" s="179"/>
    </row>
    <row r="396" spans="1:9">
      <c r="A396" s="179"/>
      <c r="B396" s="179"/>
      <c r="C396" s="179"/>
      <c r="D396" s="179"/>
      <c r="E396" s="179"/>
      <c r="F396" s="179"/>
      <c r="G396" s="179"/>
      <c r="H396" s="179"/>
      <c r="I396" s="179"/>
    </row>
    <row r="397" spans="1:9">
      <c r="A397" s="179"/>
      <c r="B397" s="179"/>
      <c r="C397" s="179"/>
      <c r="D397" s="179"/>
      <c r="E397" s="179"/>
      <c r="F397" s="179"/>
      <c r="G397" s="179"/>
      <c r="H397" s="179"/>
      <c r="I397" s="179"/>
    </row>
    <row r="398" spans="1:9">
      <c r="A398" s="179"/>
      <c r="B398" s="179"/>
      <c r="C398" s="179"/>
      <c r="D398" s="179"/>
      <c r="E398" s="179"/>
      <c r="F398" s="179"/>
      <c r="G398" s="179"/>
      <c r="H398" s="179"/>
      <c r="I398" s="179"/>
    </row>
    <row r="399" spans="1:9">
      <c r="A399" s="179"/>
      <c r="B399" s="179"/>
      <c r="C399" s="179"/>
      <c r="D399" s="179"/>
      <c r="E399" s="179"/>
      <c r="F399" s="179"/>
      <c r="G399" s="179"/>
      <c r="H399" s="179"/>
      <c r="I399" s="179"/>
    </row>
    <row r="400" spans="1:9">
      <c r="A400" s="179"/>
      <c r="B400" s="179"/>
      <c r="C400" s="179"/>
      <c r="D400" s="179"/>
      <c r="E400" s="179"/>
      <c r="F400" s="179"/>
      <c r="G400" s="179"/>
      <c r="H400" s="179"/>
      <c r="I400" s="179"/>
    </row>
    <row r="401" spans="1:9">
      <c r="A401" s="179"/>
      <c r="B401" s="179"/>
      <c r="C401" s="179"/>
      <c r="D401" s="179"/>
      <c r="E401" s="179"/>
      <c r="F401" s="179"/>
      <c r="G401" s="179"/>
      <c r="H401" s="179"/>
      <c r="I401" s="179"/>
    </row>
    <row r="402" spans="1:9">
      <c r="A402" s="179"/>
      <c r="B402" s="179"/>
      <c r="C402" s="179"/>
      <c r="D402" s="179"/>
      <c r="E402" s="179"/>
      <c r="F402" s="179"/>
      <c r="G402" s="179"/>
      <c r="H402" s="179"/>
      <c r="I402" s="179"/>
    </row>
    <row r="403" spans="1:9">
      <c r="A403" s="179"/>
      <c r="B403" s="179"/>
      <c r="C403" s="179"/>
      <c r="D403" s="179"/>
      <c r="E403" s="179"/>
      <c r="F403" s="179"/>
      <c r="G403" s="179"/>
      <c r="H403" s="179"/>
      <c r="I403" s="179"/>
    </row>
    <row r="404" spans="1:9">
      <c r="A404" s="179"/>
      <c r="B404" s="179"/>
      <c r="C404" s="179"/>
      <c r="D404" s="179"/>
      <c r="E404" s="179"/>
      <c r="F404" s="179"/>
      <c r="G404" s="179"/>
      <c r="H404" s="179"/>
      <c r="I404" s="179"/>
    </row>
    <row r="405" spans="1:9">
      <c r="A405" s="179"/>
      <c r="B405" s="179"/>
      <c r="C405" s="179"/>
      <c r="D405" s="179"/>
      <c r="E405" s="179"/>
      <c r="F405" s="179"/>
      <c r="G405" s="179"/>
      <c r="H405" s="179"/>
      <c r="I405" s="179"/>
    </row>
    <row r="406" spans="1:9">
      <c r="A406" s="179"/>
      <c r="B406" s="179"/>
      <c r="C406" s="179"/>
      <c r="D406" s="179"/>
      <c r="E406" s="179"/>
      <c r="F406" s="179"/>
      <c r="G406" s="179"/>
      <c r="H406" s="179"/>
      <c r="I406" s="179"/>
    </row>
    <row r="407" spans="1:9">
      <c r="A407" s="179"/>
      <c r="B407" s="179"/>
      <c r="C407" s="179"/>
      <c r="D407" s="179"/>
      <c r="E407" s="179"/>
      <c r="F407" s="179"/>
      <c r="G407" s="179"/>
      <c r="H407" s="179"/>
      <c r="I407" s="179"/>
    </row>
    <row r="408" spans="1:9">
      <c r="A408" s="179"/>
      <c r="B408" s="179"/>
      <c r="C408" s="179"/>
      <c r="D408" s="179"/>
      <c r="E408" s="179"/>
      <c r="F408" s="179"/>
      <c r="G408" s="179"/>
      <c r="H408" s="179"/>
      <c r="I408" s="179"/>
    </row>
    <row r="409" spans="1:9">
      <c r="A409" s="179"/>
      <c r="B409" s="179"/>
      <c r="C409" s="179"/>
      <c r="D409" s="179"/>
      <c r="E409" s="179"/>
      <c r="F409" s="179"/>
      <c r="G409" s="179"/>
      <c r="H409" s="179"/>
      <c r="I409" s="179"/>
    </row>
    <row r="410" spans="1:9">
      <c r="A410" s="179"/>
      <c r="B410" s="179"/>
      <c r="C410" s="179"/>
      <c r="D410" s="179"/>
      <c r="E410" s="179"/>
      <c r="F410" s="179"/>
      <c r="G410" s="179"/>
      <c r="H410" s="179"/>
      <c r="I410" s="179"/>
    </row>
    <row r="411" spans="1:9">
      <c r="A411" s="179"/>
      <c r="B411" s="179"/>
      <c r="C411" s="179"/>
      <c r="D411" s="179"/>
      <c r="E411" s="179"/>
      <c r="F411" s="179"/>
      <c r="G411" s="179"/>
      <c r="H411" s="179"/>
      <c r="I411" s="179"/>
    </row>
    <row r="412" spans="1:9">
      <c r="A412" s="179"/>
      <c r="B412" s="179"/>
      <c r="C412" s="179"/>
      <c r="D412" s="179"/>
      <c r="E412" s="179"/>
      <c r="F412" s="179"/>
      <c r="G412" s="179"/>
      <c r="H412" s="179"/>
      <c r="I412" s="179"/>
    </row>
    <row r="413" spans="1:9">
      <c r="A413" s="179"/>
      <c r="B413" s="179"/>
      <c r="C413" s="179"/>
      <c r="D413" s="179"/>
      <c r="E413" s="179"/>
      <c r="F413" s="179"/>
      <c r="G413" s="179"/>
      <c r="H413" s="179"/>
      <c r="I413" s="179"/>
    </row>
    <row r="414" spans="1:9">
      <c r="A414" s="179"/>
      <c r="B414" s="179"/>
      <c r="C414" s="179"/>
      <c r="D414" s="179"/>
      <c r="E414" s="179"/>
      <c r="F414" s="179"/>
      <c r="G414" s="179"/>
      <c r="H414" s="179"/>
      <c r="I414" s="179"/>
    </row>
    <row r="415" spans="1:9">
      <c r="A415" s="179"/>
      <c r="B415" s="179"/>
      <c r="C415" s="179"/>
      <c r="D415" s="179"/>
      <c r="E415" s="179"/>
      <c r="F415" s="179"/>
      <c r="G415" s="179"/>
      <c r="H415" s="179"/>
      <c r="I415" s="179"/>
    </row>
    <row r="416" spans="1:9">
      <c r="A416" s="179"/>
      <c r="B416" s="179"/>
      <c r="C416" s="179"/>
      <c r="D416" s="179"/>
      <c r="E416" s="179"/>
      <c r="F416" s="179"/>
      <c r="G416" s="179"/>
      <c r="H416" s="179"/>
      <c r="I416" s="179"/>
    </row>
    <row r="417" spans="1:9">
      <c r="A417" s="179"/>
      <c r="B417" s="179"/>
      <c r="C417" s="179"/>
      <c r="D417" s="179"/>
      <c r="E417" s="179"/>
      <c r="F417" s="179"/>
      <c r="G417" s="179"/>
      <c r="H417" s="179"/>
      <c r="I417" s="179"/>
    </row>
    <row r="418" spans="1:9">
      <c r="A418" s="179"/>
      <c r="B418" s="179"/>
      <c r="C418" s="179"/>
      <c r="D418" s="179"/>
      <c r="E418" s="179"/>
      <c r="F418" s="179"/>
      <c r="G418" s="179"/>
      <c r="H418" s="179"/>
      <c r="I418" s="179"/>
    </row>
    <row r="419" spans="1:9">
      <c r="A419" s="179"/>
      <c r="B419" s="179"/>
      <c r="C419" s="179"/>
      <c r="D419" s="179"/>
      <c r="E419" s="179"/>
      <c r="F419" s="179"/>
      <c r="G419" s="179"/>
      <c r="H419" s="179"/>
      <c r="I419" s="179"/>
    </row>
    <row r="420" spans="1:9">
      <c r="A420" s="179"/>
      <c r="B420" s="179"/>
      <c r="C420" s="179"/>
      <c r="D420" s="179"/>
      <c r="E420" s="179"/>
      <c r="F420" s="179"/>
      <c r="G420" s="179"/>
      <c r="H420" s="179"/>
      <c r="I420" s="179"/>
    </row>
    <row r="421" spans="1:9">
      <c r="A421" s="179"/>
      <c r="B421" s="179"/>
      <c r="C421" s="179"/>
      <c r="D421" s="179"/>
      <c r="E421" s="179"/>
      <c r="F421" s="179"/>
      <c r="G421" s="179"/>
      <c r="H421" s="179"/>
      <c r="I421" s="179"/>
    </row>
    <row r="422" spans="1:9">
      <c r="A422" s="179"/>
      <c r="B422" s="179"/>
      <c r="C422" s="179"/>
      <c r="D422" s="179"/>
      <c r="E422" s="179"/>
      <c r="F422" s="179"/>
      <c r="G422" s="179"/>
      <c r="H422" s="179"/>
      <c r="I422" s="179"/>
    </row>
    <row r="423" spans="1:9">
      <c r="A423" s="179"/>
      <c r="B423" s="179"/>
      <c r="C423" s="179"/>
      <c r="D423" s="179"/>
      <c r="E423" s="179"/>
      <c r="F423" s="179"/>
      <c r="G423" s="179"/>
      <c r="H423" s="179"/>
      <c r="I423" s="179"/>
    </row>
    <row r="424" spans="1:9">
      <c r="A424" s="179"/>
      <c r="B424" s="179"/>
      <c r="C424" s="179"/>
      <c r="D424" s="179"/>
      <c r="E424" s="179"/>
      <c r="F424" s="179"/>
      <c r="G424" s="179"/>
      <c r="H424" s="179"/>
      <c r="I424" s="179"/>
    </row>
    <row r="425" spans="1:9">
      <c r="A425" s="179"/>
      <c r="B425" s="179"/>
      <c r="C425" s="179"/>
      <c r="D425" s="179"/>
      <c r="E425" s="179"/>
      <c r="F425" s="179"/>
      <c r="G425" s="179"/>
      <c r="H425" s="179"/>
      <c r="I425" s="179"/>
    </row>
    <row r="426" spans="1:9">
      <c r="A426" s="179"/>
      <c r="B426" s="179"/>
      <c r="C426" s="179"/>
      <c r="D426" s="179"/>
      <c r="E426" s="179"/>
      <c r="F426" s="179"/>
      <c r="G426" s="179"/>
      <c r="H426" s="179"/>
      <c r="I426" s="179"/>
    </row>
    <row r="427" spans="1:9">
      <c r="A427" s="179"/>
      <c r="B427" s="179"/>
      <c r="C427" s="179"/>
      <c r="D427" s="179"/>
      <c r="E427" s="179"/>
      <c r="F427" s="179"/>
      <c r="G427" s="179"/>
      <c r="H427" s="179"/>
      <c r="I427" s="179"/>
    </row>
    <row r="428" spans="1:9">
      <c r="A428" s="179"/>
      <c r="B428" s="179"/>
      <c r="C428" s="179"/>
      <c r="D428" s="179"/>
      <c r="E428" s="179"/>
      <c r="F428" s="179"/>
      <c r="G428" s="179"/>
      <c r="H428" s="179"/>
      <c r="I428" s="179"/>
    </row>
    <row r="429" spans="1:9">
      <c r="A429" s="179"/>
      <c r="B429" s="179"/>
      <c r="C429" s="179"/>
      <c r="D429" s="179"/>
      <c r="E429" s="179"/>
      <c r="F429" s="179"/>
      <c r="G429" s="179"/>
      <c r="H429" s="179"/>
      <c r="I429" s="179"/>
    </row>
    <row r="430" spans="1:9">
      <c r="A430" s="179"/>
      <c r="B430" s="179"/>
      <c r="C430" s="179"/>
      <c r="D430" s="179"/>
      <c r="E430" s="179"/>
      <c r="F430" s="179"/>
      <c r="G430" s="179"/>
      <c r="H430" s="179"/>
      <c r="I430" s="179"/>
    </row>
    <row r="431" spans="1:9">
      <c r="A431" s="179"/>
      <c r="B431" s="179"/>
      <c r="C431" s="179"/>
      <c r="D431" s="179"/>
      <c r="E431" s="179"/>
      <c r="F431" s="179"/>
      <c r="G431" s="179"/>
      <c r="H431" s="179"/>
      <c r="I431" s="179"/>
    </row>
    <row r="432" spans="1:9">
      <c r="A432" s="179"/>
      <c r="B432" s="179"/>
      <c r="C432" s="179"/>
      <c r="D432" s="179"/>
      <c r="E432" s="179"/>
      <c r="F432" s="179"/>
      <c r="G432" s="179"/>
      <c r="H432" s="179"/>
      <c r="I432" s="179"/>
    </row>
    <row r="433" spans="1:9">
      <c r="A433" s="179"/>
      <c r="B433" s="179"/>
      <c r="C433" s="179"/>
      <c r="D433" s="179"/>
      <c r="E433" s="179"/>
      <c r="F433" s="179"/>
      <c r="G433" s="179"/>
      <c r="H433" s="179"/>
      <c r="I433" s="179"/>
    </row>
    <row r="434" spans="1:9">
      <c r="A434" s="179"/>
      <c r="B434" s="179"/>
      <c r="C434" s="179"/>
      <c r="D434" s="179"/>
      <c r="E434" s="179"/>
      <c r="F434" s="179"/>
      <c r="G434" s="179"/>
      <c r="H434" s="179"/>
      <c r="I434" s="179"/>
    </row>
    <row r="435" spans="1:9">
      <c r="A435" s="179"/>
      <c r="B435" s="179"/>
      <c r="C435" s="179"/>
      <c r="D435" s="179"/>
      <c r="E435" s="179"/>
      <c r="F435" s="179"/>
      <c r="G435" s="179"/>
      <c r="H435" s="179"/>
      <c r="I435" s="179"/>
    </row>
    <row r="436" spans="1:9">
      <c r="A436" s="179"/>
      <c r="B436" s="179"/>
      <c r="C436" s="179"/>
      <c r="D436" s="179"/>
      <c r="E436" s="179"/>
      <c r="F436" s="179"/>
      <c r="G436" s="179"/>
      <c r="H436" s="179"/>
      <c r="I436" s="179"/>
    </row>
    <row r="437" spans="1:9">
      <c r="A437" s="179"/>
      <c r="B437" s="179"/>
      <c r="C437" s="179"/>
      <c r="D437" s="179"/>
      <c r="E437" s="179"/>
      <c r="F437" s="179"/>
      <c r="G437" s="179"/>
      <c r="H437" s="179"/>
      <c r="I437" s="179"/>
    </row>
    <row r="438" spans="1:9">
      <c r="A438" s="179"/>
      <c r="B438" s="179"/>
      <c r="C438" s="179"/>
      <c r="D438" s="179"/>
      <c r="E438" s="179"/>
      <c r="F438" s="179"/>
      <c r="G438" s="179"/>
      <c r="H438" s="179"/>
      <c r="I438" s="179"/>
    </row>
    <row r="439" spans="1:9">
      <c r="A439" s="179"/>
      <c r="B439" s="179"/>
      <c r="C439" s="179"/>
      <c r="D439" s="179"/>
      <c r="E439" s="179"/>
      <c r="F439" s="179"/>
      <c r="G439" s="179"/>
      <c r="H439" s="179"/>
      <c r="I439" s="179"/>
    </row>
    <row r="440" spans="1:9">
      <c r="A440" s="179"/>
      <c r="B440" s="179"/>
      <c r="C440" s="179"/>
      <c r="D440" s="179"/>
      <c r="E440" s="179"/>
      <c r="F440" s="179"/>
      <c r="G440" s="179"/>
      <c r="H440" s="179"/>
      <c r="I440" s="179"/>
    </row>
    <row r="441" spans="1:9">
      <c r="A441" s="179"/>
      <c r="B441" s="179"/>
      <c r="C441" s="179"/>
      <c r="D441" s="179"/>
      <c r="E441" s="179"/>
      <c r="F441" s="179"/>
      <c r="G441" s="179"/>
      <c r="H441" s="179"/>
      <c r="I441" s="179"/>
    </row>
    <row r="442" spans="1:9">
      <c r="A442" s="179"/>
      <c r="B442" s="179"/>
      <c r="C442" s="179"/>
      <c r="D442" s="179"/>
      <c r="E442" s="179"/>
      <c r="F442" s="179"/>
      <c r="G442" s="179"/>
      <c r="H442" s="179"/>
      <c r="I442" s="179"/>
    </row>
    <row r="443" spans="1:9">
      <c r="A443" s="179"/>
      <c r="B443" s="179"/>
      <c r="C443" s="179"/>
      <c r="D443" s="179"/>
      <c r="E443" s="179"/>
      <c r="F443" s="179"/>
      <c r="G443" s="179"/>
      <c r="H443" s="179"/>
      <c r="I443" s="179"/>
    </row>
    <row r="444" spans="1:9">
      <c r="A444" s="179"/>
      <c r="B444" s="179"/>
      <c r="C444" s="179"/>
      <c r="D444" s="179"/>
      <c r="E444" s="179"/>
      <c r="F444" s="179"/>
      <c r="G444" s="179"/>
      <c r="H444" s="179"/>
      <c r="I444" s="179"/>
    </row>
    <row r="445" spans="1:9">
      <c r="A445" s="179"/>
      <c r="B445" s="179"/>
      <c r="C445" s="179"/>
      <c r="D445" s="179"/>
      <c r="E445" s="179"/>
      <c r="F445" s="179"/>
      <c r="G445" s="179"/>
      <c r="H445" s="179"/>
      <c r="I445" s="179"/>
    </row>
    <row r="446" spans="1:9">
      <c r="A446" s="179"/>
      <c r="B446" s="179"/>
      <c r="C446" s="179"/>
      <c r="D446" s="179"/>
      <c r="E446" s="179"/>
      <c r="F446" s="179"/>
      <c r="G446" s="179"/>
      <c r="H446" s="179"/>
      <c r="I446" s="179"/>
    </row>
    <row r="447" spans="1:9">
      <c r="A447" s="179"/>
      <c r="B447" s="179"/>
      <c r="C447" s="179"/>
      <c r="D447" s="179"/>
      <c r="E447" s="179"/>
      <c r="F447" s="179"/>
      <c r="G447" s="179"/>
      <c r="H447" s="179"/>
      <c r="I447" s="179"/>
    </row>
    <row r="448" spans="1:9">
      <c r="A448" s="179"/>
      <c r="B448" s="179"/>
      <c r="C448" s="179"/>
      <c r="D448" s="179"/>
      <c r="E448" s="179"/>
      <c r="F448" s="179"/>
      <c r="G448" s="179"/>
      <c r="H448" s="179"/>
      <c r="I448" s="179"/>
    </row>
    <row r="449" spans="1:9">
      <c r="A449" s="179"/>
      <c r="B449" s="179"/>
      <c r="C449" s="179"/>
      <c r="D449" s="179"/>
      <c r="E449" s="179"/>
      <c r="F449" s="179"/>
      <c r="G449" s="179"/>
      <c r="H449" s="179"/>
      <c r="I449" s="179"/>
    </row>
    <row r="450" spans="1:9">
      <c r="A450" s="179"/>
      <c r="B450" s="179"/>
      <c r="C450" s="179"/>
      <c r="D450" s="179"/>
      <c r="E450" s="179"/>
      <c r="F450" s="179"/>
      <c r="G450" s="179"/>
      <c r="H450" s="179"/>
      <c r="I450" s="179"/>
    </row>
    <row r="451" spans="1:9">
      <c r="A451" s="179"/>
      <c r="B451" s="179"/>
      <c r="C451" s="179"/>
      <c r="D451" s="179"/>
      <c r="E451" s="179"/>
      <c r="F451" s="179"/>
      <c r="G451" s="179"/>
      <c r="H451" s="179"/>
      <c r="I451" s="179"/>
    </row>
    <row r="452" spans="1:9">
      <c r="A452" s="179"/>
      <c r="B452" s="179"/>
      <c r="C452" s="179"/>
      <c r="D452" s="179"/>
      <c r="E452" s="179"/>
      <c r="F452" s="179"/>
      <c r="G452" s="179"/>
      <c r="H452" s="179"/>
      <c r="I452" s="179"/>
    </row>
    <row r="453" spans="1:9">
      <c r="A453" s="179"/>
      <c r="B453" s="179"/>
      <c r="C453" s="179"/>
      <c r="D453" s="179"/>
      <c r="E453" s="179"/>
      <c r="F453" s="179"/>
      <c r="G453" s="179"/>
      <c r="H453" s="179"/>
      <c r="I453" s="179"/>
    </row>
    <row r="454" spans="1:9">
      <c r="A454" s="179"/>
      <c r="B454" s="179"/>
      <c r="C454" s="179"/>
      <c r="D454" s="179"/>
      <c r="E454" s="179"/>
      <c r="F454" s="179"/>
      <c r="G454" s="179"/>
      <c r="H454" s="179"/>
      <c r="I454" s="179"/>
    </row>
    <row r="455" spans="1:9">
      <c r="A455" s="179"/>
      <c r="B455" s="179"/>
      <c r="C455" s="179"/>
      <c r="D455" s="179"/>
      <c r="E455" s="179"/>
      <c r="F455" s="179"/>
      <c r="G455" s="179"/>
      <c r="H455" s="179"/>
      <c r="I455" s="179"/>
    </row>
    <row r="456" spans="1:9">
      <c r="A456" s="179"/>
      <c r="B456" s="179"/>
      <c r="C456" s="179"/>
      <c r="D456" s="179"/>
      <c r="E456" s="179"/>
      <c r="F456" s="179"/>
      <c r="G456" s="179"/>
      <c r="H456" s="179"/>
      <c r="I456" s="179"/>
    </row>
    <row r="457" spans="1:9">
      <c r="A457" s="179"/>
      <c r="B457" s="179"/>
      <c r="C457" s="179"/>
      <c r="D457" s="179"/>
      <c r="E457" s="179"/>
      <c r="F457" s="179"/>
      <c r="G457" s="179"/>
      <c r="H457" s="179"/>
      <c r="I457" s="179"/>
    </row>
    <row r="458" spans="1:9">
      <c r="A458" s="179"/>
      <c r="B458" s="179"/>
      <c r="C458" s="179"/>
      <c r="D458" s="179"/>
      <c r="E458" s="179"/>
      <c r="F458" s="179"/>
      <c r="G458" s="179"/>
      <c r="H458" s="179"/>
      <c r="I458" s="179"/>
    </row>
    <row r="459" spans="1:9">
      <c r="A459" s="179"/>
      <c r="B459" s="179"/>
      <c r="C459" s="179"/>
      <c r="D459" s="179"/>
      <c r="E459" s="179"/>
      <c r="F459" s="179"/>
      <c r="G459" s="179"/>
      <c r="H459" s="179"/>
      <c r="I459" s="179"/>
    </row>
    <row r="460" spans="1:9">
      <c r="A460" s="179"/>
      <c r="B460" s="179"/>
      <c r="C460" s="179"/>
      <c r="D460" s="179"/>
      <c r="E460" s="179"/>
      <c r="F460" s="179"/>
      <c r="G460" s="179"/>
      <c r="H460" s="179"/>
      <c r="I460" s="179"/>
    </row>
    <row r="461" spans="1:9">
      <c r="A461" s="179"/>
      <c r="B461" s="179"/>
      <c r="C461" s="179"/>
      <c r="D461" s="179"/>
      <c r="E461" s="179"/>
      <c r="F461" s="179"/>
      <c r="G461" s="179"/>
      <c r="H461" s="179"/>
      <c r="I461" s="179"/>
    </row>
    <row r="462" spans="1:9">
      <c r="A462" s="179"/>
      <c r="B462" s="179"/>
      <c r="C462" s="179"/>
      <c r="D462" s="179"/>
      <c r="E462" s="179"/>
      <c r="F462" s="179"/>
      <c r="G462" s="179"/>
      <c r="H462" s="179"/>
      <c r="I462" s="179"/>
    </row>
    <row r="463" spans="1:9">
      <c r="A463" s="179"/>
      <c r="B463" s="179"/>
      <c r="C463" s="179"/>
      <c r="D463" s="179"/>
      <c r="E463" s="179"/>
      <c r="F463" s="179"/>
      <c r="G463" s="179"/>
      <c r="H463" s="179"/>
      <c r="I463" s="179"/>
    </row>
    <row r="464" spans="1:9">
      <c r="A464" s="179"/>
      <c r="B464" s="179"/>
      <c r="C464" s="179"/>
      <c r="D464" s="179"/>
      <c r="E464" s="179"/>
      <c r="F464" s="179"/>
      <c r="G464" s="179"/>
      <c r="H464" s="179"/>
      <c r="I464" s="179"/>
    </row>
    <row r="465" spans="1:9">
      <c r="A465" s="179"/>
      <c r="B465" s="179"/>
      <c r="C465" s="179"/>
      <c r="D465" s="179"/>
      <c r="E465" s="179"/>
      <c r="F465" s="179"/>
      <c r="G465" s="179"/>
      <c r="H465" s="179"/>
      <c r="I465" s="179"/>
    </row>
    <row r="466" spans="1:9">
      <c r="A466" s="179"/>
      <c r="B466" s="179"/>
      <c r="C466" s="179"/>
      <c r="D466" s="179"/>
      <c r="E466" s="179"/>
      <c r="F466" s="179"/>
      <c r="G466" s="179"/>
      <c r="H466" s="179"/>
      <c r="I466" s="179"/>
    </row>
    <row r="467" spans="1:9">
      <c r="A467" s="179"/>
      <c r="B467" s="179"/>
      <c r="C467" s="179"/>
      <c r="D467" s="179"/>
      <c r="E467" s="179"/>
      <c r="F467" s="179"/>
      <c r="G467" s="179"/>
      <c r="H467" s="179"/>
      <c r="I467" s="179"/>
    </row>
    <row r="468" spans="1:9">
      <c r="A468" s="179"/>
      <c r="B468" s="179"/>
      <c r="C468" s="179"/>
      <c r="D468" s="179"/>
      <c r="E468" s="179"/>
      <c r="F468" s="179"/>
      <c r="G468" s="179"/>
      <c r="H468" s="179"/>
      <c r="I468" s="179"/>
    </row>
    <row r="469" spans="1:9">
      <c r="A469" s="179"/>
      <c r="B469" s="179"/>
      <c r="C469" s="179"/>
      <c r="D469" s="179"/>
      <c r="E469" s="179"/>
      <c r="F469" s="179"/>
      <c r="G469" s="179"/>
      <c r="H469" s="179"/>
      <c r="I469" s="179"/>
    </row>
    <row r="470" spans="1:9">
      <c r="A470" s="179"/>
      <c r="B470" s="179"/>
      <c r="C470" s="179"/>
      <c r="D470" s="179"/>
      <c r="E470" s="179"/>
      <c r="F470" s="179"/>
      <c r="G470" s="179"/>
      <c r="H470" s="179"/>
      <c r="I470" s="179"/>
    </row>
    <row r="471" spans="1:9">
      <c r="A471" s="179"/>
      <c r="B471" s="179"/>
      <c r="C471" s="179"/>
      <c r="D471" s="179"/>
      <c r="E471" s="179"/>
      <c r="F471" s="179"/>
      <c r="G471" s="179"/>
      <c r="H471" s="179"/>
      <c r="I471" s="179"/>
    </row>
    <row r="472" spans="1:9">
      <c r="A472" s="179"/>
      <c r="B472" s="179"/>
      <c r="C472" s="179"/>
      <c r="D472" s="179"/>
      <c r="E472" s="179"/>
      <c r="F472" s="179"/>
      <c r="G472" s="179"/>
      <c r="H472" s="179"/>
      <c r="I472" s="179"/>
    </row>
    <row r="473" spans="1:9">
      <c r="A473" s="179"/>
      <c r="B473" s="179"/>
      <c r="C473" s="179"/>
      <c r="D473" s="179"/>
      <c r="E473" s="179"/>
      <c r="F473" s="179"/>
      <c r="G473" s="179"/>
      <c r="H473" s="179"/>
      <c r="I473" s="179"/>
    </row>
    <row r="474" spans="1:9">
      <c r="A474" s="179"/>
      <c r="B474" s="179"/>
      <c r="C474" s="179"/>
      <c r="D474" s="179"/>
      <c r="E474" s="179"/>
      <c r="F474" s="179"/>
      <c r="G474" s="179"/>
      <c r="H474" s="179"/>
      <c r="I474" s="179"/>
    </row>
    <row r="475" spans="1:9">
      <c r="A475" s="179"/>
      <c r="B475" s="179"/>
      <c r="C475" s="179"/>
      <c r="D475" s="179"/>
      <c r="E475" s="179"/>
      <c r="F475" s="179"/>
      <c r="G475" s="179"/>
      <c r="H475" s="179"/>
      <c r="I475" s="179"/>
    </row>
    <row r="476" spans="1:9">
      <c r="A476" s="179"/>
      <c r="B476" s="179"/>
      <c r="C476" s="179"/>
      <c r="D476" s="179"/>
      <c r="E476" s="179"/>
      <c r="F476" s="179"/>
      <c r="G476" s="179"/>
      <c r="H476" s="179"/>
      <c r="I476" s="179"/>
    </row>
    <row r="477" spans="1:9">
      <c r="A477" s="179"/>
      <c r="B477" s="179"/>
      <c r="C477" s="179"/>
      <c r="D477" s="179"/>
      <c r="E477" s="179"/>
      <c r="F477" s="179"/>
      <c r="G477" s="179"/>
      <c r="H477" s="179"/>
      <c r="I477" s="179"/>
    </row>
    <row r="478" spans="1:9">
      <c r="A478" s="179"/>
      <c r="B478" s="179"/>
      <c r="C478" s="179"/>
      <c r="D478" s="179"/>
      <c r="E478" s="179"/>
      <c r="F478" s="179"/>
      <c r="G478" s="179"/>
      <c r="H478" s="179"/>
      <c r="I478" s="179"/>
    </row>
    <row r="479" spans="1:9">
      <c r="A479" s="179"/>
      <c r="B479" s="179"/>
      <c r="C479" s="179"/>
      <c r="D479" s="179"/>
      <c r="E479" s="179"/>
      <c r="F479" s="179"/>
      <c r="G479" s="179"/>
      <c r="H479" s="179"/>
      <c r="I479" s="179"/>
    </row>
    <row r="480" spans="1:9">
      <c r="A480" s="179"/>
      <c r="B480" s="179"/>
      <c r="C480" s="179"/>
      <c r="D480" s="179"/>
      <c r="E480" s="179"/>
      <c r="F480" s="179"/>
      <c r="G480" s="179"/>
      <c r="H480" s="179"/>
      <c r="I480" s="179"/>
    </row>
    <row r="481" spans="1:9">
      <c r="A481" s="179"/>
      <c r="B481" s="179"/>
      <c r="C481" s="179"/>
      <c r="D481" s="179"/>
      <c r="E481" s="179"/>
      <c r="F481" s="179"/>
      <c r="G481" s="179"/>
      <c r="H481" s="179"/>
      <c r="I481" s="179"/>
    </row>
    <row r="482" spans="1:9">
      <c r="A482" s="179"/>
      <c r="B482" s="179"/>
      <c r="C482" s="179"/>
      <c r="D482" s="179"/>
      <c r="E482" s="179"/>
      <c r="F482" s="179"/>
      <c r="G482" s="179"/>
      <c r="H482" s="179"/>
      <c r="I482" s="179"/>
    </row>
    <row r="483" spans="1:9">
      <c r="A483" s="179"/>
      <c r="B483" s="179"/>
      <c r="C483" s="179"/>
      <c r="D483" s="179"/>
      <c r="E483" s="179"/>
      <c r="F483" s="179"/>
      <c r="G483" s="179"/>
      <c r="H483" s="179"/>
      <c r="I483" s="179"/>
    </row>
    <row r="484" spans="1:9">
      <c r="A484" s="179"/>
      <c r="B484" s="179"/>
      <c r="C484" s="179"/>
      <c r="D484" s="179"/>
      <c r="E484" s="179"/>
      <c r="F484" s="179"/>
      <c r="G484" s="179"/>
      <c r="H484" s="179"/>
      <c r="I484" s="179"/>
    </row>
    <row r="485" spans="1:9">
      <c r="A485" s="179"/>
      <c r="B485" s="179"/>
      <c r="C485" s="179"/>
      <c r="D485" s="179"/>
      <c r="E485" s="179"/>
      <c r="F485" s="179"/>
      <c r="G485" s="179"/>
      <c r="H485" s="179"/>
      <c r="I485" s="179"/>
    </row>
    <row r="486" spans="1:9">
      <c r="A486" s="179"/>
      <c r="B486" s="179"/>
      <c r="C486" s="179"/>
      <c r="D486" s="179"/>
      <c r="E486" s="179"/>
      <c r="F486" s="179"/>
      <c r="G486" s="179"/>
      <c r="H486" s="179"/>
      <c r="I486" s="179"/>
    </row>
    <row r="487" spans="1:9">
      <c r="A487" s="179"/>
      <c r="B487" s="179"/>
      <c r="C487" s="179"/>
      <c r="D487" s="179"/>
      <c r="E487" s="179"/>
      <c r="F487" s="179"/>
      <c r="G487" s="179"/>
      <c r="H487" s="179"/>
      <c r="I487" s="179"/>
    </row>
    <row r="488" spans="1:9">
      <c r="A488" s="179"/>
      <c r="B488" s="179"/>
      <c r="C488" s="179"/>
      <c r="D488" s="179"/>
      <c r="E488" s="179"/>
      <c r="F488" s="179"/>
      <c r="G488" s="179"/>
      <c r="H488" s="179"/>
      <c r="I488" s="179"/>
    </row>
    <row r="489" spans="1:9">
      <c r="A489" s="179"/>
      <c r="B489" s="179"/>
      <c r="C489" s="179"/>
      <c r="D489" s="179"/>
      <c r="E489" s="179"/>
      <c r="F489" s="179"/>
      <c r="G489" s="179"/>
      <c r="H489" s="179"/>
      <c r="I489" s="179"/>
    </row>
    <row r="490" spans="1:9">
      <c r="A490" s="179"/>
      <c r="B490" s="179"/>
      <c r="C490" s="179"/>
      <c r="D490" s="179"/>
      <c r="E490" s="179"/>
      <c r="F490" s="179"/>
      <c r="G490" s="179"/>
      <c r="H490" s="179"/>
      <c r="I490" s="179"/>
    </row>
    <row r="491" spans="1:9">
      <c r="A491" s="179"/>
      <c r="B491" s="179"/>
      <c r="C491" s="179"/>
      <c r="D491" s="179"/>
      <c r="E491" s="179"/>
      <c r="F491" s="179"/>
      <c r="G491" s="179"/>
      <c r="H491" s="179"/>
      <c r="I491" s="179"/>
    </row>
    <row r="492" spans="1:9">
      <c r="A492" s="179"/>
      <c r="B492" s="179"/>
      <c r="C492" s="179"/>
      <c r="D492" s="179"/>
      <c r="E492" s="179"/>
      <c r="F492" s="179"/>
      <c r="G492" s="179"/>
      <c r="H492" s="179"/>
      <c r="I492" s="179"/>
    </row>
    <row r="493" spans="1:9">
      <c r="A493" s="179"/>
      <c r="B493" s="179"/>
      <c r="C493" s="179"/>
      <c r="D493" s="179"/>
      <c r="E493" s="179"/>
      <c r="F493" s="179"/>
      <c r="G493" s="179"/>
      <c r="H493" s="179"/>
      <c r="I493" s="179"/>
    </row>
    <row r="494" spans="1:9">
      <c r="A494" s="179"/>
      <c r="B494" s="179"/>
      <c r="C494" s="179"/>
      <c r="D494" s="179"/>
      <c r="E494" s="179"/>
      <c r="F494" s="179"/>
      <c r="G494" s="179"/>
      <c r="H494" s="179"/>
      <c r="I494" s="179"/>
    </row>
    <row r="495" spans="1:9">
      <c r="A495" s="179"/>
      <c r="B495" s="179"/>
      <c r="C495" s="179"/>
      <c r="D495" s="179"/>
      <c r="E495" s="179"/>
      <c r="F495" s="179"/>
      <c r="G495" s="179"/>
      <c r="H495" s="179"/>
      <c r="I495" s="179"/>
    </row>
    <row r="496" spans="1:9">
      <c r="A496" s="179"/>
      <c r="B496" s="179"/>
      <c r="C496" s="179"/>
      <c r="D496" s="179"/>
      <c r="E496" s="179"/>
      <c r="F496" s="179"/>
      <c r="G496" s="179"/>
      <c r="H496" s="179"/>
      <c r="I496" s="179"/>
    </row>
    <row r="497" spans="1:9">
      <c r="A497" s="179"/>
      <c r="B497" s="179"/>
      <c r="C497" s="179"/>
      <c r="D497" s="179"/>
      <c r="E497" s="179"/>
      <c r="F497" s="179"/>
      <c r="G497" s="179"/>
      <c r="H497" s="179"/>
      <c r="I497" s="179"/>
    </row>
    <row r="498" spans="1:9">
      <c r="A498" s="179"/>
      <c r="B498" s="179"/>
      <c r="C498" s="179"/>
      <c r="D498" s="179"/>
      <c r="E498" s="179"/>
      <c r="F498" s="179"/>
      <c r="G498" s="179"/>
      <c r="H498" s="179"/>
      <c r="I498" s="179"/>
    </row>
    <row r="499" spans="1:9">
      <c r="A499" s="179"/>
      <c r="B499" s="179"/>
      <c r="C499" s="179"/>
      <c r="D499" s="179"/>
      <c r="E499" s="179"/>
      <c r="F499" s="179"/>
      <c r="G499" s="179"/>
      <c r="H499" s="179"/>
      <c r="I499" s="179"/>
    </row>
    <row r="500" spans="1:9">
      <c r="A500" s="179"/>
      <c r="B500" s="179"/>
      <c r="C500" s="179"/>
      <c r="D500" s="179"/>
      <c r="E500" s="179"/>
      <c r="F500" s="179"/>
      <c r="G500" s="179"/>
      <c r="H500" s="179"/>
      <c r="I500" s="179"/>
    </row>
    <row r="501" spans="1:9">
      <c r="A501" s="179"/>
      <c r="B501" s="179"/>
      <c r="C501" s="179"/>
      <c r="D501" s="179"/>
      <c r="E501" s="179"/>
      <c r="F501" s="179"/>
      <c r="G501" s="179"/>
      <c r="H501" s="179"/>
      <c r="I501" s="179"/>
    </row>
    <row r="502" spans="1:9">
      <c r="A502" s="179"/>
      <c r="B502" s="179"/>
      <c r="C502" s="179"/>
      <c r="D502" s="179"/>
      <c r="E502" s="179"/>
      <c r="F502" s="179"/>
      <c r="G502" s="179"/>
      <c r="H502" s="179"/>
      <c r="I502" s="179"/>
    </row>
    <row r="503" spans="1:9">
      <c r="A503" s="179"/>
      <c r="B503" s="179"/>
      <c r="C503" s="179"/>
      <c r="D503" s="179"/>
      <c r="E503" s="179"/>
      <c r="F503" s="179"/>
      <c r="G503" s="179"/>
      <c r="H503" s="179"/>
      <c r="I503" s="179"/>
    </row>
    <row r="504" spans="1:9">
      <c r="A504" s="179"/>
      <c r="B504" s="179"/>
      <c r="C504" s="179"/>
      <c r="D504" s="179"/>
      <c r="E504" s="179"/>
      <c r="F504" s="179"/>
      <c r="G504" s="179"/>
      <c r="H504" s="179"/>
      <c r="I504" s="179"/>
    </row>
    <row r="505" spans="1:9">
      <c r="A505" s="179"/>
      <c r="B505" s="179"/>
      <c r="C505" s="179"/>
      <c r="D505" s="179"/>
      <c r="E505" s="179"/>
      <c r="F505" s="179"/>
      <c r="G505" s="179"/>
      <c r="H505" s="179"/>
      <c r="I505" s="179"/>
    </row>
    <row r="506" spans="1:9">
      <c r="A506" s="179"/>
      <c r="B506" s="179"/>
      <c r="C506" s="179"/>
      <c r="D506" s="179"/>
      <c r="E506" s="179"/>
      <c r="F506" s="179"/>
      <c r="G506" s="179"/>
      <c r="H506" s="179"/>
      <c r="I506" s="179"/>
    </row>
    <row r="507" spans="1:9">
      <c r="A507" s="179"/>
      <c r="B507" s="179"/>
      <c r="C507" s="179"/>
      <c r="D507" s="179"/>
      <c r="E507" s="179"/>
      <c r="F507" s="179"/>
      <c r="G507" s="179"/>
      <c r="H507" s="179"/>
      <c r="I507" s="179"/>
    </row>
    <row r="508" spans="1:9">
      <c r="A508" s="179"/>
      <c r="B508" s="179"/>
      <c r="C508" s="179"/>
      <c r="D508" s="179"/>
      <c r="E508" s="179"/>
      <c r="F508" s="179"/>
      <c r="G508" s="179"/>
      <c r="H508" s="179"/>
      <c r="I508" s="179"/>
    </row>
    <row r="509" spans="1:9">
      <c r="A509" s="179"/>
      <c r="B509" s="179"/>
      <c r="C509" s="179"/>
      <c r="D509" s="179"/>
      <c r="E509" s="179"/>
      <c r="F509" s="179"/>
      <c r="G509" s="179"/>
      <c r="H509" s="179"/>
      <c r="I509" s="179"/>
    </row>
    <row r="510" spans="1:9">
      <c r="A510" s="179"/>
      <c r="B510" s="179"/>
      <c r="C510" s="179"/>
      <c r="D510" s="179"/>
      <c r="E510" s="179"/>
      <c r="F510" s="179"/>
      <c r="G510" s="179"/>
      <c r="H510" s="179"/>
      <c r="I510" s="179"/>
    </row>
    <row r="511" spans="1:9">
      <c r="A511" s="179"/>
      <c r="B511" s="179"/>
      <c r="C511" s="179"/>
      <c r="D511" s="179"/>
      <c r="E511" s="179"/>
      <c r="F511" s="179"/>
      <c r="G511" s="179"/>
      <c r="H511" s="179"/>
      <c r="I511" s="179"/>
    </row>
    <row r="512" spans="1:9">
      <c r="A512" s="179"/>
      <c r="B512" s="179"/>
      <c r="C512" s="179"/>
      <c r="D512" s="179"/>
      <c r="E512" s="179"/>
      <c r="F512" s="179"/>
      <c r="G512" s="179"/>
      <c r="H512" s="179"/>
      <c r="I512" s="179"/>
    </row>
    <row r="513" spans="1:9">
      <c r="A513" s="179"/>
      <c r="B513" s="179"/>
      <c r="C513" s="179"/>
      <c r="D513" s="179"/>
      <c r="E513" s="179"/>
      <c r="F513" s="179"/>
      <c r="G513" s="179"/>
      <c r="H513" s="179"/>
      <c r="I513" s="179"/>
    </row>
    <row r="514" spans="1:9">
      <c r="A514" s="179"/>
      <c r="B514" s="179"/>
      <c r="C514" s="179"/>
      <c r="D514" s="179"/>
      <c r="E514" s="179"/>
      <c r="F514" s="179"/>
      <c r="G514" s="179"/>
      <c r="H514" s="179"/>
      <c r="I514" s="179"/>
    </row>
    <row r="515" spans="1:9">
      <c r="A515" s="179"/>
      <c r="B515" s="179"/>
      <c r="C515" s="179"/>
      <c r="D515" s="179"/>
      <c r="E515" s="179"/>
      <c r="F515" s="179"/>
      <c r="G515" s="179"/>
      <c r="H515" s="179"/>
      <c r="I515" s="179"/>
    </row>
    <row r="516" spans="1:9">
      <c r="A516" s="179"/>
      <c r="B516" s="179"/>
      <c r="C516" s="179"/>
      <c r="D516" s="179"/>
      <c r="E516" s="179"/>
      <c r="F516" s="179"/>
      <c r="G516" s="179"/>
      <c r="H516" s="179"/>
      <c r="I516" s="179"/>
    </row>
    <row r="517" spans="1:9">
      <c r="A517" s="179"/>
      <c r="B517" s="179"/>
      <c r="C517" s="179"/>
      <c r="D517" s="179"/>
      <c r="E517" s="179"/>
      <c r="F517" s="179"/>
      <c r="G517" s="179"/>
      <c r="H517" s="179"/>
      <c r="I517" s="179"/>
    </row>
    <row r="518" spans="1:9">
      <c r="A518" s="179"/>
      <c r="B518" s="179"/>
      <c r="C518" s="179"/>
      <c r="D518" s="179"/>
      <c r="E518" s="179"/>
      <c r="F518" s="179"/>
      <c r="G518" s="179"/>
      <c r="H518" s="179"/>
      <c r="I518" s="179"/>
    </row>
    <row r="519" spans="1:9">
      <c r="A519" s="179"/>
      <c r="B519" s="179"/>
      <c r="C519" s="179"/>
      <c r="D519" s="179"/>
      <c r="E519" s="179"/>
      <c r="F519" s="179"/>
      <c r="G519" s="179"/>
      <c r="H519" s="179"/>
      <c r="I519" s="179"/>
    </row>
    <row r="520" spans="1:9">
      <c r="A520" s="179"/>
      <c r="B520" s="179"/>
      <c r="C520" s="179"/>
      <c r="D520" s="179"/>
      <c r="E520" s="179"/>
      <c r="F520" s="179"/>
      <c r="G520" s="179"/>
      <c r="H520" s="179"/>
      <c r="I520" s="179"/>
    </row>
    <row r="521" spans="1:9">
      <c r="A521" s="179"/>
      <c r="B521" s="179"/>
      <c r="C521" s="179"/>
      <c r="D521" s="179"/>
      <c r="E521" s="179"/>
      <c r="F521" s="179"/>
      <c r="G521" s="179"/>
      <c r="H521" s="179"/>
      <c r="I521" s="179"/>
    </row>
    <row r="522" spans="1:9">
      <c r="A522" s="179"/>
      <c r="B522" s="179"/>
      <c r="C522" s="179"/>
      <c r="D522" s="179"/>
      <c r="E522" s="179"/>
      <c r="F522" s="179"/>
      <c r="G522" s="179"/>
      <c r="H522" s="179"/>
      <c r="I522" s="179"/>
    </row>
    <row r="523" spans="1:9">
      <c r="A523" s="179"/>
      <c r="B523" s="179"/>
      <c r="C523" s="179"/>
      <c r="D523" s="179"/>
      <c r="E523" s="179"/>
      <c r="F523" s="179"/>
      <c r="G523" s="179"/>
      <c r="H523" s="179"/>
      <c r="I523" s="179"/>
    </row>
    <row r="524" spans="1:9">
      <c r="A524" s="179"/>
      <c r="B524" s="179"/>
      <c r="C524" s="179"/>
      <c r="D524" s="179"/>
      <c r="E524" s="179"/>
      <c r="F524" s="179"/>
      <c r="G524" s="179"/>
      <c r="H524" s="179"/>
      <c r="I524" s="179"/>
    </row>
    <row r="525" spans="1:9">
      <c r="A525" s="179"/>
      <c r="B525" s="179"/>
      <c r="C525" s="179"/>
      <c r="D525" s="179"/>
      <c r="E525" s="179"/>
      <c r="F525" s="179"/>
      <c r="G525" s="179"/>
      <c r="H525" s="179"/>
      <c r="I525" s="179"/>
    </row>
    <row r="526" spans="1:9">
      <c r="A526" s="179"/>
      <c r="B526" s="179"/>
      <c r="C526" s="179"/>
      <c r="D526" s="179"/>
      <c r="E526" s="179"/>
      <c r="F526" s="179"/>
      <c r="G526" s="179"/>
      <c r="H526" s="179"/>
      <c r="I526" s="179"/>
    </row>
    <row r="527" spans="1:9">
      <c r="A527" s="179"/>
      <c r="B527" s="179"/>
      <c r="C527" s="179"/>
      <c r="D527" s="179"/>
      <c r="E527" s="179"/>
      <c r="F527" s="179"/>
      <c r="G527" s="179"/>
      <c r="H527" s="179"/>
      <c r="I527" s="179"/>
    </row>
    <row r="528" spans="1:9">
      <c r="A528" s="179"/>
      <c r="B528" s="179"/>
      <c r="C528" s="179"/>
      <c r="D528" s="179"/>
      <c r="E528" s="179"/>
      <c r="F528" s="179"/>
      <c r="G528" s="179"/>
      <c r="H528" s="179"/>
      <c r="I528" s="179"/>
    </row>
    <row r="529" spans="1:9">
      <c r="A529" s="179"/>
      <c r="B529" s="179"/>
      <c r="C529" s="179"/>
      <c r="D529" s="179"/>
      <c r="E529" s="179"/>
      <c r="F529" s="179"/>
      <c r="G529" s="179"/>
      <c r="H529" s="179"/>
      <c r="I529" s="179"/>
    </row>
    <row r="530" spans="1:9">
      <c r="A530" s="179"/>
      <c r="B530" s="179"/>
      <c r="C530" s="179"/>
      <c r="D530" s="179"/>
      <c r="E530" s="179"/>
      <c r="F530" s="179"/>
      <c r="G530" s="179"/>
      <c r="H530" s="179"/>
      <c r="I530" s="179"/>
    </row>
    <row r="531" spans="1:9">
      <c r="A531" s="179"/>
      <c r="B531" s="179"/>
      <c r="C531" s="179"/>
      <c r="D531" s="179"/>
      <c r="E531" s="179"/>
      <c r="F531" s="179"/>
      <c r="G531" s="179"/>
      <c r="H531" s="179"/>
      <c r="I531" s="179"/>
    </row>
    <row r="532" spans="1:9">
      <c r="A532" s="179"/>
      <c r="B532" s="179"/>
      <c r="C532" s="179"/>
      <c r="D532" s="179"/>
      <c r="E532" s="179"/>
      <c r="F532" s="179"/>
      <c r="G532" s="179"/>
      <c r="H532" s="179"/>
      <c r="I532" s="179"/>
    </row>
    <row r="533" spans="1:9">
      <c r="A533" s="179"/>
      <c r="B533" s="179"/>
      <c r="C533" s="179"/>
      <c r="D533" s="179"/>
      <c r="E533" s="179"/>
      <c r="F533" s="179"/>
      <c r="G533" s="179"/>
      <c r="H533" s="179"/>
      <c r="I533" s="179"/>
    </row>
    <row r="534" spans="1:9">
      <c r="A534" s="179"/>
      <c r="B534" s="179"/>
      <c r="C534" s="179"/>
      <c r="D534" s="179"/>
      <c r="E534" s="179"/>
      <c r="F534" s="179"/>
      <c r="G534" s="179"/>
      <c r="H534" s="179"/>
      <c r="I534" s="179"/>
    </row>
    <row r="535" spans="1:9">
      <c r="A535" s="179"/>
      <c r="B535" s="179"/>
      <c r="C535" s="179"/>
      <c r="D535" s="179"/>
      <c r="E535" s="179"/>
      <c r="F535" s="179"/>
      <c r="G535" s="179"/>
      <c r="H535" s="179"/>
      <c r="I535" s="179"/>
    </row>
    <row r="536" spans="1:9">
      <c r="A536" s="179"/>
      <c r="B536" s="179"/>
      <c r="C536" s="179"/>
      <c r="D536" s="179"/>
      <c r="E536" s="179"/>
      <c r="F536" s="179"/>
      <c r="G536" s="179"/>
      <c r="H536" s="179"/>
      <c r="I536" s="179"/>
    </row>
    <row r="537" spans="1:9">
      <c r="A537" s="179"/>
      <c r="B537" s="179"/>
      <c r="C537" s="179"/>
      <c r="D537" s="179"/>
      <c r="E537" s="179"/>
      <c r="F537" s="179"/>
      <c r="G537" s="179"/>
      <c r="H537" s="179"/>
      <c r="I537" s="179"/>
    </row>
    <row r="538" spans="1:9">
      <c r="A538" s="179"/>
      <c r="B538" s="179"/>
      <c r="C538" s="179"/>
      <c r="D538" s="179"/>
      <c r="E538" s="179"/>
      <c r="F538" s="179"/>
      <c r="G538" s="179"/>
      <c r="H538" s="179"/>
      <c r="I538" s="179"/>
    </row>
    <row r="539" spans="1:9">
      <c r="A539" s="179"/>
      <c r="B539" s="179"/>
      <c r="C539" s="179"/>
      <c r="D539" s="179"/>
      <c r="E539" s="179"/>
      <c r="F539" s="179"/>
      <c r="G539" s="179"/>
      <c r="H539" s="179"/>
      <c r="I539" s="179"/>
    </row>
    <row r="540" spans="1:9">
      <c r="A540" s="179"/>
      <c r="B540" s="179"/>
      <c r="C540" s="179"/>
      <c r="D540" s="179"/>
      <c r="E540" s="179"/>
      <c r="F540" s="179"/>
      <c r="G540" s="179"/>
      <c r="H540" s="179"/>
      <c r="I540" s="179"/>
    </row>
    <row r="541" spans="1:9">
      <c r="A541" s="179"/>
      <c r="B541" s="179"/>
      <c r="C541" s="179"/>
      <c r="D541" s="179"/>
      <c r="E541" s="179"/>
      <c r="F541" s="179"/>
      <c r="G541" s="179"/>
      <c r="H541" s="179"/>
      <c r="I541" s="179"/>
    </row>
    <row r="542" spans="1:9">
      <c r="A542" s="179"/>
      <c r="B542" s="179"/>
      <c r="C542" s="179"/>
      <c r="D542" s="179"/>
      <c r="E542" s="179"/>
      <c r="F542" s="179"/>
      <c r="G542" s="179"/>
      <c r="H542" s="179"/>
      <c r="I542" s="179"/>
    </row>
    <row r="543" spans="1:9">
      <c r="A543" s="179"/>
      <c r="B543" s="179"/>
      <c r="C543" s="179"/>
      <c r="D543" s="179"/>
      <c r="E543" s="179"/>
      <c r="F543" s="179"/>
      <c r="G543" s="179"/>
      <c r="H543" s="179"/>
      <c r="I543" s="179"/>
    </row>
    <row r="544" spans="1:9">
      <c r="A544" s="179"/>
      <c r="B544" s="179"/>
      <c r="C544" s="179"/>
      <c r="D544" s="179"/>
      <c r="E544" s="179"/>
      <c r="F544" s="179"/>
      <c r="G544" s="179"/>
      <c r="H544" s="179"/>
      <c r="I544" s="179"/>
    </row>
    <row r="545" spans="1:9">
      <c r="A545" s="179"/>
      <c r="B545" s="179"/>
      <c r="C545" s="179"/>
      <c r="D545" s="179"/>
      <c r="E545" s="179"/>
      <c r="F545" s="179"/>
      <c r="G545" s="179"/>
      <c r="H545" s="179"/>
      <c r="I545" s="179"/>
    </row>
    <row r="546" spans="1:9">
      <c r="A546" s="179"/>
      <c r="B546" s="179"/>
      <c r="C546" s="179"/>
      <c r="D546" s="179"/>
      <c r="E546" s="179"/>
      <c r="F546" s="179"/>
      <c r="G546" s="179"/>
      <c r="H546" s="179"/>
      <c r="I546" s="179"/>
    </row>
    <row r="547" spans="1:9">
      <c r="A547" s="179"/>
      <c r="B547" s="179"/>
      <c r="C547" s="179"/>
      <c r="D547" s="179"/>
      <c r="E547" s="179"/>
      <c r="F547" s="179"/>
      <c r="G547" s="179"/>
      <c r="H547" s="179"/>
      <c r="I547" s="179"/>
    </row>
    <row r="548" spans="1:9">
      <c r="A548" s="179"/>
      <c r="B548" s="179"/>
      <c r="C548" s="179"/>
      <c r="D548" s="179"/>
      <c r="E548" s="179"/>
      <c r="F548" s="179"/>
      <c r="G548" s="179"/>
      <c r="H548" s="179"/>
      <c r="I548" s="179"/>
    </row>
    <row r="549" spans="1:9">
      <c r="A549" s="179"/>
      <c r="B549" s="179"/>
      <c r="C549" s="179"/>
      <c r="D549" s="179"/>
      <c r="E549" s="179"/>
      <c r="F549" s="179"/>
      <c r="G549" s="179"/>
      <c r="H549" s="179"/>
      <c r="I549" s="179"/>
    </row>
    <row r="550" spans="1:9">
      <c r="A550" s="179"/>
      <c r="B550" s="179"/>
      <c r="C550" s="179"/>
      <c r="D550" s="179"/>
      <c r="E550" s="179"/>
      <c r="F550" s="179"/>
      <c r="G550" s="179"/>
      <c r="H550" s="179"/>
      <c r="I550" s="179"/>
    </row>
    <row r="551" spans="1:9">
      <c r="A551" s="179"/>
      <c r="B551" s="179"/>
      <c r="C551" s="179"/>
      <c r="D551" s="179"/>
      <c r="E551" s="179"/>
      <c r="F551" s="179"/>
      <c r="G551" s="179"/>
      <c r="H551" s="179"/>
      <c r="I551" s="179"/>
    </row>
    <row r="552" spans="1:9">
      <c r="A552" s="179"/>
      <c r="B552" s="179"/>
      <c r="C552" s="179"/>
      <c r="D552" s="179"/>
      <c r="E552" s="179"/>
      <c r="F552" s="179"/>
      <c r="G552" s="179"/>
      <c r="H552" s="179"/>
      <c r="I552" s="179"/>
    </row>
    <row r="553" spans="1:9">
      <c r="A553" s="179"/>
      <c r="B553" s="179"/>
      <c r="C553" s="179"/>
      <c r="D553" s="179"/>
      <c r="E553" s="179"/>
      <c r="F553" s="179"/>
      <c r="G553" s="179"/>
      <c r="H553" s="179"/>
      <c r="I553" s="179"/>
    </row>
    <row r="554" spans="1:9">
      <c r="A554" s="179"/>
      <c r="B554" s="179"/>
      <c r="C554" s="179"/>
      <c r="D554" s="179"/>
      <c r="E554" s="179"/>
      <c r="F554" s="179"/>
      <c r="G554" s="179"/>
      <c r="H554" s="179"/>
      <c r="I554" s="179"/>
    </row>
    <row r="555" spans="1:9">
      <c r="A555" s="179"/>
      <c r="B555" s="179"/>
      <c r="C555" s="179"/>
      <c r="D555" s="179"/>
      <c r="E555" s="179"/>
      <c r="F555" s="179"/>
      <c r="G555" s="179"/>
      <c r="H555" s="179"/>
      <c r="I555" s="179"/>
    </row>
    <row r="556" spans="1:9">
      <c r="A556" s="179"/>
      <c r="B556" s="179"/>
      <c r="C556" s="179"/>
      <c r="D556" s="179"/>
      <c r="E556" s="179"/>
      <c r="F556" s="179"/>
      <c r="G556" s="179"/>
      <c r="H556" s="179"/>
      <c r="I556" s="179"/>
    </row>
    <row r="557" spans="1:9">
      <c r="A557" s="179"/>
      <c r="B557" s="179"/>
      <c r="C557" s="179"/>
      <c r="D557" s="179"/>
      <c r="E557" s="179"/>
      <c r="F557" s="179"/>
      <c r="G557" s="179"/>
      <c r="H557" s="179"/>
      <c r="I557" s="179"/>
    </row>
    <row r="558" spans="1:9">
      <c r="A558" s="179"/>
      <c r="B558" s="179"/>
      <c r="C558" s="179"/>
      <c r="D558" s="179"/>
      <c r="E558" s="179"/>
      <c r="F558" s="179"/>
      <c r="G558" s="179"/>
      <c r="H558" s="179"/>
      <c r="I558" s="179"/>
    </row>
    <row r="559" spans="1:9">
      <c r="A559" s="179"/>
      <c r="B559" s="179"/>
      <c r="C559" s="179"/>
      <c r="D559" s="179"/>
      <c r="E559" s="179"/>
      <c r="F559" s="179"/>
      <c r="G559" s="179"/>
      <c r="H559" s="179"/>
      <c r="I559" s="179"/>
    </row>
    <row r="560" spans="1:9">
      <c r="A560" s="179"/>
      <c r="B560" s="179"/>
      <c r="C560" s="179"/>
      <c r="D560" s="179"/>
      <c r="E560" s="179"/>
      <c r="F560" s="179"/>
      <c r="G560" s="179"/>
      <c r="H560" s="179"/>
      <c r="I560" s="179"/>
    </row>
    <row r="561" spans="1:9">
      <c r="A561" s="179"/>
      <c r="B561" s="179"/>
      <c r="C561" s="179"/>
      <c r="D561" s="179"/>
      <c r="E561" s="179"/>
      <c r="F561" s="179"/>
      <c r="G561" s="179"/>
      <c r="H561" s="179"/>
      <c r="I561" s="179"/>
    </row>
    <row r="562" spans="1:9">
      <c r="A562" s="179"/>
      <c r="B562" s="179"/>
      <c r="C562" s="179"/>
      <c r="D562" s="179"/>
      <c r="E562" s="179"/>
      <c r="F562" s="179"/>
      <c r="G562" s="179"/>
      <c r="H562" s="179"/>
      <c r="I562" s="179"/>
    </row>
    <row r="563" spans="1:9">
      <c r="A563" s="179"/>
      <c r="B563" s="179"/>
      <c r="C563" s="179"/>
      <c r="D563" s="179"/>
      <c r="E563" s="179"/>
      <c r="F563" s="179"/>
      <c r="G563" s="179"/>
      <c r="H563" s="179"/>
      <c r="I563" s="179"/>
    </row>
    <row r="564" spans="1:9">
      <c r="A564" s="179"/>
      <c r="B564" s="179"/>
      <c r="C564" s="179"/>
      <c r="D564" s="179"/>
      <c r="E564" s="179"/>
      <c r="F564" s="179"/>
      <c r="G564" s="179"/>
      <c r="H564" s="179"/>
      <c r="I564" s="179"/>
    </row>
    <row r="565" spans="1:9">
      <c r="A565" s="179"/>
      <c r="B565" s="179"/>
      <c r="C565" s="179"/>
      <c r="D565" s="179"/>
      <c r="E565" s="179"/>
      <c r="F565" s="179"/>
      <c r="G565" s="179"/>
      <c r="H565" s="179"/>
      <c r="I565" s="179"/>
    </row>
    <row r="566" spans="1:9">
      <c r="A566" s="179"/>
      <c r="B566" s="179"/>
      <c r="C566" s="179"/>
      <c r="D566" s="179"/>
      <c r="E566" s="179"/>
      <c r="F566" s="179"/>
      <c r="G566" s="179"/>
      <c r="H566" s="179"/>
      <c r="I566" s="179"/>
    </row>
    <row r="567" spans="1:9">
      <c r="A567" s="179"/>
      <c r="B567" s="179"/>
      <c r="C567" s="179"/>
      <c r="D567" s="179"/>
      <c r="E567" s="179"/>
      <c r="F567" s="179"/>
      <c r="G567" s="179"/>
      <c r="H567" s="179"/>
      <c r="I567" s="179"/>
    </row>
    <row r="568" spans="1:9">
      <c r="A568" s="179"/>
      <c r="B568" s="179"/>
      <c r="C568" s="179"/>
      <c r="D568" s="179"/>
      <c r="E568" s="179"/>
      <c r="F568" s="179"/>
      <c r="G568" s="179"/>
      <c r="H568" s="179"/>
      <c r="I568" s="179"/>
    </row>
    <row r="569" spans="1:9">
      <c r="A569" s="179"/>
      <c r="B569" s="179"/>
      <c r="C569" s="179"/>
      <c r="D569" s="179"/>
      <c r="E569" s="179"/>
      <c r="F569" s="179"/>
      <c r="G569" s="179"/>
      <c r="H569" s="179"/>
      <c r="I569" s="179"/>
    </row>
    <row r="570" spans="1:9">
      <c r="A570" s="179"/>
      <c r="B570" s="179"/>
      <c r="C570" s="179"/>
      <c r="D570" s="179"/>
      <c r="E570" s="179"/>
      <c r="F570" s="179"/>
      <c r="G570" s="179"/>
      <c r="H570" s="179"/>
      <c r="I570" s="179"/>
    </row>
    <row r="571" spans="1:9">
      <c r="A571" s="179"/>
      <c r="B571" s="179"/>
      <c r="C571" s="179"/>
      <c r="D571" s="179"/>
      <c r="E571" s="179"/>
      <c r="F571" s="179"/>
      <c r="G571" s="179"/>
      <c r="H571" s="179"/>
      <c r="I571" s="179"/>
    </row>
    <row r="572" spans="1:9">
      <c r="A572" s="179"/>
      <c r="B572" s="179"/>
      <c r="C572" s="179"/>
      <c r="D572" s="179"/>
      <c r="E572" s="179"/>
      <c r="F572" s="179"/>
      <c r="G572" s="179"/>
      <c r="H572" s="179"/>
      <c r="I572" s="179"/>
    </row>
    <row r="573" spans="1:9">
      <c r="A573" s="179"/>
      <c r="B573" s="179"/>
      <c r="C573" s="179"/>
      <c r="D573" s="179"/>
      <c r="E573" s="179"/>
      <c r="F573" s="179"/>
      <c r="G573" s="179"/>
      <c r="H573" s="179"/>
      <c r="I573" s="179"/>
    </row>
    <row r="574" spans="1:9">
      <c r="A574" s="179"/>
      <c r="B574" s="179"/>
      <c r="C574" s="179"/>
      <c r="D574" s="179"/>
      <c r="E574" s="179"/>
      <c r="F574" s="179"/>
      <c r="G574" s="179"/>
      <c r="H574" s="179"/>
      <c r="I574" s="179"/>
    </row>
    <row r="575" spans="1:9">
      <c r="A575" s="179"/>
      <c r="B575" s="179"/>
      <c r="C575" s="179"/>
      <c r="D575" s="179"/>
      <c r="E575" s="179"/>
      <c r="F575" s="179"/>
      <c r="G575" s="179"/>
      <c r="H575" s="179"/>
      <c r="I575" s="179"/>
    </row>
    <row r="576" spans="1:9">
      <c r="A576" s="179"/>
      <c r="B576" s="179"/>
      <c r="C576" s="179"/>
      <c r="D576" s="179"/>
      <c r="E576" s="179"/>
      <c r="F576" s="179"/>
      <c r="G576" s="179"/>
      <c r="H576" s="179"/>
      <c r="I576" s="179"/>
    </row>
    <row r="577" spans="1:9">
      <c r="A577" s="179"/>
      <c r="B577" s="179"/>
      <c r="C577" s="179"/>
      <c r="D577" s="179"/>
      <c r="E577" s="179"/>
      <c r="F577" s="179"/>
      <c r="G577" s="179"/>
      <c r="H577" s="179"/>
      <c r="I577" s="179"/>
    </row>
    <row r="578" spans="1:9">
      <c r="A578" s="179"/>
      <c r="B578" s="179"/>
      <c r="C578" s="179"/>
      <c r="D578" s="179"/>
      <c r="E578" s="179"/>
      <c r="F578" s="179"/>
      <c r="G578" s="179"/>
      <c r="H578" s="179"/>
      <c r="I578" s="179"/>
    </row>
    <row r="579" spans="1:9">
      <c r="A579" s="179"/>
      <c r="B579" s="179"/>
      <c r="C579" s="179"/>
      <c r="D579" s="179"/>
      <c r="E579" s="179"/>
      <c r="F579" s="179"/>
      <c r="G579" s="179"/>
      <c r="H579" s="179"/>
      <c r="I579" s="179"/>
    </row>
    <row r="580" spans="1:9">
      <c r="A580" s="179"/>
      <c r="B580" s="179"/>
      <c r="C580" s="179"/>
      <c r="D580" s="179"/>
      <c r="E580" s="179"/>
      <c r="F580" s="179"/>
      <c r="G580" s="179"/>
      <c r="H580" s="179"/>
      <c r="I580" s="179"/>
    </row>
    <row r="581" spans="1:9">
      <c r="A581" s="179"/>
      <c r="B581" s="179"/>
      <c r="C581" s="179"/>
      <c r="D581" s="179"/>
      <c r="E581" s="179"/>
      <c r="F581" s="179"/>
      <c r="G581" s="179"/>
      <c r="H581" s="179"/>
      <c r="I581" s="179"/>
    </row>
    <row r="582" spans="1:9">
      <c r="A582" s="179"/>
      <c r="B582" s="179"/>
      <c r="C582" s="179"/>
      <c r="D582" s="179"/>
      <c r="E582" s="179"/>
      <c r="F582" s="179"/>
      <c r="G582" s="179"/>
      <c r="H582" s="179"/>
      <c r="I582" s="179"/>
    </row>
    <row r="583" spans="1:9">
      <c r="A583" s="179"/>
      <c r="B583" s="179"/>
      <c r="C583" s="179"/>
      <c r="D583" s="179"/>
      <c r="E583" s="179"/>
      <c r="F583" s="179"/>
      <c r="G583" s="179"/>
      <c r="H583" s="179"/>
      <c r="I583" s="179"/>
    </row>
    <row r="584" spans="1:9">
      <c r="A584" s="179"/>
      <c r="B584" s="179"/>
      <c r="C584" s="179"/>
      <c r="D584" s="179"/>
      <c r="E584" s="179"/>
      <c r="F584" s="179"/>
      <c r="G584" s="179"/>
      <c r="H584" s="179"/>
      <c r="I584" s="179"/>
    </row>
    <row r="585" spans="1:9">
      <c r="A585" s="179"/>
      <c r="B585" s="179"/>
      <c r="C585" s="179"/>
      <c r="D585" s="179"/>
      <c r="E585" s="179"/>
      <c r="F585" s="179"/>
      <c r="G585" s="179"/>
      <c r="H585" s="179"/>
      <c r="I585" s="179"/>
    </row>
    <row r="586" spans="1:9">
      <c r="A586" s="179"/>
      <c r="B586" s="179"/>
      <c r="C586" s="179"/>
      <c r="D586" s="179"/>
      <c r="E586" s="179"/>
      <c r="F586" s="179"/>
      <c r="G586" s="179"/>
      <c r="H586" s="179"/>
      <c r="I586" s="179"/>
    </row>
    <row r="587" spans="1:9">
      <c r="A587" s="179"/>
      <c r="B587" s="179"/>
      <c r="C587" s="179"/>
      <c r="D587" s="179"/>
      <c r="E587" s="179"/>
      <c r="F587" s="179"/>
      <c r="G587" s="179"/>
      <c r="H587" s="179"/>
      <c r="I587" s="179"/>
    </row>
    <row r="588" spans="1:9">
      <c r="A588" s="179"/>
      <c r="B588" s="179"/>
      <c r="C588" s="179"/>
      <c r="D588" s="179"/>
      <c r="E588" s="179"/>
      <c r="F588" s="179"/>
      <c r="G588" s="179"/>
      <c r="H588" s="179"/>
      <c r="I588" s="179"/>
    </row>
    <row r="589" spans="1:9">
      <c r="A589" s="179"/>
      <c r="B589" s="179"/>
      <c r="C589" s="179"/>
      <c r="D589" s="179"/>
      <c r="E589" s="179"/>
      <c r="F589" s="179"/>
      <c r="G589" s="179"/>
      <c r="H589" s="179"/>
      <c r="I589" s="179"/>
    </row>
    <row r="590" spans="1:9">
      <c r="A590" s="179"/>
      <c r="B590" s="179"/>
      <c r="C590" s="179"/>
      <c r="D590" s="179"/>
      <c r="E590" s="179"/>
      <c r="F590" s="179"/>
      <c r="G590" s="179"/>
      <c r="H590" s="179"/>
      <c r="I590" s="179"/>
    </row>
    <row r="591" spans="1:9">
      <c r="A591" s="179"/>
      <c r="B591" s="179"/>
      <c r="C591" s="179"/>
      <c r="D591" s="179"/>
      <c r="E591" s="179"/>
      <c r="F591" s="179"/>
      <c r="G591" s="179"/>
      <c r="H591" s="179"/>
      <c r="I591" s="179"/>
    </row>
    <row r="592" spans="1:9">
      <c r="A592" s="179"/>
      <c r="B592" s="179"/>
      <c r="C592" s="179"/>
      <c r="D592" s="179"/>
      <c r="E592" s="179"/>
      <c r="F592" s="179"/>
      <c r="G592" s="179"/>
      <c r="H592" s="179"/>
      <c r="I592" s="179"/>
    </row>
    <row r="593" spans="1:9">
      <c r="A593" s="179"/>
      <c r="B593" s="179"/>
      <c r="C593" s="179"/>
      <c r="D593" s="179"/>
      <c r="E593" s="179"/>
      <c r="F593" s="179"/>
      <c r="G593" s="179"/>
      <c r="H593" s="179"/>
      <c r="I593" s="179"/>
    </row>
    <row r="594" spans="1:9">
      <c r="A594" s="179"/>
      <c r="B594" s="179"/>
      <c r="C594" s="179"/>
      <c r="D594" s="179"/>
      <c r="E594" s="179"/>
      <c r="F594" s="179"/>
      <c r="G594" s="179"/>
      <c r="H594" s="179"/>
      <c r="I594" s="179"/>
    </row>
    <row r="595" spans="1:9">
      <c r="A595" s="179"/>
      <c r="B595" s="179"/>
      <c r="C595" s="179"/>
      <c r="D595" s="179"/>
      <c r="E595" s="179"/>
      <c r="F595" s="179"/>
      <c r="G595" s="179"/>
      <c r="H595" s="179"/>
      <c r="I595" s="179"/>
    </row>
    <row r="596" spans="1:9">
      <c r="A596" s="179"/>
      <c r="B596" s="179"/>
      <c r="C596" s="179"/>
      <c r="D596" s="179"/>
      <c r="E596" s="179"/>
      <c r="F596" s="179"/>
      <c r="G596" s="179"/>
      <c r="H596" s="179"/>
      <c r="I596" s="179"/>
    </row>
    <row r="597" spans="1:9">
      <c r="A597" s="179"/>
      <c r="B597" s="179"/>
      <c r="C597" s="179"/>
      <c r="D597" s="179"/>
      <c r="E597" s="179"/>
      <c r="F597" s="179"/>
      <c r="G597" s="179"/>
      <c r="H597" s="179"/>
      <c r="I597" s="179"/>
    </row>
    <row r="598" spans="1:9">
      <c r="A598" s="179"/>
      <c r="B598" s="179"/>
      <c r="C598" s="179"/>
      <c r="D598" s="179"/>
      <c r="E598" s="179"/>
      <c r="F598" s="179"/>
      <c r="G598" s="179"/>
      <c r="H598" s="179"/>
      <c r="I598" s="179"/>
    </row>
    <row r="599" spans="1:9">
      <c r="A599" s="179"/>
      <c r="B599" s="179"/>
      <c r="C599" s="179"/>
      <c r="D599" s="179"/>
      <c r="E599" s="179"/>
      <c r="F599" s="179"/>
      <c r="G599" s="179"/>
      <c r="H599" s="179"/>
      <c r="I599" s="179"/>
    </row>
    <row r="600" spans="1:9">
      <c r="A600" s="179"/>
      <c r="B600" s="179"/>
      <c r="C600" s="179"/>
      <c r="D600" s="179"/>
      <c r="E600" s="179"/>
      <c r="F600" s="179"/>
      <c r="G600" s="179"/>
      <c r="H600" s="179"/>
      <c r="I600" s="179"/>
    </row>
    <row r="601" spans="1:9">
      <c r="A601" s="179"/>
      <c r="B601" s="179"/>
      <c r="C601" s="179"/>
      <c r="D601" s="179"/>
      <c r="E601" s="179"/>
      <c r="F601" s="179"/>
      <c r="G601" s="179"/>
      <c r="H601" s="179"/>
      <c r="I601" s="179"/>
    </row>
    <row r="602" spans="1:9">
      <c r="A602" s="179"/>
      <c r="B602" s="179"/>
      <c r="C602" s="179"/>
      <c r="D602" s="179"/>
      <c r="E602" s="179"/>
      <c r="F602" s="179"/>
      <c r="G602" s="179"/>
      <c r="H602" s="179"/>
      <c r="I602" s="179"/>
    </row>
    <row r="603" spans="1:9">
      <c r="A603" s="179"/>
      <c r="B603" s="179"/>
      <c r="C603" s="179"/>
      <c r="D603" s="179"/>
      <c r="E603" s="179"/>
      <c r="F603" s="179"/>
      <c r="G603" s="179"/>
      <c r="H603" s="179"/>
      <c r="I603" s="179"/>
    </row>
    <row r="604" spans="1:9">
      <c r="A604" s="179"/>
      <c r="B604" s="179"/>
      <c r="C604" s="179"/>
      <c r="D604" s="179"/>
      <c r="E604" s="179"/>
      <c r="F604" s="179"/>
      <c r="G604" s="179"/>
      <c r="H604" s="179"/>
      <c r="I604" s="179"/>
    </row>
    <row r="605" spans="1:9">
      <c r="A605" s="179"/>
      <c r="B605" s="179"/>
      <c r="C605" s="179"/>
      <c r="D605" s="179"/>
      <c r="E605" s="179"/>
      <c r="F605" s="179"/>
      <c r="G605" s="179"/>
      <c r="H605" s="179"/>
      <c r="I605" s="179"/>
    </row>
    <row r="606" spans="1:9">
      <c r="A606" s="179"/>
      <c r="B606" s="179"/>
      <c r="C606" s="179"/>
      <c r="D606" s="179"/>
      <c r="E606" s="179"/>
      <c r="F606" s="179"/>
      <c r="G606" s="179"/>
      <c r="H606" s="179"/>
      <c r="I606" s="179"/>
    </row>
    <row r="607" spans="1:9">
      <c r="A607" s="179"/>
      <c r="B607" s="179"/>
      <c r="C607" s="179"/>
      <c r="D607" s="179"/>
      <c r="E607" s="179"/>
      <c r="F607" s="179"/>
      <c r="G607" s="179"/>
      <c r="H607" s="179"/>
      <c r="I607" s="179"/>
    </row>
    <row r="608" spans="1:9">
      <c r="A608" s="179"/>
      <c r="B608" s="179"/>
      <c r="C608" s="179"/>
      <c r="D608" s="179"/>
      <c r="E608" s="179"/>
      <c r="F608" s="179"/>
      <c r="G608" s="179"/>
      <c r="H608" s="179"/>
      <c r="I608" s="179"/>
    </row>
    <row r="609" spans="1:9">
      <c r="A609" s="179"/>
      <c r="B609" s="179"/>
      <c r="C609" s="179"/>
      <c r="D609" s="179"/>
      <c r="E609" s="179"/>
      <c r="F609" s="179"/>
      <c r="G609" s="179"/>
      <c r="H609" s="179"/>
      <c r="I609" s="179"/>
    </row>
    <row r="610" spans="1:9">
      <c r="A610" s="179"/>
      <c r="B610" s="179"/>
      <c r="C610" s="179"/>
      <c r="D610" s="179"/>
      <c r="E610" s="179"/>
      <c r="F610" s="179"/>
      <c r="G610" s="179"/>
      <c r="H610" s="179"/>
      <c r="I610" s="179"/>
    </row>
    <row r="611" spans="1:9">
      <c r="A611" s="179"/>
      <c r="B611" s="179"/>
      <c r="C611" s="179"/>
      <c r="D611" s="179"/>
      <c r="E611" s="179"/>
      <c r="F611" s="179"/>
      <c r="G611" s="179"/>
      <c r="H611" s="179"/>
      <c r="I611" s="179"/>
    </row>
    <row r="612" spans="1:9">
      <c r="A612" s="179"/>
      <c r="B612" s="179"/>
      <c r="C612" s="179"/>
      <c r="D612" s="179"/>
      <c r="E612" s="179"/>
      <c r="F612" s="179"/>
      <c r="G612" s="179"/>
      <c r="H612" s="179"/>
      <c r="I612" s="179"/>
    </row>
    <row r="613" spans="1:9">
      <c r="A613" s="179"/>
      <c r="B613" s="179"/>
      <c r="C613" s="179"/>
      <c r="D613" s="179"/>
      <c r="E613" s="179"/>
      <c r="F613" s="179"/>
      <c r="G613" s="179"/>
      <c r="H613" s="179"/>
      <c r="I613" s="179"/>
    </row>
    <row r="614" spans="1:9">
      <c r="A614" s="179"/>
      <c r="B614" s="179"/>
      <c r="C614" s="179"/>
      <c r="D614" s="179"/>
      <c r="E614" s="179"/>
      <c r="F614" s="179"/>
      <c r="G614" s="179"/>
      <c r="H614" s="179"/>
      <c r="I614" s="179"/>
    </row>
    <row r="615" spans="1:9">
      <c r="A615" s="179"/>
      <c r="B615" s="179"/>
      <c r="C615" s="179"/>
      <c r="D615" s="179"/>
      <c r="E615" s="179"/>
      <c r="F615" s="179"/>
      <c r="G615" s="179"/>
      <c r="H615" s="179"/>
      <c r="I615" s="179"/>
    </row>
    <row r="616" spans="1:9">
      <c r="A616" s="179"/>
      <c r="B616" s="179"/>
      <c r="C616" s="179"/>
      <c r="D616" s="179"/>
      <c r="E616" s="179"/>
      <c r="F616" s="179"/>
      <c r="G616" s="179"/>
      <c r="H616" s="179"/>
      <c r="I616" s="179"/>
    </row>
    <row r="617" spans="1:9">
      <c r="A617" s="179"/>
      <c r="B617" s="179"/>
      <c r="C617" s="179"/>
      <c r="D617" s="179"/>
      <c r="E617" s="179"/>
      <c r="F617" s="179"/>
      <c r="G617" s="179"/>
      <c r="H617" s="179"/>
      <c r="I617" s="179"/>
    </row>
    <row r="618" spans="1:9">
      <c r="A618" s="179"/>
      <c r="B618" s="179"/>
      <c r="C618" s="179"/>
      <c r="D618" s="179"/>
      <c r="E618" s="179"/>
      <c r="F618" s="179"/>
      <c r="G618" s="179"/>
      <c r="H618" s="179"/>
      <c r="I618" s="179"/>
    </row>
    <row r="619" spans="1:9">
      <c r="A619" s="179"/>
      <c r="B619" s="179"/>
      <c r="C619" s="179"/>
      <c r="D619" s="179"/>
      <c r="E619" s="179"/>
      <c r="F619" s="179"/>
      <c r="G619" s="179"/>
      <c r="H619" s="179"/>
      <c r="I619" s="179"/>
    </row>
    <row r="620" spans="1:9">
      <c r="A620" s="179"/>
      <c r="B620" s="179"/>
      <c r="C620" s="179"/>
      <c r="D620" s="179"/>
      <c r="E620" s="179"/>
      <c r="F620" s="179"/>
      <c r="G620" s="179"/>
      <c r="H620" s="179"/>
      <c r="I620" s="179"/>
    </row>
    <row r="621" spans="1:9">
      <c r="A621" s="179"/>
      <c r="B621" s="179"/>
      <c r="C621" s="179"/>
      <c r="D621" s="179"/>
      <c r="E621" s="179"/>
      <c r="F621" s="179"/>
      <c r="G621" s="179"/>
      <c r="H621" s="179"/>
      <c r="I621" s="179"/>
    </row>
    <row r="622" spans="1:9">
      <c r="A622" s="179"/>
      <c r="B622" s="179"/>
      <c r="C622" s="179"/>
      <c r="D622" s="179"/>
      <c r="E622" s="179"/>
      <c r="F622" s="179"/>
      <c r="G622" s="179"/>
      <c r="H622" s="179"/>
      <c r="I622" s="179"/>
    </row>
    <row r="623" spans="1:9">
      <c r="A623" s="179"/>
      <c r="B623" s="179"/>
      <c r="C623" s="179"/>
      <c r="D623" s="179"/>
      <c r="E623" s="179"/>
      <c r="F623" s="179"/>
      <c r="G623" s="179"/>
      <c r="H623" s="179"/>
      <c r="I623" s="179"/>
    </row>
    <row r="624" spans="1:9">
      <c r="A624" s="179"/>
      <c r="B624" s="179"/>
      <c r="C624" s="179"/>
      <c r="D624" s="179"/>
      <c r="E624" s="179"/>
      <c r="F624" s="179"/>
      <c r="G624" s="179"/>
      <c r="H624" s="179"/>
      <c r="I624" s="179"/>
    </row>
    <row r="625" spans="1:9">
      <c r="A625" s="179"/>
      <c r="B625" s="179"/>
      <c r="C625" s="179"/>
      <c r="D625" s="179"/>
      <c r="E625" s="179"/>
      <c r="F625" s="179"/>
      <c r="G625" s="179"/>
      <c r="H625" s="179"/>
      <c r="I625" s="179"/>
    </row>
    <row r="626" spans="1:9">
      <c r="A626" s="179"/>
      <c r="B626" s="179"/>
      <c r="C626" s="179"/>
      <c r="D626" s="179"/>
      <c r="E626" s="179"/>
      <c r="F626" s="179"/>
      <c r="G626" s="179"/>
      <c r="H626" s="179"/>
      <c r="I626" s="179"/>
    </row>
    <row r="627" spans="1:9">
      <c r="A627" s="179"/>
      <c r="B627" s="179"/>
      <c r="C627" s="179"/>
      <c r="D627" s="179"/>
      <c r="E627" s="179"/>
      <c r="F627" s="179"/>
      <c r="G627" s="179"/>
      <c r="H627" s="179"/>
      <c r="I627" s="179"/>
    </row>
    <row r="628" spans="1:9">
      <c r="A628" s="179"/>
      <c r="B628" s="179"/>
      <c r="C628" s="179"/>
      <c r="D628" s="179"/>
      <c r="E628" s="179"/>
      <c r="F628" s="179"/>
      <c r="G628" s="179"/>
      <c r="H628" s="179"/>
      <c r="I628" s="179"/>
    </row>
    <row r="629" spans="1:9">
      <c r="A629" s="179"/>
      <c r="B629" s="179"/>
      <c r="C629" s="179"/>
      <c r="D629" s="179"/>
      <c r="E629" s="179"/>
      <c r="F629" s="179"/>
      <c r="G629" s="179"/>
      <c r="H629" s="179"/>
      <c r="I629" s="179"/>
    </row>
    <row r="630" spans="1:9">
      <c r="A630" s="179"/>
      <c r="B630" s="179"/>
      <c r="C630" s="179"/>
      <c r="D630" s="179"/>
      <c r="E630" s="179"/>
      <c r="F630" s="179"/>
      <c r="G630" s="179"/>
      <c r="H630" s="179"/>
      <c r="I630" s="179"/>
    </row>
    <row r="631" spans="1:9">
      <c r="A631" s="179"/>
      <c r="B631" s="179"/>
      <c r="C631" s="179"/>
      <c r="D631" s="179"/>
      <c r="E631" s="179"/>
      <c r="F631" s="179"/>
      <c r="G631" s="179"/>
      <c r="H631" s="179"/>
      <c r="I631" s="179"/>
    </row>
    <row r="632" spans="1:9">
      <c r="A632" s="179"/>
      <c r="B632" s="179"/>
      <c r="C632" s="179"/>
      <c r="D632" s="179"/>
      <c r="E632" s="179"/>
      <c r="F632" s="179"/>
      <c r="G632" s="179"/>
      <c r="H632" s="179"/>
      <c r="I632" s="179"/>
    </row>
    <row r="633" spans="1:9">
      <c r="A633" s="179"/>
      <c r="B633" s="179"/>
      <c r="C633" s="179"/>
      <c r="D633" s="179"/>
      <c r="E633" s="179"/>
      <c r="F633" s="179"/>
      <c r="G633" s="179"/>
      <c r="H633" s="179"/>
      <c r="I633" s="179"/>
    </row>
    <row r="634" spans="1:9">
      <c r="A634" s="179"/>
      <c r="B634" s="179"/>
      <c r="C634" s="179"/>
      <c r="D634" s="179"/>
      <c r="E634" s="179"/>
      <c r="F634" s="179"/>
      <c r="G634" s="179"/>
      <c r="H634" s="179"/>
      <c r="I634" s="179"/>
    </row>
    <row r="635" spans="1:9">
      <c r="A635" s="179"/>
      <c r="B635" s="179"/>
      <c r="C635" s="179"/>
      <c r="D635" s="179"/>
      <c r="E635" s="179"/>
      <c r="F635" s="179"/>
      <c r="G635" s="179"/>
      <c r="H635" s="179"/>
      <c r="I635" s="179"/>
    </row>
    <row r="636" spans="1:9">
      <c r="A636" s="179"/>
      <c r="B636" s="179"/>
      <c r="C636" s="179"/>
      <c r="D636" s="179"/>
      <c r="E636" s="179"/>
      <c r="F636" s="179"/>
      <c r="G636" s="179"/>
      <c r="H636" s="179"/>
      <c r="I636" s="179"/>
    </row>
    <row r="637" spans="1:9">
      <c r="A637" s="179"/>
      <c r="B637" s="179"/>
      <c r="C637" s="179"/>
      <c r="D637" s="179"/>
      <c r="E637" s="179"/>
      <c r="F637" s="179"/>
      <c r="G637" s="179"/>
      <c r="H637" s="179"/>
      <c r="I637" s="179"/>
    </row>
    <row r="638" spans="1:9">
      <c r="A638" s="179"/>
      <c r="B638" s="179"/>
      <c r="C638" s="179"/>
      <c r="D638" s="179"/>
      <c r="E638" s="179"/>
      <c r="F638" s="179"/>
      <c r="G638" s="179"/>
      <c r="H638" s="179"/>
      <c r="I638" s="179"/>
    </row>
    <row r="639" spans="1:9">
      <c r="A639" s="179"/>
      <c r="B639" s="179"/>
      <c r="C639" s="179"/>
      <c r="D639" s="179"/>
      <c r="E639" s="179"/>
      <c r="F639" s="179"/>
      <c r="G639" s="179"/>
      <c r="H639" s="179"/>
      <c r="I639" s="179"/>
    </row>
    <row r="640" spans="1:9">
      <c r="A640" s="179"/>
      <c r="B640" s="179"/>
      <c r="C640" s="179"/>
      <c r="D640" s="179"/>
      <c r="E640" s="179"/>
      <c r="F640" s="179"/>
      <c r="G640" s="179"/>
      <c r="H640" s="179"/>
      <c r="I640" s="179"/>
    </row>
    <row r="641" spans="1:9">
      <c r="A641" s="179"/>
      <c r="B641" s="179"/>
      <c r="C641" s="179"/>
      <c r="D641" s="179"/>
      <c r="E641" s="179"/>
      <c r="F641" s="179"/>
      <c r="G641" s="179"/>
      <c r="H641" s="179"/>
      <c r="I641" s="179"/>
    </row>
    <row r="642" spans="1:9">
      <c r="A642" s="179"/>
      <c r="B642" s="179"/>
      <c r="C642" s="179"/>
      <c r="D642" s="179"/>
      <c r="E642" s="179"/>
      <c r="F642" s="179"/>
      <c r="G642" s="179"/>
      <c r="H642" s="179"/>
      <c r="I642" s="179"/>
    </row>
    <row r="643" spans="1:9">
      <c r="A643" s="179"/>
      <c r="B643" s="179"/>
      <c r="C643" s="179"/>
      <c r="D643" s="179"/>
      <c r="E643" s="179"/>
      <c r="F643" s="179"/>
      <c r="G643" s="179"/>
      <c r="H643" s="179"/>
      <c r="I643" s="179"/>
    </row>
    <row r="644" spans="1:9">
      <c r="A644" s="179"/>
      <c r="B644" s="179"/>
      <c r="C644" s="179"/>
      <c r="D644" s="179"/>
      <c r="E644" s="179"/>
      <c r="F644" s="179"/>
      <c r="G644" s="179"/>
      <c r="H644" s="179"/>
      <c r="I644" s="179"/>
    </row>
    <row r="645" spans="1:9">
      <c r="A645" s="179"/>
      <c r="B645" s="179"/>
      <c r="C645" s="179"/>
      <c r="D645" s="179"/>
      <c r="E645" s="179"/>
      <c r="F645" s="179"/>
      <c r="G645" s="179"/>
      <c r="H645" s="179"/>
      <c r="I645" s="179"/>
    </row>
    <row r="646" spans="1:9">
      <c r="A646" s="179"/>
      <c r="B646" s="179"/>
      <c r="C646" s="179"/>
      <c r="D646" s="179"/>
      <c r="E646" s="179"/>
      <c r="F646" s="179"/>
      <c r="G646" s="179"/>
      <c r="H646" s="179"/>
      <c r="I646" s="179"/>
    </row>
    <row r="647" spans="1:9">
      <c r="A647" s="179"/>
      <c r="B647" s="179"/>
      <c r="C647" s="179"/>
      <c r="D647" s="179"/>
      <c r="E647" s="179"/>
      <c r="F647" s="179"/>
      <c r="G647" s="179"/>
      <c r="H647" s="179"/>
      <c r="I647" s="179"/>
    </row>
    <row r="648" spans="1:9">
      <c r="A648" s="179"/>
      <c r="B648" s="179"/>
      <c r="C648" s="179"/>
      <c r="D648" s="179"/>
      <c r="E648" s="179"/>
      <c r="F648" s="179"/>
      <c r="G648" s="179"/>
      <c r="H648" s="179"/>
      <c r="I648" s="179"/>
    </row>
    <row r="649" spans="1:9">
      <c r="A649" s="179"/>
      <c r="B649" s="179"/>
      <c r="C649" s="179"/>
      <c r="D649" s="179"/>
      <c r="E649" s="179"/>
      <c r="F649" s="179"/>
      <c r="G649" s="179"/>
      <c r="H649" s="179"/>
      <c r="I649" s="179"/>
    </row>
    <row r="650" spans="1:9">
      <c r="A650" s="179"/>
      <c r="B650" s="179"/>
      <c r="C650" s="179"/>
      <c r="D650" s="179"/>
      <c r="E650" s="179"/>
      <c r="F650" s="179"/>
      <c r="G650" s="179"/>
      <c r="H650" s="179"/>
      <c r="I650" s="179"/>
    </row>
    <row r="651" spans="1:9">
      <c r="A651" s="179"/>
      <c r="B651" s="179"/>
      <c r="C651" s="179"/>
      <c r="D651" s="179"/>
      <c r="E651" s="179"/>
      <c r="F651" s="179"/>
      <c r="G651" s="179"/>
      <c r="H651" s="179"/>
      <c r="I651" s="179"/>
    </row>
    <row r="652" spans="1:9">
      <c r="A652" s="179"/>
      <c r="B652" s="179"/>
      <c r="C652" s="179"/>
      <c r="D652" s="179"/>
      <c r="E652" s="179"/>
      <c r="F652" s="179"/>
      <c r="G652" s="179"/>
      <c r="H652" s="179"/>
      <c r="I652" s="179"/>
    </row>
    <row r="653" spans="1:9">
      <c r="A653" s="179"/>
      <c r="B653" s="179"/>
      <c r="C653" s="179"/>
      <c r="D653" s="179"/>
      <c r="E653" s="179"/>
      <c r="F653" s="179"/>
      <c r="G653" s="179"/>
      <c r="H653" s="179"/>
      <c r="I653" s="179"/>
    </row>
    <row r="654" spans="1:9">
      <c r="A654" s="179"/>
      <c r="B654" s="179"/>
      <c r="C654" s="179"/>
      <c r="D654" s="179"/>
      <c r="E654" s="179"/>
      <c r="F654" s="179"/>
      <c r="G654" s="179"/>
      <c r="H654" s="179"/>
      <c r="I654" s="179"/>
    </row>
    <row r="655" spans="1:9">
      <c r="A655" s="179"/>
      <c r="B655" s="179"/>
      <c r="C655" s="179"/>
      <c r="D655" s="179"/>
      <c r="E655" s="179"/>
      <c r="F655" s="179"/>
      <c r="G655" s="179"/>
      <c r="H655" s="179"/>
      <c r="I655" s="179"/>
    </row>
    <row r="656" spans="1:9">
      <c r="A656" s="179"/>
      <c r="B656" s="179"/>
      <c r="C656" s="179"/>
      <c r="D656" s="179"/>
      <c r="E656" s="179"/>
      <c r="F656" s="179"/>
      <c r="G656" s="179"/>
      <c r="H656" s="179"/>
      <c r="I656" s="179"/>
    </row>
    <row r="657" spans="1:9">
      <c r="A657" s="179"/>
      <c r="B657" s="179"/>
      <c r="C657" s="179"/>
      <c r="D657" s="179"/>
      <c r="E657" s="179"/>
      <c r="F657" s="179"/>
      <c r="G657" s="179"/>
      <c r="H657" s="179"/>
      <c r="I657" s="179"/>
    </row>
    <row r="658" spans="1:9">
      <c r="A658" s="179"/>
      <c r="B658" s="179"/>
      <c r="C658" s="179"/>
      <c r="D658" s="179"/>
      <c r="E658" s="179"/>
      <c r="F658" s="179"/>
      <c r="G658" s="179"/>
      <c r="H658" s="179"/>
      <c r="I658" s="179"/>
    </row>
    <row r="659" spans="1:9">
      <c r="A659" s="179"/>
      <c r="B659" s="179"/>
      <c r="C659" s="179"/>
      <c r="D659" s="179"/>
      <c r="E659" s="179"/>
      <c r="F659" s="179"/>
      <c r="G659" s="179"/>
      <c r="H659" s="179"/>
      <c r="I659" s="179"/>
    </row>
    <row r="660" spans="1:9">
      <c r="A660" s="179"/>
      <c r="B660" s="179"/>
      <c r="C660" s="179"/>
      <c r="D660" s="179"/>
      <c r="E660" s="179"/>
      <c r="F660" s="179"/>
      <c r="G660" s="179"/>
      <c r="H660" s="179"/>
      <c r="I660" s="179"/>
    </row>
    <row r="661" spans="1:9">
      <c r="A661" s="179"/>
      <c r="B661" s="179"/>
      <c r="C661" s="179"/>
      <c r="D661" s="179"/>
      <c r="E661" s="179"/>
      <c r="F661" s="179"/>
      <c r="G661" s="179"/>
      <c r="H661" s="179"/>
      <c r="I661" s="179"/>
    </row>
    <row r="662" spans="1:9">
      <c r="A662" s="179"/>
      <c r="B662" s="179"/>
      <c r="C662" s="179"/>
      <c r="D662" s="179"/>
      <c r="E662" s="179"/>
      <c r="F662" s="179"/>
      <c r="G662" s="179"/>
      <c r="H662" s="179"/>
      <c r="I662" s="179"/>
    </row>
    <row r="663" spans="1:9">
      <c r="A663" s="179"/>
      <c r="B663" s="179"/>
      <c r="C663" s="179"/>
      <c r="D663" s="179"/>
      <c r="E663" s="179"/>
      <c r="F663" s="179"/>
      <c r="G663" s="179"/>
      <c r="H663" s="179"/>
      <c r="I663" s="179"/>
    </row>
    <row r="664" spans="1:9">
      <c r="A664" s="179"/>
      <c r="B664" s="179"/>
      <c r="C664" s="179"/>
      <c r="D664" s="179"/>
      <c r="E664" s="179"/>
      <c r="F664" s="179"/>
      <c r="G664" s="179"/>
      <c r="H664" s="179"/>
      <c r="I664" s="179"/>
    </row>
    <row r="665" spans="1:9">
      <c r="A665" s="179"/>
      <c r="B665" s="179"/>
      <c r="C665" s="179"/>
      <c r="D665" s="179"/>
      <c r="E665" s="179"/>
      <c r="F665" s="179"/>
      <c r="G665" s="179"/>
      <c r="H665" s="179"/>
      <c r="I665" s="179"/>
    </row>
    <row r="666" spans="1:9">
      <c r="A666" s="179"/>
      <c r="B666" s="179"/>
      <c r="C666" s="179"/>
      <c r="D666" s="179"/>
      <c r="E666" s="179"/>
      <c r="F666" s="179"/>
      <c r="G666" s="179"/>
      <c r="H666" s="179"/>
      <c r="I666" s="179"/>
    </row>
    <row r="667" spans="1:9">
      <c r="A667" s="179"/>
      <c r="B667" s="179"/>
      <c r="C667" s="179"/>
      <c r="D667" s="179"/>
      <c r="E667" s="179"/>
      <c r="F667" s="179"/>
      <c r="G667" s="179"/>
      <c r="H667" s="179"/>
      <c r="I667" s="179"/>
    </row>
    <row r="668" spans="1:9">
      <c r="A668" s="179"/>
      <c r="B668" s="179"/>
      <c r="C668" s="179"/>
      <c r="D668" s="179"/>
      <c r="E668" s="179"/>
      <c r="F668" s="179"/>
      <c r="G668" s="179"/>
      <c r="H668" s="179"/>
      <c r="I668" s="179"/>
    </row>
    <row r="669" spans="1:9">
      <c r="A669" s="179"/>
      <c r="B669" s="179"/>
      <c r="C669" s="179"/>
      <c r="D669" s="179"/>
      <c r="E669" s="179"/>
      <c r="F669" s="179"/>
      <c r="G669" s="179"/>
      <c r="H669" s="179"/>
      <c r="I669" s="179"/>
    </row>
    <row r="670" spans="1:9">
      <c r="A670" s="179"/>
      <c r="B670" s="179"/>
      <c r="C670" s="179"/>
      <c r="D670" s="179"/>
      <c r="E670" s="179"/>
      <c r="F670" s="179"/>
      <c r="G670" s="179"/>
      <c r="H670" s="179"/>
      <c r="I670" s="179"/>
    </row>
    <row r="671" spans="1:9">
      <c r="A671" s="179"/>
      <c r="B671" s="179"/>
      <c r="C671" s="179"/>
      <c r="D671" s="179"/>
      <c r="E671" s="179"/>
      <c r="F671" s="179"/>
      <c r="G671" s="179"/>
      <c r="H671" s="179"/>
      <c r="I671" s="179"/>
    </row>
    <row r="672" spans="1:9">
      <c r="A672" s="179"/>
      <c r="B672" s="179"/>
      <c r="C672" s="179"/>
      <c r="D672" s="179"/>
      <c r="E672" s="179"/>
      <c r="F672" s="179"/>
      <c r="G672" s="179"/>
      <c r="H672" s="179"/>
      <c r="I672" s="179"/>
    </row>
    <row r="673" spans="1:9">
      <c r="A673" s="179"/>
      <c r="B673" s="179"/>
      <c r="C673" s="179"/>
      <c r="D673" s="179"/>
      <c r="E673" s="179"/>
      <c r="F673" s="179"/>
      <c r="G673" s="179"/>
      <c r="H673" s="179"/>
      <c r="I673" s="179"/>
    </row>
    <row r="674" spans="1:9">
      <c r="A674" s="179"/>
      <c r="B674" s="179"/>
      <c r="C674" s="179"/>
      <c r="D674" s="179"/>
      <c r="E674" s="179"/>
      <c r="F674" s="179"/>
      <c r="G674" s="179"/>
      <c r="H674" s="179"/>
      <c r="I674" s="179"/>
    </row>
    <row r="675" spans="1:9">
      <c r="A675" s="179"/>
      <c r="B675" s="179"/>
      <c r="C675" s="179"/>
      <c r="D675" s="179"/>
      <c r="E675" s="179"/>
      <c r="F675" s="179"/>
      <c r="G675" s="179"/>
      <c r="H675" s="179"/>
      <c r="I675" s="179"/>
    </row>
    <row r="676" spans="1:9">
      <c r="A676" s="179"/>
      <c r="B676" s="179"/>
      <c r="C676" s="179"/>
      <c r="D676" s="179"/>
      <c r="E676" s="179"/>
      <c r="F676" s="179"/>
      <c r="G676" s="179"/>
      <c r="H676" s="179"/>
      <c r="I676" s="179"/>
    </row>
    <row r="677" spans="1:9">
      <c r="A677" s="179"/>
      <c r="B677" s="179"/>
      <c r="C677" s="179"/>
      <c r="D677" s="179"/>
      <c r="E677" s="179"/>
      <c r="F677" s="179"/>
      <c r="G677" s="179"/>
      <c r="H677" s="179"/>
      <c r="I677" s="179"/>
    </row>
    <row r="678" spans="1:9">
      <c r="A678" s="179"/>
      <c r="B678" s="179"/>
      <c r="C678" s="179"/>
      <c r="D678" s="179"/>
      <c r="E678" s="179"/>
      <c r="F678" s="179"/>
      <c r="G678" s="179"/>
      <c r="H678" s="179"/>
      <c r="I678" s="179"/>
    </row>
    <row r="679" spans="1:9">
      <c r="A679" s="179"/>
      <c r="B679" s="179"/>
      <c r="C679" s="179"/>
      <c r="D679" s="179"/>
      <c r="E679" s="179"/>
      <c r="F679" s="179"/>
      <c r="G679" s="179"/>
      <c r="H679" s="179"/>
      <c r="I679" s="179"/>
    </row>
    <row r="680" spans="1:9">
      <c r="A680" s="179"/>
      <c r="B680" s="179"/>
      <c r="C680" s="179"/>
      <c r="D680" s="179"/>
      <c r="E680" s="179"/>
      <c r="F680" s="179"/>
      <c r="G680" s="179"/>
      <c r="H680" s="179"/>
      <c r="I680" s="179"/>
    </row>
    <row r="681" spans="1:9">
      <c r="A681" s="179"/>
      <c r="B681" s="179"/>
      <c r="C681" s="179"/>
      <c r="D681" s="179"/>
      <c r="E681" s="179"/>
      <c r="F681" s="179"/>
      <c r="G681" s="179"/>
      <c r="H681" s="179"/>
      <c r="I681" s="179"/>
    </row>
    <row r="682" spans="1:9">
      <c r="A682" s="179"/>
      <c r="B682" s="179"/>
      <c r="C682" s="179"/>
      <c r="D682" s="179"/>
      <c r="E682" s="179"/>
      <c r="F682" s="179"/>
      <c r="G682" s="179"/>
      <c r="H682" s="179"/>
      <c r="I682" s="179"/>
    </row>
    <row r="683" spans="1:9">
      <c r="A683" s="179"/>
      <c r="B683" s="179"/>
      <c r="C683" s="179"/>
      <c r="D683" s="179"/>
      <c r="E683" s="179"/>
      <c r="F683" s="179"/>
      <c r="G683" s="179"/>
      <c r="H683" s="179"/>
      <c r="I683" s="179"/>
    </row>
    <row r="684" spans="1:9">
      <c r="A684" s="179"/>
      <c r="B684" s="179"/>
      <c r="C684" s="179"/>
      <c r="D684" s="179"/>
      <c r="E684" s="179"/>
      <c r="F684" s="179"/>
      <c r="G684" s="179"/>
      <c r="H684" s="179"/>
      <c r="I684" s="179"/>
    </row>
    <row r="685" spans="1:9">
      <c r="A685" s="179"/>
      <c r="B685" s="179"/>
      <c r="C685" s="179"/>
      <c r="D685" s="179"/>
      <c r="E685" s="179"/>
      <c r="F685" s="179"/>
      <c r="G685" s="179"/>
      <c r="H685" s="179"/>
      <c r="I685" s="179"/>
    </row>
    <row r="686" spans="1:9">
      <c r="A686" s="179"/>
      <c r="B686" s="179"/>
      <c r="C686" s="179"/>
      <c r="D686" s="179"/>
      <c r="E686" s="179"/>
      <c r="F686" s="179"/>
      <c r="G686" s="179"/>
      <c r="H686" s="179"/>
      <c r="I686" s="179"/>
    </row>
    <row r="687" spans="1:9">
      <c r="A687" s="179"/>
      <c r="B687" s="179"/>
      <c r="C687" s="179"/>
      <c r="D687" s="179"/>
      <c r="E687" s="179"/>
      <c r="F687" s="179"/>
      <c r="G687" s="179"/>
      <c r="H687" s="179"/>
      <c r="I687" s="179"/>
    </row>
    <row r="688" spans="1:9">
      <c r="A688" s="179"/>
      <c r="B688" s="179"/>
      <c r="C688" s="179"/>
      <c r="D688" s="179"/>
      <c r="E688" s="179"/>
      <c r="F688" s="179"/>
      <c r="G688" s="179"/>
      <c r="H688" s="179"/>
      <c r="I688" s="179"/>
    </row>
    <row r="689" spans="1:9">
      <c r="A689" s="179"/>
      <c r="B689" s="179"/>
      <c r="C689" s="179"/>
      <c r="D689" s="179"/>
      <c r="E689" s="179"/>
      <c r="F689" s="179"/>
      <c r="G689" s="179"/>
      <c r="H689" s="179"/>
      <c r="I689" s="179"/>
    </row>
    <row r="690" spans="1:9">
      <c r="A690" s="179"/>
      <c r="B690" s="179"/>
      <c r="C690" s="179"/>
      <c r="D690" s="179"/>
      <c r="E690" s="179"/>
      <c r="F690" s="179"/>
      <c r="G690" s="179"/>
      <c r="H690" s="179"/>
      <c r="I690" s="179"/>
    </row>
    <row r="691" spans="1:9">
      <c r="A691" s="179"/>
      <c r="B691" s="179"/>
      <c r="C691" s="179"/>
      <c r="D691" s="179"/>
      <c r="E691" s="179"/>
      <c r="F691" s="179"/>
      <c r="G691" s="179"/>
      <c r="H691" s="179"/>
      <c r="I691" s="179"/>
    </row>
    <row r="692" spans="1:9">
      <c r="A692" s="179"/>
      <c r="B692" s="179"/>
      <c r="C692" s="179"/>
      <c r="D692" s="179"/>
      <c r="E692" s="179"/>
      <c r="F692" s="179"/>
      <c r="G692" s="179"/>
      <c r="H692" s="179"/>
      <c r="I692" s="179"/>
    </row>
    <row r="693" spans="1:9">
      <c r="A693" s="179"/>
      <c r="B693" s="179"/>
      <c r="C693" s="179"/>
      <c r="D693" s="179"/>
      <c r="E693" s="179"/>
      <c r="F693" s="179"/>
      <c r="G693" s="179"/>
      <c r="H693" s="179"/>
      <c r="I693" s="179"/>
    </row>
    <row r="694" spans="1:9">
      <c r="A694" s="179"/>
      <c r="B694" s="179"/>
      <c r="C694" s="179"/>
      <c r="D694" s="179"/>
      <c r="E694" s="179"/>
      <c r="F694" s="179"/>
      <c r="G694" s="179"/>
      <c r="H694" s="179"/>
      <c r="I694" s="179"/>
    </row>
    <row r="695" spans="1:9">
      <c r="A695" s="179"/>
      <c r="B695" s="179"/>
      <c r="C695" s="179"/>
      <c r="D695" s="179"/>
      <c r="E695" s="179"/>
      <c r="F695" s="179"/>
      <c r="G695" s="179"/>
      <c r="H695" s="179"/>
      <c r="I695" s="179"/>
    </row>
    <row r="696" spans="1:9">
      <c r="A696" s="179"/>
      <c r="B696" s="179"/>
      <c r="C696" s="179"/>
      <c r="D696" s="179"/>
      <c r="E696" s="179"/>
      <c r="F696" s="179"/>
      <c r="G696" s="179"/>
      <c r="H696" s="179"/>
      <c r="I696" s="179"/>
    </row>
    <row r="697" spans="1:9">
      <c r="A697" s="179"/>
      <c r="B697" s="179"/>
      <c r="C697" s="179"/>
      <c r="D697" s="179"/>
      <c r="E697" s="179"/>
      <c r="F697" s="179"/>
      <c r="G697" s="179"/>
      <c r="H697" s="179"/>
      <c r="I697" s="179"/>
    </row>
    <row r="698" spans="1:9">
      <c r="A698" s="179"/>
      <c r="B698" s="179"/>
      <c r="C698" s="179"/>
      <c r="D698" s="179"/>
      <c r="E698" s="179"/>
      <c r="F698" s="179"/>
      <c r="G698" s="179"/>
      <c r="H698" s="179"/>
      <c r="I698" s="179"/>
    </row>
    <row r="699" spans="1:9">
      <c r="A699" s="179"/>
      <c r="B699" s="179"/>
      <c r="C699" s="179"/>
      <c r="D699" s="179"/>
      <c r="E699" s="179"/>
      <c r="F699" s="179"/>
      <c r="G699" s="179"/>
      <c r="H699" s="179"/>
      <c r="I699" s="179"/>
    </row>
    <row r="700" spans="1:9">
      <c r="A700" s="179"/>
      <c r="B700" s="179"/>
      <c r="C700" s="179"/>
      <c r="D700" s="179"/>
      <c r="E700" s="179"/>
      <c r="F700" s="179"/>
      <c r="G700" s="179"/>
      <c r="H700" s="179"/>
      <c r="I700" s="179"/>
    </row>
    <row r="701" spans="1:9">
      <c r="A701" s="179"/>
      <c r="B701" s="179"/>
      <c r="C701" s="179"/>
      <c r="D701" s="179"/>
      <c r="E701" s="179"/>
      <c r="F701" s="179"/>
      <c r="G701" s="179"/>
      <c r="H701" s="179"/>
      <c r="I701" s="179"/>
    </row>
    <row r="702" spans="1:9">
      <c r="A702" s="179"/>
      <c r="B702" s="179"/>
      <c r="C702" s="179"/>
      <c r="D702" s="179"/>
      <c r="E702" s="179"/>
      <c r="F702" s="179"/>
      <c r="G702" s="179"/>
      <c r="H702" s="179"/>
      <c r="I702" s="179"/>
    </row>
    <row r="703" spans="1:9">
      <c r="A703" s="179"/>
      <c r="B703" s="179"/>
      <c r="C703" s="179"/>
      <c r="D703" s="179"/>
      <c r="E703" s="179"/>
      <c r="F703" s="179"/>
      <c r="G703" s="179"/>
      <c r="H703" s="179"/>
      <c r="I703" s="179"/>
    </row>
    <row r="704" spans="1:9">
      <c r="A704" s="179"/>
      <c r="B704" s="179"/>
      <c r="C704" s="179"/>
      <c r="D704" s="179"/>
      <c r="E704" s="179"/>
      <c r="F704" s="179"/>
      <c r="G704" s="179"/>
      <c r="H704" s="179"/>
      <c r="I704" s="179"/>
    </row>
    <row r="705" spans="1:9">
      <c r="A705" s="179"/>
      <c r="B705" s="179"/>
      <c r="C705" s="179"/>
      <c r="D705" s="179"/>
      <c r="E705" s="179"/>
      <c r="F705" s="179"/>
      <c r="G705" s="179"/>
      <c r="H705" s="179"/>
      <c r="I705" s="179"/>
    </row>
    <row r="706" spans="1:9">
      <c r="A706" s="179"/>
      <c r="B706" s="179"/>
      <c r="C706" s="179"/>
      <c r="D706" s="179"/>
      <c r="E706" s="179"/>
      <c r="F706" s="179"/>
      <c r="G706" s="179"/>
      <c r="H706" s="179"/>
      <c r="I706" s="179"/>
    </row>
    <row r="707" spans="1:9">
      <c r="A707" s="179"/>
      <c r="B707" s="179"/>
      <c r="C707" s="179"/>
      <c r="D707" s="179"/>
      <c r="E707" s="179"/>
      <c r="F707" s="179"/>
      <c r="G707" s="179"/>
      <c r="H707" s="179"/>
      <c r="I707" s="179"/>
    </row>
    <row r="708" spans="1:9">
      <c r="A708" s="179"/>
      <c r="B708" s="179"/>
      <c r="C708" s="179"/>
      <c r="D708" s="179"/>
      <c r="E708" s="179"/>
      <c r="F708" s="179"/>
      <c r="G708" s="179"/>
      <c r="H708" s="179"/>
      <c r="I708" s="179"/>
    </row>
    <row r="709" spans="1:9">
      <c r="A709" s="179"/>
      <c r="B709" s="179"/>
      <c r="C709" s="179"/>
      <c r="D709" s="179"/>
      <c r="E709" s="179"/>
      <c r="F709" s="179"/>
      <c r="G709" s="179"/>
      <c r="H709" s="179"/>
      <c r="I709" s="179"/>
    </row>
    <row r="710" spans="1:9">
      <c r="A710" s="179"/>
      <c r="B710" s="179"/>
      <c r="C710" s="179"/>
      <c r="D710" s="179"/>
      <c r="E710" s="179"/>
      <c r="F710" s="179"/>
      <c r="G710" s="179"/>
      <c r="H710" s="179"/>
      <c r="I710" s="179"/>
    </row>
    <row r="711" spans="1:9">
      <c r="A711" s="179"/>
      <c r="B711" s="179"/>
      <c r="C711" s="179"/>
      <c r="D711" s="179"/>
      <c r="E711" s="179"/>
      <c r="F711" s="179"/>
      <c r="G711" s="179"/>
      <c r="H711" s="179"/>
      <c r="I711" s="179"/>
    </row>
    <row r="712" spans="1:9">
      <c r="A712" s="179"/>
      <c r="B712" s="179"/>
      <c r="C712" s="179"/>
      <c r="D712" s="179"/>
      <c r="E712" s="179"/>
      <c r="F712" s="179"/>
      <c r="G712" s="179"/>
      <c r="H712" s="179"/>
      <c r="I712" s="179"/>
    </row>
    <row r="713" spans="1:9">
      <c r="A713" s="179"/>
      <c r="B713" s="179"/>
      <c r="C713" s="179"/>
      <c r="D713" s="179"/>
      <c r="E713" s="179"/>
      <c r="F713" s="179"/>
      <c r="G713" s="179"/>
      <c r="H713" s="179"/>
      <c r="I713" s="179"/>
    </row>
    <row r="714" spans="1:9">
      <c r="A714" s="179"/>
      <c r="B714" s="179"/>
      <c r="C714" s="179"/>
      <c r="D714" s="179"/>
      <c r="E714" s="179"/>
      <c r="F714" s="179"/>
      <c r="G714" s="179"/>
      <c r="H714" s="179"/>
      <c r="I714" s="179"/>
    </row>
    <row r="715" spans="1:9">
      <c r="A715" s="179"/>
      <c r="B715" s="179"/>
      <c r="C715" s="179"/>
      <c r="D715" s="179"/>
      <c r="E715" s="179"/>
      <c r="F715" s="179"/>
      <c r="G715" s="179"/>
      <c r="H715" s="179"/>
      <c r="I715" s="179"/>
    </row>
    <row r="716" spans="1:9">
      <c r="A716" s="179"/>
      <c r="B716" s="179"/>
      <c r="C716" s="179"/>
      <c r="D716" s="179"/>
      <c r="E716" s="179"/>
      <c r="F716" s="179"/>
      <c r="G716" s="179"/>
      <c r="H716" s="179"/>
      <c r="I716" s="179"/>
    </row>
    <row r="717" spans="1:9">
      <c r="A717" s="179"/>
      <c r="B717" s="179"/>
      <c r="C717" s="179"/>
      <c r="D717" s="179"/>
      <c r="E717" s="179"/>
      <c r="F717" s="179"/>
      <c r="G717" s="179"/>
      <c r="H717" s="179"/>
      <c r="I717" s="179"/>
    </row>
    <row r="718" spans="1:9">
      <c r="A718" s="179"/>
      <c r="B718" s="179"/>
      <c r="C718" s="179"/>
      <c r="D718" s="179"/>
      <c r="E718" s="179"/>
      <c r="F718" s="179"/>
      <c r="G718" s="179"/>
      <c r="H718" s="179"/>
      <c r="I718" s="179"/>
    </row>
    <row r="719" spans="1:9">
      <c r="A719" s="179"/>
      <c r="B719" s="179"/>
      <c r="C719" s="179"/>
      <c r="D719" s="179"/>
      <c r="E719" s="179"/>
      <c r="F719" s="179"/>
      <c r="G719" s="179"/>
      <c r="H719" s="179"/>
      <c r="I719" s="179"/>
    </row>
    <row r="720" spans="1:9">
      <c r="A720" s="179"/>
      <c r="B720" s="179"/>
      <c r="C720" s="179"/>
      <c r="D720" s="179"/>
      <c r="E720" s="179"/>
      <c r="F720" s="179"/>
      <c r="G720" s="179"/>
      <c r="H720" s="179"/>
      <c r="I720" s="179"/>
    </row>
    <row r="721" spans="1:9">
      <c r="A721" s="179"/>
      <c r="B721" s="179"/>
      <c r="C721" s="179"/>
      <c r="D721" s="179"/>
      <c r="E721" s="179"/>
      <c r="F721" s="179"/>
      <c r="G721" s="179"/>
      <c r="H721" s="179"/>
      <c r="I721" s="179"/>
    </row>
    <row r="722" spans="1:9">
      <c r="A722" s="179"/>
      <c r="B722" s="179"/>
      <c r="C722" s="179"/>
      <c r="D722" s="179"/>
      <c r="E722" s="179"/>
      <c r="F722" s="179"/>
      <c r="G722" s="179"/>
      <c r="H722" s="179"/>
      <c r="I722" s="179"/>
    </row>
    <row r="723" spans="1:9">
      <c r="A723" s="179"/>
      <c r="B723" s="179"/>
      <c r="C723" s="179"/>
      <c r="D723" s="179"/>
      <c r="E723" s="179"/>
      <c r="F723" s="179"/>
      <c r="G723" s="179"/>
      <c r="H723" s="179"/>
      <c r="I723" s="179"/>
    </row>
    <row r="724" spans="1:9">
      <c r="A724" s="179"/>
      <c r="B724" s="179"/>
      <c r="C724" s="179"/>
      <c r="D724" s="179"/>
      <c r="E724" s="179"/>
      <c r="F724" s="179"/>
      <c r="G724" s="179"/>
      <c r="H724" s="179"/>
      <c r="I724" s="179"/>
    </row>
    <row r="725" spans="1:9">
      <c r="A725" s="179"/>
      <c r="B725" s="179"/>
      <c r="C725" s="179"/>
      <c r="D725" s="179"/>
      <c r="E725" s="179"/>
      <c r="F725" s="179"/>
      <c r="G725" s="179"/>
      <c r="H725" s="179"/>
      <c r="I725" s="179"/>
    </row>
    <row r="726" spans="1:9">
      <c r="A726" s="179"/>
      <c r="B726" s="179"/>
      <c r="C726" s="179"/>
      <c r="D726" s="179"/>
      <c r="E726" s="179"/>
      <c r="F726" s="179"/>
      <c r="G726" s="179"/>
      <c r="H726" s="179"/>
      <c r="I726" s="179"/>
    </row>
    <row r="727" spans="1:9">
      <c r="A727" s="179"/>
      <c r="B727" s="179"/>
      <c r="C727" s="179"/>
      <c r="D727" s="179"/>
      <c r="E727" s="179"/>
      <c r="F727" s="179"/>
      <c r="G727" s="179"/>
      <c r="H727" s="179"/>
      <c r="I727" s="179"/>
    </row>
    <row r="728" spans="1:9">
      <c r="A728" s="179"/>
      <c r="B728" s="179"/>
      <c r="C728" s="179"/>
      <c r="D728" s="179"/>
      <c r="E728" s="179"/>
      <c r="F728" s="179"/>
      <c r="G728" s="179"/>
      <c r="H728" s="179"/>
      <c r="I728" s="179"/>
    </row>
    <row r="729" spans="1:9">
      <c r="A729" s="179"/>
      <c r="B729" s="179"/>
      <c r="C729" s="179"/>
      <c r="D729" s="179"/>
      <c r="E729" s="179"/>
      <c r="F729" s="179"/>
      <c r="G729" s="179"/>
      <c r="H729" s="179"/>
      <c r="I729" s="179"/>
    </row>
    <row r="730" spans="1:9">
      <c r="A730" s="179"/>
      <c r="B730" s="179"/>
      <c r="C730" s="179"/>
      <c r="D730" s="179"/>
      <c r="E730" s="179"/>
      <c r="F730" s="179"/>
      <c r="G730" s="179"/>
      <c r="H730" s="179"/>
      <c r="I730" s="179"/>
    </row>
    <row r="731" spans="1:9">
      <c r="A731" s="179"/>
      <c r="B731" s="179"/>
      <c r="C731" s="179"/>
      <c r="D731" s="179"/>
      <c r="E731" s="179"/>
      <c r="F731" s="179"/>
      <c r="G731" s="179"/>
      <c r="H731" s="179"/>
      <c r="I731" s="179"/>
    </row>
    <row r="732" spans="1:9">
      <c r="A732" s="179"/>
      <c r="B732" s="179"/>
      <c r="C732" s="179"/>
      <c r="D732" s="179"/>
      <c r="E732" s="179"/>
      <c r="F732" s="179"/>
      <c r="G732" s="179"/>
      <c r="H732" s="179"/>
      <c r="I732" s="179"/>
    </row>
    <row r="733" spans="1:9">
      <c r="A733" s="179"/>
      <c r="B733" s="179"/>
      <c r="C733" s="179"/>
      <c r="D733" s="179"/>
      <c r="E733" s="179"/>
      <c r="F733" s="179"/>
      <c r="G733" s="179"/>
      <c r="H733" s="179"/>
      <c r="I733" s="179"/>
    </row>
    <row r="734" spans="1:9">
      <c r="A734" s="179"/>
      <c r="B734" s="179"/>
      <c r="C734" s="179"/>
      <c r="D734" s="179"/>
      <c r="E734" s="179"/>
      <c r="F734" s="179"/>
      <c r="G734" s="179"/>
      <c r="H734" s="179"/>
      <c r="I734" s="179"/>
    </row>
    <row r="735" spans="1:9">
      <c r="A735" s="179"/>
      <c r="B735" s="179"/>
      <c r="C735" s="179"/>
      <c r="D735" s="179"/>
      <c r="E735" s="179"/>
      <c r="F735" s="179"/>
      <c r="G735" s="179"/>
      <c r="H735" s="179"/>
      <c r="I735" s="179"/>
    </row>
    <row r="736" spans="1:9">
      <c r="A736" s="179"/>
      <c r="B736" s="179"/>
      <c r="C736" s="179"/>
      <c r="D736" s="179"/>
      <c r="E736" s="179"/>
      <c r="F736" s="179"/>
      <c r="G736" s="179"/>
      <c r="H736" s="179"/>
      <c r="I736" s="179"/>
    </row>
    <row r="737" spans="1:9">
      <c r="A737" s="179"/>
      <c r="B737" s="179"/>
      <c r="C737" s="179"/>
      <c r="D737" s="179"/>
      <c r="E737" s="179"/>
      <c r="F737" s="179"/>
      <c r="G737" s="179"/>
      <c r="H737" s="179"/>
      <c r="I737" s="179"/>
    </row>
    <row r="738" spans="1:9">
      <c r="A738" s="179"/>
      <c r="B738" s="179"/>
      <c r="C738" s="179"/>
      <c r="D738" s="179"/>
      <c r="E738" s="179"/>
      <c r="F738" s="179"/>
      <c r="G738" s="179"/>
      <c r="H738" s="179"/>
      <c r="I738" s="179"/>
    </row>
    <row r="739" spans="1:9">
      <c r="A739" s="179"/>
      <c r="B739" s="179"/>
      <c r="C739" s="179"/>
      <c r="D739" s="179"/>
      <c r="E739" s="179"/>
      <c r="F739" s="179"/>
      <c r="G739" s="179"/>
      <c r="H739" s="179"/>
      <c r="I739" s="179"/>
    </row>
    <row r="740" spans="1:9">
      <c r="A740" s="179"/>
      <c r="B740" s="179"/>
      <c r="C740" s="179"/>
      <c r="D740" s="179"/>
      <c r="E740" s="179"/>
      <c r="F740" s="179"/>
      <c r="G740" s="179"/>
      <c r="H740" s="179"/>
      <c r="I740" s="179"/>
    </row>
    <row r="741" spans="1:9">
      <c r="A741" s="179"/>
      <c r="B741" s="179"/>
      <c r="C741" s="179"/>
      <c r="D741" s="179"/>
      <c r="E741" s="179"/>
      <c r="F741" s="179"/>
      <c r="G741" s="179"/>
      <c r="H741" s="179"/>
      <c r="I741" s="179"/>
    </row>
    <row r="742" spans="1:9">
      <c r="A742" s="179"/>
      <c r="B742" s="179"/>
      <c r="C742" s="179"/>
      <c r="D742" s="179"/>
      <c r="E742" s="179"/>
      <c r="F742" s="179"/>
      <c r="G742" s="179"/>
      <c r="H742" s="179"/>
      <c r="I742" s="179"/>
    </row>
    <row r="743" spans="1:9">
      <c r="A743" s="179"/>
      <c r="B743" s="179"/>
      <c r="C743" s="179"/>
      <c r="D743" s="179"/>
      <c r="E743" s="179"/>
      <c r="F743" s="179"/>
      <c r="G743" s="179"/>
      <c r="H743" s="179"/>
      <c r="I743" s="179"/>
    </row>
    <row r="744" spans="1:9">
      <c r="A744" s="179"/>
      <c r="B744" s="179"/>
      <c r="C744" s="179"/>
      <c r="D744" s="179"/>
      <c r="E744" s="179"/>
      <c r="F744" s="179"/>
      <c r="G744" s="179"/>
      <c r="H744" s="179"/>
      <c r="I744" s="179"/>
    </row>
    <row r="745" spans="1:9">
      <c r="A745" s="179"/>
      <c r="B745" s="179"/>
      <c r="C745" s="179"/>
      <c r="D745" s="179"/>
      <c r="E745" s="179"/>
      <c r="F745" s="179"/>
      <c r="G745" s="179"/>
      <c r="H745" s="179"/>
      <c r="I745" s="179"/>
    </row>
    <row r="746" spans="1:9">
      <c r="A746" s="179"/>
      <c r="B746" s="179"/>
      <c r="C746" s="179"/>
      <c r="D746" s="179"/>
      <c r="E746" s="179"/>
      <c r="F746" s="179"/>
      <c r="G746" s="179"/>
      <c r="H746" s="179"/>
      <c r="I746" s="179"/>
    </row>
    <row r="747" spans="1:9">
      <c r="A747" s="179"/>
      <c r="B747" s="179"/>
      <c r="C747" s="179"/>
      <c r="D747" s="179"/>
      <c r="E747" s="179"/>
      <c r="F747" s="179"/>
      <c r="G747" s="179"/>
      <c r="H747" s="179"/>
      <c r="I747" s="179"/>
    </row>
    <row r="748" spans="1:9">
      <c r="A748" s="179"/>
      <c r="B748" s="179"/>
      <c r="C748" s="179"/>
      <c r="D748" s="179"/>
      <c r="E748" s="179"/>
      <c r="F748" s="179"/>
      <c r="G748" s="179"/>
      <c r="H748" s="179"/>
      <c r="I748" s="179"/>
    </row>
    <row r="749" spans="1:9">
      <c r="A749" s="179"/>
      <c r="B749" s="179"/>
      <c r="C749" s="179"/>
      <c r="D749" s="179"/>
      <c r="E749" s="179"/>
      <c r="F749" s="179"/>
      <c r="G749" s="179"/>
      <c r="H749" s="179"/>
      <c r="I749" s="179"/>
    </row>
    <row r="750" spans="1:9">
      <c r="A750" s="179"/>
      <c r="B750" s="179"/>
      <c r="C750" s="179"/>
      <c r="D750" s="179"/>
      <c r="E750" s="179"/>
      <c r="F750" s="179"/>
      <c r="G750" s="179"/>
      <c r="H750" s="179"/>
      <c r="I750" s="179"/>
    </row>
    <row r="751" spans="1:9">
      <c r="A751" s="179"/>
      <c r="B751" s="179"/>
      <c r="C751" s="179"/>
      <c r="D751" s="179"/>
      <c r="E751" s="179"/>
      <c r="F751" s="179"/>
      <c r="G751" s="179"/>
      <c r="H751" s="179"/>
      <c r="I751" s="179"/>
    </row>
    <row r="752" spans="1:9">
      <c r="A752" s="179"/>
      <c r="B752" s="179"/>
      <c r="C752" s="179"/>
      <c r="D752" s="179"/>
      <c r="E752" s="179"/>
      <c r="F752" s="179"/>
      <c r="G752" s="179"/>
      <c r="H752" s="179"/>
      <c r="I752" s="179"/>
    </row>
    <row r="753" spans="1:9">
      <c r="A753" s="179"/>
      <c r="B753" s="179"/>
      <c r="C753" s="179"/>
      <c r="D753" s="179"/>
      <c r="E753" s="179"/>
      <c r="F753" s="179"/>
      <c r="G753" s="179"/>
      <c r="H753" s="179"/>
      <c r="I753" s="179"/>
    </row>
    <row r="754" spans="1:9">
      <c r="A754" s="179"/>
      <c r="B754" s="179"/>
      <c r="C754" s="179"/>
      <c r="D754" s="179"/>
      <c r="E754" s="179"/>
      <c r="F754" s="179"/>
      <c r="G754" s="179"/>
      <c r="H754" s="179"/>
      <c r="I754" s="179"/>
    </row>
    <row r="755" spans="1:9">
      <c r="A755" s="179"/>
      <c r="B755" s="179"/>
      <c r="C755" s="179"/>
      <c r="D755" s="179"/>
      <c r="E755" s="179"/>
      <c r="F755" s="179"/>
      <c r="G755" s="179"/>
      <c r="H755" s="179"/>
      <c r="I755" s="179"/>
    </row>
    <row r="756" spans="1:9">
      <c r="A756" s="179"/>
      <c r="B756" s="179"/>
      <c r="C756" s="179"/>
      <c r="D756" s="179"/>
      <c r="E756" s="179"/>
      <c r="F756" s="179"/>
      <c r="G756" s="179"/>
      <c r="H756" s="179"/>
      <c r="I756" s="179"/>
    </row>
    <row r="757" spans="1:9">
      <c r="A757" s="179"/>
      <c r="B757" s="179"/>
      <c r="C757" s="179"/>
      <c r="D757" s="179"/>
      <c r="E757" s="179"/>
      <c r="F757" s="179"/>
      <c r="G757" s="179"/>
      <c r="H757" s="179"/>
      <c r="I757" s="179"/>
    </row>
    <row r="758" spans="1:9">
      <c r="A758" s="179"/>
      <c r="B758" s="179"/>
      <c r="C758" s="179"/>
      <c r="D758" s="179"/>
      <c r="E758" s="179"/>
      <c r="F758" s="179"/>
      <c r="G758" s="179"/>
      <c r="H758" s="179"/>
      <c r="I758" s="179"/>
    </row>
    <row r="759" spans="1:9">
      <c r="A759" s="179"/>
      <c r="B759" s="179"/>
      <c r="C759" s="179"/>
      <c r="D759" s="179"/>
      <c r="E759" s="179"/>
      <c r="F759" s="179"/>
      <c r="G759" s="179"/>
      <c r="H759" s="179"/>
      <c r="I759" s="179"/>
    </row>
    <row r="760" spans="1:9">
      <c r="A760" s="179"/>
      <c r="B760" s="179"/>
      <c r="C760" s="179"/>
      <c r="D760" s="179"/>
      <c r="E760" s="179"/>
      <c r="F760" s="179"/>
      <c r="G760" s="179"/>
      <c r="H760" s="179"/>
      <c r="I760" s="179"/>
    </row>
    <row r="761" spans="1:9">
      <c r="A761" s="179"/>
      <c r="B761" s="179"/>
      <c r="C761" s="179"/>
      <c r="D761" s="179"/>
      <c r="E761" s="179"/>
      <c r="F761" s="179"/>
      <c r="G761" s="179"/>
      <c r="H761" s="179"/>
      <c r="I761" s="179"/>
    </row>
    <row r="762" spans="1:9">
      <c r="A762" s="179"/>
      <c r="B762" s="179"/>
      <c r="C762" s="179"/>
      <c r="D762" s="179"/>
      <c r="E762" s="179"/>
      <c r="F762" s="179"/>
      <c r="G762" s="179"/>
      <c r="H762" s="179"/>
      <c r="I762" s="179"/>
    </row>
    <row r="763" spans="1:9">
      <c r="A763" s="179"/>
      <c r="B763" s="179"/>
      <c r="C763" s="179"/>
      <c r="D763" s="179"/>
      <c r="E763" s="179"/>
      <c r="F763" s="179"/>
      <c r="G763" s="179"/>
      <c r="H763" s="179"/>
      <c r="I763" s="179"/>
    </row>
    <row r="764" spans="1:9">
      <c r="A764" s="179"/>
      <c r="B764" s="179"/>
      <c r="C764" s="179"/>
      <c r="D764" s="179"/>
      <c r="E764" s="179"/>
      <c r="F764" s="179"/>
      <c r="G764" s="179"/>
      <c r="H764" s="179"/>
      <c r="I764" s="179"/>
    </row>
    <row r="765" spans="1:9">
      <c r="A765" s="179"/>
      <c r="B765" s="179"/>
      <c r="C765" s="179"/>
      <c r="D765" s="179"/>
      <c r="E765" s="179"/>
      <c r="F765" s="179"/>
      <c r="G765" s="179"/>
      <c r="H765" s="179"/>
      <c r="I765" s="179"/>
    </row>
    <row r="766" spans="1:9">
      <c r="A766" s="179"/>
      <c r="B766" s="179"/>
      <c r="C766" s="179"/>
      <c r="D766" s="179"/>
      <c r="E766" s="179"/>
      <c r="F766" s="179"/>
      <c r="G766" s="179"/>
      <c r="H766" s="179"/>
      <c r="I766" s="179"/>
    </row>
    <row r="767" spans="1:9">
      <c r="A767" s="179"/>
      <c r="B767" s="179"/>
      <c r="C767" s="179"/>
      <c r="D767" s="179"/>
      <c r="E767" s="179"/>
      <c r="F767" s="179"/>
      <c r="G767" s="179"/>
      <c r="H767" s="179"/>
      <c r="I767" s="179"/>
    </row>
    <row r="768" spans="1:9">
      <c r="A768" s="179"/>
      <c r="B768" s="179"/>
      <c r="C768" s="179"/>
      <c r="D768" s="179"/>
      <c r="E768" s="179"/>
      <c r="F768" s="179"/>
      <c r="G768" s="179"/>
      <c r="H768" s="179"/>
      <c r="I768" s="179"/>
    </row>
    <row r="769" spans="1:9">
      <c r="A769" s="179"/>
      <c r="B769" s="179"/>
      <c r="C769" s="179"/>
      <c r="D769" s="179"/>
      <c r="E769" s="179"/>
      <c r="F769" s="179"/>
      <c r="G769" s="179"/>
      <c r="H769" s="179"/>
      <c r="I769" s="179"/>
    </row>
    <row r="770" spans="1:9">
      <c r="A770" s="179"/>
      <c r="B770" s="179"/>
      <c r="C770" s="179"/>
      <c r="D770" s="179"/>
      <c r="E770" s="179"/>
      <c r="F770" s="179"/>
      <c r="G770" s="179"/>
      <c r="H770" s="179"/>
      <c r="I770" s="179"/>
    </row>
    <row r="771" spans="1:9">
      <c r="A771" s="179"/>
      <c r="B771" s="179"/>
      <c r="C771" s="179"/>
      <c r="D771" s="179"/>
      <c r="E771" s="179"/>
      <c r="F771" s="179"/>
      <c r="G771" s="179"/>
      <c r="H771" s="179"/>
      <c r="I771" s="179"/>
    </row>
    <row r="772" spans="1:9">
      <c r="A772" s="179"/>
      <c r="B772" s="179"/>
      <c r="C772" s="179"/>
      <c r="D772" s="179"/>
      <c r="E772" s="179"/>
      <c r="F772" s="179"/>
      <c r="G772" s="179"/>
      <c r="H772" s="179"/>
      <c r="I772" s="179"/>
    </row>
    <row r="773" spans="1:9">
      <c r="A773" s="179"/>
      <c r="B773" s="179"/>
      <c r="C773" s="179"/>
      <c r="D773" s="179"/>
      <c r="E773" s="179"/>
      <c r="F773" s="179"/>
      <c r="G773" s="179"/>
      <c r="H773" s="179"/>
      <c r="I773" s="179"/>
    </row>
    <row r="774" spans="1:9">
      <c r="A774" s="179"/>
      <c r="B774" s="179"/>
      <c r="C774" s="179"/>
      <c r="D774" s="179"/>
      <c r="E774" s="179"/>
      <c r="F774" s="179"/>
      <c r="G774" s="179"/>
      <c r="H774" s="179"/>
      <c r="I774" s="179"/>
    </row>
    <row r="775" spans="1:9">
      <c r="A775" s="179"/>
      <c r="B775" s="179"/>
      <c r="C775" s="179"/>
      <c r="D775" s="179"/>
      <c r="E775" s="179"/>
      <c r="F775" s="179"/>
      <c r="G775" s="179"/>
      <c r="H775" s="179"/>
      <c r="I775" s="179"/>
    </row>
    <row r="776" spans="1:9">
      <c r="A776" s="179"/>
      <c r="B776" s="179"/>
      <c r="C776" s="179"/>
      <c r="D776" s="179"/>
      <c r="E776" s="179"/>
      <c r="F776" s="179"/>
      <c r="G776" s="179"/>
      <c r="H776" s="179"/>
      <c r="I776" s="179"/>
    </row>
    <row r="777" spans="1:9">
      <c r="A777" s="179"/>
      <c r="B777" s="179"/>
      <c r="C777" s="179"/>
      <c r="D777" s="179"/>
      <c r="E777" s="179"/>
      <c r="F777" s="179"/>
      <c r="G777" s="179"/>
      <c r="H777" s="179"/>
      <c r="I777" s="179"/>
    </row>
    <row r="778" spans="1:9">
      <c r="A778" s="179"/>
      <c r="B778" s="179"/>
      <c r="C778" s="179"/>
      <c r="D778" s="179"/>
      <c r="E778" s="179"/>
      <c r="F778" s="179"/>
      <c r="G778" s="179"/>
      <c r="H778" s="179"/>
      <c r="I778" s="179"/>
    </row>
    <row r="779" spans="1:9">
      <c r="A779" s="179"/>
      <c r="B779" s="179"/>
      <c r="C779" s="179"/>
      <c r="D779" s="179"/>
      <c r="E779" s="179"/>
      <c r="F779" s="179"/>
      <c r="G779" s="179"/>
      <c r="H779" s="179"/>
      <c r="I779" s="179"/>
    </row>
    <row r="780" spans="1:9">
      <c r="A780" s="179"/>
      <c r="B780" s="179"/>
      <c r="C780" s="179"/>
      <c r="D780" s="179"/>
      <c r="E780" s="179"/>
      <c r="F780" s="179"/>
      <c r="G780" s="179"/>
      <c r="H780" s="179"/>
      <c r="I780" s="179"/>
    </row>
    <row r="781" spans="1:9">
      <c r="A781" s="179"/>
      <c r="B781" s="179"/>
      <c r="C781" s="179"/>
      <c r="D781" s="179"/>
      <c r="E781" s="179"/>
      <c r="F781" s="179"/>
      <c r="G781" s="179"/>
      <c r="H781" s="179"/>
      <c r="I781" s="179"/>
    </row>
    <row r="782" spans="1:9">
      <c r="A782" s="179"/>
      <c r="B782" s="179"/>
      <c r="C782" s="179"/>
      <c r="D782" s="179"/>
      <c r="E782" s="179"/>
      <c r="F782" s="179"/>
      <c r="G782" s="179"/>
      <c r="H782" s="179"/>
      <c r="I782" s="179"/>
    </row>
    <row r="783" spans="1:9">
      <c r="A783" s="179"/>
      <c r="B783" s="179"/>
      <c r="C783" s="179"/>
      <c r="D783" s="179"/>
      <c r="E783" s="179"/>
      <c r="F783" s="179"/>
      <c r="G783" s="179"/>
      <c r="H783" s="179"/>
      <c r="I783" s="179"/>
    </row>
    <row r="784" spans="1:9">
      <c r="A784" s="179"/>
      <c r="B784" s="179"/>
      <c r="C784" s="179"/>
      <c r="D784" s="179"/>
      <c r="E784" s="179"/>
      <c r="F784" s="179"/>
      <c r="G784" s="179"/>
      <c r="H784" s="179"/>
      <c r="I784" s="179"/>
    </row>
    <row r="785" spans="1:9">
      <c r="A785" s="179"/>
      <c r="B785" s="179"/>
      <c r="C785" s="179"/>
      <c r="D785" s="179"/>
      <c r="E785" s="179"/>
      <c r="F785" s="179"/>
      <c r="G785" s="179"/>
      <c r="H785" s="179"/>
      <c r="I785" s="179"/>
    </row>
    <row r="786" spans="1:9">
      <c r="A786" s="179"/>
      <c r="B786" s="179"/>
      <c r="C786" s="179"/>
      <c r="D786" s="179"/>
      <c r="E786" s="179"/>
      <c r="F786" s="179"/>
      <c r="G786" s="179"/>
      <c r="H786" s="179"/>
      <c r="I786" s="179"/>
    </row>
    <row r="787" spans="1:9">
      <c r="A787" s="179"/>
      <c r="B787" s="179"/>
      <c r="C787" s="179"/>
      <c r="D787" s="179"/>
      <c r="E787" s="179"/>
      <c r="F787" s="179"/>
      <c r="G787" s="179"/>
      <c r="H787" s="179"/>
      <c r="I787" s="179"/>
    </row>
    <row r="788" spans="1:9">
      <c r="A788" s="179"/>
      <c r="B788" s="179"/>
      <c r="C788" s="179"/>
      <c r="D788" s="179"/>
      <c r="E788" s="179"/>
      <c r="F788" s="179"/>
      <c r="G788" s="179"/>
      <c r="H788" s="179"/>
      <c r="I788" s="179"/>
    </row>
    <row r="789" spans="1:9">
      <c r="A789" s="179"/>
      <c r="B789" s="179"/>
      <c r="C789" s="179"/>
      <c r="D789" s="179"/>
      <c r="E789" s="179"/>
      <c r="F789" s="179"/>
      <c r="G789" s="179"/>
      <c r="H789" s="179"/>
      <c r="I789" s="179"/>
    </row>
    <row r="790" spans="1:9">
      <c r="A790" s="179"/>
      <c r="B790" s="179"/>
      <c r="C790" s="179"/>
      <c r="D790" s="179"/>
      <c r="E790" s="179"/>
      <c r="F790" s="179"/>
      <c r="G790" s="179"/>
      <c r="H790" s="179"/>
      <c r="I790" s="179"/>
    </row>
    <row r="791" spans="1:9">
      <c r="A791" s="179"/>
      <c r="B791" s="179"/>
      <c r="C791" s="179"/>
      <c r="D791" s="179"/>
      <c r="E791" s="179"/>
      <c r="F791" s="179"/>
      <c r="G791" s="179"/>
      <c r="H791" s="179"/>
      <c r="I791" s="179"/>
    </row>
    <row r="792" spans="1:9">
      <c r="A792" s="179"/>
      <c r="B792" s="179"/>
      <c r="C792" s="179"/>
      <c r="D792" s="179"/>
      <c r="E792" s="179"/>
      <c r="F792" s="179"/>
      <c r="G792" s="179"/>
      <c r="H792" s="179"/>
      <c r="I792" s="179"/>
    </row>
    <row r="793" spans="1:9">
      <c r="A793" s="179"/>
      <c r="B793" s="179"/>
      <c r="C793" s="179"/>
      <c r="D793" s="179"/>
      <c r="E793" s="179"/>
      <c r="F793" s="179"/>
      <c r="G793" s="179"/>
      <c r="H793" s="179"/>
      <c r="I793" s="179"/>
    </row>
    <row r="794" spans="1:9">
      <c r="A794" s="179"/>
      <c r="B794" s="179"/>
      <c r="C794" s="179"/>
      <c r="D794" s="179"/>
      <c r="E794" s="179"/>
      <c r="F794" s="179"/>
      <c r="G794" s="179"/>
      <c r="H794" s="179"/>
      <c r="I794" s="179"/>
    </row>
    <row r="795" spans="1:9">
      <c r="A795" s="179"/>
      <c r="B795" s="179"/>
      <c r="C795" s="179"/>
      <c r="D795" s="179"/>
      <c r="E795" s="179"/>
      <c r="F795" s="179"/>
      <c r="G795" s="179"/>
      <c r="H795" s="179"/>
      <c r="I795" s="179"/>
    </row>
    <row r="796" spans="1:9">
      <c r="A796" s="179"/>
      <c r="B796" s="179"/>
      <c r="C796" s="179"/>
      <c r="D796" s="179"/>
      <c r="E796" s="179"/>
      <c r="F796" s="179"/>
      <c r="G796" s="179"/>
      <c r="H796" s="179"/>
      <c r="I796" s="179"/>
    </row>
    <row r="797" spans="1:9">
      <c r="A797" s="179"/>
      <c r="B797" s="179"/>
      <c r="C797" s="179"/>
      <c r="D797" s="179"/>
      <c r="E797" s="179"/>
      <c r="F797" s="179"/>
      <c r="G797" s="179"/>
      <c r="H797" s="179"/>
      <c r="I797" s="179"/>
    </row>
    <row r="798" spans="1:9">
      <c r="A798" s="179"/>
      <c r="B798" s="179"/>
      <c r="C798" s="179"/>
      <c r="D798" s="179"/>
      <c r="E798" s="179"/>
      <c r="F798" s="179"/>
      <c r="G798" s="179"/>
      <c r="H798" s="179"/>
      <c r="I798" s="179"/>
    </row>
    <row r="799" spans="1:9">
      <c r="A799" s="179"/>
      <c r="B799" s="179"/>
      <c r="C799" s="179"/>
      <c r="D799" s="179"/>
      <c r="E799" s="179"/>
      <c r="F799" s="179"/>
      <c r="G799" s="179"/>
      <c r="H799" s="179"/>
      <c r="I799" s="179"/>
    </row>
    <row r="800" spans="1:9">
      <c r="A800" s="179"/>
      <c r="B800" s="179"/>
      <c r="C800" s="179"/>
      <c r="D800" s="179"/>
      <c r="E800" s="179"/>
      <c r="F800" s="179"/>
      <c r="G800" s="179"/>
      <c r="H800" s="179"/>
      <c r="I800" s="179"/>
    </row>
    <row r="801" spans="1:9">
      <c r="A801" s="179"/>
      <c r="B801" s="179"/>
      <c r="C801" s="179"/>
      <c r="D801" s="179"/>
      <c r="E801" s="179"/>
      <c r="F801" s="179"/>
      <c r="G801" s="179"/>
      <c r="H801" s="179"/>
      <c r="I801" s="179"/>
    </row>
    <row r="802" spans="1:9">
      <c r="A802" s="179"/>
      <c r="B802" s="179"/>
      <c r="C802" s="179"/>
      <c r="D802" s="179"/>
      <c r="E802" s="179"/>
      <c r="F802" s="179"/>
      <c r="G802" s="179"/>
      <c r="H802" s="179"/>
      <c r="I802" s="179"/>
    </row>
    <row r="803" spans="1:9">
      <c r="A803" s="179"/>
      <c r="B803" s="179"/>
      <c r="C803" s="179"/>
      <c r="D803" s="179"/>
      <c r="E803" s="179"/>
      <c r="F803" s="179"/>
      <c r="G803" s="179"/>
      <c r="H803" s="179"/>
      <c r="I803" s="179"/>
    </row>
    <row r="804" spans="1:9">
      <c r="A804" s="179"/>
      <c r="B804" s="179"/>
      <c r="C804" s="179"/>
      <c r="D804" s="179"/>
      <c r="E804" s="179"/>
      <c r="F804" s="179"/>
      <c r="G804" s="179"/>
      <c r="H804" s="179"/>
      <c r="I804" s="179"/>
    </row>
    <row r="805" spans="1:9">
      <c r="A805" s="179"/>
      <c r="B805" s="179"/>
      <c r="C805" s="179"/>
      <c r="D805" s="179"/>
      <c r="E805" s="179"/>
      <c r="F805" s="179"/>
      <c r="G805" s="179"/>
      <c r="H805" s="179"/>
      <c r="I805" s="179"/>
    </row>
    <row r="806" spans="1:9">
      <c r="A806" s="179"/>
      <c r="B806" s="179"/>
      <c r="C806" s="179"/>
      <c r="D806" s="179"/>
      <c r="E806" s="179"/>
      <c r="F806" s="179"/>
      <c r="G806" s="179"/>
      <c r="H806" s="179"/>
      <c r="I806" s="179"/>
    </row>
    <row r="807" spans="1:9">
      <c r="A807" s="179"/>
      <c r="B807" s="179"/>
      <c r="C807" s="179"/>
      <c r="D807" s="179"/>
      <c r="E807" s="179"/>
      <c r="F807" s="179"/>
      <c r="G807" s="179"/>
      <c r="H807" s="179"/>
      <c r="I807" s="179"/>
    </row>
    <row r="808" spans="1:9">
      <c r="A808" s="179"/>
      <c r="B808" s="179"/>
      <c r="C808" s="179"/>
      <c r="D808" s="179"/>
      <c r="E808" s="179"/>
      <c r="F808" s="179"/>
      <c r="G808" s="179"/>
      <c r="H808" s="179"/>
      <c r="I808" s="179"/>
    </row>
    <row r="809" spans="1:9">
      <c r="A809" s="179"/>
      <c r="B809" s="179"/>
      <c r="C809" s="179"/>
      <c r="D809" s="179"/>
      <c r="E809" s="179"/>
      <c r="F809" s="179"/>
      <c r="G809" s="179"/>
      <c r="H809" s="179"/>
      <c r="I809" s="179"/>
    </row>
    <row r="810" spans="1:9">
      <c r="A810" s="179"/>
      <c r="B810" s="179"/>
      <c r="C810" s="179"/>
      <c r="D810" s="179"/>
      <c r="E810" s="179"/>
      <c r="F810" s="179"/>
      <c r="G810" s="179"/>
      <c r="H810" s="179"/>
      <c r="I810" s="179"/>
    </row>
    <row r="811" spans="1:9">
      <c r="A811" s="179"/>
      <c r="B811" s="179"/>
      <c r="C811" s="179"/>
      <c r="D811" s="179"/>
      <c r="E811" s="179"/>
      <c r="F811" s="179"/>
      <c r="G811" s="179"/>
      <c r="H811" s="179"/>
      <c r="I811" s="179"/>
    </row>
    <row r="812" spans="1:9">
      <c r="A812" s="179"/>
      <c r="B812" s="179"/>
      <c r="C812" s="179"/>
      <c r="D812" s="179"/>
      <c r="E812" s="179"/>
      <c r="F812" s="179"/>
      <c r="G812" s="179"/>
      <c r="H812" s="179"/>
      <c r="I812" s="179"/>
    </row>
    <row r="813" spans="1:9">
      <c r="A813" s="179"/>
      <c r="B813" s="179"/>
      <c r="C813" s="179"/>
      <c r="D813" s="179"/>
      <c r="E813" s="179"/>
      <c r="F813" s="179"/>
      <c r="G813" s="179"/>
      <c r="H813" s="179"/>
      <c r="I813" s="179"/>
    </row>
    <row r="814" spans="1:9">
      <c r="A814" s="179"/>
      <c r="B814" s="179"/>
      <c r="C814" s="179"/>
      <c r="D814" s="179"/>
      <c r="E814" s="179"/>
      <c r="F814" s="179"/>
      <c r="G814" s="179"/>
      <c r="H814" s="179"/>
      <c r="I814" s="179"/>
    </row>
    <row r="815" spans="1:9">
      <c r="A815" s="179"/>
      <c r="B815" s="179"/>
      <c r="C815" s="179"/>
      <c r="D815" s="179"/>
      <c r="E815" s="179"/>
      <c r="F815" s="179"/>
      <c r="G815" s="179"/>
      <c r="H815" s="179"/>
      <c r="I815" s="179"/>
    </row>
    <row r="816" spans="1:9">
      <c r="A816" s="179"/>
      <c r="B816" s="179"/>
      <c r="C816" s="179"/>
      <c r="D816" s="179"/>
      <c r="E816" s="179"/>
      <c r="F816" s="179"/>
      <c r="G816" s="179"/>
      <c r="H816" s="179"/>
      <c r="I816" s="179"/>
    </row>
    <row r="817" spans="1:9">
      <c r="A817" s="179"/>
      <c r="B817" s="179"/>
      <c r="C817" s="179"/>
      <c r="D817" s="179"/>
      <c r="E817" s="179"/>
      <c r="F817" s="179"/>
      <c r="G817" s="179"/>
      <c r="H817" s="179"/>
      <c r="I817" s="179"/>
    </row>
    <row r="818" spans="1:9">
      <c r="A818" s="179"/>
      <c r="B818" s="179"/>
      <c r="C818" s="179"/>
      <c r="D818" s="179"/>
      <c r="E818" s="179"/>
      <c r="F818" s="179"/>
      <c r="G818" s="179"/>
      <c r="H818" s="179"/>
      <c r="I818" s="179"/>
    </row>
    <row r="819" spans="1:9">
      <c r="A819" s="179"/>
      <c r="B819" s="179"/>
      <c r="C819" s="179"/>
      <c r="D819" s="179"/>
      <c r="E819" s="179"/>
      <c r="F819" s="179"/>
      <c r="G819" s="179"/>
      <c r="H819" s="179"/>
      <c r="I819" s="179"/>
    </row>
    <row r="820" spans="1:9">
      <c r="A820" s="179"/>
      <c r="B820" s="179"/>
      <c r="C820" s="179"/>
      <c r="D820" s="179"/>
      <c r="E820" s="179"/>
      <c r="F820" s="179"/>
      <c r="G820" s="179"/>
      <c r="H820" s="179"/>
      <c r="I820" s="179"/>
    </row>
    <row r="821" spans="1:9">
      <c r="A821" s="179"/>
      <c r="B821" s="179"/>
      <c r="C821" s="179"/>
      <c r="D821" s="179"/>
      <c r="E821" s="179"/>
      <c r="F821" s="179"/>
      <c r="G821" s="179"/>
      <c r="H821" s="179"/>
      <c r="I821" s="179"/>
    </row>
    <row r="822" spans="1:9">
      <c r="A822" s="179"/>
      <c r="B822" s="179"/>
      <c r="C822" s="179"/>
      <c r="D822" s="179"/>
      <c r="E822" s="179"/>
      <c r="F822" s="179"/>
      <c r="G822" s="179"/>
      <c r="H822" s="179"/>
      <c r="I822" s="179"/>
    </row>
    <row r="823" spans="1:9">
      <c r="A823" s="179"/>
      <c r="B823" s="179"/>
      <c r="C823" s="179"/>
      <c r="D823" s="179"/>
      <c r="E823" s="179"/>
      <c r="F823" s="179"/>
      <c r="G823" s="179"/>
      <c r="H823" s="179"/>
      <c r="I823" s="179"/>
    </row>
    <row r="824" spans="1:9">
      <c r="A824" s="179"/>
      <c r="B824" s="179"/>
      <c r="C824" s="179"/>
      <c r="D824" s="179"/>
      <c r="E824" s="179"/>
      <c r="F824" s="179"/>
      <c r="G824" s="179"/>
      <c r="H824" s="179"/>
      <c r="I824" s="179"/>
    </row>
    <row r="825" spans="1:9">
      <c r="A825" s="179"/>
      <c r="B825" s="179"/>
      <c r="C825" s="179"/>
      <c r="D825" s="179"/>
      <c r="E825" s="179"/>
      <c r="F825" s="179"/>
      <c r="G825" s="179"/>
      <c r="H825" s="179"/>
      <c r="I825" s="179"/>
    </row>
    <row r="826" spans="1:9">
      <c r="A826" s="179"/>
      <c r="B826" s="179"/>
      <c r="C826" s="179"/>
      <c r="D826" s="179"/>
      <c r="E826" s="179"/>
      <c r="F826" s="179"/>
      <c r="G826" s="179"/>
      <c r="H826" s="179"/>
      <c r="I826" s="179"/>
    </row>
    <row r="827" spans="1:9">
      <c r="A827" s="179"/>
      <c r="B827" s="179"/>
      <c r="C827" s="179"/>
      <c r="D827" s="179"/>
      <c r="E827" s="179"/>
      <c r="F827" s="179"/>
      <c r="G827" s="179"/>
      <c r="H827" s="179"/>
      <c r="I827" s="179"/>
    </row>
    <row r="828" spans="1:9">
      <c r="A828" s="179"/>
      <c r="B828" s="179"/>
      <c r="C828" s="179"/>
      <c r="D828" s="179"/>
      <c r="E828" s="179"/>
      <c r="F828" s="179"/>
      <c r="G828" s="179"/>
      <c r="H828" s="179"/>
      <c r="I828" s="179"/>
    </row>
    <row r="829" spans="1:9">
      <c r="A829" s="179"/>
      <c r="B829" s="179"/>
      <c r="C829" s="179"/>
      <c r="D829" s="179"/>
      <c r="E829" s="179"/>
      <c r="F829" s="179"/>
      <c r="G829" s="179"/>
      <c r="H829" s="179"/>
      <c r="I829" s="179"/>
    </row>
    <row r="830" spans="1:9">
      <c r="A830" s="179"/>
      <c r="B830" s="179"/>
      <c r="C830" s="179"/>
      <c r="D830" s="179"/>
      <c r="E830" s="179"/>
      <c r="F830" s="179"/>
      <c r="G830" s="179"/>
      <c r="H830" s="179"/>
      <c r="I830" s="179"/>
    </row>
    <row r="831" spans="1:9">
      <c r="A831" s="179"/>
      <c r="B831" s="179"/>
      <c r="C831" s="179"/>
      <c r="D831" s="179"/>
      <c r="E831" s="179"/>
      <c r="F831" s="179"/>
      <c r="G831" s="179"/>
      <c r="H831" s="179"/>
      <c r="I831" s="179"/>
    </row>
    <row r="832" spans="1:9">
      <c r="A832" s="179"/>
      <c r="B832" s="179"/>
      <c r="C832" s="179"/>
      <c r="D832" s="179"/>
      <c r="E832" s="179"/>
      <c r="F832" s="179"/>
      <c r="G832" s="179"/>
      <c r="H832" s="179"/>
      <c r="I832" s="179"/>
    </row>
    <row r="833" spans="1:9">
      <c r="A833" s="179"/>
      <c r="B833" s="179"/>
      <c r="C833" s="179"/>
      <c r="D833" s="179"/>
      <c r="E833" s="179"/>
      <c r="F833" s="179"/>
      <c r="G833" s="179"/>
      <c r="H833" s="179"/>
      <c r="I833" s="179"/>
    </row>
    <row r="834" spans="1:9">
      <c r="A834" s="179"/>
      <c r="B834" s="179"/>
      <c r="C834" s="179"/>
      <c r="D834" s="179"/>
      <c r="E834" s="179"/>
      <c r="F834" s="179"/>
      <c r="G834" s="179"/>
      <c r="H834" s="179"/>
      <c r="I834" s="179"/>
    </row>
    <row r="835" spans="1:9">
      <c r="A835" s="179"/>
      <c r="B835" s="179"/>
      <c r="C835" s="179"/>
      <c r="D835" s="179"/>
      <c r="E835" s="179"/>
      <c r="F835" s="179"/>
      <c r="G835" s="179"/>
      <c r="H835" s="179"/>
      <c r="I835" s="179"/>
    </row>
    <row r="836" spans="1:9">
      <c r="A836" s="179"/>
      <c r="B836" s="179"/>
      <c r="C836" s="179"/>
      <c r="D836" s="179"/>
      <c r="E836" s="179"/>
      <c r="F836" s="179"/>
      <c r="G836" s="179"/>
      <c r="H836" s="179"/>
      <c r="I836" s="179"/>
    </row>
    <row r="837" spans="1:9">
      <c r="A837" s="179"/>
      <c r="B837" s="179"/>
      <c r="C837" s="179"/>
      <c r="D837" s="179"/>
      <c r="E837" s="179"/>
      <c r="F837" s="179"/>
      <c r="G837" s="179"/>
      <c r="H837" s="179"/>
      <c r="I837" s="179"/>
    </row>
    <row r="838" spans="1:9">
      <c r="A838" s="179"/>
      <c r="B838" s="179"/>
      <c r="C838" s="179"/>
      <c r="D838" s="179"/>
      <c r="E838" s="179"/>
      <c r="F838" s="179"/>
      <c r="G838" s="179"/>
      <c r="H838" s="179"/>
      <c r="I838" s="179"/>
    </row>
    <row r="839" spans="1:9">
      <c r="A839" s="179"/>
      <c r="B839" s="179"/>
      <c r="C839" s="179"/>
      <c r="D839" s="179"/>
      <c r="E839" s="179"/>
      <c r="F839" s="179"/>
      <c r="G839" s="179"/>
      <c r="H839" s="179"/>
      <c r="I839" s="179"/>
    </row>
    <row r="840" spans="1:9">
      <c r="A840" s="179"/>
      <c r="B840" s="179"/>
      <c r="C840" s="179"/>
      <c r="D840" s="179"/>
      <c r="E840" s="179"/>
      <c r="F840" s="179"/>
      <c r="G840" s="179"/>
      <c r="H840" s="179"/>
      <c r="I840" s="179"/>
    </row>
    <row r="841" spans="1:9">
      <c r="A841" s="179"/>
      <c r="B841" s="179"/>
      <c r="C841" s="179"/>
      <c r="D841" s="179"/>
      <c r="E841" s="179"/>
      <c r="F841" s="179"/>
      <c r="G841" s="179"/>
      <c r="H841" s="179"/>
      <c r="I841" s="179"/>
    </row>
    <row r="842" spans="1:9">
      <c r="A842" s="179"/>
      <c r="B842" s="179"/>
      <c r="C842" s="179"/>
      <c r="D842" s="179"/>
      <c r="E842" s="179"/>
      <c r="F842" s="179"/>
      <c r="G842" s="179"/>
      <c r="H842" s="179"/>
      <c r="I842" s="179"/>
    </row>
    <row r="843" spans="1:9">
      <c r="A843" s="179"/>
      <c r="B843" s="179"/>
      <c r="C843" s="179"/>
      <c r="D843" s="179"/>
      <c r="E843" s="179"/>
      <c r="F843" s="179"/>
      <c r="G843" s="179"/>
      <c r="H843" s="179"/>
      <c r="I843" s="179"/>
    </row>
    <row r="844" spans="1:9">
      <c r="A844" s="179"/>
      <c r="B844" s="179"/>
      <c r="C844" s="179"/>
      <c r="D844" s="179"/>
      <c r="E844" s="179"/>
      <c r="F844" s="179"/>
      <c r="G844" s="179"/>
      <c r="H844" s="179"/>
      <c r="I844" s="179"/>
    </row>
    <row r="845" spans="1:9">
      <c r="A845" s="179"/>
      <c r="B845" s="179"/>
      <c r="C845" s="179"/>
      <c r="D845" s="179"/>
      <c r="E845" s="179"/>
      <c r="F845" s="179"/>
      <c r="G845" s="179"/>
      <c r="H845" s="179"/>
      <c r="I845" s="179"/>
    </row>
    <row r="846" spans="1:9">
      <c r="A846" s="179"/>
      <c r="B846" s="179"/>
      <c r="C846" s="179"/>
      <c r="D846" s="179"/>
      <c r="E846" s="179"/>
      <c r="F846" s="179"/>
      <c r="G846" s="179"/>
      <c r="H846" s="179"/>
      <c r="I846" s="179"/>
    </row>
    <row r="847" spans="1:9">
      <c r="A847" s="179"/>
      <c r="B847" s="179"/>
      <c r="C847" s="179"/>
      <c r="D847" s="179"/>
      <c r="E847" s="179"/>
      <c r="F847" s="179"/>
      <c r="G847" s="179"/>
      <c r="H847" s="179"/>
      <c r="I847" s="179"/>
    </row>
    <row r="848" spans="1:9">
      <c r="A848" s="179"/>
      <c r="B848" s="179"/>
      <c r="C848" s="179"/>
      <c r="D848" s="179"/>
      <c r="E848" s="179"/>
      <c r="F848" s="179"/>
      <c r="G848" s="179"/>
      <c r="H848" s="179"/>
      <c r="I848" s="179"/>
    </row>
    <row r="849" spans="1:9">
      <c r="A849" s="179"/>
      <c r="B849" s="179"/>
      <c r="C849" s="179"/>
      <c r="D849" s="179"/>
      <c r="E849" s="179"/>
      <c r="F849" s="179"/>
      <c r="G849" s="179"/>
      <c r="H849" s="179"/>
      <c r="I849" s="179"/>
    </row>
    <row r="850" spans="1:9">
      <c r="A850" s="179"/>
      <c r="B850" s="179"/>
      <c r="C850" s="179"/>
      <c r="D850" s="179"/>
      <c r="E850" s="179"/>
      <c r="F850" s="179"/>
      <c r="G850" s="179"/>
      <c r="H850" s="179"/>
      <c r="I850" s="179"/>
    </row>
    <row r="851" spans="1:9">
      <c r="A851" s="179"/>
      <c r="B851" s="179"/>
      <c r="C851" s="179"/>
      <c r="D851" s="179"/>
      <c r="E851" s="179"/>
      <c r="F851" s="179"/>
      <c r="G851" s="179"/>
      <c r="H851" s="179"/>
      <c r="I851" s="179"/>
    </row>
    <row r="852" spans="1:9">
      <c r="A852" s="179"/>
      <c r="B852" s="179"/>
      <c r="C852" s="179"/>
      <c r="D852" s="179"/>
      <c r="E852" s="179"/>
      <c r="F852" s="179"/>
      <c r="G852" s="179"/>
      <c r="H852" s="179"/>
      <c r="I852" s="179"/>
    </row>
    <row r="853" spans="1:9">
      <c r="A853" s="179"/>
      <c r="B853" s="179"/>
      <c r="C853" s="179"/>
      <c r="D853" s="179"/>
      <c r="E853" s="179"/>
      <c r="F853" s="179"/>
      <c r="G853" s="179"/>
      <c r="H853" s="179"/>
      <c r="I853" s="179"/>
    </row>
    <row r="854" spans="1:9">
      <c r="A854" s="179"/>
      <c r="B854" s="179"/>
      <c r="C854" s="179"/>
      <c r="D854" s="179"/>
      <c r="E854" s="179"/>
      <c r="F854" s="179"/>
      <c r="G854" s="179"/>
      <c r="H854" s="179"/>
      <c r="I854" s="179"/>
    </row>
    <row r="855" spans="1:9">
      <c r="A855" s="179"/>
      <c r="B855" s="179"/>
      <c r="C855" s="179"/>
      <c r="D855" s="179"/>
      <c r="E855" s="179"/>
      <c r="F855" s="179"/>
      <c r="G855" s="179"/>
      <c r="H855" s="179"/>
      <c r="I855" s="179"/>
    </row>
    <row r="856" spans="1:9">
      <c r="A856" s="179"/>
      <c r="B856" s="179"/>
      <c r="C856" s="179"/>
      <c r="D856" s="179"/>
      <c r="E856" s="179"/>
      <c r="F856" s="179"/>
      <c r="G856" s="179"/>
      <c r="H856" s="179"/>
      <c r="I856" s="179"/>
    </row>
    <row r="857" spans="1:9">
      <c r="A857" s="179"/>
      <c r="B857" s="179"/>
      <c r="C857" s="179"/>
      <c r="D857" s="179"/>
      <c r="E857" s="179"/>
      <c r="F857" s="179"/>
      <c r="G857" s="179"/>
      <c r="H857" s="179"/>
      <c r="I857" s="179"/>
    </row>
    <row r="858" spans="1:9">
      <c r="A858" s="179"/>
      <c r="B858" s="179"/>
      <c r="C858" s="179"/>
      <c r="D858" s="179"/>
      <c r="E858" s="179"/>
      <c r="F858" s="179"/>
      <c r="G858" s="179"/>
      <c r="H858" s="179"/>
      <c r="I858" s="179"/>
    </row>
    <row r="859" spans="1:9">
      <c r="A859" s="179"/>
      <c r="B859" s="179"/>
      <c r="C859" s="179"/>
      <c r="D859" s="179"/>
      <c r="E859" s="179"/>
      <c r="F859" s="179"/>
      <c r="G859" s="179"/>
      <c r="H859" s="179"/>
      <c r="I859" s="179"/>
    </row>
    <row r="860" spans="1:9">
      <c r="A860" s="179"/>
      <c r="B860" s="179"/>
      <c r="C860" s="179"/>
      <c r="D860" s="179"/>
      <c r="E860" s="179"/>
      <c r="F860" s="179"/>
      <c r="G860" s="179"/>
      <c r="H860" s="179"/>
      <c r="I860" s="179"/>
    </row>
    <row r="861" spans="1:9">
      <c r="A861" s="179"/>
      <c r="B861" s="179"/>
      <c r="C861" s="179"/>
      <c r="D861" s="179"/>
      <c r="E861" s="179"/>
      <c r="F861" s="179"/>
      <c r="G861" s="179"/>
      <c r="H861" s="179"/>
      <c r="I861" s="179"/>
    </row>
    <row r="862" spans="1:9">
      <c r="A862" s="179"/>
      <c r="B862" s="179"/>
      <c r="C862" s="179"/>
      <c r="D862" s="179"/>
      <c r="E862" s="179"/>
      <c r="F862" s="179"/>
      <c r="G862" s="179"/>
      <c r="H862" s="179"/>
      <c r="I862" s="179"/>
    </row>
    <row r="863" spans="1:9">
      <c r="A863" s="179"/>
      <c r="B863" s="179"/>
      <c r="C863" s="179"/>
      <c r="D863" s="179"/>
      <c r="E863" s="179"/>
      <c r="F863" s="179"/>
      <c r="G863" s="179"/>
      <c r="H863" s="179"/>
      <c r="I863" s="179"/>
    </row>
    <row r="864" spans="1:9">
      <c r="A864" s="179"/>
      <c r="B864" s="179"/>
      <c r="C864" s="179"/>
      <c r="D864" s="179"/>
      <c r="E864" s="179"/>
      <c r="F864" s="179"/>
      <c r="G864" s="179"/>
      <c r="H864" s="179"/>
      <c r="I864" s="179"/>
    </row>
    <row r="865" spans="1:9">
      <c r="A865" s="179"/>
      <c r="B865" s="179"/>
      <c r="C865" s="179"/>
      <c r="D865" s="179"/>
      <c r="E865" s="179"/>
      <c r="F865" s="179"/>
      <c r="G865" s="179"/>
      <c r="H865" s="179"/>
      <c r="I865" s="179"/>
    </row>
    <row r="866" spans="1:9">
      <c r="A866" s="179"/>
      <c r="B866" s="179"/>
      <c r="C866" s="179"/>
      <c r="D866" s="179"/>
      <c r="E866" s="179"/>
      <c r="F866" s="179"/>
      <c r="G866" s="179"/>
      <c r="H866" s="179"/>
      <c r="I866" s="179"/>
    </row>
    <row r="867" spans="1:9">
      <c r="A867" s="179"/>
      <c r="B867" s="179"/>
      <c r="C867" s="179"/>
      <c r="D867" s="179"/>
      <c r="E867" s="179"/>
      <c r="F867" s="179"/>
      <c r="G867" s="179"/>
      <c r="H867" s="179"/>
      <c r="I867" s="179"/>
    </row>
    <row r="868" spans="1:9">
      <c r="A868" s="179"/>
      <c r="B868" s="179"/>
      <c r="C868" s="179"/>
      <c r="D868" s="179"/>
      <c r="E868" s="179"/>
      <c r="F868" s="179"/>
      <c r="G868" s="179"/>
      <c r="H868" s="179"/>
      <c r="I868" s="179"/>
    </row>
    <row r="869" spans="1:9">
      <c r="A869" s="179"/>
      <c r="B869" s="179"/>
      <c r="C869" s="179"/>
      <c r="D869" s="179"/>
      <c r="E869" s="179"/>
      <c r="F869" s="179"/>
      <c r="G869" s="179"/>
      <c r="H869" s="179"/>
      <c r="I869" s="179"/>
    </row>
    <row r="870" spans="1:9">
      <c r="A870" s="179"/>
      <c r="B870" s="179"/>
      <c r="C870" s="179"/>
      <c r="D870" s="179"/>
      <c r="E870" s="179"/>
      <c r="F870" s="179"/>
      <c r="G870" s="179"/>
      <c r="H870" s="179"/>
      <c r="I870" s="179"/>
    </row>
    <row r="871" spans="1:9">
      <c r="A871" s="179"/>
      <c r="B871" s="179"/>
      <c r="C871" s="179"/>
      <c r="D871" s="179"/>
      <c r="E871" s="179"/>
      <c r="F871" s="179"/>
      <c r="G871" s="179"/>
      <c r="H871" s="179"/>
      <c r="I871" s="179"/>
    </row>
    <row r="872" spans="1:9">
      <c r="A872" s="179"/>
      <c r="B872" s="179"/>
      <c r="C872" s="179"/>
      <c r="D872" s="179"/>
      <c r="E872" s="179"/>
      <c r="F872" s="179"/>
      <c r="G872" s="179"/>
      <c r="H872" s="179"/>
      <c r="I872" s="179"/>
    </row>
    <row r="873" spans="1:9">
      <c r="A873" s="179"/>
      <c r="B873" s="179"/>
      <c r="C873" s="179"/>
      <c r="D873" s="179"/>
      <c r="E873" s="179"/>
      <c r="F873" s="179"/>
      <c r="G873" s="179"/>
      <c r="H873" s="179"/>
      <c r="I873" s="179"/>
    </row>
    <row r="874" spans="1:9">
      <c r="A874" s="179"/>
      <c r="B874" s="179"/>
      <c r="C874" s="179"/>
      <c r="D874" s="179"/>
      <c r="E874" s="179"/>
      <c r="F874" s="179"/>
      <c r="G874" s="179"/>
      <c r="H874" s="179"/>
      <c r="I874" s="179"/>
    </row>
    <row r="875" spans="1:9">
      <c r="A875" s="179"/>
      <c r="B875" s="179"/>
      <c r="C875" s="179"/>
      <c r="D875" s="179"/>
      <c r="E875" s="179"/>
      <c r="F875" s="179"/>
      <c r="G875" s="179"/>
      <c r="H875" s="179"/>
      <c r="I875" s="179"/>
    </row>
    <row r="876" spans="1:9">
      <c r="A876" s="179"/>
      <c r="B876" s="179"/>
      <c r="C876" s="179"/>
      <c r="D876" s="179"/>
      <c r="E876" s="179"/>
      <c r="F876" s="179"/>
      <c r="G876" s="179"/>
      <c r="H876" s="179"/>
      <c r="I876" s="179"/>
    </row>
    <row r="877" spans="1:9">
      <c r="A877" s="179"/>
      <c r="B877" s="179"/>
      <c r="C877" s="179"/>
      <c r="D877" s="179"/>
      <c r="E877" s="179"/>
      <c r="F877" s="179"/>
      <c r="G877" s="179"/>
      <c r="H877" s="179"/>
      <c r="I877" s="179"/>
    </row>
    <row r="878" spans="1:9">
      <c r="A878" s="179"/>
      <c r="B878" s="179"/>
      <c r="C878" s="179"/>
      <c r="D878" s="179"/>
      <c r="E878" s="179"/>
      <c r="F878" s="179"/>
      <c r="G878" s="179"/>
      <c r="H878" s="179"/>
      <c r="I878" s="179"/>
    </row>
    <row r="879" spans="1:9">
      <c r="A879" s="179"/>
      <c r="B879" s="179"/>
      <c r="C879" s="179"/>
      <c r="D879" s="179"/>
      <c r="E879" s="179"/>
      <c r="F879" s="179"/>
      <c r="G879" s="179"/>
      <c r="H879" s="179"/>
      <c r="I879" s="179"/>
    </row>
    <row r="880" spans="1:9">
      <c r="A880" s="179"/>
      <c r="B880" s="179"/>
      <c r="C880" s="179"/>
      <c r="D880" s="179"/>
      <c r="E880" s="179"/>
      <c r="F880" s="179"/>
      <c r="G880" s="179"/>
      <c r="H880" s="179"/>
      <c r="I880" s="179"/>
    </row>
    <row r="881" spans="1:9">
      <c r="A881" s="179"/>
      <c r="B881" s="179"/>
      <c r="C881" s="179"/>
      <c r="D881" s="179"/>
      <c r="E881" s="179"/>
      <c r="F881" s="179"/>
      <c r="G881" s="179"/>
      <c r="H881" s="179"/>
      <c r="I881" s="179"/>
    </row>
    <row r="882" spans="1:9">
      <c r="A882" s="179"/>
      <c r="B882" s="179"/>
      <c r="C882" s="179"/>
      <c r="D882" s="179"/>
      <c r="E882" s="179"/>
      <c r="F882" s="179"/>
      <c r="G882" s="179"/>
      <c r="H882" s="179"/>
      <c r="I882" s="179"/>
    </row>
    <row r="883" spans="1:9">
      <c r="A883" s="179"/>
      <c r="B883" s="179"/>
      <c r="C883" s="179"/>
      <c r="D883" s="179"/>
      <c r="E883" s="179"/>
      <c r="F883" s="179"/>
      <c r="G883" s="179"/>
      <c r="H883" s="179"/>
      <c r="I883" s="179"/>
    </row>
    <row r="884" spans="1:9">
      <c r="A884" s="179"/>
      <c r="B884" s="179"/>
      <c r="C884" s="179"/>
      <c r="D884" s="179"/>
      <c r="E884" s="179"/>
      <c r="F884" s="179"/>
      <c r="G884" s="179"/>
      <c r="H884" s="179"/>
      <c r="I884" s="179"/>
    </row>
    <row r="885" spans="1:9">
      <c r="A885" s="179"/>
      <c r="B885" s="179"/>
      <c r="C885" s="179"/>
      <c r="D885" s="179"/>
      <c r="E885" s="179"/>
      <c r="F885" s="179"/>
      <c r="G885" s="179"/>
      <c r="H885" s="179"/>
      <c r="I885" s="179"/>
    </row>
    <row r="886" spans="1:9">
      <c r="A886" s="179"/>
      <c r="B886" s="179"/>
      <c r="C886" s="179"/>
      <c r="D886" s="179"/>
      <c r="E886" s="179"/>
      <c r="F886" s="179"/>
      <c r="G886" s="179"/>
      <c r="H886" s="179"/>
      <c r="I886" s="179"/>
    </row>
    <row r="887" spans="1:9">
      <c r="A887" s="179"/>
      <c r="B887" s="179"/>
      <c r="C887" s="179"/>
      <c r="D887" s="179"/>
      <c r="E887" s="179"/>
      <c r="F887" s="179"/>
      <c r="G887" s="179"/>
      <c r="H887" s="179"/>
      <c r="I887" s="179"/>
    </row>
    <row r="888" spans="1:9">
      <c r="A888" s="179"/>
      <c r="B888" s="179"/>
      <c r="C888" s="179"/>
      <c r="D888" s="179"/>
      <c r="E888" s="179"/>
      <c r="F888" s="179"/>
      <c r="G888" s="179"/>
      <c r="H888" s="179"/>
      <c r="I888" s="179"/>
    </row>
    <row r="889" spans="1:9">
      <c r="A889" s="179"/>
      <c r="B889" s="179"/>
      <c r="C889" s="179"/>
      <c r="D889" s="179"/>
      <c r="E889" s="179"/>
      <c r="F889" s="179"/>
      <c r="G889" s="179"/>
      <c r="H889" s="179"/>
      <c r="I889" s="179"/>
    </row>
    <row r="890" spans="1:9">
      <c r="A890" s="179"/>
      <c r="B890" s="179"/>
      <c r="C890" s="179"/>
      <c r="D890" s="179"/>
      <c r="E890" s="179"/>
      <c r="F890" s="179"/>
      <c r="G890" s="179"/>
      <c r="H890" s="179"/>
      <c r="I890" s="179"/>
    </row>
    <row r="891" spans="1:9">
      <c r="A891" s="179"/>
      <c r="B891" s="179"/>
      <c r="C891" s="179"/>
      <c r="D891" s="179"/>
      <c r="E891" s="179"/>
      <c r="F891" s="179"/>
      <c r="G891" s="179"/>
      <c r="H891" s="179"/>
      <c r="I891" s="179"/>
    </row>
    <row r="892" spans="1:9">
      <c r="A892" s="179"/>
      <c r="B892" s="179"/>
      <c r="C892" s="179"/>
      <c r="D892" s="179"/>
      <c r="E892" s="179"/>
      <c r="F892" s="179"/>
      <c r="G892" s="179"/>
      <c r="H892" s="179"/>
      <c r="I892" s="179"/>
    </row>
    <row r="893" spans="1:9">
      <c r="A893" s="179"/>
      <c r="B893" s="179"/>
      <c r="C893" s="179"/>
      <c r="D893" s="179"/>
      <c r="E893" s="179"/>
      <c r="F893" s="179"/>
      <c r="G893" s="179"/>
      <c r="H893" s="179"/>
      <c r="I893" s="179"/>
    </row>
    <row r="894" spans="1:9">
      <c r="A894" s="179"/>
      <c r="B894" s="179"/>
      <c r="C894" s="179"/>
      <c r="D894" s="179"/>
      <c r="E894" s="179"/>
      <c r="F894" s="179"/>
      <c r="G894" s="179"/>
      <c r="H894" s="179"/>
      <c r="I894" s="179"/>
    </row>
    <row r="895" spans="1:9">
      <c r="A895" s="179"/>
      <c r="B895" s="179"/>
      <c r="C895" s="179"/>
      <c r="D895" s="179"/>
      <c r="E895" s="179"/>
      <c r="F895" s="179"/>
      <c r="G895" s="179"/>
      <c r="H895" s="179"/>
      <c r="I895" s="179"/>
    </row>
    <row r="896" spans="1:9">
      <c r="A896" s="179"/>
      <c r="B896" s="179"/>
      <c r="C896" s="179"/>
      <c r="D896" s="179"/>
      <c r="E896" s="179"/>
      <c r="F896" s="179"/>
      <c r="G896" s="179"/>
      <c r="H896" s="179"/>
      <c r="I896" s="179"/>
    </row>
    <row r="897" spans="1:9">
      <c r="A897" s="179"/>
      <c r="B897" s="179"/>
      <c r="C897" s="179"/>
      <c r="D897" s="179"/>
      <c r="E897" s="179"/>
      <c r="F897" s="179"/>
      <c r="G897" s="179"/>
      <c r="H897" s="179"/>
      <c r="I897" s="179"/>
    </row>
    <row r="898" spans="1:9">
      <c r="A898" s="179"/>
      <c r="B898" s="179"/>
      <c r="C898" s="179"/>
      <c r="D898" s="179"/>
      <c r="E898" s="179"/>
      <c r="F898" s="179"/>
      <c r="G898" s="179"/>
      <c r="H898" s="179"/>
      <c r="I898" s="179"/>
    </row>
    <row r="899" spans="1:9">
      <c r="A899" s="179"/>
      <c r="B899" s="179"/>
      <c r="C899" s="179"/>
      <c r="D899" s="179"/>
      <c r="E899" s="179"/>
      <c r="F899" s="179"/>
      <c r="G899" s="179"/>
      <c r="H899" s="179"/>
      <c r="I899" s="179"/>
    </row>
    <row r="900" spans="1:9">
      <c r="A900" s="179"/>
      <c r="B900" s="179"/>
      <c r="C900" s="179"/>
      <c r="D900" s="179"/>
      <c r="E900" s="179"/>
      <c r="F900" s="179"/>
      <c r="G900" s="179"/>
      <c r="H900" s="179"/>
      <c r="I900" s="179"/>
    </row>
    <row r="901" spans="1:9">
      <c r="A901" s="179"/>
      <c r="B901" s="179"/>
      <c r="C901" s="179"/>
      <c r="D901" s="179"/>
      <c r="E901" s="179"/>
      <c r="F901" s="179"/>
      <c r="G901" s="179"/>
      <c r="H901" s="179"/>
      <c r="I901" s="179"/>
    </row>
    <row r="902" spans="1:9">
      <c r="A902" s="179"/>
      <c r="B902" s="179"/>
      <c r="C902" s="179"/>
      <c r="D902" s="179"/>
      <c r="E902" s="179"/>
      <c r="F902" s="179"/>
      <c r="G902" s="179"/>
      <c r="H902" s="179"/>
      <c r="I902" s="179"/>
    </row>
    <row r="903" spans="1:9">
      <c r="A903" s="179"/>
      <c r="B903" s="179"/>
      <c r="C903" s="179"/>
      <c r="D903" s="179"/>
      <c r="E903" s="179"/>
      <c r="F903" s="179"/>
      <c r="G903" s="179"/>
      <c r="H903" s="179"/>
      <c r="I903" s="179"/>
    </row>
    <row r="904" spans="1:9">
      <c r="A904" s="179"/>
      <c r="B904" s="179"/>
      <c r="C904" s="179"/>
      <c r="D904" s="179"/>
      <c r="E904" s="179"/>
      <c r="F904" s="179"/>
      <c r="G904" s="179"/>
      <c r="H904" s="179"/>
      <c r="I904" s="179"/>
    </row>
    <row r="905" spans="1:9">
      <c r="A905" s="179"/>
      <c r="B905" s="179"/>
      <c r="C905" s="179"/>
      <c r="D905" s="179"/>
      <c r="E905" s="179"/>
      <c r="F905" s="179"/>
      <c r="G905" s="179"/>
      <c r="H905" s="179"/>
      <c r="I905" s="179"/>
    </row>
    <row r="906" spans="1:9">
      <c r="A906" s="179"/>
      <c r="B906" s="179"/>
      <c r="C906" s="179"/>
      <c r="D906" s="179"/>
      <c r="E906" s="179"/>
      <c r="F906" s="179"/>
      <c r="G906" s="179"/>
      <c r="H906" s="179"/>
      <c r="I906" s="179"/>
    </row>
    <row r="907" spans="1:9">
      <c r="A907" s="179"/>
      <c r="B907" s="179"/>
      <c r="C907" s="179"/>
      <c r="D907" s="179"/>
      <c r="E907" s="179"/>
      <c r="F907" s="179"/>
      <c r="G907" s="179"/>
      <c r="H907" s="179"/>
      <c r="I907" s="179"/>
    </row>
    <row r="908" spans="1:9">
      <c r="A908" s="179"/>
      <c r="B908" s="179"/>
      <c r="C908" s="179"/>
      <c r="D908" s="179"/>
      <c r="E908" s="179"/>
      <c r="F908" s="179"/>
      <c r="G908" s="179"/>
      <c r="H908" s="179"/>
      <c r="I908" s="179"/>
    </row>
    <row r="909" spans="1:9">
      <c r="A909" s="179"/>
      <c r="B909" s="179"/>
      <c r="C909" s="179"/>
      <c r="D909" s="179"/>
      <c r="E909" s="179"/>
      <c r="F909" s="179"/>
      <c r="G909" s="179"/>
      <c r="H909" s="179"/>
      <c r="I909" s="179"/>
    </row>
    <row r="910" spans="1:9">
      <c r="A910" s="179"/>
      <c r="B910" s="179"/>
      <c r="C910" s="179"/>
      <c r="D910" s="179"/>
      <c r="E910" s="179"/>
      <c r="F910" s="179"/>
      <c r="G910" s="179"/>
      <c r="H910" s="179"/>
      <c r="I910" s="179"/>
    </row>
    <row r="911" spans="1:9">
      <c r="A911" s="179"/>
      <c r="B911" s="179"/>
      <c r="C911" s="179"/>
      <c r="D911" s="179"/>
      <c r="E911" s="179"/>
      <c r="F911" s="179"/>
      <c r="G911" s="179"/>
      <c r="H911" s="179"/>
      <c r="I911" s="179"/>
    </row>
    <row r="912" spans="1:9">
      <c r="A912" s="179"/>
      <c r="B912" s="179"/>
      <c r="C912" s="179"/>
      <c r="D912" s="179"/>
      <c r="E912" s="179"/>
      <c r="F912" s="179"/>
      <c r="G912" s="179"/>
      <c r="H912" s="179"/>
      <c r="I912" s="179"/>
    </row>
    <row r="913" spans="1:9">
      <c r="A913" s="179"/>
      <c r="B913" s="179"/>
      <c r="C913" s="179"/>
      <c r="D913" s="179"/>
      <c r="E913" s="179"/>
      <c r="F913" s="179"/>
      <c r="G913" s="179"/>
      <c r="H913" s="179"/>
      <c r="I913" s="179"/>
    </row>
    <row r="914" spans="1:9">
      <c r="A914" s="179"/>
      <c r="B914" s="179"/>
      <c r="C914" s="179"/>
      <c r="D914" s="179"/>
      <c r="E914" s="179"/>
      <c r="F914" s="179"/>
      <c r="G914" s="179"/>
      <c r="H914" s="179"/>
      <c r="I914" s="179"/>
    </row>
    <row r="915" spans="1:9">
      <c r="A915" s="179"/>
      <c r="B915" s="179"/>
      <c r="C915" s="179"/>
      <c r="D915" s="179"/>
      <c r="E915" s="179"/>
      <c r="F915" s="179"/>
      <c r="G915" s="179"/>
      <c r="H915" s="179"/>
      <c r="I915" s="179"/>
    </row>
    <row r="916" spans="1:9">
      <c r="A916" s="179"/>
      <c r="B916" s="179"/>
      <c r="C916" s="179"/>
      <c r="D916" s="179"/>
      <c r="E916" s="179"/>
      <c r="F916" s="179"/>
      <c r="G916" s="179"/>
      <c r="H916" s="179"/>
      <c r="I916" s="179"/>
    </row>
    <row r="917" spans="1:9">
      <c r="A917" s="179"/>
      <c r="B917" s="179"/>
      <c r="C917" s="179"/>
      <c r="D917" s="179"/>
      <c r="E917" s="179"/>
      <c r="F917" s="179"/>
      <c r="G917" s="179"/>
      <c r="H917" s="179"/>
      <c r="I917" s="179"/>
    </row>
    <row r="918" spans="1:9">
      <c r="A918" s="179"/>
      <c r="B918" s="179"/>
      <c r="C918" s="179"/>
      <c r="D918" s="179"/>
      <c r="E918" s="179"/>
      <c r="F918" s="179"/>
      <c r="G918" s="179"/>
      <c r="H918" s="179"/>
      <c r="I918" s="179"/>
    </row>
    <row r="919" spans="1:9">
      <c r="A919" s="179"/>
      <c r="B919" s="179"/>
      <c r="C919" s="179"/>
      <c r="D919" s="179"/>
      <c r="E919" s="179"/>
      <c r="F919" s="179"/>
      <c r="G919" s="179"/>
      <c r="H919" s="179"/>
      <c r="I919" s="179"/>
    </row>
    <row r="920" spans="1:9">
      <c r="A920" s="179"/>
      <c r="B920" s="179"/>
      <c r="C920" s="179"/>
      <c r="D920" s="179"/>
      <c r="E920" s="179"/>
      <c r="F920" s="179"/>
      <c r="G920" s="179"/>
      <c r="H920" s="179"/>
      <c r="I920" s="179"/>
    </row>
    <row r="921" spans="1:9">
      <c r="A921" s="179"/>
      <c r="B921" s="179"/>
      <c r="C921" s="179"/>
      <c r="D921" s="179"/>
      <c r="E921" s="179"/>
      <c r="F921" s="179"/>
      <c r="G921" s="179"/>
      <c r="H921" s="179"/>
      <c r="I921" s="179"/>
    </row>
    <row r="922" spans="1:9">
      <c r="A922" s="179"/>
      <c r="B922" s="179"/>
      <c r="C922" s="179"/>
      <c r="D922" s="179"/>
      <c r="E922" s="179"/>
      <c r="F922" s="179"/>
      <c r="G922" s="179"/>
      <c r="H922" s="179"/>
      <c r="I922" s="179"/>
    </row>
    <row r="923" spans="1:9">
      <c r="A923" s="179"/>
      <c r="B923" s="179"/>
      <c r="C923" s="179"/>
      <c r="D923" s="179"/>
      <c r="E923" s="179"/>
      <c r="F923" s="179"/>
      <c r="G923" s="179"/>
      <c r="H923" s="179"/>
      <c r="I923" s="179"/>
    </row>
    <row r="924" spans="1:9">
      <c r="A924" s="179"/>
      <c r="B924" s="179"/>
      <c r="C924" s="179"/>
      <c r="D924" s="179"/>
      <c r="E924" s="179"/>
      <c r="F924" s="179"/>
      <c r="G924" s="179"/>
      <c r="H924" s="179"/>
      <c r="I924" s="179"/>
    </row>
    <row r="925" spans="1:9">
      <c r="A925" s="179"/>
      <c r="B925" s="179"/>
      <c r="C925" s="179"/>
      <c r="D925" s="179"/>
      <c r="E925" s="179"/>
      <c r="F925" s="179"/>
      <c r="G925" s="179"/>
      <c r="H925" s="179"/>
      <c r="I925" s="179"/>
    </row>
    <row r="926" spans="1:9">
      <c r="A926" s="179"/>
      <c r="B926" s="179"/>
      <c r="C926" s="179"/>
      <c r="D926" s="179"/>
      <c r="E926" s="179"/>
      <c r="F926" s="179"/>
      <c r="G926" s="179"/>
      <c r="H926" s="179"/>
      <c r="I926" s="179"/>
    </row>
    <row r="927" spans="1:9">
      <c r="A927" s="179"/>
      <c r="B927" s="179"/>
      <c r="C927" s="179"/>
      <c r="D927" s="179"/>
      <c r="E927" s="179"/>
      <c r="F927" s="179"/>
      <c r="G927" s="179"/>
      <c r="H927" s="179"/>
      <c r="I927" s="179"/>
    </row>
    <row r="928" spans="1:9">
      <c r="A928" s="179"/>
      <c r="B928" s="179"/>
      <c r="C928" s="179"/>
      <c r="D928" s="179"/>
      <c r="E928" s="179"/>
      <c r="F928" s="179"/>
      <c r="G928" s="179"/>
      <c r="H928" s="179"/>
      <c r="I928" s="179"/>
    </row>
    <row r="929" spans="1:9">
      <c r="A929" s="179"/>
      <c r="B929" s="179"/>
      <c r="C929" s="179"/>
      <c r="D929" s="179"/>
      <c r="E929" s="179"/>
      <c r="F929" s="179"/>
      <c r="G929" s="179"/>
      <c r="H929" s="179"/>
      <c r="I929" s="179"/>
    </row>
    <row r="930" spans="1:9">
      <c r="A930" s="179"/>
      <c r="B930" s="179"/>
      <c r="C930" s="179"/>
      <c r="D930" s="179"/>
      <c r="E930" s="179"/>
      <c r="F930" s="179"/>
      <c r="G930" s="179"/>
      <c r="H930" s="179"/>
      <c r="I930" s="179"/>
    </row>
    <row r="931" spans="1:9">
      <c r="A931" s="179"/>
      <c r="B931" s="179"/>
      <c r="C931" s="179"/>
      <c r="D931" s="179"/>
      <c r="E931" s="179"/>
      <c r="F931" s="179"/>
      <c r="G931" s="179"/>
      <c r="H931" s="179"/>
      <c r="I931" s="179"/>
    </row>
    <row r="932" spans="1:9">
      <c r="A932" s="179"/>
      <c r="B932" s="179"/>
      <c r="C932" s="179"/>
      <c r="D932" s="179"/>
      <c r="E932" s="179"/>
      <c r="F932" s="179"/>
      <c r="G932" s="179"/>
      <c r="H932" s="179"/>
      <c r="I932" s="179"/>
    </row>
    <row r="933" spans="1:9">
      <c r="A933" s="179"/>
      <c r="B933" s="179"/>
      <c r="C933" s="179"/>
      <c r="D933" s="179"/>
      <c r="E933" s="179"/>
      <c r="F933" s="179"/>
      <c r="G933" s="179"/>
      <c r="H933" s="179"/>
      <c r="I933" s="179"/>
    </row>
    <row r="934" spans="1:9">
      <c r="A934" s="179"/>
      <c r="B934" s="179"/>
      <c r="C934" s="179"/>
      <c r="D934" s="179"/>
      <c r="E934" s="179"/>
      <c r="F934" s="179"/>
      <c r="G934" s="179"/>
      <c r="H934" s="179"/>
      <c r="I934" s="179"/>
    </row>
    <row r="935" spans="1:9">
      <c r="A935" s="179"/>
      <c r="B935" s="179"/>
      <c r="C935" s="179"/>
      <c r="D935" s="179"/>
      <c r="E935" s="179"/>
      <c r="F935" s="179"/>
      <c r="G935" s="179"/>
      <c r="H935" s="179"/>
      <c r="I935" s="179"/>
    </row>
    <row r="936" spans="1:9">
      <c r="A936" s="179"/>
      <c r="B936" s="179"/>
      <c r="C936" s="179"/>
      <c r="D936" s="179"/>
      <c r="E936" s="179"/>
      <c r="F936" s="179"/>
      <c r="G936" s="179"/>
      <c r="H936" s="179"/>
      <c r="I936" s="179"/>
    </row>
    <row r="937" spans="1:9">
      <c r="A937" s="179"/>
      <c r="B937" s="179"/>
      <c r="C937" s="179"/>
      <c r="D937" s="179"/>
      <c r="E937" s="179"/>
      <c r="F937" s="179"/>
      <c r="G937" s="179"/>
      <c r="H937" s="179"/>
      <c r="I937" s="179"/>
    </row>
    <row r="938" spans="1:9">
      <c r="A938" s="179"/>
      <c r="B938" s="179"/>
      <c r="C938" s="179"/>
      <c r="D938" s="179"/>
      <c r="E938" s="179"/>
      <c r="F938" s="179"/>
      <c r="G938" s="179"/>
      <c r="H938" s="179"/>
      <c r="I938" s="179"/>
    </row>
    <row r="939" spans="1:9">
      <c r="A939" s="179"/>
      <c r="B939" s="179"/>
      <c r="C939" s="179"/>
      <c r="D939" s="179"/>
      <c r="E939" s="179"/>
      <c r="F939" s="179"/>
      <c r="G939" s="179"/>
      <c r="H939" s="179"/>
      <c r="I939" s="179"/>
    </row>
    <row r="940" spans="1:9">
      <c r="A940" s="179"/>
      <c r="B940" s="179"/>
      <c r="C940" s="179"/>
      <c r="D940" s="179"/>
      <c r="E940" s="179"/>
      <c r="F940" s="179"/>
      <c r="G940" s="179"/>
      <c r="H940" s="179"/>
      <c r="I940" s="179"/>
    </row>
    <row r="941" spans="1:9">
      <c r="A941" s="179"/>
      <c r="B941" s="179"/>
      <c r="C941" s="179"/>
      <c r="D941" s="179"/>
      <c r="E941" s="179"/>
      <c r="F941" s="179"/>
      <c r="G941" s="179"/>
      <c r="H941" s="179"/>
      <c r="I941" s="179"/>
    </row>
    <row r="942" spans="1:9">
      <c r="A942" s="179"/>
      <c r="B942" s="179"/>
      <c r="C942" s="179"/>
      <c r="D942" s="179"/>
      <c r="E942" s="179"/>
      <c r="F942" s="179"/>
      <c r="G942" s="179"/>
      <c r="H942" s="179"/>
      <c r="I942" s="179"/>
    </row>
    <row r="943" spans="1:9">
      <c r="A943" s="179"/>
      <c r="B943" s="179"/>
      <c r="C943" s="179"/>
      <c r="D943" s="179"/>
      <c r="E943" s="179"/>
      <c r="F943" s="179"/>
      <c r="G943" s="179"/>
      <c r="H943" s="179"/>
      <c r="I943" s="179"/>
    </row>
    <row r="944" spans="1:9">
      <c r="A944" s="179"/>
      <c r="B944" s="179"/>
      <c r="C944" s="179"/>
      <c r="D944" s="179"/>
      <c r="E944" s="179"/>
      <c r="F944" s="179"/>
      <c r="G944" s="179"/>
      <c r="H944" s="179"/>
      <c r="I944" s="179"/>
    </row>
    <row r="945" spans="1:9">
      <c r="A945" s="179"/>
      <c r="B945" s="179"/>
      <c r="C945" s="179"/>
      <c r="D945" s="179"/>
      <c r="E945" s="179"/>
      <c r="F945" s="179"/>
      <c r="G945" s="179"/>
      <c r="H945" s="179"/>
      <c r="I945" s="179"/>
    </row>
    <row r="946" spans="1:9">
      <c r="A946" s="179"/>
      <c r="B946" s="179"/>
      <c r="C946" s="179"/>
      <c r="D946" s="179"/>
      <c r="E946" s="179"/>
      <c r="F946" s="179"/>
      <c r="G946" s="179"/>
      <c r="H946" s="179"/>
      <c r="I946" s="179"/>
    </row>
    <row r="947" spans="1:9">
      <c r="A947" s="179"/>
      <c r="B947" s="179"/>
      <c r="C947" s="179"/>
      <c r="D947" s="179"/>
      <c r="E947" s="179"/>
      <c r="F947" s="179"/>
      <c r="G947" s="179"/>
      <c r="H947" s="179"/>
      <c r="I947" s="179"/>
    </row>
    <row r="948" spans="1:9">
      <c r="A948" s="179"/>
      <c r="B948" s="179"/>
      <c r="C948" s="179"/>
      <c r="D948" s="179"/>
      <c r="E948" s="179"/>
      <c r="F948" s="179"/>
      <c r="G948" s="179"/>
      <c r="H948" s="179"/>
      <c r="I948" s="179"/>
    </row>
    <row r="949" spans="1:9">
      <c r="A949" s="179"/>
      <c r="B949" s="179"/>
      <c r="C949" s="179"/>
      <c r="D949" s="179"/>
      <c r="E949" s="179"/>
      <c r="F949" s="179"/>
      <c r="G949" s="179"/>
      <c r="H949" s="179"/>
      <c r="I949" s="179"/>
    </row>
    <row r="950" spans="1:9">
      <c r="A950" s="179"/>
      <c r="B950" s="179"/>
      <c r="C950" s="179"/>
      <c r="D950" s="179"/>
      <c r="E950" s="179"/>
      <c r="F950" s="179"/>
      <c r="G950" s="179"/>
      <c r="H950" s="179"/>
      <c r="I950" s="179"/>
    </row>
    <row r="951" spans="1:9">
      <c r="A951" s="179"/>
      <c r="B951" s="179"/>
      <c r="C951" s="179"/>
      <c r="D951" s="179"/>
      <c r="E951" s="179"/>
      <c r="F951" s="179"/>
      <c r="G951" s="179"/>
      <c r="H951" s="179"/>
      <c r="I951" s="179"/>
    </row>
    <row r="952" spans="1:9">
      <c r="A952" s="179"/>
      <c r="B952" s="179"/>
      <c r="C952" s="179"/>
      <c r="D952" s="179"/>
      <c r="E952" s="179"/>
      <c r="F952" s="179"/>
      <c r="G952" s="179"/>
      <c r="H952" s="179"/>
      <c r="I952" s="179"/>
    </row>
    <row r="953" spans="1:9">
      <c r="A953" s="179"/>
      <c r="B953" s="179"/>
      <c r="C953" s="179"/>
      <c r="D953" s="179"/>
      <c r="E953" s="179"/>
      <c r="F953" s="179"/>
      <c r="G953" s="179"/>
      <c r="H953" s="179"/>
      <c r="I953" s="179"/>
    </row>
    <row r="954" spans="1:9">
      <c r="A954" s="179"/>
      <c r="B954" s="179"/>
      <c r="C954" s="179"/>
      <c r="D954" s="179"/>
      <c r="E954" s="179"/>
      <c r="F954" s="179"/>
      <c r="G954" s="179"/>
      <c r="H954" s="179"/>
      <c r="I954" s="179"/>
    </row>
    <row r="955" spans="1:9">
      <c r="A955" s="179"/>
      <c r="B955" s="179"/>
      <c r="C955" s="179"/>
      <c r="D955" s="179"/>
      <c r="E955" s="179"/>
      <c r="F955" s="179"/>
      <c r="G955" s="179"/>
      <c r="H955" s="179"/>
      <c r="I955" s="179"/>
    </row>
    <row r="956" spans="1:9">
      <c r="A956" s="179"/>
      <c r="B956" s="179"/>
      <c r="C956" s="179"/>
      <c r="D956" s="179"/>
      <c r="E956" s="179"/>
      <c r="F956" s="179"/>
      <c r="G956" s="179"/>
      <c r="H956" s="179"/>
      <c r="I956" s="179"/>
    </row>
    <row r="957" spans="1:9">
      <c r="A957" s="179"/>
      <c r="B957" s="179"/>
      <c r="C957" s="179"/>
      <c r="D957" s="179"/>
      <c r="E957" s="179"/>
      <c r="F957" s="179"/>
      <c r="G957" s="179"/>
      <c r="H957" s="179"/>
      <c r="I957" s="179"/>
    </row>
    <row r="958" spans="1:9">
      <c r="A958" s="179"/>
      <c r="B958" s="179"/>
      <c r="C958" s="179"/>
      <c r="D958" s="179"/>
      <c r="E958" s="179"/>
      <c r="F958" s="179"/>
      <c r="G958" s="179"/>
      <c r="H958" s="179"/>
      <c r="I958" s="179"/>
    </row>
    <row r="959" spans="1:9">
      <c r="A959" s="179"/>
      <c r="B959" s="179"/>
      <c r="C959" s="179"/>
      <c r="D959" s="179"/>
      <c r="E959" s="179"/>
      <c r="F959" s="179"/>
      <c r="G959" s="179"/>
      <c r="H959" s="179"/>
      <c r="I959" s="179"/>
    </row>
    <row r="960" spans="1:9">
      <c r="A960" s="179"/>
      <c r="B960" s="179"/>
      <c r="C960" s="179"/>
      <c r="D960" s="179"/>
      <c r="E960" s="179"/>
      <c r="F960" s="179"/>
      <c r="G960" s="179"/>
      <c r="H960" s="179"/>
      <c r="I960" s="179"/>
    </row>
    <row r="961" spans="1:9">
      <c r="A961" s="179"/>
      <c r="B961" s="179"/>
      <c r="C961" s="179"/>
      <c r="D961" s="179"/>
      <c r="E961" s="179"/>
      <c r="F961" s="179"/>
      <c r="G961" s="179"/>
      <c r="H961" s="179"/>
      <c r="I961" s="179"/>
    </row>
    <row r="962" spans="1:9">
      <c r="A962" s="179"/>
      <c r="B962" s="179"/>
      <c r="C962" s="179"/>
      <c r="D962" s="179"/>
      <c r="E962" s="179"/>
      <c r="F962" s="179"/>
      <c r="G962" s="179"/>
      <c r="H962" s="179"/>
      <c r="I962" s="179"/>
    </row>
    <row r="963" spans="1:9">
      <c r="A963" s="179"/>
      <c r="B963" s="179"/>
      <c r="C963" s="179"/>
      <c r="D963" s="179"/>
      <c r="E963" s="179"/>
      <c r="F963" s="179"/>
      <c r="G963" s="179"/>
      <c r="H963" s="179"/>
      <c r="I963" s="179"/>
    </row>
    <row r="964" spans="1:9">
      <c r="A964" s="179"/>
      <c r="B964" s="179"/>
      <c r="C964" s="179"/>
      <c r="D964" s="179"/>
      <c r="E964" s="179"/>
      <c r="F964" s="179"/>
      <c r="G964" s="179"/>
      <c r="H964" s="179"/>
      <c r="I964" s="179"/>
    </row>
    <row r="965" spans="1:9">
      <c r="A965" s="179"/>
      <c r="B965" s="179"/>
      <c r="C965" s="179"/>
      <c r="D965" s="179"/>
      <c r="E965" s="179"/>
      <c r="F965" s="179"/>
      <c r="G965" s="179"/>
      <c r="H965" s="179"/>
      <c r="I965" s="179"/>
    </row>
    <row r="966" spans="1:9">
      <c r="A966" s="179"/>
      <c r="B966" s="179"/>
      <c r="C966" s="179"/>
      <c r="D966" s="179"/>
      <c r="E966" s="179"/>
      <c r="F966" s="179"/>
      <c r="G966" s="179"/>
      <c r="H966" s="179"/>
      <c r="I966" s="179"/>
    </row>
    <row r="967" spans="1:9">
      <c r="A967" s="179"/>
      <c r="B967" s="179"/>
      <c r="C967" s="179"/>
      <c r="D967" s="179"/>
      <c r="E967" s="179"/>
      <c r="F967" s="179"/>
      <c r="G967" s="179"/>
      <c r="H967" s="179"/>
      <c r="I967" s="179"/>
    </row>
    <row r="968" spans="1:9">
      <c r="A968" s="179"/>
      <c r="B968" s="179"/>
      <c r="C968" s="179"/>
      <c r="D968" s="179"/>
      <c r="E968" s="179"/>
      <c r="F968" s="179"/>
      <c r="G968" s="179"/>
      <c r="H968" s="179"/>
      <c r="I968" s="179"/>
    </row>
    <row r="969" spans="1:9">
      <c r="A969" s="179"/>
      <c r="B969" s="179"/>
      <c r="C969" s="179"/>
      <c r="D969" s="179"/>
      <c r="E969" s="179"/>
      <c r="F969" s="179"/>
      <c r="G969" s="179"/>
      <c r="H969" s="179"/>
      <c r="I969" s="179"/>
    </row>
    <row r="970" spans="1:9">
      <c r="A970" s="179"/>
      <c r="B970" s="179"/>
      <c r="C970" s="179"/>
      <c r="D970" s="179"/>
      <c r="E970" s="179"/>
      <c r="F970" s="179"/>
      <c r="G970" s="179"/>
      <c r="H970" s="179"/>
      <c r="I970" s="179"/>
    </row>
    <row r="971" spans="1:9">
      <c r="A971" s="179"/>
      <c r="B971" s="179"/>
      <c r="C971" s="179"/>
      <c r="D971" s="179"/>
      <c r="E971" s="179"/>
      <c r="F971" s="179"/>
      <c r="G971" s="179"/>
      <c r="H971" s="179"/>
      <c r="I971" s="179"/>
    </row>
    <row r="972" spans="1:9">
      <c r="A972" s="179"/>
      <c r="B972" s="179"/>
      <c r="C972" s="179"/>
      <c r="D972" s="179"/>
      <c r="E972" s="179"/>
      <c r="F972" s="179"/>
      <c r="G972" s="179"/>
      <c r="H972" s="179"/>
      <c r="I972" s="179"/>
    </row>
    <row r="973" spans="1:9">
      <c r="A973" s="179"/>
      <c r="B973" s="179"/>
      <c r="C973" s="179"/>
      <c r="D973" s="179"/>
      <c r="E973" s="179"/>
      <c r="F973" s="179"/>
      <c r="G973" s="179"/>
      <c r="H973" s="179"/>
      <c r="I973" s="179"/>
    </row>
    <row r="974" spans="1:9">
      <c r="A974" s="179"/>
      <c r="B974" s="179"/>
      <c r="C974" s="179"/>
      <c r="D974" s="179"/>
      <c r="E974" s="179"/>
      <c r="F974" s="179"/>
      <c r="G974" s="179"/>
      <c r="H974" s="179"/>
      <c r="I974" s="179"/>
    </row>
    <row r="975" spans="1:9">
      <c r="A975" s="179"/>
      <c r="B975" s="179"/>
      <c r="C975" s="179"/>
      <c r="D975" s="179"/>
      <c r="E975" s="179"/>
      <c r="F975" s="179"/>
      <c r="G975" s="179"/>
      <c r="H975" s="179"/>
      <c r="I975" s="179"/>
    </row>
    <row r="976" spans="1:9">
      <c r="A976" s="179"/>
      <c r="B976" s="179"/>
      <c r="C976" s="179"/>
      <c r="D976" s="179"/>
      <c r="E976" s="179"/>
      <c r="F976" s="179"/>
      <c r="G976" s="179"/>
      <c r="H976" s="179"/>
      <c r="I976" s="179"/>
    </row>
    <row r="977" spans="1:9">
      <c r="A977" s="179"/>
      <c r="B977" s="179"/>
      <c r="C977" s="179"/>
      <c r="D977" s="179"/>
      <c r="E977" s="179"/>
      <c r="F977" s="179"/>
      <c r="G977" s="179"/>
      <c r="H977" s="179"/>
      <c r="I977" s="179"/>
    </row>
    <row r="978" spans="1:9">
      <c r="A978" s="179"/>
      <c r="B978" s="179"/>
      <c r="C978" s="179"/>
      <c r="D978" s="179"/>
      <c r="E978" s="179"/>
      <c r="F978" s="179"/>
      <c r="G978" s="179"/>
      <c r="H978" s="179"/>
      <c r="I978" s="179"/>
    </row>
    <row r="979" spans="1:9">
      <c r="A979" s="179"/>
      <c r="B979" s="179"/>
      <c r="C979" s="179"/>
      <c r="D979" s="179"/>
      <c r="E979" s="179"/>
      <c r="F979" s="179"/>
      <c r="G979" s="179"/>
      <c r="H979" s="179"/>
      <c r="I979" s="179"/>
    </row>
    <row r="980" spans="1:9">
      <c r="A980" s="179"/>
      <c r="B980" s="179"/>
      <c r="C980" s="179"/>
      <c r="D980" s="179"/>
      <c r="E980" s="179"/>
      <c r="F980" s="179"/>
      <c r="G980" s="179"/>
      <c r="H980" s="179"/>
      <c r="I980" s="179"/>
    </row>
    <row r="981" spans="1:9">
      <c r="A981" s="179"/>
      <c r="B981" s="179"/>
      <c r="C981" s="179"/>
      <c r="D981" s="179"/>
      <c r="E981" s="179"/>
      <c r="F981" s="179"/>
      <c r="G981" s="179"/>
      <c r="H981" s="179"/>
      <c r="I981" s="179"/>
    </row>
    <row r="982" spans="1:9">
      <c r="A982" s="179"/>
      <c r="B982" s="179"/>
      <c r="C982" s="179"/>
      <c r="D982" s="179"/>
      <c r="E982" s="179"/>
      <c r="F982" s="179"/>
      <c r="G982" s="179"/>
      <c r="H982" s="179"/>
      <c r="I982" s="179"/>
    </row>
    <row r="983" spans="1:9">
      <c r="A983" s="179"/>
      <c r="B983" s="179"/>
      <c r="C983" s="179"/>
      <c r="D983" s="179"/>
      <c r="E983" s="179"/>
      <c r="F983" s="179"/>
      <c r="G983" s="179"/>
      <c r="H983" s="179"/>
      <c r="I983" s="179"/>
    </row>
    <row r="984" spans="1:9">
      <c r="A984" s="179"/>
      <c r="B984" s="179"/>
      <c r="C984" s="179"/>
      <c r="D984" s="179"/>
      <c r="E984" s="179"/>
      <c r="F984" s="179"/>
      <c r="G984" s="179"/>
      <c r="H984" s="179"/>
      <c r="I984" s="179"/>
    </row>
    <row r="985" spans="1:9">
      <c r="A985" s="179"/>
      <c r="B985" s="179"/>
      <c r="C985" s="179"/>
      <c r="D985" s="179"/>
      <c r="E985" s="179"/>
      <c r="F985" s="179"/>
      <c r="G985" s="179"/>
      <c r="H985" s="179"/>
      <c r="I985" s="179"/>
    </row>
    <row r="986" spans="1:9">
      <c r="A986" s="179"/>
      <c r="B986" s="179"/>
      <c r="C986" s="179"/>
      <c r="D986" s="179"/>
      <c r="E986" s="179"/>
      <c r="F986" s="179"/>
      <c r="G986" s="179"/>
      <c r="H986" s="179"/>
      <c r="I986" s="179"/>
    </row>
    <row r="987" spans="1:9">
      <c r="A987" s="179"/>
      <c r="B987" s="179"/>
      <c r="C987" s="179"/>
      <c r="D987" s="179"/>
      <c r="E987" s="179"/>
      <c r="F987" s="179"/>
      <c r="G987" s="179"/>
      <c r="H987" s="179"/>
      <c r="I987" s="179"/>
    </row>
    <row r="988" spans="1:9">
      <c r="A988" s="179"/>
      <c r="B988" s="179"/>
      <c r="C988" s="179"/>
      <c r="D988" s="179"/>
      <c r="E988" s="179"/>
      <c r="F988" s="179"/>
      <c r="G988" s="179"/>
      <c r="H988" s="179"/>
      <c r="I988" s="179"/>
    </row>
    <row r="989" spans="1:9">
      <c r="A989" s="179"/>
      <c r="B989" s="179"/>
      <c r="C989" s="179"/>
      <c r="D989" s="179"/>
      <c r="E989" s="179"/>
      <c r="F989" s="179"/>
      <c r="G989" s="179"/>
      <c r="H989" s="179"/>
      <c r="I989" s="179"/>
    </row>
    <row r="990" spans="1:9">
      <c r="A990" s="179"/>
      <c r="B990" s="179"/>
      <c r="C990" s="179"/>
      <c r="D990" s="179"/>
      <c r="E990" s="179"/>
      <c r="F990" s="179"/>
      <c r="G990" s="179"/>
      <c r="H990" s="179"/>
      <c r="I990" s="179"/>
    </row>
    <row r="991" spans="1:9">
      <c r="A991" s="179"/>
      <c r="B991" s="179"/>
      <c r="C991" s="179"/>
      <c r="D991" s="179"/>
      <c r="E991" s="179"/>
      <c r="F991" s="179"/>
      <c r="G991" s="179"/>
      <c r="H991" s="179"/>
      <c r="I991" s="179"/>
    </row>
    <row r="992" spans="1:9">
      <c r="A992" s="179"/>
      <c r="B992" s="179"/>
      <c r="C992" s="179"/>
      <c r="D992" s="179"/>
      <c r="E992" s="179"/>
      <c r="F992" s="179"/>
      <c r="G992" s="179"/>
      <c r="H992" s="179"/>
      <c r="I992" s="179"/>
    </row>
    <row r="993" spans="1:9">
      <c r="A993" s="179"/>
      <c r="B993" s="179"/>
      <c r="C993" s="179"/>
      <c r="D993" s="179"/>
      <c r="E993" s="179"/>
      <c r="F993" s="179"/>
      <c r="G993" s="179"/>
      <c r="H993" s="179"/>
      <c r="I993" s="179"/>
    </row>
    <row r="994" spans="1:9">
      <c r="A994" s="179"/>
      <c r="B994" s="179"/>
      <c r="C994" s="179"/>
      <c r="D994" s="179"/>
      <c r="E994" s="179"/>
      <c r="F994" s="179"/>
      <c r="G994" s="179"/>
      <c r="H994" s="179"/>
      <c r="I994" s="179"/>
    </row>
    <row r="995" spans="1:9">
      <c r="A995" s="179"/>
      <c r="B995" s="179"/>
      <c r="C995" s="179"/>
      <c r="D995" s="179"/>
      <c r="E995" s="179"/>
      <c r="F995" s="179"/>
      <c r="G995" s="179"/>
      <c r="H995" s="179"/>
      <c r="I995" s="179"/>
    </row>
    <row r="996" spans="1:9">
      <c r="A996" s="179"/>
      <c r="B996" s="179"/>
      <c r="C996" s="179"/>
      <c r="D996" s="179"/>
      <c r="E996" s="179"/>
      <c r="F996" s="179"/>
      <c r="G996" s="179"/>
      <c r="H996" s="179"/>
      <c r="I996" s="179"/>
    </row>
    <row r="997" spans="1:9">
      <c r="A997" s="179"/>
      <c r="B997" s="179"/>
      <c r="C997" s="179"/>
      <c r="D997" s="179"/>
      <c r="E997" s="179"/>
      <c r="F997" s="179"/>
      <c r="G997" s="179"/>
      <c r="H997" s="179"/>
      <c r="I997" s="179"/>
    </row>
    <row r="998" spans="1:9">
      <c r="A998" s="179"/>
      <c r="B998" s="179"/>
      <c r="C998" s="179"/>
      <c r="D998" s="179"/>
      <c r="E998" s="179"/>
      <c r="F998" s="179"/>
      <c r="G998" s="179"/>
      <c r="H998" s="179"/>
      <c r="I998" s="179"/>
    </row>
    <row r="999" spans="1:9">
      <c r="A999" s="179"/>
      <c r="B999" s="179"/>
      <c r="C999" s="179"/>
      <c r="D999" s="179"/>
      <c r="E999" s="179"/>
      <c r="F999" s="179"/>
      <c r="G999" s="179"/>
      <c r="H999" s="179"/>
      <c r="I999" s="179"/>
    </row>
    <row r="1000" spans="1:9">
      <c r="A1000" s="179"/>
      <c r="B1000" s="179"/>
      <c r="C1000" s="179"/>
      <c r="D1000" s="179"/>
      <c r="E1000" s="179"/>
      <c r="F1000" s="179"/>
      <c r="G1000" s="179"/>
      <c r="H1000" s="179"/>
      <c r="I1000" s="179"/>
    </row>
    <row r="1001" spans="1:9">
      <c r="A1001" s="179"/>
      <c r="B1001" s="179"/>
      <c r="C1001" s="179"/>
      <c r="D1001" s="179"/>
      <c r="E1001" s="179"/>
      <c r="F1001" s="179"/>
      <c r="G1001" s="179"/>
      <c r="H1001" s="179"/>
      <c r="I1001" s="179"/>
    </row>
    <row r="1002" spans="1:9">
      <c r="A1002" s="179"/>
      <c r="B1002" s="179"/>
      <c r="C1002" s="179"/>
      <c r="D1002" s="179"/>
      <c r="E1002" s="179"/>
      <c r="F1002" s="179"/>
      <c r="G1002" s="179"/>
      <c r="H1002" s="179"/>
      <c r="I1002" s="179"/>
    </row>
    <row r="1003" spans="1:9">
      <c r="A1003" s="179"/>
      <c r="B1003" s="179"/>
      <c r="C1003" s="179"/>
      <c r="D1003" s="179"/>
      <c r="E1003" s="179"/>
      <c r="F1003" s="179"/>
      <c r="G1003" s="179"/>
      <c r="H1003" s="179"/>
      <c r="I1003" s="179"/>
    </row>
    <row r="1004" spans="1:9">
      <c r="A1004" s="179"/>
      <c r="B1004" s="179"/>
      <c r="C1004" s="179"/>
      <c r="D1004" s="179"/>
      <c r="E1004" s="179"/>
      <c r="F1004" s="179"/>
      <c r="G1004" s="179"/>
      <c r="H1004" s="179"/>
      <c r="I1004" s="179"/>
    </row>
    <row r="1005" spans="1:9">
      <c r="A1005" s="179"/>
      <c r="B1005" s="179"/>
      <c r="C1005" s="179"/>
      <c r="D1005" s="179"/>
      <c r="E1005" s="179"/>
      <c r="F1005" s="179"/>
      <c r="G1005" s="179"/>
      <c r="H1005" s="179"/>
      <c r="I1005" s="179"/>
    </row>
    <row r="1006" spans="1:9">
      <c r="A1006" s="179"/>
      <c r="B1006" s="179"/>
      <c r="C1006" s="179"/>
      <c r="D1006" s="179"/>
      <c r="E1006" s="179"/>
      <c r="F1006" s="179"/>
      <c r="G1006" s="179"/>
      <c r="H1006" s="179"/>
      <c r="I1006" s="179"/>
    </row>
    <row r="1007" spans="1:9">
      <c r="A1007" s="179"/>
      <c r="B1007" s="179"/>
      <c r="C1007" s="179"/>
      <c r="D1007" s="179"/>
      <c r="E1007" s="179"/>
      <c r="F1007" s="179"/>
      <c r="G1007" s="179"/>
      <c r="H1007" s="179"/>
      <c r="I1007" s="179"/>
    </row>
    <row r="1008" spans="1:9">
      <c r="A1008" s="179"/>
      <c r="B1008" s="179"/>
      <c r="C1008" s="179"/>
      <c r="D1008" s="179"/>
      <c r="E1008" s="179"/>
      <c r="F1008" s="179"/>
      <c r="G1008" s="179"/>
      <c r="H1008" s="179"/>
      <c r="I1008" s="179"/>
    </row>
    <row r="1009" spans="1:9">
      <c r="A1009" s="179"/>
      <c r="B1009" s="179"/>
      <c r="C1009" s="179"/>
      <c r="D1009" s="179"/>
      <c r="E1009" s="179"/>
      <c r="F1009" s="179"/>
      <c r="G1009" s="179"/>
      <c r="H1009" s="179"/>
      <c r="I1009" s="179"/>
    </row>
    <row r="1010" spans="1:9">
      <c r="A1010" s="179"/>
      <c r="B1010" s="179"/>
      <c r="C1010" s="179"/>
      <c r="D1010" s="179"/>
      <c r="E1010" s="179"/>
      <c r="F1010" s="179"/>
      <c r="G1010" s="179"/>
      <c r="H1010" s="179"/>
      <c r="I1010" s="179"/>
    </row>
    <row r="1011" spans="1:9">
      <c r="A1011" s="179"/>
      <c r="B1011" s="179"/>
      <c r="C1011" s="179"/>
      <c r="D1011" s="179"/>
      <c r="E1011" s="179"/>
      <c r="F1011" s="179"/>
      <c r="G1011" s="179"/>
      <c r="H1011" s="179"/>
      <c r="I1011" s="179"/>
    </row>
    <row r="1012" spans="1:9">
      <c r="A1012" s="179"/>
      <c r="B1012" s="179"/>
      <c r="C1012" s="179"/>
      <c r="D1012" s="179"/>
      <c r="E1012" s="179"/>
      <c r="F1012" s="179"/>
      <c r="G1012" s="179"/>
      <c r="H1012" s="179"/>
      <c r="I1012" s="179"/>
    </row>
    <row r="1013" spans="1:9">
      <c r="A1013" s="179"/>
      <c r="B1013" s="179"/>
      <c r="C1013" s="179"/>
      <c r="D1013" s="179"/>
      <c r="E1013" s="179"/>
      <c r="F1013" s="179"/>
      <c r="G1013" s="179"/>
      <c r="H1013" s="179"/>
      <c r="I1013" s="179"/>
    </row>
    <row r="1014" spans="1:9">
      <c r="A1014" s="179"/>
      <c r="B1014" s="179"/>
      <c r="C1014" s="179"/>
      <c r="D1014" s="179"/>
      <c r="E1014" s="179"/>
      <c r="F1014" s="179"/>
      <c r="G1014" s="179"/>
      <c r="H1014" s="179"/>
      <c r="I1014" s="179"/>
    </row>
    <row r="1015" spans="1:9">
      <c r="A1015" s="179"/>
      <c r="B1015" s="179"/>
      <c r="C1015" s="179"/>
      <c r="D1015" s="179"/>
      <c r="E1015" s="179"/>
      <c r="F1015" s="179"/>
      <c r="G1015" s="179"/>
      <c r="H1015" s="179"/>
      <c r="I1015" s="179"/>
    </row>
    <row r="1016" spans="1:9">
      <c r="A1016" s="179"/>
      <c r="B1016" s="179"/>
      <c r="C1016" s="179"/>
      <c r="D1016" s="179"/>
      <c r="E1016" s="179"/>
      <c r="F1016" s="179"/>
      <c r="G1016" s="179"/>
      <c r="H1016" s="179"/>
      <c r="I1016" s="179"/>
    </row>
    <row r="1017" spans="1:9">
      <c r="A1017" s="179"/>
      <c r="B1017" s="179"/>
      <c r="C1017" s="179"/>
      <c r="D1017" s="179"/>
      <c r="E1017" s="179"/>
      <c r="F1017" s="179"/>
      <c r="G1017" s="179"/>
      <c r="H1017" s="179"/>
      <c r="I1017" s="179"/>
    </row>
    <row r="1018" spans="1:9">
      <c r="A1018" s="179"/>
      <c r="B1018" s="179"/>
      <c r="C1018" s="179"/>
      <c r="D1018" s="179"/>
      <c r="E1018" s="179"/>
      <c r="F1018" s="179"/>
      <c r="G1018" s="179"/>
      <c r="H1018" s="179"/>
      <c r="I1018" s="179"/>
    </row>
    <row r="1019" spans="1:9">
      <c r="A1019" s="179"/>
      <c r="B1019" s="179"/>
      <c r="C1019" s="179"/>
      <c r="D1019" s="179"/>
      <c r="E1019" s="179"/>
      <c r="F1019" s="179"/>
      <c r="G1019" s="179"/>
      <c r="H1019" s="179"/>
      <c r="I1019" s="179"/>
    </row>
    <row r="1020" spans="1:9">
      <c r="A1020" s="179"/>
      <c r="B1020" s="179"/>
      <c r="C1020" s="179"/>
      <c r="D1020" s="179"/>
      <c r="E1020" s="179"/>
      <c r="F1020" s="179"/>
      <c r="G1020" s="179"/>
      <c r="H1020" s="179"/>
      <c r="I1020" s="179"/>
    </row>
    <row r="1021" spans="1:9">
      <c r="A1021" s="179"/>
      <c r="B1021" s="179"/>
      <c r="C1021" s="179"/>
      <c r="D1021" s="179"/>
      <c r="E1021" s="179"/>
      <c r="F1021" s="179"/>
      <c r="G1021" s="179"/>
      <c r="H1021" s="179"/>
      <c r="I1021" s="179"/>
    </row>
    <row r="1022" spans="1:9">
      <c r="A1022" s="179"/>
      <c r="B1022" s="179"/>
      <c r="C1022" s="179"/>
      <c r="D1022" s="179"/>
      <c r="E1022" s="179"/>
      <c r="F1022" s="179"/>
      <c r="G1022" s="179"/>
      <c r="H1022" s="179"/>
      <c r="I1022" s="179"/>
    </row>
    <row r="1023" spans="1:9">
      <c r="A1023" s="179"/>
      <c r="B1023" s="179"/>
      <c r="C1023" s="179"/>
      <c r="D1023" s="179"/>
      <c r="E1023" s="179"/>
      <c r="F1023" s="179"/>
      <c r="G1023" s="179"/>
      <c r="H1023" s="179"/>
      <c r="I1023" s="179"/>
    </row>
    <row r="1024" spans="1:9">
      <c r="A1024" s="179"/>
      <c r="B1024" s="179"/>
      <c r="C1024" s="179"/>
      <c r="D1024" s="179"/>
      <c r="E1024" s="179"/>
      <c r="F1024" s="179"/>
      <c r="G1024" s="179"/>
      <c r="H1024" s="179"/>
      <c r="I1024" s="179"/>
    </row>
    <row r="1025" spans="1:9">
      <c r="A1025" s="179"/>
      <c r="B1025" s="179"/>
      <c r="C1025" s="179"/>
      <c r="D1025" s="179"/>
      <c r="E1025" s="179"/>
      <c r="F1025" s="179"/>
      <c r="G1025" s="179"/>
      <c r="H1025" s="179"/>
      <c r="I1025" s="179"/>
    </row>
    <row r="1026" spans="1:9">
      <c r="A1026" s="179"/>
      <c r="B1026" s="179"/>
      <c r="C1026" s="179"/>
      <c r="D1026" s="179"/>
      <c r="E1026" s="179"/>
      <c r="F1026" s="179"/>
      <c r="G1026" s="179"/>
      <c r="H1026" s="179"/>
      <c r="I1026" s="179"/>
    </row>
    <row r="1027" spans="1:9">
      <c r="A1027" s="179"/>
      <c r="B1027" s="179"/>
      <c r="C1027" s="179"/>
      <c r="D1027" s="179"/>
      <c r="E1027" s="179"/>
      <c r="F1027" s="179"/>
      <c r="G1027" s="179"/>
      <c r="H1027" s="179"/>
      <c r="I1027" s="179"/>
    </row>
    <row r="1028" spans="1:9">
      <c r="A1028" s="179"/>
      <c r="B1028" s="179"/>
      <c r="C1028" s="179"/>
      <c r="D1028" s="179"/>
      <c r="E1028" s="179"/>
      <c r="F1028" s="179"/>
      <c r="G1028" s="179"/>
      <c r="H1028" s="179"/>
      <c r="I1028" s="179"/>
    </row>
    <row r="1029" spans="1:9">
      <c r="A1029" s="179"/>
      <c r="B1029" s="179"/>
      <c r="C1029" s="179"/>
      <c r="D1029" s="179"/>
      <c r="E1029" s="179"/>
      <c r="F1029" s="179"/>
      <c r="G1029" s="179"/>
      <c r="H1029" s="179"/>
      <c r="I1029" s="179"/>
    </row>
    <row r="1030" spans="1:9">
      <c r="A1030" s="179"/>
      <c r="B1030" s="179"/>
      <c r="C1030" s="179"/>
      <c r="D1030" s="179"/>
      <c r="E1030" s="179"/>
      <c r="F1030" s="179"/>
      <c r="G1030" s="179"/>
      <c r="H1030" s="179"/>
      <c r="I1030" s="179"/>
    </row>
    <row r="1031" spans="1:9">
      <c r="A1031" s="179"/>
      <c r="B1031" s="179"/>
      <c r="C1031" s="179"/>
      <c r="D1031" s="179"/>
      <c r="E1031" s="179"/>
      <c r="F1031" s="179"/>
      <c r="G1031" s="179"/>
      <c r="H1031" s="179"/>
      <c r="I1031" s="179"/>
    </row>
    <row r="1032" spans="1:9">
      <c r="A1032" s="179"/>
      <c r="B1032" s="179"/>
      <c r="C1032" s="179"/>
      <c r="D1032" s="179"/>
      <c r="E1032" s="179"/>
      <c r="F1032" s="179"/>
      <c r="G1032" s="179"/>
      <c r="H1032" s="179"/>
      <c r="I1032" s="179"/>
    </row>
    <row r="1033" spans="1:9">
      <c r="A1033" s="179"/>
      <c r="B1033" s="179"/>
      <c r="C1033" s="179"/>
      <c r="D1033" s="179"/>
      <c r="E1033" s="179"/>
      <c r="F1033" s="179"/>
      <c r="G1033" s="179"/>
      <c r="H1033" s="179"/>
      <c r="I1033" s="179"/>
    </row>
    <row r="1034" spans="1:9">
      <c r="A1034" s="179"/>
      <c r="B1034" s="179"/>
      <c r="C1034" s="179"/>
      <c r="D1034" s="179"/>
      <c r="E1034" s="179"/>
      <c r="F1034" s="179"/>
      <c r="G1034" s="179"/>
      <c r="H1034" s="179"/>
      <c r="I1034" s="179"/>
    </row>
    <row r="1035" spans="1:9">
      <c r="A1035" s="179"/>
      <c r="B1035" s="179"/>
      <c r="C1035" s="179"/>
      <c r="D1035" s="179"/>
      <c r="E1035" s="179"/>
      <c r="F1035" s="179"/>
      <c r="G1035" s="179"/>
      <c r="H1035" s="179"/>
      <c r="I1035" s="179"/>
    </row>
    <row r="1036" spans="1:9">
      <c r="A1036" s="179"/>
      <c r="B1036" s="179"/>
      <c r="C1036" s="179"/>
      <c r="D1036" s="179"/>
      <c r="E1036" s="179"/>
      <c r="F1036" s="179"/>
      <c r="G1036" s="179"/>
      <c r="H1036" s="179"/>
      <c r="I1036" s="179"/>
    </row>
    <row r="1037" spans="1:9">
      <c r="A1037" s="179"/>
      <c r="B1037" s="179"/>
      <c r="C1037" s="179"/>
      <c r="D1037" s="179"/>
      <c r="E1037" s="179"/>
      <c r="F1037" s="179"/>
      <c r="G1037" s="179"/>
      <c r="H1037" s="179"/>
      <c r="I1037" s="179"/>
    </row>
    <row r="1038" spans="1:9">
      <c r="A1038" s="179"/>
      <c r="B1038" s="179"/>
      <c r="C1038" s="179"/>
      <c r="D1038" s="179"/>
      <c r="E1038" s="179"/>
      <c r="F1038" s="179"/>
      <c r="G1038" s="179"/>
      <c r="H1038" s="179"/>
      <c r="I1038" s="179"/>
    </row>
    <row r="1039" spans="1:9">
      <c r="A1039" s="179"/>
      <c r="B1039" s="179"/>
      <c r="C1039" s="179"/>
      <c r="D1039" s="179"/>
      <c r="E1039" s="179"/>
      <c r="F1039" s="179"/>
      <c r="G1039" s="179"/>
      <c r="H1039" s="179"/>
      <c r="I1039" s="179"/>
    </row>
    <row r="1040" spans="1:9">
      <c r="A1040" s="179"/>
      <c r="B1040" s="179"/>
      <c r="C1040" s="179"/>
      <c r="D1040" s="179"/>
      <c r="E1040" s="179"/>
      <c r="F1040" s="179"/>
      <c r="G1040" s="179"/>
      <c r="H1040" s="179"/>
      <c r="I1040" s="179"/>
    </row>
    <row r="1041" spans="1:9">
      <c r="A1041" s="179"/>
      <c r="B1041" s="179"/>
      <c r="C1041" s="179"/>
      <c r="D1041" s="179"/>
      <c r="E1041" s="179"/>
      <c r="F1041" s="179"/>
      <c r="G1041" s="179"/>
      <c r="H1041" s="179"/>
      <c r="I1041" s="179"/>
    </row>
    <row r="1042" spans="1:9">
      <c r="A1042" s="179"/>
      <c r="B1042" s="179"/>
      <c r="C1042" s="179"/>
      <c r="D1042" s="179"/>
      <c r="E1042" s="179"/>
      <c r="F1042" s="179"/>
      <c r="G1042" s="179"/>
      <c r="H1042" s="179"/>
      <c r="I1042" s="179"/>
    </row>
    <row r="1043" spans="1:9">
      <c r="A1043" s="179"/>
      <c r="B1043" s="179"/>
      <c r="C1043" s="179"/>
      <c r="D1043" s="179"/>
      <c r="E1043" s="179"/>
      <c r="F1043" s="179"/>
      <c r="G1043" s="179"/>
      <c r="H1043" s="179"/>
      <c r="I1043" s="179"/>
    </row>
    <row r="1044" spans="1:9">
      <c r="A1044" s="179"/>
      <c r="B1044" s="179"/>
      <c r="C1044" s="179"/>
      <c r="D1044" s="179"/>
      <c r="E1044" s="179"/>
      <c r="F1044" s="179"/>
      <c r="G1044" s="179"/>
      <c r="H1044" s="179"/>
      <c r="I1044" s="179"/>
    </row>
    <row r="1045" spans="1:9">
      <c r="A1045" s="179"/>
      <c r="B1045" s="179"/>
      <c r="C1045" s="179"/>
      <c r="D1045" s="179"/>
      <c r="E1045" s="179"/>
      <c r="F1045" s="179"/>
      <c r="G1045" s="179"/>
      <c r="H1045" s="179"/>
      <c r="I1045" s="179"/>
    </row>
    <row r="1046" spans="1:9">
      <c r="A1046" s="179"/>
      <c r="B1046" s="179"/>
      <c r="C1046" s="179"/>
      <c r="D1046" s="179"/>
      <c r="E1046" s="179"/>
      <c r="F1046" s="179"/>
      <c r="G1046" s="179"/>
      <c r="H1046" s="179"/>
      <c r="I1046" s="179"/>
    </row>
    <row r="1047" spans="1:9">
      <c r="A1047" s="179"/>
      <c r="B1047" s="179"/>
      <c r="C1047" s="179"/>
      <c r="D1047" s="179"/>
      <c r="E1047" s="179"/>
      <c r="F1047" s="179"/>
      <c r="G1047" s="179"/>
      <c r="H1047" s="179"/>
      <c r="I1047" s="179"/>
    </row>
    <row r="1048" spans="1:9">
      <c r="A1048" s="179"/>
      <c r="B1048" s="179"/>
      <c r="C1048" s="179"/>
      <c r="D1048" s="179"/>
      <c r="E1048" s="179"/>
      <c r="F1048" s="179"/>
      <c r="G1048" s="179"/>
      <c r="H1048" s="179"/>
      <c r="I1048" s="179"/>
    </row>
    <row r="1049" spans="1:9">
      <c r="A1049" s="179"/>
      <c r="B1049" s="179"/>
      <c r="C1049" s="179"/>
      <c r="D1049" s="179"/>
      <c r="E1049" s="179"/>
      <c r="F1049" s="179"/>
      <c r="G1049" s="179"/>
      <c r="H1049" s="179"/>
      <c r="I1049" s="179"/>
    </row>
    <row r="1050" spans="1:9">
      <c r="A1050" s="179"/>
      <c r="B1050" s="179"/>
      <c r="C1050" s="179"/>
      <c r="D1050" s="179"/>
      <c r="E1050" s="179"/>
      <c r="F1050" s="179"/>
      <c r="G1050" s="179"/>
      <c r="H1050" s="179"/>
      <c r="I1050" s="179"/>
    </row>
    <row r="1051" spans="1:9">
      <c r="A1051" s="179"/>
      <c r="B1051" s="179"/>
      <c r="C1051" s="179"/>
      <c r="D1051" s="179"/>
      <c r="E1051" s="179"/>
      <c r="F1051" s="179"/>
      <c r="G1051" s="179"/>
      <c r="H1051" s="179"/>
      <c r="I1051" s="179"/>
    </row>
    <row r="1052" spans="1:9">
      <c r="A1052" s="179"/>
      <c r="B1052" s="179"/>
      <c r="C1052" s="179"/>
      <c r="D1052" s="179"/>
      <c r="E1052" s="179"/>
      <c r="F1052" s="179"/>
      <c r="G1052" s="179"/>
      <c r="H1052" s="179"/>
      <c r="I1052" s="179"/>
    </row>
    <row r="1053" spans="1:9">
      <c r="A1053" s="179"/>
      <c r="B1053" s="179"/>
      <c r="C1053" s="179"/>
      <c r="D1053" s="179"/>
      <c r="E1053" s="179"/>
      <c r="F1053" s="179"/>
      <c r="G1053" s="179"/>
      <c r="H1053" s="179"/>
      <c r="I1053" s="179"/>
    </row>
    <row r="1054" spans="1:9">
      <c r="A1054" s="179"/>
      <c r="B1054" s="179"/>
      <c r="C1054" s="179"/>
      <c r="D1054" s="179"/>
      <c r="E1054" s="179"/>
      <c r="F1054" s="179"/>
      <c r="G1054" s="179"/>
      <c r="H1054" s="179"/>
      <c r="I1054" s="179"/>
    </row>
    <row r="1055" spans="1:9">
      <c r="A1055" s="179"/>
      <c r="B1055" s="179"/>
      <c r="C1055" s="179"/>
      <c r="D1055" s="179"/>
      <c r="E1055" s="179"/>
      <c r="F1055" s="179"/>
      <c r="G1055" s="179"/>
      <c r="H1055" s="179"/>
      <c r="I1055" s="179"/>
    </row>
    <row r="1056" spans="1:9">
      <c r="A1056" s="179"/>
      <c r="B1056" s="179"/>
      <c r="C1056" s="179"/>
      <c r="D1056" s="179"/>
      <c r="E1056" s="179"/>
      <c r="F1056" s="179"/>
      <c r="G1056" s="179"/>
      <c r="H1056" s="179"/>
      <c r="I1056" s="179"/>
    </row>
    <row r="1057" spans="1:9">
      <c r="A1057" s="179"/>
      <c r="B1057" s="179"/>
      <c r="C1057" s="179"/>
      <c r="D1057" s="179"/>
      <c r="E1057" s="179"/>
      <c r="F1057" s="179"/>
      <c r="G1057" s="179"/>
      <c r="H1057" s="179"/>
      <c r="I1057" s="179"/>
    </row>
    <row r="1058" spans="1:9">
      <c r="A1058" s="179"/>
      <c r="B1058" s="179"/>
      <c r="C1058" s="179"/>
      <c r="D1058" s="179"/>
      <c r="E1058" s="179"/>
      <c r="F1058" s="179"/>
      <c r="G1058" s="179"/>
      <c r="H1058" s="179"/>
      <c r="I1058" s="179"/>
    </row>
    <row r="1059" spans="1:9">
      <c r="A1059" s="179"/>
      <c r="B1059" s="179"/>
      <c r="C1059" s="179"/>
      <c r="D1059" s="179"/>
      <c r="E1059" s="179"/>
      <c r="F1059" s="179"/>
      <c r="G1059" s="179"/>
      <c r="H1059" s="179"/>
      <c r="I1059" s="179"/>
    </row>
    <row r="1060" spans="1:9">
      <c r="A1060" s="179"/>
      <c r="B1060" s="179"/>
      <c r="C1060" s="179"/>
      <c r="D1060" s="179"/>
      <c r="E1060" s="179"/>
      <c r="F1060" s="179"/>
      <c r="G1060" s="179"/>
      <c r="H1060" s="179"/>
      <c r="I1060" s="179"/>
    </row>
    <row r="1061" spans="1:9">
      <c r="A1061" s="179"/>
      <c r="B1061" s="179"/>
      <c r="C1061" s="179"/>
      <c r="D1061" s="179"/>
      <c r="E1061" s="179"/>
      <c r="F1061" s="179"/>
      <c r="G1061" s="179"/>
      <c r="H1061" s="179"/>
      <c r="I1061" s="179"/>
    </row>
    <row r="1062" spans="1:9">
      <c r="A1062" s="179"/>
      <c r="B1062" s="179"/>
      <c r="C1062" s="179"/>
      <c r="D1062" s="179"/>
      <c r="E1062" s="179"/>
      <c r="F1062" s="179"/>
      <c r="G1062" s="179"/>
      <c r="H1062" s="179"/>
      <c r="I1062" s="179"/>
    </row>
    <row r="1063" spans="1:9">
      <c r="A1063" s="179"/>
      <c r="B1063" s="179"/>
      <c r="C1063" s="179"/>
      <c r="D1063" s="179"/>
      <c r="E1063" s="179"/>
      <c r="F1063" s="179"/>
      <c r="G1063" s="179"/>
      <c r="H1063" s="179"/>
      <c r="I1063" s="179"/>
    </row>
    <row r="1064" spans="1:9">
      <c r="A1064" s="179"/>
      <c r="B1064" s="179"/>
      <c r="C1064" s="179"/>
      <c r="D1064" s="179"/>
      <c r="E1064" s="179"/>
      <c r="F1064" s="179"/>
      <c r="G1064" s="179"/>
      <c r="H1064" s="179"/>
      <c r="I1064" s="179"/>
    </row>
    <row r="1065" spans="1:9">
      <c r="A1065" s="179"/>
      <c r="B1065" s="179"/>
      <c r="C1065" s="179"/>
      <c r="D1065" s="179"/>
      <c r="E1065" s="179"/>
      <c r="F1065" s="179"/>
      <c r="G1065" s="179"/>
      <c r="H1065" s="179"/>
      <c r="I1065" s="179"/>
    </row>
    <row r="1066" spans="1:9">
      <c r="A1066" s="179"/>
      <c r="B1066" s="179"/>
      <c r="C1066" s="179"/>
      <c r="D1066" s="179"/>
      <c r="E1066" s="179"/>
      <c r="F1066" s="179"/>
      <c r="G1066" s="179"/>
      <c r="H1066" s="179"/>
      <c r="I1066" s="179"/>
    </row>
    <row r="1067" spans="1:9">
      <c r="A1067" s="179"/>
      <c r="B1067" s="179"/>
      <c r="C1067" s="179"/>
      <c r="D1067" s="179"/>
      <c r="E1067" s="179"/>
      <c r="F1067" s="179"/>
      <c r="G1067" s="179"/>
      <c r="H1067" s="179"/>
      <c r="I1067" s="179"/>
    </row>
    <row r="1068" spans="1:9">
      <c r="A1068" s="179"/>
      <c r="B1068" s="179"/>
      <c r="C1068" s="179"/>
      <c r="D1068" s="179"/>
      <c r="E1068" s="179"/>
      <c r="F1068" s="179"/>
      <c r="G1068" s="179"/>
      <c r="H1068" s="179"/>
      <c r="I1068" s="179"/>
    </row>
    <row r="1069" spans="1:9">
      <c r="A1069" s="179"/>
      <c r="B1069" s="179"/>
      <c r="C1069" s="179"/>
      <c r="D1069" s="179"/>
      <c r="E1069" s="179"/>
      <c r="F1069" s="179"/>
      <c r="G1069" s="179"/>
      <c r="H1069" s="179"/>
      <c r="I1069" s="179"/>
    </row>
    <row r="1070" spans="1:9">
      <c r="A1070" s="179"/>
      <c r="B1070" s="179"/>
      <c r="C1070" s="179"/>
      <c r="D1070" s="179"/>
      <c r="E1070" s="179"/>
      <c r="F1070" s="179"/>
      <c r="G1070" s="179"/>
      <c r="H1070" s="179"/>
      <c r="I1070" s="179"/>
    </row>
    <row r="1071" spans="1:9">
      <c r="A1071" s="179"/>
      <c r="B1071" s="179"/>
      <c r="C1071" s="179"/>
      <c r="D1071" s="179"/>
      <c r="E1071" s="179"/>
      <c r="F1071" s="179"/>
      <c r="G1071" s="179"/>
      <c r="H1071" s="179"/>
      <c r="I1071" s="179"/>
    </row>
    <row r="1072" spans="1:9">
      <c r="A1072" s="179"/>
      <c r="B1072" s="179"/>
      <c r="C1072" s="179"/>
      <c r="D1072" s="179"/>
      <c r="E1072" s="179"/>
      <c r="F1072" s="179"/>
      <c r="G1072" s="179"/>
      <c r="H1072" s="179"/>
      <c r="I1072" s="179"/>
    </row>
    <row r="1073" spans="1:9">
      <c r="A1073" s="179"/>
      <c r="B1073" s="179"/>
      <c r="C1073" s="179"/>
      <c r="D1073" s="179"/>
      <c r="E1073" s="179"/>
      <c r="F1073" s="179"/>
      <c r="G1073" s="179"/>
      <c r="H1073" s="179"/>
      <c r="I1073" s="179"/>
    </row>
    <row r="1074" spans="1:9">
      <c r="A1074" s="179"/>
      <c r="B1074" s="179"/>
      <c r="C1074" s="179"/>
      <c r="D1074" s="179"/>
      <c r="E1074" s="179"/>
      <c r="F1074" s="179"/>
      <c r="G1074" s="179"/>
      <c r="H1074" s="179"/>
      <c r="I1074" s="179"/>
    </row>
    <row r="1075" spans="1:9">
      <c r="A1075" s="179"/>
      <c r="B1075" s="179"/>
      <c r="C1075" s="179"/>
      <c r="D1075" s="179"/>
      <c r="E1075" s="179"/>
      <c r="F1075" s="179"/>
      <c r="G1075" s="179"/>
      <c r="H1075" s="179"/>
      <c r="I1075" s="179"/>
    </row>
    <row r="1076" spans="1:9">
      <c r="A1076" s="179"/>
      <c r="B1076" s="179"/>
      <c r="C1076" s="179"/>
      <c r="D1076" s="179"/>
      <c r="E1076" s="179"/>
      <c r="F1076" s="179"/>
      <c r="G1076" s="179"/>
      <c r="H1076" s="179"/>
      <c r="I1076" s="179"/>
    </row>
    <row r="1077" spans="1:9">
      <c r="A1077" s="179"/>
      <c r="B1077" s="179"/>
      <c r="C1077" s="179"/>
      <c r="D1077" s="179"/>
      <c r="E1077" s="179"/>
      <c r="F1077" s="179"/>
      <c r="G1077" s="179"/>
      <c r="H1077" s="179"/>
      <c r="I1077" s="179"/>
    </row>
    <row r="1078" spans="1:9">
      <c r="A1078" s="179"/>
      <c r="B1078" s="179"/>
      <c r="C1078" s="179"/>
      <c r="D1078" s="179"/>
      <c r="E1078" s="179"/>
      <c r="F1078" s="179"/>
      <c r="G1078" s="179"/>
      <c r="H1078" s="179"/>
      <c r="I1078" s="179"/>
    </row>
    <row r="1079" spans="1:9">
      <c r="A1079" s="179"/>
      <c r="B1079" s="179"/>
      <c r="C1079" s="179"/>
      <c r="D1079" s="179"/>
      <c r="E1079" s="179"/>
      <c r="F1079" s="179"/>
      <c r="G1079" s="179"/>
      <c r="H1079" s="179"/>
      <c r="I1079" s="179"/>
    </row>
    <row r="1080" spans="1:9">
      <c r="A1080" s="179"/>
      <c r="B1080" s="179"/>
      <c r="C1080" s="179"/>
      <c r="D1080" s="179"/>
      <c r="E1080" s="179"/>
      <c r="F1080" s="179"/>
      <c r="G1080" s="179"/>
      <c r="H1080" s="179"/>
      <c r="I1080" s="179"/>
    </row>
    <row r="1081" spans="1:9">
      <c r="A1081" s="179"/>
      <c r="B1081" s="179"/>
      <c r="C1081" s="179"/>
      <c r="D1081" s="179"/>
      <c r="E1081" s="179"/>
      <c r="F1081" s="179"/>
      <c r="G1081" s="179"/>
      <c r="H1081" s="179"/>
      <c r="I1081" s="179"/>
    </row>
    <row r="1082" spans="1:9">
      <c r="A1082" s="179"/>
      <c r="B1082" s="179"/>
      <c r="C1082" s="179"/>
      <c r="D1082" s="179"/>
      <c r="E1082" s="179"/>
      <c r="F1082" s="179"/>
      <c r="G1082" s="179"/>
      <c r="H1082" s="179"/>
      <c r="I1082" s="179"/>
    </row>
    <row r="1083" spans="1:9">
      <c r="A1083" s="179"/>
      <c r="B1083" s="179"/>
      <c r="C1083" s="179"/>
      <c r="D1083" s="179"/>
      <c r="E1083" s="179"/>
      <c r="F1083" s="179"/>
      <c r="G1083" s="179"/>
      <c r="H1083" s="179"/>
      <c r="I1083" s="179"/>
    </row>
    <row r="1084" spans="1:9">
      <c r="A1084" s="179"/>
      <c r="B1084" s="179"/>
      <c r="C1084" s="179"/>
      <c r="D1084" s="179"/>
      <c r="E1084" s="179"/>
      <c r="F1084" s="179"/>
      <c r="G1084" s="179"/>
      <c r="H1084" s="179"/>
      <c r="I1084" s="179"/>
    </row>
    <row r="1085" spans="1:9">
      <c r="A1085" s="179"/>
      <c r="B1085" s="179"/>
      <c r="C1085" s="179"/>
      <c r="D1085" s="179"/>
      <c r="E1085" s="179"/>
      <c r="F1085" s="179"/>
      <c r="G1085" s="179"/>
      <c r="H1085" s="179"/>
      <c r="I1085" s="179"/>
    </row>
    <row r="1086" spans="1:9">
      <c r="A1086" s="179"/>
      <c r="B1086" s="179"/>
      <c r="C1086" s="179"/>
      <c r="D1086" s="179"/>
      <c r="E1086" s="179"/>
      <c r="F1086" s="179"/>
      <c r="G1086" s="179"/>
      <c r="H1086" s="179"/>
      <c r="I1086" s="179"/>
    </row>
    <row r="1087" spans="1:9">
      <c r="A1087" s="179"/>
      <c r="B1087" s="179"/>
      <c r="C1087" s="179"/>
      <c r="D1087" s="179"/>
      <c r="E1087" s="179"/>
      <c r="F1087" s="179"/>
      <c r="G1087" s="179"/>
      <c r="H1087" s="179"/>
      <c r="I1087" s="179"/>
    </row>
    <row r="1088" spans="1:9">
      <c r="A1088" s="179"/>
      <c r="B1088" s="179"/>
      <c r="C1088" s="179"/>
      <c r="D1088" s="179"/>
      <c r="E1088" s="179"/>
      <c r="F1088" s="179"/>
      <c r="G1088" s="179"/>
      <c r="H1088" s="179"/>
      <c r="I1088" s="179"/>
    </row>
    <row r="1089" spans="1:9">
      <c r="A1089" s="179"/>
      <c r="B1089" s="179"/>
      <c r="C1089" s="179"/>
      <c r="D1089" s="179"/>
      <c r="E1089" s="179"/>
      <c r="F1089" s="179"/>
      <c r="G1089" s="179"/>
      <c r="H1089" s="179"/>
      <c r="I1089" s="179"/>
    </row>
    <row r="1090" spans="1:9">
      <c r="A1090" s="179"/>
      <c r="B1090" s="179"/>
      <c r="C1090" s="179"/>
      <c r="D1090" s="179"/>
      <c r="E1090" s="179"/>
      <c r="F1090" s="179"/>
      <c r="G1090" s="179"/>
      <c r="H1090" s="179"/>
      <c r="I1090" s="179"/>
    </row>
    <row r="1091" spans="1:9">
      <c r="A1091" s="179"/>
      <c r="B1091" s="179"/>
      <c r="C1091" s="179"/>
      <c r="D1091" s="179"/>
      <c r="E1091" s="179"/>
      <c r="F1091" s="179"/>
      <c r="G1091" s="179"/>
      <c r="H1091" s="179"/>
      <c r="I1091" s="179"/>
    </row>
    <row r="1092" spans="1:9">
      <c r="A1092" s="179"/>
      <c r="B1092" s="179"/>
      <c r="C1092" s="179"/>
      <c r="D1092" s="179"/>
      <c r="E1092" s="179"/>
      <c r="F1092" s="179"/>
      <c r="G1092" s="179"/>
      <c r="H1092" s="179"/>
      <c r="I1092" s="179"/>
    </row>
    <row r="1093" spans="1:9">
      <c r="A1093" s="179"/>
      <c r="B1093" s="179"/>
      <c r="C1093" s="179"/>
      <c r="D1093" s="179"/>
      <c r="E1093" s="179"/>
      <c r="F1093" s="179"/>
      <c r="G1093" s="179"/>
      <c r="H1093" s="179"/>
      <c r="I1093" s="179"/>
    </row>
    <row r="1094" spans="1:9">
      <c r="A1094" s="179"/>
      <c r="B1094" s="179"/>
      <c r="C1094" s="179"/>
      <c r="D1094" s="179"/>
      <c r="E1094" s="179"/>
      <c r="F1094" s="179"/>
      <c r="G1094" s="179"/>
      <c r="H1094" s="179"/>
      <c r="I1094" s="179"/>
    </row>
    <row r="1095" spans="1:9">
      <c r="A1095" s="179"/>
      <c r="B1095" s="179"/>
      <c r="C1095" s="179"/>
      <c r="D1095" s="179"/>
      <c r="E1095" s="179"/>
      <c r="F1095" s="179"/>
      <c r="G1095" s="179"/>
      <c r="H1095" s="179"/>
      <c r="I1095" s="179"/>
    </row>
    <row r="1096" spans="1:9">
      <c r="A1096" s="179"/>
      <c r="B1096" s="179"/>
      <c r="C1096" s="179"/>
      <c r="D1096" s="179"/>
      <c r="E1096" s="179"/>
      <c r="F1096" s="179"/>
      <c r="G1096" s="179"/>
      <c r="H1096" s="179"/>
      <c r="I1096" s="179"/>
    </row>
    <row r="1097" spans="1:9">
      <c r="A1097" s="179"/>
      <c r="B1097" s="179"/>
      <c r="C1097" s="179"/>
      <c r="D1097" s="179"/>
      <c r="E1097" s="179"/>
      <c r="F1097" s="179"/>
      <c r="G1097" s="179"/>
      <c r="H1097" s="179"/>
      <c r="I1097" s="179"/>
    </row>
    <row r="1098" spans="1:9">
      <c r="A1098" s="179"/>
      <c r="B1098" s="179"/>
      <c r="C1098" s="179"/>
      <c r="D1098" s="179"/>
      <c r="E1098" s="179"/>
      <c r="F1098" s="179"/>
      <c r="G1098" s="179"/>
      <c r="H1098" s="179"/>
      <c r="I1098" s="179"/>
    </row>
    <row r="1099" spans="1:9">
      <c r="A1099" s="179"/>
      <c r="B1099" s="179"/>
      <c r="C1099" s="179"/>
      <c r="D1099" s="179"/>
      <c r="E1099" s="179"/>
      <c r="F1099" s="179"/>
      <c r="G1099" s="179"/>
      <c r="H1099" s="179"/>
      <c r="I1099" s="179"/>
    </row>
    <row r="1100" spans="1:9">
      <c r="A1100" s="179"/>
      <c r="B1100" s="179"/>
      <c r="C1100" s="179"/>
      <c r="D1100" s="179"/>
      <c r="E1100" s="179"/>
      <c r="F1100" s="179"/>
      <c r="G1100" s="179"/>
      <c r="H1100" s="179"/>
      <c r="I1100" s="179"/>
    </row>
    <row r="1101" spans="1:9">
      <c r="A1101" s="179"/>
      <c r="B1101" s="179"/>
      <c r="C1101" s="179"/>
      <c r="D1101" s="179"/>
      <c r="E1101" s="179"/>
      <c r="F1101" s="179"/>
      <c r="G1101" s="179"/>
      <c r="H1101" s="179"/>
      <c r="I1101" s="179"/>
    </row>
    <row r="1102" spans="1:9">
      <c r="A1102" s="179"/>
      <c r="B1102" s="179"/>
      <c r="C1102" s="179"/>
      <c r="D1102" s="179"/>
      <c r="E1102" s="179"/>
      <c r="F1102" s="179"/>
      <c r="G1102" s="179"/>
      <c r="H1102" s="179"/>
      <c r="I1102" s="179"/>
    </row>
    <row r="1103" spans="1:9">
      <c r="A1103" s="179"/>
      <c r="B1103" s="179"/>
      <c r="C1103" s="179"/>
      <c r="D1103" s="179"/>
      <c r="E1103" s="179"/>
      <c r="F1103" s="179"/>
      <c r="G1103" s="179"/>
      <c r="H1103" s="179"/>
      <c r="I1103" s="179"/>
    </row>
    <row r="1104" spans="1:9">
      <c r="A1104" s="179"/>
      <c r="B1104" s="179"/>
      <c r="C1104" s="179"/>
      <c r="D1104" s="179"/>
      <c r="E1104" s="179"/>
      <c r="F1104" s="179"/>
      <c r="G1104" s="179"/>
      <c r="H1104" s="179"/>
      <c r="I1104" s="179"/>
    </row>
    <row r="1105" spans="1:9">
      <c r="A1105" s="179"/>
      <c r="B1105" s="179"/>
      <c r="C1105" s="179"/>
      <c r="D1105" s="179"/>
      <c r="E1105" s="179"/>
      <c r="F1105" s="179"/>
      <c r="G1105" s="179"/>
      <c r="H1105" s="179"/>
      <c r="I1105" s="179"/>
    </row>
    <row r="1106" spans="1:9">
      <c r="A1106" s="179"/>
      <c r="B1106" s="179"/>
      <c r="C1106" s="179"/>
      <c r="D1106" s="179"/>
      <c r="E1106" s="179"/>
      <c r="F1106" s="179"/>
      <c r="G1106" s="179"/>
      <c r="H1106" s="179"/>
      <c r="I1106" s="179"/>
    </row>
    <row r="1107" spans="1:9">
      <c r="A1107" s="179"/>
      <c r="B1107" s="179"/>
      <c r="C1107" s="179"/>
      <c r="D1107" s="179"/>
      <c r="E1107" s="179"/>
      <c r="F1107" s="179"/>
      <c r="G1107" s="179"/>
      <c r="H1107" s="179"/>
      <c r="I1107" s="179"/>
    </row>
    <row r="1108" spans="1:9">
      <c r="A1108" s="179"/>
      <c r="B1108" s="179"/>
      <c r="C1108" s="179"/>
      <c r="D1108" s="179"/>
      <c r="E1108" s="179"/>
      <c r="F1108" s="179"/>
      <c r="G1108" s="179"/>
      <c r="H1108" s="179"/>
      <c r="I1108" s="179"/>
    </row>
    <row r="1109" spans="1:9">
      <c r="A1109" s="179"/>
      <c r="B1109" s="179"/>
      <c r="C1109" s="179"/>
      <c r="D1109" s="179"/>
      <c r="E1109" s="179"/>
      <c r="F1109" s="179"/>
      <c r="G1109" s="179"/>
      <c r="H1109" s="179"/>
      <c r="I1109" s="179"/>
    </row>
    <row r="1110" spans="1:9">
      <c r="A1110" s="179"/>
      <c r="B1110" s="179"/>
      <c r="C1110" s="179"/>
      <c r="D1110" s="179"/>
      <c r="E1110" s="179"/>
      <c r="F1110" s="179"/>
      <c r="G1110" s="179"/>
      <c r="H1110" s="179"/>
      <c r="I1110" s="179"/>
    </row>
    <row r="1111" spans="1:9">
      <c r="A1111" s="179"/>
      <c r="B1111" s="179"/>
      <c r="C1111" s="179"/>
      <c r="D1111" s="179"/>
      <c r="E1111" s="179"/>
      <c r="F1111" s="179"/>
      <c r="G1111" s="179"/>
      <c r="H1111" s="179"/>
      <c r="I1111" s="179"/>
    </row>
    <row r="1112" spans="1:9">
      <c r="A1112" s="179"/>
      <c r="B1112" s="179"/>
      <c r="C1112" s="179"/>
      <c r="D1112" s="179"/>
      <c r="E1112" s="179"/>
      <c r="F1112" s="179"/>
      <c r="G1112" s="179"/>
      <c r="H1112" s="179"/>
      <c r="I1112" s="179"/>
    </row>
    <row r="1113" spans="1:9">
      <c r="A1113" s="179"/>
      <c r="B1113" s="179"/>
      <c r="C1113" s="179"/>
      <c r="D1113" s="179"/>
      <c r="E1113" s="179"/>
      <c r="F1113" s="179"/>
      <c r="G1113" s="179"/>
      <c r="H1113" s="179"/>
      <c r="I1113" s="179"/>
    </row>
    <row r="1114" spans="1:9">
      <c r="A1114" s="179"/>
      <c r="B1114" s="179"/>
      <c r="C1114" s="179"/>
      <c r="D1114" s="179"/>
      <c r="E1114" s="179"/>
      <c r="F1114" s="179"/>
      <c r="G1114" s="179"/>
      <c r="H1114" s="179"/>
      <c r="I1114" s="179"/>
    </row>
    <row r="1115" spans="1:9">
      <c r="A1115" s="179"/>
      <c r="B1115" s="179"/>
      <c r="C1115" s="179"/>
      <c r="D1115" s="179"/>
      <c r="E1115" s="179"/>
      <c r="F1115" s="179"/>
      <c r="G1115" s="179"/>
      <c r="H1115" s="179"/>
      <c r="I1115" s="179"/>
    </row>
    <row r="1116" spans="1:9">
      <c r="A1116" s="179"/>
      <c r="B1116" s="179"/>
      <c r="C1116" s="179"/>
      <c r="D1116" s="179"/>
      <c r="E1116" s="179"/>
      <c r="F1116" s="179"/>
      <c r="G1116" s="179"/>
      <c r="H1116" s="179"/>
      <c r="I1116" s="179"/>
    </row>
    <row r="1117" spans="1:9">
      <c r="A1117" s="179"/>
      <c r="B1117" s="179"/>
      <c r="C1117" s="179"/>
      <c r="D1117" s="179"/>
      <c r="E1117" s="179"/>
      <c r="F1117" s="179"/>
      <c r="G1117" s="179"/>
      <c r="H1117" s="179"/>
      <c r="I1117" s="179"/>
    </row>
    <row r="1118" spans="1:9">
      <c r="A1118" s="179"/>
      <c r="B1118" s="179"/>
      <c r="C1118" s="179"/>
      <c r="D1118" s="179"/>
      <c r="E1118" s="179"/>
      <c r="F1118" s="179"/>
      <c r="G1118" s="179"/>
      <c r="H1118" s="179"/>
      <c r="I1118" s="179"/>
    </row>
    <row r="1119" spans="1:9">
      <c r="A1119" s="179"/>
      <c r="B1119" s="179"/>
      <c r="C1119" s="179"/>
      <c r="D1119" s="179"/>
      <c r="E1119" s="179"/>
      <c r="F1119" s="179"/>
      <c r="G1119" s="179"/>
      <c r="H1119" s="179"/>
      <c r="I1119" s="179"/>
    </row>
    <row r="1120" spans="1:9">
      <c r="A1120" s="179"/>
      <c r="B1120" s="179"/>
      <c r="C1120" s="179"/>
      <c r="D1120" s="179"/>
      <c r="E1120" s="179"/>
      <c r="F1120" s="179"/>
      <c r="G1120" s="179"/>
      <c r="H1120" s="179"/>
      <c r="I1120" s="179"/>
    </row>
    <row r="1121" spans="1:9">
      <c r="A1121" s="179"/>
      <c r="B1121" s="179"/>
      <c r="C1121" s="179"/>
      <c r="D1121" s="179"/>
      <c r="E1121" s="179"/>
      <c r="F1121" s="179"/>
      <c r="G1121" s="179"/>
      <c r="H1121" s="179"/>
      <c r="I1121" s="179"/>
    </row>
    <row r="1122" spans="1:9">
      <c r="A1122" s="179"/>
      <c r="B1122" s="179"/>
      <c r="C1122" s="179"/>
      <c r="D1122" s="179"/>
      <c r="E1122" s="179"/>
      <c r="F1122" s="179"/>
      <c r="G1122" s="179"/>
      <c r="H1122" s="179"/>
      <c r="I1122" s="179"/>
    </row>
    <row r="1123" spans="1:9">
      <c r="A1123" s="179"/>
      <c r="B1123" s="179"/>
      <c r="C1123" s="179"/>
      <c r="D1123" s="179"/>
      <c r="E1123" s="179"/>
      <c r="F1123" s="179"/>
      <c r="G1123" s="179"/>
      <c r="H1123" s="179"/>
      <c r="I1123" s="179"/>
    </row>
    <row r="1124" spans="1:9">
      <c r="A1124" s="179"/>
      <c r="B1124" s="179"/>
      <c r="C1124" s="179"/>
      <c r="D1124" s="179"/>
      <c r="E1124" s="179"/>
      <c r="F1124" s="179"/>
      <c r="G1124" s="179"/>
      <c r="H1124" s="179"/>
      <c r="I1124" s="179"/>
    </row>
    <row r="1125" spans="1:9">
      <c r="A1125" s="179"/>
      <c r="B1125" s="179"/>
      <c r="C1125" s="179"/>
      <c r="D1125" s="179"/>
      <c r="E1125" s="179"/>
      <c r="F1125" s="179"/>
      <c r="G1125" s="179"/>
      <c r="H1125" s="179"/>
      <c r="I1125" s="179"/>
    </row>
    <row r="1126" spans="1:9">
      <c r="A1126" s="179"/>
      <c r="B1126" s="179"/>
      <c r="C1126" s="179"/>
      <c r="D1126" s="179"/>
      <c r="E1126" s="179"/>
      <c r="F1126" s="179"/>
      <c r="G1126" s="179"/>
      <c r="H1126" s="179"/>
      <c r="I1126" s="179"/>
    </row>
    <row r="1127" spans="1:9">
      <c r="A1127" s="179"/>
      <c r="B1127" s="179"/>
      <c r="C1127" s="179"/>
      <c r="D1127" s="179"/>
      <c r="E1127" s="179"/>
      <c r="F1127" s="179"/>
      <c r="G1127" s="179"/>
      <c r="H1127" s="179"/>
      <c r="I1127" s="179"/>
    </row>
    <row r="1128" spans="1:9">
      <c r="A1128" s="179"/>
      <c r="B1128" s="179"/>
      <c r="C1128" s="179"/>
      <c r="D1128" s="179"/>
      <c r="E1128" s="179"/>
      <c r="F1128" s="179"/>
      <c r="G1128" s="179"/>
      <c r="H1128" s="179"/>
      <c r="I1128" s="179"/>
    </row>
    <row r="1129" spans="1:9">
      <c r="A1129" s="179"/>
      <c r="B1129" s="179"/>
      <c r="C1129" s="179"/>
      <c r="D1129" s="179"/>
      <c r="E1129" s="179"/>
      <c r="F1129" s="179"/>
      <c r="G1129" s="179"/>
      <c r="H1129" s="179"/>
      <c r="I1129" s="179"/>
    </row>
    <row r="1130" spans="1:9">
      <c r="A1130" s="179"/>
      <c r="B1130" s="179"/>
      <c r="C1130" s="179"/>
      <c r="D1130" s="179"/>
      <c r="E1130" s="179"/>
      <c r="F1130" s="179"/>
      <c r="G1130" s="179"/>
      <c r="H1130" s="179"/>
      <c r="I1130" s="179"/>
    </row>
    <row r="1131" spans="1:9">
      <c r="A1131" s="179"/>
      <c r="B1131" s="179"/>
      <c r="C1131" s="179"/>
      <c r="D1131" s="179"/>
      <c r="E1131" s="179"/>
      <c r="F1131" s="179"/>
      <c r="G1131" s="179"/>
      <c r="H1131" s="179"/>
      <c r="I1131" s="179"/>
    </row>
    <row r="1132" spans="1:9">
      <c r="A1132" s="179"/>
      <c r="B1132" s="179"/>
      <c r="C1132" s="179"/>
      <c r="D1132" s="179"/>
      <c r="E1132" s="179"/>
      <c r="F1132" s="179"/>
      <c r="G1132" s="179"/>
      <c r="H1132" s="179"/>
      <c r="I1132" s="179"/>
    </row>
    <row r="1133" spans="1:9">
      <c r="A1133" s="179"/>
      <c r="B1133" s="179"/>
      <c r="C1133" s="179"/>
      <c r="D1133" s="179"/>
      <c r="E1133" s="179"/>
      <c r="F1133" s="179"/>
      <c r="G1133" s="179"/>
      <c r="H1133" s="179"/>
      <c r="I1133" s="179"/>
    </row>
    <row r="1134" spans="1:9">
      <c r="A1134" s="179"/>
      <c r="B1134" s="179"/>
      <c r="C1134" s="179"/>
      <c r="D1134" s="179"/>
      <c r="E1134" s="179"/>
      <c r="F1134" s="179"/>
      <c r="G1134" s="179"/>
      <c r="H1134" s="179"/>
      <c r="I1134" s="179"/>
    </row>
    <row r="1135" spans="1:9">
      <c r="A1135" s="179"/>
      <c r="B1135" s="179"/>
      <c r="C1135" s="179"/>
      <c r="D1135" s="179"/>
      <c r="E1135" s="179"/>
      <c r="F1135" s="179"/>
      <c r="G1135" s="179"/>
      <c r="H1135" s="179"/>
      <c r="I1135" s="179"/>
    </row>
    <row r="1136" spans="1:9">
      <c r="A1136" s="179"/>
      <c r="B1136" s="179"/>
      <c r="C1136" s="179"/>
      <c r="D1136" s="179"/>
      <c r="E1136" s="179"/>
      <c r="F1136" s="179"/>
      <c r="G1136" s="179"/>
      <c r="H1136" s="179"/>
      <c r="I1136" s="179"/>
    </row>
    <row r="1137" spans="1:9">
      <c r="A1137" s="179"/>
      <c r="B1137" s="179"/>
      <c r="C1137" s="179"/>
      <c r="D1137" s="179"/>
      <c r="E1137" s="179"/>
      <c r="F1137" s="179"/>
      <c r="G1137" s="179"/>
      <c r="H1137" s="179"/>
      <c r="I1137" s="179"/>
    </row>
    <row r="1138" spans="1:9">
      <c r="A1138" s="179"/>
      <c r="B1138" s="179"/>
      <c r="C1138" s="179"/>
      <c r="D1138" s="179"/>
      <c r="E1138" s="179"/>
      <c r="F1138" s="179"/>
      <c r="G1138" s="179"/>
      <c r="H1138" s="179"/>
      <c r="I1138" s="179"/>
    </row>
    <row r="1139" spans="1:9">
      <c r="A1139" s="179"/>
      <c r="B1139" s="179"/>
      <c r="C1139" s="179"/>
      <c r="D1139" s="179"/>
      <c r="E1139" s="179"/>
      <c r="F1139" s="179"/>
      <c r="G1139" s="179"/>
      <c r="H1139" s="179"/>
      <c r="I1139" s="179"/>
    </row>
    <row r="1140" spans="1:9">
      <c r="A1140" s="179"/>
      <c r="B1140" s="179"/>
      <c r="C1140" s="179"/>
      <c r="D1140" s="179"/>
      <c r="E1140" s="179"/>
      <c r="F1140" s="179"/>
      <c r="G1140" s="179"/>
      <c r="H1140" s="179"/>
      <c r="I1140" s="179"/>
    </row>
    <row r="1141" spans="1:9">
      <c r="A1141" s="179"/>
      <c r="B1141" s="179"/>
      <c r="C1141" s="179"/>
      <c r="D1141" s="179"/>
      <c r="E1141" s="179"/>
      <c r="F1141" s="179"/>
      <c r="G1141" s="179"/>
      <c r="H1141" s="179"/>
      <c r="I1141" s="179"/>
    </row>
    <row r="1142" spans="1:9">
      <c r="A1142" s="179"/>
      <c r="B1142" s="179"/>
      <c r="C1142" s="179"/>
      <c r="D1142" s="179"/>
      <c r="E1142" s="179"/>
      <c r="F1142" s="179"/>
      <c r="G1142" s="179"/>
      <c r="H1142" s="179"/>
      <c r="I1142" s="179"/>
    </row>
    <row r="1143" spans="1:9">
      <c r="A1143" s="179"/>
      <c r="B1143" s="179"/>
      <c r="C1143" s="179"/>
      <c r="D1143" s="179"/>
      <c r="E1143" s="179"/>
      <c r="F1143" s="179"/>
      <c r="G1143" s="179"/>
      <c r="H1143" s="179"/>
      <c r="I1143" s="179"/>
    </row>
    <row r="1144" spans="1:9">
      <c r="A1144" s="179"/>
      <c r="B1144" s="179"/>
      <c r="C1144" s="179"/>
      <c r="D1144" s="179"/>
      <c r="E1144" s="179"/>
      <c r="F1144" s="179"/>
      <c r="G1144" s="179"/>
      <c r="H1144" s="179"/>
      <c r="I1144" s="179"/>
    </row>
    <row r="1145" spans="1:9">
      <c r="A1145" s="179"/>
      <c r="B1145" s="179"/>
      <c r="C1145" s="179"/>
      <c r="D1145" s="179"/>
      <c r="E1145" s="179"/>
      <c r="F1145" s="179"/>
      <c r="G1145" s="179"/>
      <c r="H1145" s="179"/>
      <c r="I1145" s="179"/>
    </row>
    <row r="1146" spans="1:9">
      <c r="A1146" s="179"/>
      <c r="B1146" s="179"/>
      <c r="C1146" s="179"/>
      <c r="D1146" s="179"/>
      <c r="E1146" s="179"/>
      <c r="F1146" s="179"/>
      <c r="G1146" s="179"/>
      <c r="H1146" s="179"/>
      <c r="I1146" s="179"/>
    </row>
    <row r="1147" spans="1:9">
      <c r="A1147" s="179"/>
      <c r="B1147" s="179"/>
      <c r="C1147" s="179"/>
      <c r="D1147" s="179"/>
      <c r="E1147" s="179"/>
      <c r="F1147" s="179"/>
      <c r="G1147" s="179"/>
      <c r="H1147" s="179"/>
      <c r="I1147" s="179"/>
    </row>
    <row r="1148" spans="1:9">
      <c r="A1148" s="179"/>
      <c r="B1148" s="179"/>
      <c r="C1148" s="179"/>
      <c r="D1148" s="179"/>
      <c r="E1148" s="179"/>
      <c r="F1148" s="179"/>
      <c r="G1148" s="179"/>
      <c r="H1148" s="179"/>
      <c r="I1148" s="179"/>
    </row>
    <row r="1149" spans="1:9">
      <c r="A1149" s="179"/>
      <c r="B1149" s="179"/>
      <c r="C1149" s="179"/>
      <c r="D1149" s="179"/>
      <c r="E1149" s="179"/>
      <c r="F1149" s="179"/>
      <c r="G1149" s="179"/>
      <c r="H1149" s="179"/>
      <c r="I1149" s="179"/>
    </row>
    <row r="1150" spans="1:9">
      <c r="A1150" s="179"/>
      <c r="B1150" s="179"/>
      <c r="C1150" s="179"/>
      <c r="D1150" s="179"/>
      <c r="E1150" s="179"/>
      <c r="F1150" s="179"/>
      <c r="G1150" s="179"/>
      <c r="H1150" s="179"/>
      <c r="I1150" s="179"/>
    </row>
    <row r="1151" spans="1:9">
      <c r="A1151" s="179"/>
      <c r="B1151" s="179"/>
      <c r="C1151" s="179"/>
      <c r="D1151" s="179"/>
      <c r="E1151" s="179"/>
      <c r="F1151" s="179"/>
      <c r="G1151" s="179"/>
      <c r="H1151" s="179"/>
      <c r="I1151" s="179"/>
    </row>
    <row r="1152" spans="1:9">
      <c r="A1152" s="179"/>
      <c r="B1152" s="179"/>
      <c r="C1152" s="179"/>
      <c r="D1152" s="179"/>
      <c r="E1152" s="179"/>
      <c r="F1152" s="179"/>
      <c r="G1152" s="179"/>
      <c r="H1152" s="179"/>
      <c r="I1152" s="179"/>
    </row>
    <row r="1153" spans="1:9">
      <c r="A1153" s="179"/>
      <c r="B1153" s="179"/>
      <c r="C1153" s="179"/>
      <c r="D1153" s="179"/>
      <c r="E1153" s="179"/>
      <c r="F1153" s="179"/>
      <c r="G1153" s="179"/>
      <c r="H1153" s="179"/>
      <c r="I1153" s="179"/>
    </row>
    <row r="1154" spans="1:9">
      <c r="A1154" s="179"/>
      <c r="B1154" s="179"/>
      <c r="C1154" s="179"/>
      <c r="D1154" s="179"/>
      <c r="E1154" s="179"/>
      <c r="F1154" s="179"/>
      <c r="G1154" s="179"/>
      <c r="H1154" s="179"/>
      <c r="I1154" s="179"/>
    </row>
    <row r="1155" spans="1:9">
      <c r="A1155" s="179"/>
      <c r="B1155" s="179"/>
      <c r="C1155" s="179"/>
      <c r="D1155" s="179"/>
      <c r="E1155" s="179"/>
      <c r="F1155" s="179"/>
      <c r="G1155" s="179"/>
      <c r="H1155" s="179"/>
      <c r="I1155" s="179"/>
    </row>
    <row r="1156" spans="1:9">
      <c r="A1156" s="179"/>
      <c r="B1156" s="179"/>
      <c r="C1156" s="179"/>
      <c r="D1156" s="179"/>
      <c r="E1156" s="179"/>
      <c r="F1156" s="179"/>
      <c r="G1156" s="179"/>
      <c r="H1156" s="179"/>
      <c r="I1156" s="179"/>
    </row>
    <row r="1157" spans="1:9">
      <c r="A1157" s="179"/>
      <c r="B1157" s="179"/>
      <c r="C1157" s="179"/>
      <c r="D1157" s="179"/>
      <c r="E1157" s="179"/>
      <c r="F1157" s="179"/>
      <c r="G1157" s="179"/>
      <c r="H1157" s="179"/>
      <c r="I1157" s="179"/>
    </row>
    <row r="1158" spans="1:9">
      <c r="A1158" s="179"/>
      <c r="B1158" s="179"/>
      <c r="C1158" s="179"/>
      <c r="D1158" s="179"/>
      <c r="E1158" s="179"/>
      <c r="F1158" s="179"/>
      <c r="G1158" s="179"/>
      <c r="H1158" s="179"/>
      <c r="I1158" s="179"/>
    </row>
    <row r="1159" spans="1:9">
      <c r="A1159" s="179"/>
      <c r="B1159" s="179"/>
      <c r="C1159" s="179"/>
      <c r="D1159" s="179"/>
      <c r="E1159" s="179"/>
      <c r="F1159" s="179"/>
      <c r="G1159" s="179"/>
      <c r="H1159" s="179"/>
      <c r="I1159" s="179"/>
    </row>
    <row r="1160" spans="1:9">
      <c r="A1160" s="179"/>
      <c r="B1160" s="179"/>
      <c r="C1160" s="179"/>
      <c r="D1160" s="179"/>
      <c r="E1160" s="179"/>
      <c r="F1160" s="179"/>
      <c r="G1160" s="179"/>
      <c r="H1160" s="179"/>
      <c r="I1160" s="179"/>
    </row>
    <row r="1161" spans="1:9">
      <c r="A1161" s="179"/>
      <c r="B1161" s="179"/>
      <c r="C1161" s="179"/>
      <c r="D1161" s="179"/>
      <c r="E1161" s="179"/>
      <c r="F1161" s="179"/>
      <c r="G1161" s="179"/>
      <c r="H1161" s="179"/>
      <c r="I1161" s="179"/>
    </row>
    <row r="1162" spans="1:9">
      <c r="A1162" s="179"/>
      <c r="B1162" s="179"/>
      <c r="C1162" s="179"/>
      <c r="D1162" s="179"/>
      <c r="E1162" s="179"/>
      <c r="F1162" s="179"/>
      <c r="G1162" s="179"/>
      <c r="H1162" s="179"/>
      <c r="I1162" s="179"/>
    </row>
    <row r="1163" spans="1:9">
      <c r="A1163" s="179"/>
      <c r="B1163" s="179"/>
      <c r="C1163" s="179"/>
      <c r="D1163" s="179"/>
      <c r="E1163" s="179"/>
      <c r="F1163" s="179"/>
      <c r="G1163" s="179"/>
      <c r="H1163" s="179"/>
      <c r="I1163" s="179"/>
    </row>
    <row r="1164" spans="1:9">
      <c r="A1164" s="179"/>
      <c r="B1164" s="179"/>
      <c r="C1164" s="179"/>
      <c r="D1164" s="179"/>
      <c r="E1164" s="179"/>
      <c r="F1164" s="179"/>
      <c r="G1164" s="179"/>
      <c r="H1164" s="179"/>
      <c r="I1164" s="179"/>
    </row>
    <row r="1165" spans="1:9">
      <c r="A1165" s="179"/>
      <c r="B1165" s="179"/>
      <c r="C1165" s="179"/>
      <c r="D1165" s="179"/>
      <c r="E1165" s="179"/>
      <c r="F1165" s="179"/>
      <c r="G1165" s="179"/>
      <c r="H1165" s="179"/>
      <c r="I1165" s="179"/>
    </row>
    <row r="1166" spans="1:9">
      <c r="A1166" s="179"/>
      <c r="B1166" s="179"/>
      <c r="C1166" s="179"/>
      <c r="D1166" s="179"/>
      <c r="E1166" s="179"/>
      <c r="F1166" s="179"/>
      <c r="G1166" s="179"/>
      <c r="H1166" s="179"/>
      <c r="I1166" s="179"/>
    </row>
    <row r="1167" spans="1:9">
      <c r="A1167" s="179"/>
      <c r="B1167" s="179"/>
      <c r="C1167" s="179"/>
      <c r="D1167" s="179"/>
      <c r="E1167" s="179"/>
      <c r="F1167" s="179"/>
      <c r="G1167" s="179"/>
      <c r="H1167" s="179"/>
      <c r="I1167" s="179"/>
    </row>
    <row r="1168" spans="1:9">
      <c r="A1168" s="179"/>
      <c r="B1168" s="179"/>
      <c r="C1168" s="179"/>
      <c r="D1168" s="179"/>
      <c r="E1168" s="179"/>
      <c r="F1168" s="179"/>
      <c r="G1168" s="179"/>
      <c r="H1168" s="179"/>
      <c r="I1168" s="179"/>
    </row>
    <row r="1169" spans="1:9">
      <c r="A1169" s="179"/>
      <c r="B1169" s="179"/>
      <c r="C1169" s="179"/>
      <c r="D1169" s="179"/>
      <c r="E1169" s="179"/>
      <c r="F1169" s="179"/>
      <c r="G1169" s="179"/>
      <c r="H1169" s="179"/>
      <c r="I1169" s="179"/>
    </row>
    <row r="1170" spans="1:9">
      <c r="A1170" s="179"/>
      <c r="B1170" s="179"/>
      <c r="C1170" s="179"/>
      <c r="D1170" s="179"/>
      <c r="E1170" s="179"/>
      <c r="F1170" s="179"/>
      <c r="G1170" s="179"/>
      <c r="H1170" s="179"/>
      <c r="I1170" s="179"/>
    </row>
    <row r="1171" spans="1:9">
      <c r="A1171" s="179"/>
      <c r="B1171" s="179"/>
      <c r="C1171" s="179"/>
      <c r="D1171" s="179"/>
      <c r="E1171" s="179"/>
      <c r="F1171" s="179"/>
      <c r="G1171" s="179"/>
      <c r="H1171" s="179"/>
      <c r="I1171" s="179"/>
    </row>
    <row r="1172" spans="1:9">
      <c r="A1172" s="179"/>
      <c r="B1172" s="179"/>
      <c r="C1172" s="179"/>
      <c r="D1172" s="179"/>
      <c r="E1172" s="179"/>
      <c r="F1172" s="179"/>
      <c r="G1172" s="179"/>
      <c r="H1172" s="179"/>
      <c r="I1172" s="179"/>
    </row>
    <row r="1173" spans="1:9">
      <c r="A1173" s="179"/>
      <c r="B1173" s="179"/>
      <c r="C1173" s="179"/>
      <c r="D1173" s="179"/>
      <c r="E1173" s="179"/>
      <c r="F1173" s="179"/>
      <c r="G1173" s="179"/>
      <c r="H1173" s="179"/>
      <c r="I1173" s="179"/>
    </row>
    <row r="1174" spans="1:9">
      <c r="A1174" s="179"/>
      <c r="B1174" s="179"/>
      <c r="C1174" s="179"/>
      <c r="D1174" s="179"/>
      <c r="E1174" s="179"/>
      <c r="F1174" s="179"/>
      <c r="G1174" s="179"/>
      <c r="H1174" s="179"/>
      <c r="I1174" s="179"/>
    </row>
    <row r="1175" spans="1:9">
      <c r="A1175" s="179"/>
      <c r="B1175" s="179"/>
      <c r="C1175" s="179"/>
      <c r="D1175" s="179"/>
      <c r="E1175" s="179"/>
      <c r="F1175" s="179"/>
      <c r="G1175" s="179"/>
      <c r="H1175" s="179"/>
      <c r="I1175" s="179"/>
    </row>
    <row r="1176" spans="1:9">
      <c r="A1176" s="179"/>
      <c r="B1176" s="179"/>
      <c r="C1176" s="179"/>
      <c r="D1176" s="179"/>
      <c r="E1176" s="179"/>
      <c r="F1176" s="179"/>
      <c r="G1176" s="179"/>
      <c r="H1176" s="179"/>
      <c r="I1176" s="179"/>
    </row>
    <row r="1177" spans="1:9">
      <c r="A1177" s="179"/>
      <c r="B1177" s="179"/>
      <c r="C1177" s="179"/>
      <c r="D1177" s="179"/>
      <c r="E1177" s="179"/>
      <c r="F1177" s="179"/>
      <c r="G1177" s="179"/>
      <c r="H1177" s="179"/>
      <c r="I1177" s="179"/>
    </row>
    <row r="1178" spans="1:9">
      <c r="A1178" s="179"/>
      <c r="B1178" s="179"/>
      <c r="C1178" s="179"/>
      <c r="D1178" s="179"/>
      <c r="E1178" s="179"/>
      <c r="F1178" s="179"/>
      <c r="G1178" s="179"/>
      <c r="H1178" s="179"/>
      <c r="I1178" s="179"/>
    </row>
    <row r="1179" spans="1:9">
      <c r="A1179" s="179"/>
      <c r="B1179" s="179"/>
      <c r="C1179" s="179"/>
      <c r="D1179" s="179"/>
      <c r="E1179" s="179"/>
      <c r="F1179" s="179"/>
      <c r="G1179" s="179"/>
      <c r="H1179" s="179"/>
      <c r="I1179" s="179"/>
    </row>
    <row r="1180" spans="1:9">
      <c r="A1180" s="179"/>
      <c r="B1180" s="179"/>
      <c r="C1180" s="179"/>
      <c r="D1180" s="179"/>
      <c r="E1180" s="179"/>
      <c r="F1180" s="179"/>
      <c r="G1180" s="179"/>
      <c r="H1180" s="179"/>
      <c r="I1180" s="179"/>
    </row>
    <row r="1181" spans="1:9">
      <c r="A1181" s="179"/>
      <c r="B1181" s="179"/>
      <c r="C1181" s="179"/>
      <c r="D1181" s="179"/>
      <c r="E1181" s="179"/>
      <c r="F1181" s="179"/>
      <c r="G1181" s="179"/>
      <c r="H1181" s="179"/>
      <c r="I1181" s="179"/>
    </row>
    <row r="1182" spans="1:9">
      <c r="A1182" s="179"/>
      <c r="B1182" s="179"/>
      <c r="C1182" s="179"/>
      <c r="D1182" s="179"/>
      <c r="E1182" s="179"/>
      <c r="F1182" s="179"/>
      <c r="G1182" s="179"/>
      <c r="H1182" s="179"/>
      <c r="I1182" s="179"/>
    </row>
    <row r="1183" spans="1:9">
      <c r="A1183" s="179"/>
      <c r="B1183" s="179"/>
      <c r="C1183" s="179"/>
      <c r="D1183" s="179"/>
      <c r="E1183" s="179"/>
      <c r="F1183" s="179"/>
      <c r="G1183" s="179"/>
      <c r="H1183" s="179"/>
      <c r="I1183" s="179"/>
    </row>
    <row r="1184" spans="1:9">
      <c r="A1184" s="179"/>
      <c r="B1184" s="179"/>
      <c r="C1184" s="179"/>
      <c r="D1184" s="179"/>
      <c r="E1184" s="179"/>
      <c r="F1184" s="179"/>
      <c r="G1184" s="179"/>
      <c r="H1184" s="179"/>
      <c r="I1184" s="179"/>
    </row>
    <row r="1185" spans="1:9">
      <c r="A1185" s="179"/>
      <c r="B1185" s="179"/>
      <c r="C1185" s="179"/>
      <c r="D1185" s="179"/>
      <c r="E1185" s="179"/>
      <c r="F1185" s="179"/>
      <c r="G1185" s="179"/>
      <c r="H1185" s="179"/>
      <c r="I1185" s="179"/>
    </row>
    <row r="1186" spans="1:9">
      <c r="A1186" s="179"/>
      <c r="B1186" s="179"/>
      <c r="C1186" s="179"/>
      <c r="D1186" s="179"/>
      <c r="E1186" s="179"/>
      <c r="F1186" s="179"/>
      <c r="G1186" s="179"/>
      <c r="H1186" s="179"/>
      <c r="I1186" s="179"/>
    </row>
    <row r="1187" spans="1:9">
      <c r="A1187" s="179"/>
      <c r="B1187" s="179"/>
      <c r="C1187" s="179"/>
      <c r="D1187" s="179"/>
      <c r="E1187" s="179"/>
      <c r="F1187" s="179"/>
      <c r="G1187" s="179"/>
      <c r="H1187" s="179"/>
      <c r="I1187" s="179"/>
    </row>
    <row r="1188" spans="1:9">
      <c r="A1188" s="179"/>
      <c r="B1188" s="179"/>
      <c r="C1188" s="179"/>
      <c r="D1188" s="179"/>
      <c r="E1188" s="179"/>
      <c r="F1188" s="179"/>
      <c r="G1188" s="179"/>
      <c r="H1188" s="179"/>
      <c r="I1188" s="179"/>
    </row>
    <row r="1189" spans="1:9">
      <c r="A1189" s="179"/>
      <c r="B1189" s="179"/>
      <c r="C1189" s="179"/>
      <c r="D1189" s="179"/>
      <c r="E1189" s="179"/>
      <c r="F1189" s="179"/>
      <c r="G1189" s="179"/>
      <c r="H1189" s="179"/>
      <c r="I1189" s="179"/>
    </row>
    <row r="1190" spans="1:9">
      <c r="A1190" s="179"/>
      <c r="B1190" s="179"/>
      <c r="C1190" s="179"/>
      <c r="D1190" s="179"/>
      <c r="E1190" s="179"/>
      <c r="F1190" s="179"/>
      <c r="G1190" s="179"/>
      <c r="H1190" s="179"/>
      <c r="I1190" s="179"/>
    </row>
    <row r="1191" spans="1:9">
      <c r="A1191" s="179"/>
      <c r="B1191" s="179"/>
      <c r="C1191" s="179"/>
      <c r="D1191" s="179"/>
      <c r="E1191" s="179"/>
      <c r="F1191" s="179"/>
      <c r="G1191" s="179"/>
      <c r="H1191" s="179"/>
      <c r="I1191" s="179"/>
    </row>
    <row r="1192" spans="1:9">
      <c r="A1192" s="179"/>
      <c r="B1192" s="179"/>
      <c r="C1192" s="179"/>
      <c r="D1192" s="179"/>
      <c r="E1192" s="179"/>
      <c r="F1192" s="179"/>
      <c r="G1192" s="179"/>
      <c r="H1192" s="179"/>
      <c r="I1192" s="179"/>
    </row>
    <row r="1193" spans="1:9">
      <c r="A1193" s="179"/>
      <c r="B1193" s="179"/>
      <c r="C1193" s="179"/>
      <c r="D1193" s="179"/>
      <c r="E1193" s="179"/>
      <c r="F1193" s="179"/>
      <c r="G1193" s="179"/>
      <c r="H1193" s="179"/>
      <c r="I1193" s="179"/>
    </row>
    <row r="1194" spans="1:9">
      <c r="A1194" s="179"/>
      <c r="B1194" s="179"/>
      <c r="C1194" s="179"/>
      <c r="D1194" s="179"/>
      <c r="E1194" s="179"/>
      <c r="F1194" s="179"/>
      <c r="G1194" s="179"/>
      <c r="H1194" s="179"/>
      <c r="I1194" s="179"/>
    </row>
    <row r="1195" spans="1:9">
      <c r="A1195" s="179"/>
      <c r="B1195" s="179"/>
      <c r="C1195" s="179"/>
      <c r="D1195" s="179"/>
      <c r="E1195" s="179"/>
      <c r="F1195" s="179"/>
      <c r="G1195" s="179"/>
      <c r="H1195" s="179"/>
      <c r="I1195" s="179"/>
    </row>
    <row r="1196" spans="1:9">
      <c r="A1196" s="179"/>
      <c r="B1196" s="179"/>
      <c r="C1196" s="179"/>
      <c r="D1196" s="179"/>
      <c r="E1196" s="179"/>
      <c r="F1196" s="179"/>
      <c r="G1196" s="179"/>
      <c r="H1196" s="179"/>
      <c r="I1196" s="179"/>
    </row>
    <row r="1197" spans="1:9">
      <c r="A1197" s="179"/>
      <c r="B1197" s="179"/>
      <c r="C1197" s="179"/>
      <c r="D1197" s="179"/>
      <c r="E1197" s="179"/>
      <c r="F1197" s="179"/>
      <c r="G1197" s="179"/>
      <c r="H1197" s="179"/>
      <c r="I1197" s="179"/>
    </row>
    <row r="1198" spans="1:9">
      <c r="A1198" s="179"/>
      <c r="B1198" s="179"/>
      <c r="C1198" s="179"/>
      <c r="D1198" s="179"/>
      <c r="E1198" s="179"/>
      <c r="F1198" s="179"/>
      <c r="G1198" s="179"/>
      <c r="H1198" s="179"/>
      <c r="I1198" s="179"/>
    </row>
    <row r="1199" spans="1:9">
      <c r="A1199" s="179"/>
      <c r="B1199" s="179"/>
      <c r="C1199" s="179"/>
      <c r="D1199" s="179"/>
      <c r="E1199" s="179"/>
      <c r="F1199" s="179"/>
      <c r="G1199" s="179"/>
      <c r="H1199" s="179"/>
      <c r="I1199" s="179"/>
    </row>
    <row r="1200" spans="1:9">
      <c r="A1200" s="179"/>
      <c r="B1200" s="179"/>
      <c r="C1200" s="179"/>
      <c r="D1200" s="179"/>
      <c r="E1200" s="179"/>
      <c r="F1200" s="179"/>
      <c r="G1200" s="179"/>
      <c r="H1200" s="179"/>
      <c r="I1200" s="179"/>
    </row>
    <row r="1201" spans="1:9">
      <c r="A1201" s="179"/>
      <c r="B1201" s="179"/>
      <c r="C1201" s="179"/>
      <c r="D1201" s="179"/>
      <c r="E1201" s="179"/>
      <c r="F1201" s="179"/>
      <c r="G1201" s="179"/>
      <c r="H1201" s="179"/>
      <c r="I1201" s="179"/>
    </row>
    <row r="1202" spans="1:9">
      <c r="A1202" s="179"/>
      <c r="B1202" s="179"/>
      <c r="C1202" s="179"/>
      <c r="D1202" s="179"/>
      <c r="E1202" s="179"/>
      <c r="F1202" s="179"/>
      <c r="G1202" s="179"/>
      <c r="H1202" s="179"/>
      <c r="I1202" s="179"/>
    </row>
    <row r="1203" spans="1:9">
      <c r="A1203" s="179"/>
      <c r="B1203" s="179"/>
      <c r="C1203" s="179"/>
      <c r="D1203" s="179"/>
      <c r="E1203" s="179"/>
      <c r="F1203" s="179"/>
      <c r="G1203" s="179"/>
      <c r="H1203" s="179"/>
      <c r="I1203" s="179"/>
    </row>
    <row r="1204" spans="1:9">
      <c r="A1204" s="179"/>
      <c r="B1204" s="179"/>
      <c r="C1204" s="179"/>
      <c r="D1204" s="179"/>
      <c r="E1204" s="179"/>
      <c r="F1204" s="179"/>
      <c r="G1204" s="179"/>
      <c r="H1204" s="179"/>
      <c r="I1204" s="179"/>
    </row>
    <row r="1205" spans="1:9">
      <c r="A1205" s="179"/>
      <c r="B1205" s="179"/>
      <c r="C1205" s="179"/>
      <c r="D1205" s="179"/>
      <c r="E1205" s="179"/>
      <c r="F1205" s="179"/>
      <c r="G1205" s="179"/>
      <c r="H1205" s="179"/>
      <c r="I1205" s="179"/>
    </row>
    <row r="1206" spans="1:9">
      <c r="A1206" s="179"/>
      <c r="B1206" s="179"/>
      <c r="C1206" s="179"/>
      <c r="D1206" s="179"/>
      <c r="E1206" s="179"/>
      <c r="F1206" s="179"/>
      <c r="G1206" s="179"/>
      <c r="H1206" s="179"/>
      <c r="I1206" s="179"/>
    </row>
    <row r="1207" spans="1:9">
      <c r="A1207" s="179"/>
      <c r="B1207" s="179"/>
      <c r="C1207" s="179"/>
      <c r="D1207" s="179"/>
      <c r="E1207" s="179"/>
      <c r="F1207" s="179"/>
      <c r="G1207" s="179"/>
      <c r="H1207" s="179"/>
      <c r="I1207" s="179"/>
    </row>
    <row r="1208" spans="1:9">
      <c r="A1208" s="179"/>
      <c r="B1208" s="179"/>
      <c r="C1208" s="179"/>
      <c r="D1208" s="179"/>
      <c r="E1208" s="179"/>
      <c r="F1208" s="179"/>
      <c r="G1208" s="179"/>
      <c r="H1208" s="179"/>
      <c r="I1208" s="179"/>
    </row>
    <row r="1209" spans="1:9">
      <c r="A1209" s="179"/>
      <c r="B1209" s="179"/>
      <c r="C1209" s="179"/>
      <c r="D1209" s="179"/>
      <c r="E1209" s="179"/>
      <c r="F1209" s="179"/>
      <c r="G1209" s="179"/>
      <c r="H1209" s="179"/>
      <c r="I1209" s="179"/>
    </row>
    <row r="1210" spans="1:9">
      <c r="A1210" s="179"/>
      <c r="B1210" s="179"/>
      <c r="C1210" s="179"/>
      <c r="D1210" s="179"/>
      <c r="E1210" s="179"/>
      <c r="F1210" s="179"/>
      <c r="G1210" s="179"/>
      <c r="H1210" s="179"/>
      <c r="I1210" s="179"/>
    </row>
    <row r="1211" spans="1:9">
      <c r="A1211" s="179"/>
      <c r="B1211" s="179"/>
      <c r="C1211" s="179"/>
      <c r="D1211" s="179"/>
      <c r="E1211" s="179"/>
      <c r="F1211" s="179"/>
      <c r="G1211" s="179"/>
      <c r="H1211" s="179"/>
      <c r="I1211" s="179"/>
    </row>
    <row r="1212" spans="1:9">
      <c r="A1212" s="179"/>
      <c r="B1212" s="179"/>
      <c r="C1212" s="179"/>
      <c r="D1212" s="179"/>
      <c r="E1212" s="179"/>
      <c r="F1212" s="179"/>
      <c r="G1212" s="179"/>
      <c r="H1212" s="179"/>
      <c r="I1212" s="179"/>
    </row>
    <row r="1213" spans="1:9">
      <c r="A1213" s="179"/>
      <c r="B1213" s="179"/>
      <c r="C1213" s="179"/>
      <c r="D1213" s="179"/>
      <c r="E1213" s="179"/>
      <c r="F1213" s="179"/>
      <c r="G1213" s="179"/>
      <c r="H1213" s="179"/>
      <c r="I1213" s="179"/>
    </row>
    <row r="1214" spans="1:9">
      <c r="A1214" s="179"/>
      <c r="B1214" s="179"/>
      <c r="C1214" s="179"/>
      <c r="D1214" s="179"/>
      <c r="E1214" s="179"/>
      <c r="F1214" s="179"/>
      <c r="G1214" s="179"/>
      <c r="H1214" s="179"/>
      <c r="I1214" s="179"/>
    </row>
    <row r="1215" spans="1:9">
      <c r="A1215" s="179"/>
      <c r="B1215" s="179"/>
      <c r="C1215" s="179"/>
      <c r="D1215" s="179"/>
      <c r="E1215" s="179"/>
      <c r="F1215" s="179"/>
      <c r="G1215" s="179"/>
      <c r="H1215" s="179"/>
      <c r="I1215" s="179"/>
    </row>
    <row r="1216" spans="1:9">
      <c r="A1216" s="179"/>
      <c r="B1216" s="179"/>
      <c r="C1216" s="179"/>
      <c r="D1216" s="179"/>
      <c r="E1216" s="179"/>
      <c r="F1216" s="179"/>
      <c r="G1216" s="179"/>
      <c r="H1216" s="179"/>
      <c r="I1216" s="179"/>
    </row>
    <row r="1217" spans="1:9">
      <c r="A1217" s="179"/>
      <c r="B1217" s="179"/>
      <c r="C1217" s="179"/>
      <c r="D1217" s="179"/>
      <c r="E1217" s="179"/>
      <c r="F1217" s="179"/>
      <c r="G1217" s="179"/>
      <c r="H1217" s="179"/>
      <c r="I1217" s="179"/>
    </row>
    <row r="1218" spans="1:9">
      <c r="A1218" s="179"/>
      <c r="B1218" s="179"/>
      <c r="C1218" s="179"/>
      <c r="D1218" s="179"/>
      <c r="E1218" s="179"/>
      <c r="F1218" s="179"/>
      <c r="G1218" s="179"/>
      <c r="H1218" s="179"/>
      <c r="I1218" s="179"/>
    </row>
    <row r="1219" spans="1:9">
      <c r="A1219" s="179"/>
      <c r="B1219" s="179"/>
      <c r="C1219" s="179"/>
      <c r="D1219" s="179"/>
      <c r="E1219" s="179"/>
      <c r="F1219" s="179"/>
      <c r="G1219" s="179"/>
      <c r="H1219" s="179"/>
      <c r="I1219" s="179"/>
    </row>
    <row r="1220" spans="1:9">
      <c r="A1220" s="179"/>
      <c r="B1220" s="179"/>
      <c r="C1220" s="179"/>
      <c r="D1220" s="179"/>
      <c r="E1220" s="179"/>
      <c r="F1220" s="179"/>
      <c r="G1220" s="179"/>
      <c r="H1220" s="179"/>
      <c r="I1220" s="179"/>
    </row>
    <row r="1221" spans="1:9">
      <c r="A1221" s="179"/>
      <c r="B1221" s="179"/>
      <c r="C1221" s="179"/>
      <c r="D1221" s="179"/>
      <c r="E1221" s="179"/>
      <c r="F1221" s="179"/>
      <c r="G1221" s="179"/>
      <c r="H1221" s="179"/>
      <c r="I1221" s="179"/>
    </row>
    <row r="1222" spans="1:9">
      <c r="A1222" s="179"/>
      <c r="B1222" s="179"/>
      <c r="C1222" s="179"/>
      <c r="D1222" s="179"/>
      <c r="E1222" s="179"/>
      <c r="F1222" s="179"/>
      <c r="G1222" s="179"/>
      <c r="H1222" s="179"/>
      <c r="I1222" s="179"/>
    </row>
    <row r="1223" spans="1:9">
      <c r="A1223" s="179"/>
      <c r="B1223" s="179"/>
      <c r="C1223" s="179"/>
      <c r="D1223" s="179"/>
      <c r="E1223" s="179"/>
      <c r="F1223" s="179"/>
      <c r="G1223" s="179"/>
      <c r="H1223" s="179"/>
      <c r="I1223" s="179"/>
    </row>
    <row r="1224" spans="1:9">
      <c r="A1224" s="179"/>
      <c r="B1224" s="179"/>
      <c r="C1224" s="179"/>
      <c r="D1224" s="179"/>
      <c r="E1224" s="179"/>
      <c r="F1224" s="179"/>
      <c r="G1224" s="179"/>
      <c r="H1224" s="179"/>
      <c r="I1224" s="179"/>
    </row>
    <row r="1225" spans="1:9">
      <c r="A1225" s="179"/>
      <c r="B1225" s="179"/>
      <c r="C1225" s="179"/>
      <c r="D1225" s="179"/>
      <c r="E1225" s="179"/>
      <c r="F1225" s="179"/>
      <c r="G1225" s="179"/>
      <c r="H1225" s="179"/>
      <c r="I1225" s="179"/>
    </row>
    <row r="1226" spans="1:9">
      <c r="A1226" s="179"/>
      <c r="B1226" s="179"/>
      <c r="C1226" s="179"/>
      <c r="D1226" s="179"/>
      <c r="E1226" s="179"/>
      <c r="F1226" s="179"/>
      <c r="G1226" s="179"/>
      <c r="H1226" s="179"/>
      <c r="I1226" s="179"/>
    </row>
    <row r="1227" spans="1:9">
      <c r="A1227" s="179"/>
      <c r="B1227" s="179"/>
      <c r="C1227" s="179"/>
      <c r="D1227" s="179"/>
      <c r="E1227" s="179"/>
      <c r="F1227" s="179"/>
      <c r="G1227" s="179"/>
      <c r="H1227" s="179"/>
      <c r="I1227" s="179"/>
    </row>
    <row r="1228" spans="1:9">
      <c r="A1228" s="179"/>
      <c r="B1228" s="179"/>
      <c r="C1228" s="179"/>
      <c r="D1228" s="179"/>
      <c r="E1228" s="179"/>
      <c r="F1228" s="179"/>
      <c r="G1228" s="179"/>
      <c r="H1228" s="179"/>
      <c r="I1228" s="179"/>
    </row>
    <row r="1229" spans="1:9">
      <c r="A1229" s="179"/>
      <c r="B1229" s="179"/>
      <c r="C1229" s="179"/>
      <c r="D1229" s="179"/>
      <c r="E1229" s="179"/>
      <c r="F1229" s="179"/>
      <c r="G1229" s="179"/>
      <c r="H1229" s="179"/>
      <c r="I1229" s="179"/>
    </row>
    <row r="1230" spans="1:9">
      <c r="A1230" s="179"/>
      <c r="B1230" s="179"/>
      <c r="C1230" s="179"/>
      <c r="D1230" s="179"/>
      <c r="E1230" s="179"/>
      <c r="F1230" s="179"/>
      <c r="G1230" s="179"/>
      <c r="H1230" s="179"/>
      <c r="I1230" s="179"/>
    </row>
    <row r="1231" spans="1:9">
      <c r="A1231" s="179"/>
      <c r="B1231" s="179"/>
      <c r="C1231" s="179"/>
      <c r="D1231" s="179"/>
      <c r="E1231" s="179"/>
      <c r="F1231" s="179"/>
      <c r="G1231" s="179"/>
      <c r="H1231" s="179"/>
      <c r="I1231" s="179"/>
    </row>
    <row r="1232" spans="1:9">
      <c r="A1232" s="179"/>
      <c r="B1232" s="179"/>
      <c r="C1232" s="179"/>
      <c r="D1232" s="179"/>
      <c r="E1232" s="179"/>
      <c r="F1232" s="179"/>
      <c r="G1232" s="179"/>
      <c r="H1232" s="179"/>
      <c r="I1232" s="179"/>
    </row>
    <row r="1233" spans="1:9">
      <c r="A1233" s="179"/>
      <c r="B1233" s="179"/>
      <c r="C1233" s="179"/>
      <c r="D1233" s="179"/>
      <c r="E1233" s="179"/>
      <c r="F1233" s="179"/>
      <c r="G1233" s="179"/>
      <c r="H1233" s="179"/>
      <c r="I1233" s="179"/>
    </row>
    <row r="1234" spans="1:9">
      <c r="A1234" s="179"/>
      <c r="B1234" s="179"/>
      <c r="C1234" s="179"/>
      <c r="D1234" s="179"/>
      <c r="E1234" s="179"/>
      <c r="F1234" s="179"/>
      <c r="G1234" s="179"/>
      <c r="H1234" s="179"/>
      <c r="I1234" s="179"/>
    </row>
    <row r="1235" spans="1:9">
      <c r="A1235" s="179"/>
      <c r="B1235" s="179"/>
      <c r="C1235" s="179"/>
      <c r="D1235" s="179"/>
      <c r="E1235" s="179"/>
      <c r="F1235" s="179"/>
      <c r="G1235" s="179"/>
      <c r="H1235" s="179"/>
      <c r="I1235" s="179"/>
    </row>
    <row r="1236" spans="1:9">
      <c r="A1236" s="179"/>
      <c r="B1236" s="179"/>
      <c r="C1236" s="179"/>
      <c r="D1236" s="179"/>
      <c r="E1236" s="179"/>
      <c r="F1236" s="179"/>
      <c r="G1236" s="179"/>
      <c r="H1236" s="179"/>
      <c r="I1236" s="179"/>
    </row>
    <row r="1237" spans="1:9">
      <c r="A1237" s="179"/>
      <c r="B1237" s="179"/>
      <c r="C1237" s="179"/>
      <c r="D1237" s="179"/>
      <c r="E1237" s="179"/>
      <c r="F1237" s="179"/>
      <c r="G1237" s="179"/>
      <c r="H1237" s="179"/>
      <c r="I1237" s="179"/>
    </row>
    <row r="1238" spans="1:9">
      <c r="A1238" s="179"/>
      <c r="B1238" s="179"/>
      <c r="C1238" s="179"/>
      <c r="D1238" s="179"/>
      <c r="E1238" s="179"/>
      <c r="F1238" s="179"/>
      <c r="G1238" s="179"/>
      <c r="H1238" s="179"/>
      <c r="I1238" s="179"/>
    </row>
    <row r="1239" spans="1:9">
      <c r="A1239" s="179"/>
      <c r="B1239" s="179"/>
      <c r="C1239" s="179"/>
      <c r="D1239" s="179"/>
      <c r="E1239" s="179"/>
      <c r="F1239" s="179"/>
      <c r="G1239" s="179"/>
      <c r="H1239" s="179"/>
      <c r="I1239" s="179"/>
    </row>
    <row r="1240" spans="1:9">
      <c r="A1240" s="179"/>
      <c r="B1240" s="179"/>
      <c r="C1240" s="179"/>
      <c r="D1240" s="179"/>
      <c r="E1240" s="179"/>
      <c r="F1240" s="179"/>
      <c r="G1240" s="179"/>
      <c r="H1240" s="179"/>
      <c r="I1240" s="179"/>
    </row>
    <row r="1241" spans="1:9">
      <c r="A1241" s="179"/>
      <c r="B1241" s="179"/>
      <c r="C1241" s="179"/>
      <c r="D1241" s="179"/>
      <c r="E1241" s="179"/>
      <c r="F1241" s="179"/>
      <c r="G1241" s="179"/>
      <c r="H1241" s="179"/>
      <c r="I1241" s="179"/>
    </row>
    <row r="1242" spans="1:9">
      <c r="A1242" s="179"/>
      <c r="B1242" s="179"/>
      <c r="C1242" s="179"/>
      <c r="D1242" s="179"/>
      <c r="E1242" s="179"/>
      <c r="F1242" s="179"/>
      <c r="G1242" s="179"/>
      <c r="H1242" s="179"/>
      <c r="I1242" s="179"/>
    </row>
    <row r="1243" spans="1:9">
      <c r="A1243" s="179"/>
      <c r="B1243" s="179"/>
      <c r="C1243" s="179"/>
      <c r="D1243" s="179"/>
      <c r="E1243" s="179"/>
      <c r="F1243" s="179"/>
      <c r="G1243" s="179"/>
      <c r="H1243" s="179"/>
      <c r="I1243" s="179"/>
    </row>
    <row r="1244" spans="1:9">
      <c r="A1244" s="179"/>
      <c r="B1244" s="179"/>
      <c r="C1244" s="179"/>
      <c r="D1244" s="179"/>
      <c r="E1244" s="179"/>
      <c r="F1244" s="179"/>
      <c r="G1244" s="179"/>
      <c r="H1244" s="179"/>
      <c r="I1244" s="179"/>
    </row>
    <row r="1245" spans="1:9">
      <c r="A1245" s="179"/>
      <c r="B1245" s="179"/>
      <c r="C1245" s="179"/>
      <c r="D1245" s="179"/>
      <c r="E1245" s="179"/>
      <c r="F1245" s="179"/>
      <c r="G1245" s="179"/>
      <c r="H1245" s="179"/>
      <c r="I1245" s="179"/>
    </row>
    <row r="1246" spans="1:9">
      <c r="A1246" s="179"/>
      <c r="B1246" s="179"/>
      <c r="C1246" s="179"/>
      <c r="D1246" s="179"/>
      <c r="E1246" s="179"/>
      <c r="F1246" s="179"/>
      <c r="G1246" s="179"/>
      <c r="H1246" s="179"/>
      <c r="I1246" s="179"/>
    </row>
    <row r="1247" spans="1:9">
      <c r="A1247" s="179"/>
      <c r="B1247" s="179"/>
      <c r="C1247" s="179"/>
      <c r="D1247" s="179"/>
      <c r="E1247" s="179"/>
      <c r="F1247" s="179"/>
      <c r="G1247" s="179"/>
      <c r="H1247" s="179"/>
      <c r="I1247" s="179"/>
    </row>
    <row r="1248" spans="1:9">
      <c r="A1248" s="179"/>
      <c r="B1248" s="179"/>
      <c r="C1248" s="179"/>
      <c r="D1248" s="179"/>
      <c r="E1248" s="179"/>
      <c r="F1248" s="179"/>
      <c r="G1248" s="179"/>
      <c r="H1248" s="179"/>
      <c r="I1248" s="179"/>
    </row>
    <row r="1249" spans="1:9">
      <c r="A1249" s="179"/>
      <c r="B1249" s="179"/>
      <c r="C1249" s="179"/>
      <c r="D1249" s="179"/>
      <c r="E1249" s="179"/>
      <c r="F1249" s="179"/>
      <c r="G1249" s="179"/>
      <c r="H1249" s="179"/>
      <c r="I1249" s="179"/>
    </row>
    <row r="1250" spans="1:9">
      <c r="A1250" s="179"/>
      <c r="B1250" s="179"/>
      <c r="C1250" s="179"/>
      <c r="D1250" s="179"/>
      <c r="E1250" s="179"/>
      <c r="F1250" s="179"/>
      <c r="G1250" s="179"/>
      <c r="H1250" s="179"/>
      <c r="I1250" s="179"/>
    </row>
    <row r="1251" spans="1:9">
      <c r="A1251" s="179"/>
      <c r="B1251" s="179"/>
      <c r="C1251" s="179"/>
      <c r="D1251" s="179"/>
      <c r="E1251" s="179"/>
      <c r="F1251" s="179"/>
      <c r="G1251" s="179"/>
      <c r="H1251" s="179"/>
      <c r="I1251" s="179"/>
    </row>
    <row r="1252" spans="1:9">
      <c r="A1252" s="179"/>
      <c r="B1252" s="179"/>
      <c r="C1252" s="179"/>
      <c r="D1252" s="179"/>
      <c r="E1252" s="179"/>
      <c r="F1252" s="179"/>
      <c r="G1252" s="179"/>
      <c r="H1252" s="179"/>
      <c r="I1252" s="179"/>
    </row>
    <row r="1253" spans="1:9">
      <c r="A1253" s="179"/>
      <c r="B1253" s="179"/>
      <c r="C1253" s="179"/>
      <c r="D1253" s="179"/>
      <c r="E1253" s="179"/>
      <c r="F1253" s="179"/>
      <c r="G1253" s="179"/>
      <c r="H1253" s="179"/>
      <c r="I1253" s="179"/>
    </row>
    <row r="1254" spans="1:9">
      <c r="A1254" s="179"/>
      <c r="B1254" s="179"/>
      <c r="C1254" s="179"/>
      <c r="D1254" s="179"/>
      <c r="E1254" s="179"/>
      <c r="F1254" s="179"/>
      <c r="G1254" s="179"/>
      <c r="H1254" s="179"/>
      <c r="I1254" s="179"/>
    </row>
    <row r="1255" spans="1:9">
      <c r="A1255" s="179"/>
      <c r="B1255" s="179"/>
      <c r="C1255" s="179"/>
      <c r="D1255" s="179"/>
      <c r="E1255" s="179"/>
      <c r="F1255" s="179"/>
      <c r="G1255" s="179"/>
      <c r="H1255" s="179"/>
      <c r="I1255" s="179"/>
    </row>
    <row r="1256" spans="1:9">
      <c r="A1256" s="179"/>
      <c r="B1256" s="179"/>
      <c r="C1256" s="179"/>
      <c r="D1256" s="179"/>
      <c r="E1256" s="179"/>
      <c r="F1256" s="179"/>
      <c r="G1256" s="179"/>
      <c r="H1256" s="179"/>
      <c r="I1256" s="179"/>
    </row>
    <row r="1257" spans="1:9">
      <c r="A1257" s="179"/>
      <c r="B1257" s="179"/>
      <c r="C1257" s="179"/>
      <c r="D1257" s="179"/>
      <c r="E1257" s="179"/>
      <c r="F1257" s="179"/>
      <c r="G1257" s="179"/>
      <c r="H1257" s="179"/>
      <c r="I1257" s="179"/>
    </row>
    <row r="1258" spans="1:9">
      <c r="A1258" s="179"/>
      <c r="B1258" s="179"/>
      <c r="C1258" s="179"/>
      <c r="D1258" s="179"/>
      <c r="E1258" s="179"/>
      <c r="F1258" s="179"/>
      <c r="G1258" s="179"/>
      <c r="H1258" s="179"/>
      <c r="I1258" s="179"/>
    </row>
    <row r="1259" spans="1:9">
      <c r="A1259" s="179"/>
      <c r="B1259" s="179"/>
      <c r="C1259" s="179"/>
      <c r="D1259" s="179"/>
      <c r="E1259" s="179"/>
      <c r="F1259" s="179"/>
      <c r="G1259" s="179"/>
      <c r="H1259" s="179"/>
      <c r="I1259" s="179"/>
    </row>
    <row r="1260" spans="1:9">
      <c r="A1260" s="179"/>
      <c r="B1260" s="179"/>
      <c r="C1260" s="179"/>
      <c r="D1260" s="179"/>
      <c r="E1260" s="179"/>
      <c r="F1260" s="179"/>
      <c r="G1260" s="179"/>
      <c r="H1260" s="179"/>
      <c r="I1260" s="179"/>
    </row>
    <row r="1261" spans="1:9">
      <c r="A1261" s="179"/>
      <c r="B1261" s="179"/>
      <c r="C1261" s="179"/>
      <c r="D1261" s="179"/>
      <c r="E1261" s="179"/>
      <c r="F1261" s="179"/>
      <c r="G1261" s="179"/>
      <c r="H1261" s="179"/>
      <c r="I1261" s="179"/>
    </row>
    <row r="1262" spans="1:9">
      <c r="A1262" s="179"/>
      <c r="B1262" s="179"/>
      <c r="C1262" s="179"/>
      <c r="D1262" s="179"/>
      <c r="E1262" s="179"/>
      <c r="F1262" s="179"/>
      <c r="G1262" s="179"/>
      <c r="H1262" s="179"/>
      <c r="I1262" s="179"/>
    </row>
    <row r="1263" spans="1:9">
      <c r="A1263" s="179"/>
      <c r="B1263" s="179"/>
      <c r="C1263" s="179"/>
      <c r="D1263" s="179"/>
      <c r="E1263" s="179"/>
      <c r="F1263" s="179"/>
      <c r="G1263" s="179"/>
      <c r="H1263" s="179"/>
      <c r="I1263" s="179"/>
    </row>
    <row r="1264" spans="1:9">
      <c r="A1264" s="179"/>
      <c r="B1264" s="179"/>
      <c r="C1264" s="179"/>
      <c r="D1264" s="179"/>
      <c r="E1264" s="179"/>
      <c r="F1264" s="179"/>
      <c r="G1264" s="179"/>
      <c r="H1264" s="179"/>
      <c r="I1264" s="179"/>
    </row>
    <row r="1265" spans="1:9">
      <c r="A1265" s="179"/>
      <c r="B1265" s="179"/>
      <c r="C1265" s="179"/>
      <c r="D1265" s="179"/>
      <c r="E1265" s="179"/>
      <c r="F1265" s="179"/>
      <c r="G1265" s="179"/>
      <c r="H1265" s="179"/>
      <c r="I1265" s="179"/>
    </row>
    <row r="1266" spans="1:9">
      <c r="A1266" s="179"/>
      <c r="B1266" s="179"/>
      <c r="C1266" s="179"/>
      <c r="D1266" s="179"/>
      <c r="E1266" s="179"/>
      <c r="F1266" s="179"/>
      <c r="G1266" s="179"/>
      <c r="H1266" s="179"/>
      <c r="I1266" s="179"/>
    </row>
    <row r="1267" spans="1:9">
      <c r="A1267" s="179"/>
      <c r="B1267" s="179"/>
      <c r="C1267" s="179"/>
      <c r="D1267" s="179"/>
      <c r="E1267" s="179"/>
      <c r="F1267" s="179"/>
      <c r="G1267" s="179"/>
      <c r="H1267" s="179"/>
      <c r="I1267" s="179"/>
    </row>
    <row r="1268" spans="1:9">
      <c r="A1268" s="179"/>
      <c r="B1268" s="179"/>
      <c r="C1268" s="179"/>
      <c r="D1268" s="179"/>
      <c r="E1268" s="179"/>
      <c r="F1268" s="179"/>
      <c r="G1268" s="179"/>
      <c r="H1268" s="179"/>
      <c r="I1268" s="179"/>
    </row>
    <row r="1269" spans="1:9">
      <c r="A1269" s="179"/>
      <c r="B1269" s="179"/>
      <c r="C1269" s="179"/>
      <c r="D1269" s="179"/>
      <c r="E1269" s="179"/>
      <c r="F1269" s="179"/>
      <c r="G1269" s="179"/>
      <c r="H1269" s="179"/>
      <c r="I1269" s="179"/>
    </row>
    <row r="1270" spans="1:9">
      <c r="A1270" s="179"/>
      <c r="B1270" s="179"/>
      <c r="C1270" s="179"/>
      <c r="D1270" s="179"/>
      <c r="E1270" s="179"/>
      <c r="F1270" s="179"/>
      <c r="G1270" s="179"/>
      <c r="H1270" s="179"/>
      <c r="I1270" s="179"/>
    </row>
    <row r="1271" spans="1:9">
      <c r="A1271" s="179"/>
      <c r="B1271" s="179"/>
      <c r="C1271" s="179"/>
      <c r="D1271" s="179"/>
      <c r="E1271" s="179"/>
      <c r="F1271" s="179"/>
      <c r="G1271" s="179"/>
      <c r="H1271" s="179"/>
      <c r="I1271" s="179"/>
    </row>
    <row r="1272" spans="1:9">
      <c r="A1272" s="179"/>
      <c r="B1272" s="179"/>
      <c r="C1272" s="179"/>
      <c r="D1272" s="179"/>
      <c r="E1272" s="179"/>
      <c r="F1272" s="179"/>
      <c r="G1272" s="179"/>
      <c r="H1272" s="179"/>
      <c r="I1272" s="179"/>
    </row>
    <row r="1273" spans="1:9">
      <c r="A1273" s="179"/>
      <c r="B1273" s="179"/>
      <c r="C1273" s="179"/>
      <c r="D1273" s="179"/>
      <c r="E1273" s="179"/>
      <c r="F1273" s="179"/>
      <c r="G1273" s="179"/>
      <c r="H1273" s="179"/>
      <c r="I1273" s="179"/>
    </row>
    <row r="1274" spans="1:9">
      <c r="A1274" s="179"/>
      <c r="B1274" s="179"/>
      <c r="C1274" s="179"/>
      <c r="D1274" s="179"/>
      <c r="E1274" s="179"/>
      <c r="F1274" s="179"/>
      <c r="G1274" s="179"/>
      <c r="H1274" s="179"/>
      <c r="I1274" s="179"/>
    </row>
    <row r="1275" spans="1:9">
      <c r="A1275" s="179"/>
      <c r="B1275" s="179"/>
      <c r="C1275" s="179"/>
      <c r="D1275" s="179"/>
      <c r="E1275" s="179"/>
      <c r="F1275" s="179"/>
      <c r="G1275" s="179"/>
      <c r="H1275" s="179"/>
      <c r="I1275" s="179"/>
    </row>
    <row r="1276" spans="1:9">
      <c r="A1276" s="179"/>
      <c r="B1276" s="179"/>
      <c r="C1276" s="179"/>
      <c r="D1276" s="179"/>
      <c r="E1276" s="179"/>
      <c r="F1276" s="179"/>
      <c r="G1276" s="179"/>
      <c r="H1276" s="179"/>
      <c r="I1276" s="179"/>
    </row>
    <row r="1277" spans="1:9">
      <c r="A1277" s="179"/>
      <c r="B1277" s="179"/>
      <c r="C1277" s="179"/>
      <c r="D1277" s="179"/>
      <c r="E1277" s="179"/>
      <c r="F1277" s="179"/>
      <c r="G1277" s="179"/>
      <c r="H1277" s="179"/>
      <c r="I1277" s="179"/>
    </row>
    <row r="1278" spans="1:9">
      <c r="A1278" s="179"/>
      <c r="B1278" s="179"/>
      <c r="C1278" s="179"/>
      <c r="D1278" s="179"/>
      <c r="E1278" s="179"/>
      <c r="F1278" s="179"/>
      <c r="G1278" s="179"/>
      <c r="H1278" s="179"/>
      <c r="I1278" s="179"/>
    </row>
    <row r="1279" spans="1:9">
      <c r="A1279" s="179"/>
      <c r="B1279" s="179"/>
      <c r="C1279" s="179"/>
      <c r="D1279" s="179"/>
      <c r="E1279" s="179"/>
      <c r="F1279" s="179"/>
      <c r="G1279" s="179"/>
      <c r="H1279" s="179"/>
      <c r="I1279" s="179"/>
    </row>
    <row r="1280" spans="1:9">
      <c r="A1280" s="179"/>
      <c r="B1280" s="179"/>
      <c r="C1280" s="179"/>
      <c r="D1280" s="179"/>
      <c r="E1280" s="179"/>
      <c r="F1280" s="179"/>
      <c r="G1280" s="179"/>
      <c r="H1280" s="179"/>
      <c r="I1280" s="179"/>
    </row>
    <row r="1281" spans="1:9">
      <c r="A1281" s="179"/>
      <c r="B1281" s="179"/>
      <c r="C1281" s="179"/>
      <c r="D1281" s="179"/>
      <c r="E1281" s="179"/>
      <c r="F1281" s="179"/>
      <c r="G1281" s="179"/>
      <c r="H1281" s="179"/>
      <c r="I1281" s="179"/>
    </row>
    <row r="1282" spans="1:9">
      <c r="A1282" s="179"/>
      <c r="B1282" s="179"/>
      <c r="C1282" s="179"/>
      <c r="D1282" s="179"/>
      <c r="E1282" s="179"/>
      <c r="F1282" s="179"/>
      <c r="G1282" s="179"/>
      <c r="H1282" s="179"/>
      <c r="I1282" s="179"/>
    </row>
    <row r="1283" spans="1:9">
      <c r="A1283" s="179"/>
      <c r="B1283" s="179"/>
      <c r="C1283" s="179"/>
      <c r="D1283" s="179"/>
      <c r="E1283" s="179"/>
      <c r="F1283" s="179"/>
      <c r="G1283" s="179"/>
      <c r="H1283" s="179"/>
      <c r="I1283" s="179"/>
    </row>
    <row r="1284" spans="1:9">
      <c r="A1284" s="179"/>
      <c r="B1284" s="179"/>
      <c r="C1284" s="179"/>
      <c r="D1284" s="179"/>
      <c r="E1284" s="179"/>
      <c r="F1284" s="179"/>
      <c r="G1284" s="179"/>
      <c r="H1284" s="179"/>
      <c r="I1284" s="179"/>
    </row>
    <row r="1285" spans="1:9">
      <c r="A1285" s="179"/>
      <c r="B1285" s="179"/>
      <c r="C1285" s="179"/>
      <c r="D1285" s="179"/>
      <c r="E1285" s="179"/>
      <c r="F1285" s="179"/>
      <c r="G1285" s="179"/>
      <c r="H1285" s="179"/>
      <c r="I1285" s="179"/>
    </row>
    <row r="1286" spans="1:9">
      <c r="A1286" s="179"/>
      <c r="B1286" s="179"/>
      <c r="C1286" s="179"/>
      <c r="D1286" s="179"/>
      <c r="E1286" s="179"/>
      <c r="F1286" s="179"/>
      <c r="G1286" s="179"/>
      <c r="H1286" s="179"/>
      <c r="I1286" s="179"/>
    </row>
    <row r="1287" spans="1:9">
      <c r="A1287" s="179"/>
      <c r="B1287" s="179"/>
      <c r="C1287" s="179"/>
      <c r="D1287" s="179"/>
      <c r="E1287" s="179"/>
      <c r="F1287" s="179"/>
      <c r="G1287" s="179"/>
      <c r="H1287" s="179"/>
      <c r="I1287" s="179"/>
    </row>
    <row r="1288" spans="1:9">
      <c r="A1288" s="179"/>
      <c r="B1288" s="179"/>
      <c r="C1288" s="179"/>
      <c r="D1288" s="179"/>
      <c r="E1288" s="179"/>
      <c r="F1288" s="179"/>
      <c r="G1288" s="179"/>
      <c r="H1288" s="179"/>
      <c r="I1288" s="179"/>
    </row>
    <row r="1289" spans="1:9">
      <c r="A1289" s="179"/>
      <c r="B1289" s="179"/>
      <c r="C1289" s="179"/>
      <c r="D1289" s="179"/>
      <c r="E1289" s="179"/>
      <c r="F1289" s="179"/>
      <c r="G1289" s="179"/>
      <c r="H1289" s="179"/>
      <c r="I1289" s="179"/>
    </row>
    <row r="1290" spans="1:9">
      <c r="A1290" s="179"/>
      <c r="B1290" s="179"/>
      <c r="C1290" s="179"/>
      <c r="D1290" s="179"/>
      <c r="E1290" s="179"/>
      <c r="F1290" s="179"/>
      <c r="G1290" s="179"/>
      <c r="H1290" s="179"/>
      <c r="I1290" s="179"/>
    </row>
    <row r="1291" spans="1:9">
      <c r="A1291" s="179"/>
      <c r="B1291" s="179"/>
      <c r="C1291" s="179"/>
      <c r="D1291" s="179"/>
      <c r="E1291" s="179"/>
      <c r="F1291" s="179"/>
      <c r="G1291" s="179"/>
      <c r="H1291" s="179"/>
      <c r="I1291" s="179"/>
    </row>
    <row r="1292" spans="1:9">
      <c r="A1292" s="179"/>
      <c r="B1292" s="179"/>
      <c r="C1292" s="179"/>
      <c r="D1292" s="179"/>
      <c r="E1292" s="179"/>
      <c r="F1292" s="179"/>
      <c r="G1292" s="179"/>
      <c r="H1292" s="179"/>
      <c r="I1292" s="179"/>
    </row>
    <row r="1293" spans="1:9">
      <c r="A1293" s="179"/>
      <c r="B1293" s="179"/>
      <c r="C1293" s="179"/>
      <c r="D1293" s="179"/>
      <c r="E1293" s="179"/>
      <c r="F1293" s="179"/>
      <c r="G1293" s="179"/>
      <c r="H1293" s="179"/>
      <c r="I1293" s="179"/>
    </row>
    <row r="1294" spans="1:9">
      <c r="A1294" s="179"/>
      <c r="B1294" s="179"/>
      <c r="C1294" s="179"/>
      <c r="D1294" s="179"/>
      <c r="E1294" s="179"/>
      <c r="F1294" s="179"/>
      <c r="G1294" s="179"/>
      <c r="H1294" s="179"/>
      <c r="I1294" s="179"/>
    </row>
    <row r="1295" spans="1:9">
      <c r="A1295" s="179"/>
      <c r="B1295" s="179"/>
      <c r="C1295" s="179"/>
      <c r="D1295" s="179"/>
      <c r="E1295" s="179"/>
      <c r="F1295" s="179"/>
      <c r="G1295" s="179"/>
      <c r="H1295" s="179"/>
      <c r="I1295" s="179"/>
    </row>
    <row r="1296" spans="1:9">
      <c r="A1296" s="179"/>
      <c r="B1296" s="179"/>
      <c r="C1296" s="179"/>
      <c r="D1296" s="179"/>
      <c r="E1296" s="179"/>
      <c r="F1296" s="179"/>
      <c r="G1296" s="179"/>
      <c r="H1296" s="179"/>
      <c r="I1296" s="179"/>
    </row>
    <row r="1297" spans="1:9">
      <c r="A1297" s="179"/>
      <c r="B1297" s="179"/>
      <c r="C1297" s="179"/>
      <c r="D1297" s="179"/>
      <c r="E1297" s="179"/>
      <c r="F1297" s="179"/>
      <c r="G1297" s="179"/>
      <c r="H1297" s="179"/>
      <c r="I1297" s="179"/>
    </row>
    <row r="1298" spans="1:9">
      <c r="A1298" s="179"/>
      <c r="B1298" s="179"/>
      <c r="C1298" s="179"/>
      <c r="D1298" s="179"/>
      <c r="E1298" s="179"/>
      <c r="F1298" s="179"/>
      <c r="G1298" s="179"/>
      <c r="H1298" s="179"/>
      <c r="I1298" s="179"/>
    </row>
    <row r="1299" spans="1:9">
      <c r="A1299" s="179"/>
      <c r="B1299" s="179"/>
      <c r="C1299" s="179"/>
      <c r="D1299" s="179"/>
      <c r="E1299" s="179"/>
      <c r="F1299" s="179"/>
      <c r="G1299" s="179"/>
      <c r="H1299" s="179"/>
      <c r="I1299" s="179"/>
    </row>
    <row r="1300" spans="1:9">
      <c r="A1300" s="179"/>
      <c r="B1300" s="179"/>
      <c r="C1300" s="179"/>
      <c r="D1300" s="179"/>
      <c r="E1300" s="179"/>
      <c r="F1300" s="179"/>
      <c r="G1300" s="179"/>
      <c r="H1300" s="179"/>
      <c r="I1300" s="179"/>
    </row>
    <row r="1301" spans="1:9">
      <c r="A1301" s="179"/>
      <c r="B1301" s="179"/>
      <c r="C1301" s="179"/>
      <c r="D1301" s="179"/>
      <c r="E1301" s="179"/>
      <c r="F1301" s="179"/>
      <c r="G1301" s="179"/>
      <c r="H1301" s="179"/>
      <c r="I1301" s="179"/>
    </row>
    <row r="1302" spans="1:9">
      <c r="A1302" s="179"/>
      <c r="B1302" s="179"/>
      <c r="C1302" s="179"/>
      <c r="D1302" s="179"/>
      <c r="E1302" s="179"/>
      <c r="F1302" s="179"/>
      <c r="G1302" s="179"/>
      <c r="H1302" s="179"/>
      <c r="I1302" s="179"/>
    </row>
    <row r="1303" spans="1:9">
      <c r="A1303" s="179"/>
      <c r="B1303" s="179"/>
      <c r="C1303" s="179"/>
      <c r="D1303" s="179"/>
      <c r="E1303" s="179"/>
      <c r="F1303" s="179"/>
      <c r="G1303" s="179"/>
      <c r="H1303" s="179"/>
      <c r="I1303" s="179"/>
    </row>
    <row r="1304" spans="1:9">
      <c r="A1304" s="179"/>
      <c r="B1304" s="179"/>
      <c r="C1304" s="179"/>
      <c r="D1304" s="179"/>
      <c r="E1304" s="179"/>
      <c r="F1304" s="179"/>
      <c r="G1304" s="179"/>
      <c r="H1304" s="179"/>
      <c r="I1304" s="179"/>
    </row>
    <row r="1305" spans="1:9">
      <c r="A1305" s="179"/>
      <c r="B1305" s="179"/>
      <c r="C1305" s="179"/>
      <c r="D1305" s="179"/>
      <c r="E1305" s="179"/>
      <c r="F1305" s="179"/>
      <c r="G1305" s="179"/>
      <c r="H1305" s="179"/>
      <c r="I1305" s="179"/>
    </row>
    <row r="1306" spans="1:9">
      <c r="A1306" s="179"/>
      <c r="B1306" s="179"/>
      <c r="C1306" s="179"/>
      <c r="D1306" s="179"/>
      <c r="E1306" s="179"/>
      <c r="F1306" s="179"/>
      <c r="G1306" s="179"/>
      <c r="H1306" s="179"/>
      <c r="I1306" s="179"/>
    </row>
    <row r="1307" spans="1:9">
      <c r="A1307" s="179"/>
      <c r="B1307" s="179"/>
      <c r="C1307" s="179"/>
      <c r="D1307" s="179"/>
      <c r="E1307" s="179"/>
      <c r="F1307" s="179"/>
      <c r="G1307" s="179"/>
      <c r="H1307" s="179"/>
      <c r="I1307" s="179"/>
    </row>
    <row r="1308" spans="1:9">
      <c r="A1308" s="179"/>
      <c r="B1308" s="179"/>
      <c r="C1308" s="179"/>
      <c r="D1308" s="179"/>
      <c r="E1308" s="179"/>
      <c r="F1308" s="179"/>
      <c r="G1308" s="179"/>
      <c r="H1308" s="179"/>
      <c r="I1308" s="179"/>
    </row>
    <row r="1309" spans="1:9">
      <c r="A1309" s="179"/>
      <c r="B1309" s="179"/>
      <c r="C1309" s="179"/>
      <c r="D1309" s="179"/>
      <c r="E1309" s="179"/>
      <c r="F1309" s="179"/>
      <c r="G1309" s="179"/>
      <c r="H1309" s="179"/>
      <c r="I1309" s="179"/>
    </row>
    <row r="1310" spans="1:9">
      <c r="A1310" s="179"/>
      <c r="B1310" s="179"/>
      <c r="C1310" s="179"/>
      <c r="D1310" s="179"/>
      <c r="E1310" s="179"/>
      <c r="F1310" s="179"/>
      <c r="G1310" s="179"/>
      <c r="H1310" s="179"/>
      <c r="I1310" s="179"/>
    </row>
    <row r="1311" spans="1:9">
      <c r="A1311" s="179"/>
      <c r="B1311" s="179"/>
      <c r="C1311" s="179"/>
      <c r="D1311" s="179"/>
      <c r="E1311" s="179"/>
      <c r="F1311" s="179"/>
      <c r="G1311" s="179"/>
      <c r="H1311" s="179"/>
      <c r="I1311" s="179"/>
    </row>
    <row r="1312" spans="1:9">
      <c r="A1312" s="179"/>
      <c r="B1312" s="179"/>
      <c r="C1312" s="179"/>
      <c r="D1312" s="179"/>
      <c r="E1312" s="179"/>
      <c r="F1312" s="179"/>
      <c r="G1312" s="179"/>
      <c r="H1312" s="179"/>
      <c r="I1312" s="179"/>
    </row>
    <row r="1313" spans="1:9">
      <c r="A1313" s="179"/>
      <c r="B1313" s="179"/>
      <c r="C1313" s="179"/>
      <c r="D1313" s="179"/>
      <c r="E1313" s="179"/>
      <c r="F1313" s="179"/>
      <c r="G1313" s="179"/>
      <c r="H1313" s="179"/>
      <c r="I1313" s="179"/>
    </row>
    <row r="1314" spans="1:9">
      <c r="A1314" s="179"/>
      <c r="B1314" s="179"/>
      <c r="C1314" s="179"/>
      <c r="D1314" s="179"/>
      <c r="E1314" s="179"/>
      <c r="F1314" s="179"/>
      <c r="G1314" s="179"/>
      <c r="H1314" s="179"/>
      <c r="I1314" s="179"/>
    </row>
    <row r="1315" spans="1:9">
      <c r="A1315" s="179"/>
      <c r="B1315" s="179"/>
      <c r="C1315" s="179"/>
      <c r="D1315" s="179"/>
      <c r="E1315" s="179"/>
      <c r="F1315" s="179"/>
      <c r="G1315" s="179"/>
      <c r="H1315" s="179"/>
      <c r="I1315" s="179"/>
    </row>
    <row r="1316" spans="1:9">
      <c r="A1316" s="179"/>
      <c r="B1316" s="179"/>
      <c r="C1316" s="179"/>
      <c r="D1316" s="179"/>
      <c r="E1316" s="179"/>
      <c r="F1316" s="179"/>
      <c r="G1316" s="179"/>
      <c r="H1316" s="179"/>
      <c r="I1316" s="179"/>
    </row>
    <row r="1317" spans="1:9">
      <c r="A1317" s="179"/>
      <c r="B1317" s="179"/>
      <c r="C1317" s="179"/>
      <c r="D1317" s="179"/>
      <c r="E1317" s="179"/>
      <c r="F1317" s="179"/>
      <c r="G1317" s="179"/>
      <c r="H1317" s="179"/>
      <c r="I1317" s="179"/>
    </row>
    <row r="1318" spans="1:9">
      <c r="A1318" s="179"/>
      <c r="B1318" s="179"/>
      <c r="C1318" s="179"/>
      <c r="D1318" s="179"/>
      <c r="E1318" s="179"/>
      <c r="F1318" s="179"/>
      <c r="G1318" s="179"/>
      <c r="H1318" s="179"/>
      <c r="I1318" s="179"/>
    </row>
    <row r="1319" spans="1:9">
      <c r="A1319" s="179"/>
      <c r="B1319" s="179"/>
      <c r="C1319" s="179"/>
      <c r="D1319" s="179"/>
      <c r="E1319" s="179"/>
      <c r="F1319" s="179"/>
      <c r="G1319" s="179"/>
      <c r="H1319" s="179"/>
      <c r="I1319" s="179"/>
    </row>
    <row r="1320" spans="1:9">
      <c r="A1320" s="179"/>
      <c r="B1320" s="179"/>
      <c r="C1320" s="179"/>
      <c r="D1320" s="179"/>
      <c r="E1320" s="179"/>
      <c r="F1320" s="179"/>
      <c r="G1320" s="179"/>
      <c r="H1320" s="179"/>
      <c r="I1320" s="179"/>
    </row>
    <row r="1321" spans="1:9">
      <c r="A1321" s="179"/>
      <c r="B1321" s="179"/>
      <c r="C1321" s="179"/>
      <c r="D1321" s="179"/>
      <c r="E1321" s="179"/>
      <c r="F1321" s="179"/>
      <c r="G1321" s="179"/>
      <c r="H1321" s="179"/>
      <c r="I1321" s="179"/>
    </row>
    <row r="1322" spans="1:9">
      <c r="A1322" s="179"/>
      <c r="B1322" s="179"/>
      <c r="C1322" s="179"/>
      <c r="D1322" s="179"/>
      <c r="E1322" s="179"/>
      <c r="F1322" s="179"/>
      <c r="G1322" s="179"/>
      <c r="H1322" s="179"/>
      <c r="I1322" s="179"/>
    </row>
    <row r="1323" spans="1:9">
      <c r="A1323" s="179"/>
      <c r="B1323" s="179"/>
      <c r="C1323" s="179"/>
      <c r="D1323" s="179"/>
      <c r="E1323" s="179"/>
      <c r="F1323" s="179"/>
      <c r="G1323" s="179"/>
      <c r="H1323" s="179"/>
      <c r="I1323" s="179"/>
    </row>
    <row r="1324" spans="1:9">
      <c r="A1324" s="179"/>
      <c r="B1324" s="179"/>
      <c r="C1324" s="179"/>
      <c r="D1324" s="179"/>
      <c r="E1324" s="179"/>
      <c r="F1324" s="179"/>
      <c r="G1324" s="179"/>
      <c r="H1324" s="179"/>
      <c r="I1324" s="179"/>
    </row>
    <row r="1325" spans="1:9">
      <c r="A1325" s="179"/>
      <c r="B1325" s="179"/>
      <c r="C1325" s="179"/>
      <c r="D1325" s="179"/>
      <c r="E1325" s="179"/>
      <c r="F1325" s="179"/>
      <c r="G1325" s="179"/>
      <c r="H1325" s="179"/>
      <c r="I1325" s="179"/>
    </row>
    <row r="1326" spans="1:9">
      <c r="A1326" s="179"/>
      <c r="B1326" s="179"/>
      <c r="C1326" s="179"/>
      <c r="D1326" s="179"/>
      <c r="E1326" s="179"/>
      <c r="F1326" s="179"/>
      <c r="G1326" s="179"/>
      <c r="H1326" s="179"/>
      <c r="I1326" s="179"/>
    </row>
    <row r="1327" spans="1:9">
      <c r="A1327" s="179"/>
      <c r="B1327" s="179"/>
      <c r="C1327" s="179"/>
      <c r="D1327" s="179"/>
      <c r="E1327" s="179"/>
      <c r="F1327" s="179"/>
      <c r="G1327" s="179"/>
      <c r="H1327" s="179"/>
      <c r="I1327" s="179"/>
    </row>
    <row r="1328" spans="1:9">
      <c r="A1328" s="179"/>
      <c r="B1328" s="179"/>
      <c r="C1328" s="179"/>
      <c r="D1328" s="179"/>
      <c r="E1328" s="179"/>
      <c r="F1328" s="179"/>
      <c r="G1328" s="179"/>
      <c r="H1328" s="179"/>
      <c r="I1328" s="179"/>
    </row>
    <row r="1329" spans="1:9">
      <c r="A1329" s="179"/>
      <c r="B1329" s="179"/>
      <c r="C1329" s="179"/>
      <c r="D1329" s="179"/>
      <c r="E1329" s="179"/>
      <c r="F1329" s="179"/>
      <c r="G1329" s="179"/>
      <c r="H1329" s="179"/>
      <c r="I1329" s="179"/>
    </row>
    <row r="1330" spans="1:9">
      <c r="A1330" s="179"/>
      <c r="B1330" s="179"/>
      <c r="C1330" s="179"/>
      <c r="D1330" s="179"/>
      <c r="E1330" s="179"/>
      <c r="F1330" s="179"/>
      <c r="G1330" s="179"/>
      <c r="H1330" s="179"/>
      <c r="I1330" s="179"/>
    </row>
    <row r="1331" spans="1:9">
      <c r="A1331" s="179"/>
      <c r="B1331" s="179"/>
      <c r="C1331" s="179"/>
      <c r="D1331" s="179"/>
      <c r="E1331" s="179"/>
      <c r="F1331" s="179"/>
      <c r="G1331" s="179"/>
      <c r="H1331" s="179"/>
      <c r="I1331" s="179"/>
    </row>
    <row r="1332" spans="1:9">
      <c r="A1332" s="179"/>
      <c r="B1332" s="179"/>
      <c r="C1332" s="179"/>
      <c r="D1332" s="179"/>
      <c r="E1332" s="179"/>
      <c r="F1332" s="179"/>
      <c r="G1332" s="179"/>
      <c r="H1332" s="179"/>
      <c r="I1332" s="179"/>
    </row>
    <row r="1333" spans="1:9">
      <c r="A1333" s="179"/>
      <c r="B1333" s="179"/>
      <c r="C1333" s="179"/>
      <c r="D1333" s="179"/>
      <c r="E1333" s="179"/>
      <c r="F1333" s="179"/>
      <c r="G1333" s="179"/>
      <c r="H1333" s="179"/>
      <c r="I1333" s="179"/>
    </row>
    <row r="1334" spans="1:9">
      <c r="A1334" s="179"/>
      <c r="B1334" s="179"/>
      <c r="C1334" s="179"/>
      <c r="D1334" s="179"/>
      <c r="E1334" s="179"/>
      <c r="F1334" s="179"/>
      <c r="G1334" s="179"/>
      <c r="H1334" s="179"/>
      <c r="I1334" s="179"/>
    </row>
    <row r="1335" spans="1:9">
      <c r="A1335" s="179"/>
      <c r="B1335" s="179"/>
      <c r="C1335" s="179"/>
      <c r="D1335" s="179"/>
      <c r="E1335" s="179"/>
      <c r="F1335" s="179"/>
      <c r="G1335" s="179"/>
      <c r="H1335" s="179"/>
      <c r="I1335" s="179"/>
    </row>
    <row r="1336" spans="1:9">
      <c r="A1336" s="179"/>
      <c r="B1336" s="179"/>
      <c r="C1336" s="179"/>
      <c r="D1336" s="179"/>
      <c r="E1336" s="179"/>
      <c r="F1336" s="179"/>
      <c r="G1336" s="179"/>
      <c r="H1336" s="179"/>
      <c r="I1336" s="179"/>
    </row>
    <row r="1337" spans="1:9">
      <c r="A1337" s="179"/>
      <c r="B1337" s="179"/>
      <c r="C1337" s="179"/>
      <c r="D1337" s="179"/>
      <c r="E1337" s="179"/>
      <c r="F1337" s="179"/>
      <c r="G1337" s="179"/>
      <c r="H1337" s="179"/>
      <c r="I1337" s="179"/>
    </row>
    <row r="1338" spans="1:9">
      <c r="A1338" s="179"/>
      <c r="B1338" s="179"/>
      <c r="C1338" s="179"/>
      <c r="D1338" s="179"/>
      <c r="E1338" s="179"/>
      <c r="F1338" s="179"/>
      <c r="G1338" s="179"/>
      <c r="H1338" s="179"/>
      <c r="I1338" s="179"/>
    </row>
    <row r="1339" spans="1:9">
      <c r="A1339" s="179"/>
      <c r="B1339" s="179"/>
      <c r="C1339" s="179"/>
      <c r="D1339" s="179"/>
      <c r="E1339" s="179"/>
      <c r="F1339" s="179"/>
      <c r="G1339" s="179"/>
      <c r="H1339" s="179"/>
      <c r="I1339" s="179"/>
    </row>
    <row r="1340" spans="1:9">
      <c r="A1340" s="179"/>
      <c r="B1340" s="179"/>
      <c r="C1340" s="179"/>
      <c r="D1340" s="179"/>
      <c r="E1340" s="179"/>
      <c r="F1340" s="179"/>
      <c r="G1340" s="179"/>
      <c r="H1340" s="179"/>
      <c r="I1340" s="179"/>
    </row>
    <row r="1341" spans="1:9">
      <c r="A1341" s="179"/>
      <c r="B1341" s="179"/>
      <c r="C1341" s="179"/>
      <c r="D1341" s="179"/>
      <c r="E1341" s="179"/>
      <c r="F1341" s="179"/>
      <c r="G1341" s="179"/>
      <c r="H1341" s="179"/>
      <c r="I1341" s="179"/>
    </row>
    <row r="1342" spans="1:9">
      <c r="A1342" s="179"/>
      <c r="B1342" s="179"/>
      <c r="C1342" s="179"/>
      <c r="D1342" s="179"/>
      <c r="E1342" s="179"/>
      <c r="F1342" s="179"/>
      <c r="G1342" s="179"/>
      <c r="H1342" s="179"/>
      <c r="I1342" s="179"/>
    </row>
    <row r="1343" spans="1:9">
      <c r="A1343" s="179"/>
      <c r="B1343" s="179"/>
      <c r="C1343" s="179"/>
      <c r="D1343" s="179"/>
      <c r="E1343" s="179"/>
      <c r="F1343" s="179"/>
      <c r="G1343" s="179"/>
      <c r="H1343" s="179"/>
      <c r="I1343" s="179"/>
    </row>
    <row r="1344" spans="1:9">
      <c r="A1344" s="179"/>
      <c r="B1344" s="179"/>
      <c r="C1344" s="179"/>
      <c r="D1344" s="179"/>
      <c r="E1344" s="179"/>
      <c r="F1344" s="179"/>
      <c r="G1344" s="179"/>
      <c r="H1344" s="179"/>
      <c r="I1344" s="179"/>
    </row>
    <row r="1345" spans="1:9">
      <c r="A1345" s="179"/>
      <c r="B1345" s="179"/>
      <c r="C1345" s="179"/>
      <c r="D1345" s="179"/>
      <c r="E1345" s="179"/>
      <c r="F1345" s="179"/>
      <c r="G1345" s="179"/>
      <c r="H1345" s="179"/>
      <c r="I1345" s="179"/>
    </row>
    <row r="1346" spans="1:9">
      <c r="A1346" s="179"/>
      <c r="B1346" s="179"/>
      <c r="C1346" s="179"/>
      <c r="D1346" s="179"/>
      <c r="E1346" s="179"/>
      <c r="F1346" s="179"/>
      <c r="G1346" s="179"/>
      <c r="H1346" s="179"/>
      <c r="I1346" s="179"/>
    </row>
    <row r="1347" spans="1:9">
      <c r="A1347" s="179"/>
      <c r="B1347" s="179"/>
      <c r="C1347" s="179"/>
      <c r="D1347" s="179"/>
      <c r="E1347" s="179"/>
      <c r="F1347" s="179"/>
      <c r="G1347" s="179"/>
      <c r="H1347" s="179"/>
      <c r="I1347" s="179"/>
    </row>
    <row r="1348" spans="1:9">
      <c r="A1348" s="179"/>
      <c r="B1348" s="179"/>
      <c r="C1348" s="179"/>
      <c r="D1348" s="179"/>
      <c r="E1348" s="179"/>
      <c r="F1348" s="179"/>
      <c r="G1348" s="179"/>
      <c r="H1348" s="179"/>
      <c r="I1348" s="179"/>
    </row>
    <row r="1349" spans="1:9">
      <c r="A1349" s="179"/>
      <c r="B1349" s="179"/>
      <c r="C1349" s="179"/>
      <c r="D1349" s="179"/>
      <c r="E1349" s="179"/>
      <c r="F1349" s="179"/>
      <c r="G1349" s="179"/>
      <c r="H1349" s="179"/>
      <c r="I1349" s="179"/>
    </row>
    <row r="1350" spans="1:9">
      <c r="A1350" s="179"/>
      <c r="B1350" s="179"/>
      <c r="C1350" s="179"/>
      <c r="D1350" s="179"/>
      <c r="E1350" s="179"/>
      <c r="F1350" s="179"/>
      <c r="G1350" s="179"/>
      <c r="H1350" s="179"/>
      <c r="I1350" s="179"/>
    </row>
    <row r="1351" spans="1:9">
      <c r="A1351" s="179"/>
      <c r="B1351" s="179"/>
      <c r="C1351" s="179"/>
      <c r="D1351" s="179"/>
      <c r="E1351" s="179"/>
      <c r="F1351" s="179"/>
      <c r="G1351" s="179"/>
      <c r="H1351" s="179"/>
      <c r="I1351" s="179"/>
    </row>
    <row r="1352" spans="1:9">
      <c r="A1352" s="179"/>
      <c r="B1352" s="179"/>
      <c r="C1352" s="179"/>
      <c r="D1352" s="179"/>
      <c r="E1352" s="179"/>
      <c r="F1352" s="179"/>
      <c r="G1352" s="179"/>
      <c r="H1352" s="179"/>
      <c r="I1352" s="179"/>
    </row>
    <row r="1353" spans="1:9">
      <c r="A1353" s="179"/>
      <c r="B1353" s="179"/>
      <c r="C1353" s="179"/>
      <c r="D1353" s="179"/>
      <c r="E1353" s="179"/>
      <c r="F1353" s="179"/>
      <c r="G1353" s="179"/>
      <c r="H1353" s="179"/>
      <c r="I1353" s="179"/>
    </row>
    <row r="1354" spans="1:9">
      <c r="A1354" s="179"/>
      <c r="B1354" s="179"/>
      <c r="C1354" s="179"/>
      <c r="D1354" s="179"/>
      <c r="E1354" s="179"/>
      <c r="F1354" s="179"/>
      <c r="G1354" s="179"/>
      <c r="H1354" s="179"/>
      <c r="I1354" s="179"/>
    </row>
    <row r="1355" spans="1:9">
      <c r="A1355" s="179"/>
      <c r="B1355" s="179"/>
      <c r="C1355" s="179"/>
      <c r="D1355" s="179"/>
      <c r="E1355" s="179"/>
      <c r="F1355" s="179"/>
      <c r="G1355" s="179"/>
      <c r="H1355" s="179"/>
      <c r="I1355" s="179"/>
    </row>
    <row r="1356" spans="1:9">
      <c r="A1356" s="179"/>
      <c r="B1356" s="179"/>
      <c r="C1356" s="179"/>
      <c r="D1356" s="179"/>
      <c r="E1356" s="179"/>
      <c r="F1356" s="179"/>
      <c r="G1356" s="179"/>
      <c r="H1356" s="179"/>
      <c r="I1356" s="179"/>
    </row>
    <row r="1357" spans="1:9">
      <c r="A1357" s="179"/>
      <c r="B1357" s="179"/>
      <c r="C1357" s="179"/>
      <c r="D1357" s="179"/>
      <c r="E1357" s="179"/>
      <c r="F1357" s="179"/>
      <c r="G1357" s="179"/>
      <c r="H1357" s="179"/>
      <c r="I1357" s="179"/>
    </row>
    <row r="1358" spans="1:9">
      <c r="A1358" s="179"/>
      <c r="B1358" s="179"/>
      <c r="C1358" s="179"/>
      <c r="D1358" s="179"/>
      <c r="E1358" s="179"/>
      <c r="F1358" s="179"/>
      <c r="G1358" s="179"/>
      <c r="H1358" s="179"/>
      <c r="I1358" s="179"/>
    </row>
    <row r="1359" spans="1:9">
      <c r="A1359" s="179"/>
      <c r="B1359" s="179"/>
      <c r="C1359" s="179"/>
      <c r="D1359" s="179"/>
      <c r="E1359" s="179"/>
      <c r="F1359" s="179"/>
      <c r="G1359" s="179"/>
      <c r="H1359" s="179"/>
      <c r="I1359" s="179"/>
    </row>
    <row r="1360" spans="1:9">
      <c r="A1360" s="179"/>
      <c r="B1360" s="179"/>
      <c r="C1360" s="179"/>
      <c r="D1360" s="179"/>
      <c r="E1360" s="179"/>
      <c r="F1360" s="179"/>
      <c r="G1360" s="179"/>
      <c r="H1360" s="179"/>
      <c r="I1360" s="179"/>
    </row>
    <row r="1361" spans="1:9">
      <c r="A1361" s="179"/>
      <c r="B1361" s="179"/>
      <c r="C1361" s="179"/>
      <c r="D1361" s="179"/>
      <c r="E1361" s="179"/>
      <c r="F1361" s="179"/>
      <c r="G1361" s="179"/>
      <c r="H1361" s="179"/>
      <c r="I1361" s="179"/>
    </row>
    <row r="1362" spans="1:9">
      <c r="A1362" s="179"/>
      <c r="B1362" s="179"/>
      <c r="C1362" s="179"/>
      <c r="D1362" s="179"/>
      <c r="E1362" s="179"/>
      <c r="F1362" s="179"/>
      <c r="G1362" s="179"/>
      <c r="H1362" s="179"/>
      <c r="I1362" s="179"/>
    </row>
    <row r="1363" spans="1:9">
      <c r="A1363" s="179"/>
      <c r="B1363" s="179"/>
      <c r="C1363" s="179"/>
      <c r="D1363" s="179"/>
      <c r="E1363" s="179"/>
      <c r="F1363" s="179"/>
      <c r="G1363" s="179"/>
      <c r="H1363" s="179"/>
      <c r="I1363" s="179"/>
    </row>
    <row r="1364" spans="1:9">
      <c r="A1364" s="179"/>
      <c r="B1364" s="179"/>
      <c r="C1364" s="179"/>
      <c r="D1364" s="179"/>
      <c r="E1364" s="179"/>
      <c r="F1364" s="179"/>
      <c r="G1364" s="179"/>
      <c r="H1364" s="179"/>
      <c r="I1364" s="179"/>
    </row>
    <row r="1365" spans="1:9">
      <c r="A1365" s="179"/>
      <c r="B1365" s="179"/>
      <c r="C1365" s="179"/>
      <c r="D1365" s="179"/>
      <c r="E1365" s="179"/>
      <c r="F1365" s="179"/>
      <c r="G1365" s="179"/>
      <c r="H1365" s="179"/>
      <c r="I1365" s="179"/>
    </row>
    <row r="1366" spans="1:9">
      <c r="A1366" s="179"/>
      <c r="B1366" s="179"/>
      <c r="C1366" s="179"/>
      <c r="D1366" s="179"/>
      <c r="E1366" s="179"/>
      <c r="F1366" s="179"/>
      <c r="G1366" s="179"/>
      <c r="H1366" s="179"/>
      <c r="I1366" s="179"/>
    </row>
    <row r="1367" spans="1:9">
      <c r="A1367" s="179"/>
      <c r="B1367" s="179"/>
      <c r="C1367" s="179"/>
      <c r="D1367" s="179"/>
      <c r="E1367" s="179"/>
      <c r="F1367" s="179"/>
      <c r="G1367" s="179"/>
      <c r="H1367" s="179"/>
      <c r="I1367" s="179"/>
    </row>
    <row r="1368" spans="1:9">
      <c r="A1368" s="179"/>
      <c r="B1368" s="179"/>
      <c r="C1368" s="179"/>
      <c r="D1368" s="179"/>
      <c r="E1368" s="179"/>
      <c r="F1368" s="179"/>
      <c r="G1368" s="179"/>
      <c r="H1368" s="179"/>
      <c r="I1368" s="179"/>
    </row>
    <row r="1369" spans="1:9">
      <c r="A1369" s="179"/>
      <c r="B1369" s="179"/>
      <c r="C1369" s="179"/>
      <c r="D1369" s="179"/>
      <c r="E1369" s="179"/>
      <c r="F1369" s="179"/>
      <c r="G1369" s="179"/>
      <c r="H1369" s="179"/>
      <c r="I1369" s="179"/>
    </row>
    <row r="1370" spans="1:9">
      <c r="A1370" s="179"/>
      <c r="B1370" s="179"/>
      <c r="C1370" s="179"/>
      <c r="D1370" s="179"/>
      <c r="E1370" s="179"/>
      <c r="F1370" s="179"/>
      <c r="G1370" s="179"/>
      <c r="H1370" s="179"/>
      <c r="I1370" s="179"/>
    </row>
    <row r="1371" spans="1:9">
      <c r="A1371" s="179"/>
      <c r="B1371" s="179"/>
      <c r="C1371" s="179"/>
      <c r="D1371" s="179"/>
      <c r="E1371" s="179"/>
      <c r="F1371" s="179"/>
      <c r="G1371" s="179"/>
      <c r="H1371" s="179"/>
      <c r="I1371" s="179"/>
    </row>
    <row r="1372" spans="1:9">
      <c r="A1372" s="179"/>
      <c r="B1372" s="179"/>
      <c r="C1372" s="179"/>
      <c r="D1372" s="179"/>
      <c r="E1372" s="179"/>
      <c r="F1372" s="179"/>
      <c r="G1372" s="179"/>
      <c r="H1372" s="179"/>
      <c r="I1372" s="179"/>
    </row>
    <row r="1373" spans="1:9">
      <c r="A1373" s="179"/>
      <c r="B1373" s="179"/>
      <c r="C1373" s="179"/>
      <c r="D1373" s="179"/>
      <c r="E1373" s="179"/>
      <c r="F1373" s="179"/>
      <c r="G1373" s="179"/>
      <c r="H1373" s="179"/>
      <c r="I1373" s="179"/>
    </row>
    <row r="1374" spans="1:9">
      <c r="A1374" s="179"/>
      <c r="B1374" s="179"/>
      <c r="C1374" s="179"/>
      <c r="D1374" s="179"/>
      <c r="E1374" s="179"/>
      <c r="F1374" s="179"/>
      <c r="G1374" s="179"/>
      <c r="H1374" s="179"/>
      <c r="I1374" s="179"/>
    </row>
    <row r="1375" spans="1:9">
      <c r="A1375" s="179"/>
      <c r="B1375" s="179"/>
      <c r="C1375" s="179"/>
      <c r="D1375" s="179"/>
      <c r="E1375" s="179"/>
      <c r="F1375" s="179"/>
      <c r="G1375" s="179"/>
      <c r="H1375" s="179"/>
      <c r="I1375" s="179"/>
    </row>
    <row r="1376" spans="1:9">
      <c r="A1376" s="179"/>
      <c r="B1376" s="179"/>
      <c r="C1376" s="179"/>
      <c r="D1376" s="179"/>
      <c r="E1376" s="179"/>
      <c r="F1376" s="179"/>
      <c r="G1376" s="179"/>
      <c r="H1376" s="179"/>
      <c r="I1376" s="179"/>
    </row>
    <row r="1377" spans="1:9">
      <c r="A1377" s="179"/>
      <c r="B1377" s="179"/>
      <c r="C1377" s="179"/>
      <c r="D1377" s="179"/>
      <c r="E1377" s="179"/>
      <c r="F1377" s="179"/>
      <c r="G1377" s="179"/>
      <c r="H1377" s="179"/>
      <c r="I1377" s="179"/>
    </row>
    <row r="1378" spans="1:9">
      <c r="A1378" s="179"/>
      <c r="B1378" s="179"/>
      <c r="C1378" s="179"/>
      <c r="D1378" s="179"/>
      <c r="E1378" s="179"/>
      <c r="F1378" s="179"/>
      <c r="G1378" s="179"/>
      <c r="H1378" s="179"/>
      <c r="I1378" s="179"/>
    </row>
    <row r="1379" spans="1:9">
      <c r="A1379" s="179"/>
      <c r="B1379" s="179"/>
      <c r="C1379" s="179"/>
      <c r="D1379" s="179"/>
      <c r="E1379" s="179"/>
      <c r="F1379" s="179"/>
      <c r="G1379" s="179"/>
      <c r="H1379" s="179"/>
      <c r="I1379" s="179"/>
    </row>
    <row r="1380" spans="1:9">
      <c r="A1380" s="179"/>
      <c r="B1380" s="179"/>
      <c r="C1380" s="179"/>
      <c r="D1380" s="179"/>
      <c r="E1380" s="179"/>
      <c r="F1380" s="179"/>
      <c r="G1380" s="179"/>
      <c r="H1380" s="179"/>
      <c r="I1380" s="179"/>
    </row>
    <row r="1381" spans="1:9">
      <c r="A1381" s="179"/>
      <c r="B1381" s="179"/>
      <c r="C1381" s="179"/>
      <c r="D1381" s="179"/>
      <c r="E1381" s="179"/>
      <c r="F1381" s="179"/>
      <c r="G1381" s="179"/>
      <c r="H1381" s="179"/>
      <c r="I1381" s="179"/>
    </row>
    <row r="1382" spans="1:9">
      <c r="A1382" s="179"/>
      <c r="B1382" s="179"/>
      <c r="C1382" s="179"/>
      <c r="D1382" s="179"/>
      <c r="E1382" s="179"/>
      <c r="F1382" s="179"/>
      <c r="G1382" s="179"/>
      <c r="H1382" s="179"/>
      <c r="I1382" s="179"/>
    </row>
    <row r="1383" spans="1:9">
      <c r="A1383" s="179"/>
      <c r="B1383" s="179"/>
      <c r="C1383" s="179"/>
      <c r="D1383" s="179"/>
      <c r="E1383" s="179"/>
      <c r="F1383" s="179"/>
      <c r="G1383" s="179"/>
      <c r="H1383" s="179"/>
      <c r="I1383" s="179"/>
    </row>
    <row r="1384" spans="1:9">
      <c r="A1384" s="179"/>
      <c r="B1384" s="179"/>
      <c r="C1384" s="179"/>
      <c r="D1384" s="179"/>
      <c r="E1384" s="179"/>
      <c r="F1384" s="179"/>
      <c r="G1384" s="179"/>
      <c r="H1384" s="179"/>
      <c r="I1384" s="179"/>
    </row>
    <row r="1385" spans="1:9">
      <c r="A1385" s="179"/>
      <c r="B1385" s="179"/>
      <c r="C1385" s="179"/>
      <c r="D1385" s="179"/>
      <c r="E1385" s="179"/>
      <c r="F1385" s="179"/>
      <c r="G1385" s="179"/>
      <c r="H1385" s="179"/>
      <c r="I1385" s="179"/>
    </row>
    <row r="1386" spans="1:9">
      <c r="A1386" s="179"/>
      <c r="B1386" s="179"/>
      <c r="C1386" s="179"/>
      <c r="D1386" s="179"/>
      <c r="E1386" s="179"/>
      <c r="F1386" s="179"/>
      <c r="G1386" s="179"/>
      <c r="H1386" s="179"/>
      <c r="I1386" s="179"/>
    </row>
    <row r="1387" spans="1:9">
      <c r="A1387" s="179"/>
      <c r="B1387" s="179"/>
      <c r="C1387" s="179"/>
      <c r="D1387" s="179"/>
      <c r="E1387" s="179"/>
      <c r="F1387" s="179"/>
      <c r="G1387" s="179"/>
      <c r="H1387" s="179"/>
      <c r="I1387" s="179"/>
    </row>
    <row r="1388" spans="1:9">
      <c r="A1388" s="179"/>
      <c r="B1388" s="179"/>
      <c r="C1388" s="179"/>
      <c r="D1388" s="179"/>
      <c r="E1388" s="179"/>
      <c r="F1388" s="179"/>
      <c r="G1388" s="179"/>
      <c r="H1388" s="179"/>
      <c r="I1388" s="179"/>
    </row>
    <row r="1389" spans="1:9">
      <c r="A1389" s="179"/>
      <c r="B1389" s="179"/>
      <c r="C1389" s="179"/>
      <c r="D1389" s="179"/>
      <c r="E1389" s="179"/>
      <c r="F1389" s="179"/>
      <c r="G1389" s="179"/>
      <c r="H1389" s="179"/>
      <c r="I1389" s="179"/>
    </row>
    <row r="1390" spans="1:9">
      <c r="A1390" s="179"/>
      <c r="B1390" s="179"/>
      <c r="C1390" s="179"/>
      <c r="D1390" s="179"/>
      <c r="E1390" s="179"/>
      <c r="F1390" s="179"/>
      <c r="G1390" s="179"/>
      <c r="H1390" s="179"/>
      <c r="I1390" s="179"/>
    </row>
    <row r="1391" spans="1:9">
      <c r="A1391" s="179"/>
      <c r="B1391" s="179"/>
      <c r="C1391" s="179"/>
      <c r="D1391" s="179"/>
      <c r="E1391" s="179"/>
      <c r="F1391" s="179"/>
      <c r="G1391" s="179"/>
      <c r="H1391" s="179"/>
      <c r="I1391" s="179"/>
    </row>
    <row r="1392" spans="1:9">
      <c r="A1392" s="179"/>
      <c r="B1392" s="179"/>
      <c r="C1392" s="179"/>
      <c r="D1392" s="179"/>
      <c r="E1392" s="179"/>
      <c r="F1392" s="179"/>
      <c r="G1392" s="179"/>
      <c r="H1392" s="179"/>
      <c r="I1392" s="179"/>
    </row>
    <row r="1393" spans="1:9">
      <c r="A1393" s="179"/>
      <c r="B1393" s="179"/>
      <c r="C1393" s="179"/>
      <c r="D1393" s="179"/>
      <c r="E1393" s="179"/>
      <c r="F1393" s="179"/>
      <c r="G1393" s="179"/>
      <c r="H1393" s="179"/>
      <c r="I1393" s="179"/>
    </row>
    <row r="1394" spans="1:9">
      <c r="A1394" s="179"/>
      <c r="B1394" s="179"/>
      <c r="C1394" s="179"/>
      <c r="D1394" s="179"/>
      <c r="E1394" s="179"/>
      <c r="F1394" s="179"/>
      <c r="G1394" s="179"/>
      <c r="H1394" s="179"/>
      <c r="I1394" s="179"/>
    </row>
    <row r="1395" spans="1:9">
      <c r="A1395" s="179"/>
      <c r="B1395" s="179"/>
      <c r="C1395" s="179"/>
      <c r="D1395" s="179"/>
      <c r="E1395" s="179"/>
      <c r="F1395" s="179"/>
      <c r="G1395" s="179"/>
      <c r="H1395" s="179"/>
      <c r="I1395" s="179"/>
    </row>
    <row r="1396" spans="1:9">
      <c r="A1396" s="179"/>
      <c r="B1396" s="179"/>
      <c r="C1396" s="179"/>
      <c r="D1396" s="179"/>
      <c r="E1396" s="179"/>
      <c r="F1396" s="179"/>
      <c r="G1396" s="179"/>
      <c r="H1396" s="179"/>
      <c r="I1396" s="179"/>
    </row>
    <row r="1397" spans="1:9">
      <c r="A1397" s="179"/>
      <c r="B1397" s="179"/>
      <c r="C1397" s="179"/>
      <c r="D1397" s="179"/>
      <c r="E1397" s="179"/>
      <c r="F1397" s="179"/>
      <c r="G1397" s="179"/>
      <c r="H1397" s="179"/>
      <c r="I1397" s="179"/>
    </row>
    <row r="1398" spans="1:9">
      <c r="A1398" s="179"/>
      <c r="B1398" s="179"/>
      <c r="C1398" s="179"/>
      <c r="D1398" s="179"/>
      <c r="E1398" s="179"/>
      <c r="F1398" s="179"/>
      <c r="G1398" s="179"/>
      <c r="H1398" s="179"/>
      <c r="I1398" s="179"/>
    </row>
    <row r="1399" spans="1:9">
      <c r="A1399" s="179"/>
      <c r="B1399" s="179"/>
      <c r="C1399" s="179"/>
      <c r="D1399" s="179"/>
      <c r="E1399" s="179"/>
      <c r="F1399" s="179"/>
      <c r="G1399" s="179"/>
      <c r="H1399" s="179"/>
      <c r="I1399" s="179"/>
    </row>
    <row r="1400" spans="1:9">
      <c r="A1400" s="179"/>
      <c r="B1400" s="179"/>
      <c r="C1400" s="179"/>
      <c r="D1400" s="179"/>
      <c r="E1400" s="179"/>
      <c r="F1400" s="179"/>
      <c r="G1400" s="179"/>
      <c r="H1400" s="179"/>
      <c r="I1400" s="179"/>
    </row>
    <row r="1401" spans="1:9">
      <c r="A1401" s="179"/>
      <c r="B1401" s="179"/>
      <c r="C1401" s="179"/>
      <c r="D1401" s="179"/>
      <c r="E1401" s="179"/>
      <c r="F1401" s="179"/>
      <c r="G1401" s="179"/>
      <c r="H1401" s="179"/>
      <c r="I1401" s="179"/>
    </row>
    <row r="1402" spans="1:9">
      <c r="A1402" s="179"/>
      <c r="B1402" s="179"/>
      <c r="C1402" s="179"/>
      <c r="D1402" s="179"/>
      <c r="E1402" s="179"/>
      <c r="F1402" s="179"/>
      <c r="G1402" s="179"/>
      <c r="H1402" s="179"/>
      <c r="I1402" s="179"/>
    </row>
    <row r="1403" spans="1:9">
      <c r="A1403" s="179"/>
      <c r="B1403" s="179"/>
      <c r="C1403" s="179"/>
      <c r="D1403" s="179"/>
      <c r="E1403" s="179"/>
      <c r="F1403" s="179"/>
      <c r="G1403" s="179"/>
      <c r="H1403" s="179"/>
      <c r="I1403" s="179"/>
    </row>
    <row r="1404" spans="1:9">
      <c r="A1404" s="179"/>
      <c r="B1404" s="179"/>
      <c r="C1404" s="179"/>
      <c r="D1404" s="179"/>
      <c r="E1404" s="179"/>
      <c r="F1404" s="179"/>
      <c r="G1404" s="179"/>
      <c r="H1404" s="179"/>
      <c r="I1404" s="179"/>
    </row>
    <row r="1405" spans="1:9">
      <c r="A1405" s="179"/>
      <c r="B1405" s="179"/>
      <c r="C1405" s="179"/>
      <c r="D1405" s="179"/>
      <c r="E1405" s="179"/>
      <c r="F1405" s="179"/>
      <c r="G1405" s="179"/>
      <c r="H1405" s="179"/>
      <c r="I1405" s="179"/>
    </row>
    <row r="1406" spans="1:9">
      <c r="A1406" s="179"/>
      <c r="B1406" s="179"/>
      <c r="C1406" s="179"/>
      <c r="D1406" s="179"/>
      <c r="E1406" s="179"/>
      <c r="F1406" s="179"/>
      <c r="G1406" s="179"/>
      <c r="H1406" s="179"/>
      <c r="I1406" s="179"/>
    </row>
    <row r="1407" spans="1:9">
      <c r="A1407" s="179"/>
      <c r="B1407" s="179"/>
      <c r="C1407" s="179"/>
      <c r="D1407" s="179"/>
      <c r="E1407" s="179"/>
      <c r="F1407" s="179"/>
      <c r="G1407" s="179"/>
      <c r="H1407" s="179"/>
      <c r="I1407" s="179"/>
    </row>
    <row r="1408" spans="1:9">
      <c r="A1408" s="179"/>
      <c r="B1408" s="179"/>
      <c r="C1408" s="179"/>
      <c r="D1408" s="179"/>
      <c r="E1408" s="179"/>
      <c r="F1408" s="179"/>
      <c r="G1408" s="179"/>
      <c r="H1408" s="179"/>
      <c r="I1408" s="179"/>
    </row>
    <row r="1409" spans="1:9">
      <c r="A1409" s="179"/>
      <c r="B1409" s="179"/>
      <c r="C1409" s="179"/>
      <c r="D1409" s="179"/>
      <c r="E1409" s="179"/>
      <c r="F1409" s="179"/>
      <c r="G1409" s="179"/>
      <c r="H1409" s="179"/>
      <c r="I1409" s="179"/>
    </row>
    <row r="1410" spans="1:9">
      <c r="A1410" s="179"/>
      <c r="B1410" s="179"/>
      <c r="C1410" s="179"/>
      <c r="D1410" s="179"/>
      <c r="E1410" s="179"/>
      <c r="F1410" s="179"/>
      <c r="G1410" s="179"/>
      <c r="H1410" s="179"/>
      <c r="I1410" s="179"/>
    </row>
    <row r="1411" spans="1:9">
      <c r="A1411" s="179"/>
      <c r="B1411" s="179"/>
      <c r="C1411" s="179"/>
      <c r="D1411" s="179"/>
      <c r="E1411" s="179"/>
      <c r="F1411" s="179"/>
      <c r="G1411" s="179"/>
      <c r="H1411" s="179"/>
      <c r="I1411" s="179"/>
    </row>
    <row r="1412" spans="1:9">
      <c r="A1412" s="179"/>
      <c r="B1412" s="179"/>
      <c r="C1412" s="179"/>
      <c r="D1412" s="179"/>
      <c r="E1412" s="179"/>
      <c r="F1412" s="179"/>
      <c r="G1412" s="179"/>
      <c r="H1412" s="179"/>
      <c r="I1412" s="179"/>
    </row>
    <row r="1413" spans="1:9">
      <c r="A1413" s="179"/>
      <c r="B1413" s="179"/>
      <c r="C1413" s="179"/>
      <c r="D1413" s="179"/>
      <c r="E1413" s="179"/>
      <c r="F1413" s="179"/>
      <c r="G1413" s="179"/>
      <c r="H1413" s="179"/>
      <c r="I1413" s="179"/>
    </row>
    <row r="1414" spans="1:9">
      <c r="A1414" s="179"/>
      <c r="B1414" s="179"/>
      <c r="C1414" s="179"/>
      <c r="D1414" s="179"/>
      <c r="E1414" s="179"/>
      <c r="F1414" s="179"/>
      <c r="G1414" s="179"/>
      <c r="H1414" s="179"/>
      <c r="I1414" s="179"/>
    </row>
    <row r="1415" spans="1:9">
      <c r="A1415" s="179"/>
      <c r="B1415" s="179"/>
      <c r="C1415" s="179"/>
      <c r="D1415" s="179"/>
      <c r="E1415" s="179"/>
      <c r="F1415" s="179"/>
      <c r="G1415" s="179"/>
      <c r="H1415" s="179"/>
      <c r="I1415" s="179"/>
    </row>
    <row r="1416" spans="1:9">
      <c r="A1416" s="179"/>
      <c r="B1416" s="179"/>
      <c r="C1416" s="179"/>
      <c r="D1416" s="179"/>
      <c r="E1416" s="179"/>
      <c r="F1416" s="179"/>
      <c r="G1416" s="179"/>
      <c r="H1416" s="179"/>
      <c r="I1416" s="179"/>
    </row>
    <row r="1417" spans="1:9">
      <c r="A1417" s="179"/>
      <c r="B1417" s="179"/>
      <c r="C1417" s="179"/>
      <c r="D1417" s="179"/>
      <c r="E1417" s="179"/>
      <c r="F1417" s="179"/>
      <c r="G1417" s="179"/>
      <c r="H1417" s="179"/>
      <c r="I1417" s="179"/>
    </row>
    <row r="1418" spans="1:9">
      <c r="A1418" s="179"/>
      <c r="B1418" s="179"/>
      <c r="C1418" s="179"/>
      <c r="D1418" s="179"/>
      <c r="E1418" s="179"/>
      <c r="F1418" s="179"/>
      <c r="G1418" s="179"/>
      <c r="H1418" s="179"/>
      <c r="I1418" s="179"/>
    </row>
    <row r="1419" spans="1:9">
      <c r="A1419" s="179"/>
      <c r="B1419" s="179"/>
      <c r="C1419" s="179"/>
      <c r="D1419" s="179"/>
      <c r="E1419" s="179"/>
      <c r="F1419" s="179"/>
      <c r="G1419" s="179"/>
      <c r="H1419" s="179"/>
      <c r="I1419" s="179"/>
    </row>
    <row r="1420" spans="1:9">
      <c r="A1420" s="179"/>
      <c r="B1420" s="179"/>
      <c r="C1420" s="179"/>
      <c r="D1420" s="179"/>
      <c r="E1420" s="179"/>
      <c r="F1420" s="179"/>
      <c r="G1420" s="179"/>
      <c r="H1420" s="179"/>
      <c r="I1420" s="179"/>
    </row>
    <row r="1421" spans="1:9">
      <c r="A1421" s="179"/>
      <c r="B1421" s="179"/>
      <c r="C1421" s="179"/>
      <c r="D1421" s="179"/>
      <c r="E1421" s="179"/>
      <c r="F1421" s="179"/>
      <c r="G1421" s="179"/>
      <c r="H1421" s="179"/>
      <c r="I1421" s="179"/>
    </row>
    <row r="1422" spans="1:9">
      <c r="A1422" s="179"/>
      <c r="B1422" s="179"/>
      <c r="C1422" s="179"/>
      <c r="D1422" s="179"/>
      <c r="E1422" s="179"/>
      <c r="F1422" s="179"/>
      <c r="G1422" s="179"/>
      <c r="H1422" s="179"/>
      <c r="I1422" s="179"/>
    </row>
    <row r="1423" spans="1:9">
      <c r="A1423" s="179"/>
      <c r="B1423" s="179"/>
      <c r="C1423" s="179"/>
      <c r="D1423" s="179"/>
      <c r="E1423" s="179"/>
      <c r="F1423" s="179"/>
      <c r="G1423" s="179"/>
      <c r="H1423" s="179"/>
      <c r="I1423" s="179"/>
    </row>
    <row r="1424" spans="1:9">
      <c r="A1424" s="179"/>
      <c r="B1424" s="179"/>
      <c r="C1424" s="179"/>
      <c r="D1424" s="179"/>
      <c r="E1424" s="179"/>
      <c r="F1424" s="179"/>
      <c r="G1424" s="179"/>
      <c r="H1424" s="179"/>
      <c r="I1424" s="179"/>
    </row>
    <row r="1425" spans="1:9">
      <c r="A1425" s="179"/>
      <c r="B1425" s="179"/>
      <c r="C1425" s="179"/>
      <c r="D1425" s="179"/>
      <c r="E1425" s="179"/>
      <c r="F1425" s="179"/>
      <c r="G1425" s="179"/>
      <c r="H1425" s="179"/>
      <c r="I1425" s="179"/>
    </row>
    <row r="1426" spans="1:9">
      <c r="A1426" s="179"/>
      <c r="B1426" s="179"/>
      <c r="C1426" s="179"/>
      <c r="D1426" s="179"/>
      <c r="E1426" s="179"/>
      <c r="F1426" s="179"/>
      <c r="G1426" s="179"/>
      <c r="H1426" s="179"/>
      <c r="I1426" s="179"/>
    </row>
    <row r="1427" spans="1:9">
      <c r="A1427" s="179"/>
      <c r="B1427" s="179"/>
      <c r="C1427" s="179"/>
      <c r="D1427" s="179"/>
      <c r="E1427" s="179"/>
      <c r="F1427" s="179"/>
      <c r="G1427" s="179"/>
      <c r="H1427" s="179"/>
      <c r="I1427" s="179"/>
    </row>
    <row r="1428" spans="1:9">
      <c r="A1428" s="179"/>
      <c r="B1428" s="179"/>
      <c r="C1428" s="179"/>
      <c r="D1428" s="179"/>
      <c r="E1428" s="179"/>
      <c r="F1428" s="179"/>
      <c r="G1428" s="179"/>
      <c r="H1428" s="179"/>
      <c r="I1428" s="179"/>
    </row>
    <row r="1429" spans="1:9">
      <c r="A1429" s="179"/>
      <c r="B1429" s="179"/>
      <c r="C1429" s="179"/>
      <c r="D1429" s="179"/>
      <c r="E1429" s="179"/>
      <c r="F1429" s="179"/>
      <c r="G1429" s="179"/>
      <c r="H1429" s="179"/>
      <c r="I1429" s="179"/>
    </row>
    <row r="1430" spans="1:9">
      <c r="A1430" s="179"/>
      <c r="B1430" s="179"/>
      <c r="C1430" s="179"/>
      <c r="D1430" s="179"/>
      <c r="E1430" s="179"/>
      <c r="F1430" s="179"/>
      <c r="G1430" s="179"/>
      <c r="H1430" s="179"/>
      <c r="I1430" s="179"/>
    </row>
    <row r="1431" spans="1:9">
      <c r="A1431" s="179"/>
      <c r="B1431" s="179"/>
      <c r="C1431" s="179"/>
      <c r="D1431" s="179"/>
      <c r="E1431" s="179"/>
      <c r="F1431" s="179"/>
      <c r="G1431" s="179"/>
      <c r="H1431" s="179"/>
      <c r="I1431" s="179"/>
    </row>
    <row r="1432" spans="1:9">
      <c r="A1432" s="179"/>
      <c r="B1432" s="179"/>
      <c r="C1432" s="179"/>
      <c r="D1432" s="179"/>
      <c r="E1432" s="179"/>
      <c r="F1432" s="179"/>
      <c r="G1432" s="179"/>
      <c r="H1432" s="179"/>
      <c r="I1432" s="179"/>
    </row>
    <row r="1433" spans="1:9">
      <c r="A1433" s="179"/>
      <c r="B1433" s="179"/>
      <c r="C1433" s="179"/>
      <c r="D1433" s="179"/>
      <c r="E1433" s="179"/>
      <c r="F1433" s="179"/>
      <c r="G1433" s="179"/>
      <c r="H1433" s="179"/>
      <c r="I1433" s="179"/>
    </row>
    <row r="1434" spans="1:9">
      <c r="A1434" s="179"/>
      <c r="B1434" s="179"/>
      <c r="C1434" s="179"/>
      <c r="D1434" s="179"/>
      <c r="E1434" s="179"/>
      <c r="F1434" s="179"/>
      <c r="G1434" s="179"/>
      <c r="H1434" s="179"/>
      <c r="I1434" s="179"/>
    </row>
    <row r="1435" spans="1:9">
      <c r="A1435" s="179"/>
      <c r="B1435" s="179"/>
      <c r="C1435" s="179"/>
      <c r="D1435" s="179"/>
      <c r="E1435" s="179"/>
      <c r="F1435" s="179"/>
      <c r="G1435" s="179"/>
      <c r="H1435" s="179"/>
      <c r="I1435" s="179"/>
    </row>
    <row r="1436" spans="1:9">
      <c r="A1436" s="179"/>
      <c r="B1436" s="179"/>
      <c r="C1436" s="179"/>
      <c r="D1436" s="179"/>
      <c r="E1436" s="179"/>
      <c r="F1436" s="179"/>
      <c r="G1436" s="179"/>
      <c r="H1436" s="179"/>
      <c r="I1436" s="179"/>
    </row>
    <row r="1437" spans="1:9">
      <c r="A1437" s="179"/>
      <c r="B1437" s="179"/>
      <c r="C1437" s="179"/>
      <c r="D1437" s="179"/>
      <c r="E1437" s="179"/>
      <c r="F1437" s="179"/>
      <c r="G1437" s="179"/>
      <c r="H1437" s="179"/>
      <c r="I1437" s="179"/>
    </row>
    <row r="1438" spans="1:9">
      <c r="A1438" s="179"/>
      <c r="B1438" s="179"/>
      <c r="C1438" s="179"/>
      <c r="D1438" s="179"/>
      <c r="E1438" s="179"/>
      <c r="F1438" s="179"/>
      <c r="G1438" s="179"/>
      <c r="H1438" s="179"/>
      <c r="I1438" s="179"/>
    </row>
    <row r="1439" spans="1:9">
      <c r="A1439" s="179"/>
      <c r="B1439" s="179"/>
      <c r="C1439" s="179"/>
      <c r="D1439" s="179"/>
      <c r="E1439" s="179"/>
      <c r="F1439" s="179"/>
      <c r="G1439" s="179"/>
      <c r="H1439" s="179"/>
      <c r="I1439" s="179"/>
    </row>
    <row r="1440" spans="1:9">
      <c r="A1440" s="179"/>
      <c r="B1440" s="179"/>
      <c r="C1440" s="179"/>
      <c r="D1440" s="179"/>
      <c r="E1440" s="179"/>
      <c r="F1440" s="179"/>
      <c r="G1440" s="179"/>
      <c r="H1440" s="179"/>
      <c r="I1440" s="179"/>
    </row>
    <row r="1441" spans="1:9">
      <c r="A1441" s="179"/>
      <c r="B1441" s="179"/>
      <c r="C1441" s="179"/>
      <c r="D1441" s="179"/>
      <c r="E1441" s="179"/>
      <c r="F1441" s="179"/>
      <c r="G1441" s="179"/>
      <c r="H1441" s="179"/>
      <c r="I1441" s="179"/>
    </row>
    <row r="1442" spans="1:9">
      <c r="A1442" s="179"/>
      <c r="B1442" s="179"/>
      <c r="C1442" s="179"/>
      <c r="D1442" s="179"/>
      <c r="E1442" s="179"/>
      <c r="F1442" s="179"/>
      <c r="G1442" s="179"/>
      <c r="H1442" s="179"/>
      <c r="I1442" s="179"/>
    </row>
    <row r="1443" spans="1:9">
      <c r="A1443" s="179"/>
      <c r="B1443" s="179"/>
      <c r="C1443" s="179"/>
      <c r="D1443" s="179"/>
      <c r="E1443" s="179"/>
      <c r="F1443" s="179"/>
      <c r="G1443" s="179"/>
      <c r="H1443" s="179"/>
      <c r="I1443" s="179"/>
    </row>
    <row r="1444" spans="1:9">
      <c r="A1444" s="179"/>
      <c r="B1444" s="179"/>
      <c r="C1444" s="179"/>
      <c r="D1444" s="179"/>
      <c r="E1444" s="179"/>
      <c r="F1444" s="179"/>
      <c r="G1444" s="179"/>
      <c r="H1444" s="179"/>
      <c r="I1444" s="179"/>
    </row>
    <row r="1445" spans="1:9">
      <c r="A1445" s="179"/>
      <c r="B1445" s="179"/>
      <c r="C1445" s="179"/>
      <c r="D1445" s="179"/>
      <c r="E1445" s="179"/>
      <c r="F1445" s="179"/>
      <c r="G1445" s="179"/>
      <c r="H1445" s="179"/>
      <c r="I1445" s="179"/>
    </row>
    <row r="1446" spans="1:9">
      <c r="A1446" s="179"/>
      <c r="B1446" s="179"/>
      <c r="C1446" s="179"/>
      <c r="D1446" s="179"/>
      <c r="E1446" s="179"/>
      <c r="F1446" s="179"/>
      <c r="G1446" s="179"/>
      <c r="H1446" s="179"/>
      <c r="I1446" s="179"/>
    </row>
    <row r="1447" spans="1:9">
      <c r="A1447" s="179"/>
      <c r="B1447" s="179"/>
      <c r="C1447" s="179"/>
      <c r="D1447" s="179"/>
      <c r="E1447" s="179"/>
      <c r="F1447" s="179"/>
      <c r="G1447" s="179"/>
      <c r="H1447" s="179"/>
      <c r="I1447" s="179"/>
    </row>
    <row r="1448" spans="1:9">
      <c r="A1448" s="179"/>
      <c r="B1448" s="179"/>
      <c r="C1448" s="179"/>
      <c r="D1448" s="179"/>
      <c r="E1448" s="179"/>
      <c r="F1448" s="179"/>
      <c r="G1448" s="179"/>
      <c r="H1448" s="179"/>
      <c r="I1448" s="179"/>
    </row>
    <row r="1449" spans="1:9">
      <c r="A1449" s="179"/>
      <c r="B1449" s="179"/>
      <c r="C1449" s="179"/>
      <c r="D1449" s="179"/>
      <c r="E1449" s="179"/>
      <c r="F1449" s="179"/>
      <c r="G1449" s="179"/>
      <c r="H1449" s="179"/>
      <c r="I1449" s="179"/>
    </row>
    <row r="1450" spans="1:9">
      <c r="A1450" s="179"/>
      <c r="B1450" s="179"/>
      <c r="C1450" s="179"/>
      <c r="D1450" s="179"/>
      <c r="E1450" s="179"/>
      <c r="F1450" s="179"/>
      <c r="G1450" s="179"/>
      <c r="H1450" s="179"/>
      <c r="I1450" s="179"/>
    </row>
    <row r="1451" spans="1:9">
      <c r="A1451" s="179"/>
      <c r="B1451" s="179"/>
      <c r="C1451" s="179"/>
      <c r="D1451" s="179"/>
      <c r="E1451" s="179"/>
      <c r="F1451" s="179"/>
      <c r="G1451" s="179"/>
      <c r="H1451" s="179"/>
      <c r="I1451" s="179"/>
    </row>
    <row r="1452" spans="1:9">
      <c r="A1452" s="179"/>
      <c r="B1452" s="179"/>
      <c r="C1452" s="179"/>
      <c r="D1452" s="179"/>
      <c r="E1452" s="179"/>
      <c r="F1452" s="179"/>
      <c r="G1452" s="179"/>
      <c r="H1452" s="179"/>
      <c r="I1452" s="179"/>
    </row>
    <row r="1453" spans="1:9">
      <c r="A1453" s="179"/>
      <c r="B1453" s="179"/>
      <c r="C1453" s="179"/>
      <c r="D1453" s="179"/>
      <c r="E1453" s="179"/>
      <c r="F1453" s="179"/>
      <c r="G1453" s="179"/>
      <c r="H1453" s="179"/>
      <c r="I1453" s="179"/>
    </row>
    <row r="1454" spans="1:9">
      <c r="A1454" s="179"/>
      <c r="B1454" s="179"/>
      <c r="C1454" s="179"/>
      <c r="D1454" s="179"/>
      <c r="E1454" s="179"/>
      <c r="F1454" s="179"/>
      <c r="G1454" s="179"/>
      <c r="H1454" s="179"/>
      <c r="I1454" s="179"/>
    </row>
    <row r="1455" spans="1:9">
      <c r="A1455" s="179"/>
      <c r="B1455" s="179"/>
      <c r="C1455" s="179"/>
      <c r="D1455" s="179"/>
      <c r="E1455" s="179"/>
      <c r="F1455" s="179"/>
      <c r="G1455" s="179"/>
      <c r="H1455" s="179"/>
      <c r="I1455" s="179"/>
    </row>
    <row r="1456" spans="1:9">
      <c r="A1456" s="179"/>
      <c r="B1456" s="179"/>
      <c r="C1456" s="179"/>
      <c r="D1456" s="179"/>
      <c r="E1456" s="179"/>
      <c r="F1456" s="179"/>
      <c r="G1456" s="179"/>
      <c r="H1456" s="179"/>
      <c r="I1456" s="179"/>
    </row>
    <row r="1457" spans="1:9">
      <c r="A1457" s="179"/>
      <c r="B1457" s="179"/>
      <c r="C1457" s="179"/>
      <c r="D1457" s="179"/>
      <c r="E1457" s="179"/>
      <c r="F1457" s="179"/>
      <c r="G1457" s="179"/>
      <c r="H1457" s="179"/>
      <c r="I1457" s="179"/>
    </row>
    <row r="1458" spans="1:9">
      <c r="A1458" s="179"/>
      <c r="B1458" s="179"/>
      <c r="C1458" s="179"/>
      <c r="D1458" s="179"/>
      <c r="E1458" s="179"/>
      <c r="F1458" s="179"/>
      <c r="G1458" s="179"/>
      <c r="H1458" s="179"/>
      <c r="I1458" s="179"/>
    </row>
    <row r="1459" spans="1:9">
      <c r="A1459" s="179"/>
      <c r="B1459" s="179"/>
      <c r="C1459" s="179"/>
      <c r="D1459" s="179"/>
      <c r="E1459" s="179"/>
      <c r="F1459" s="179"/>
      <c r="G1459" s="179"/>
      <c r="H1459" s="179"/>
      <c r="I1459" s="179"/>
    </row>
    <row r="1460" spans="1:9">
      <c r="A1460" s="179"/>
      <c r="B1460" s="179"/>
      <c r="C1460" s="179"/>
      <c r="D1460" s="179"/>
      <c r="E1460" s="179"/>
      <c r="F1460" s="179"/>
      <c r="G1460" s="179"/>
      <c r="H1460" s="179"/>
      <c r="I1460" s="179"/>
    </row>
    <row r="1461" spans="1:9">
      <c r="A1461" s="179"/>
      <c r="B1461" s="179"/>
      <c r="C1461" s="179"/>
      <c r="D1461" s="179"/>
      <c r="E1461" s="179"/>
      <c r="F1461" s="179"/>
      <c r="G1461" s="179"/>
      <c r="H1461" s="179"/>
      <c r="I1461" s="179"/>
    </row>
    <row r="1462" spans="1:9">
      <c r="A1462" s="179"/>
      <c r="B1462" s="179"/>
      <c r="C1462" s="179"/>
      <c r="D1462" s="179"/>
      <c r="E1462" s="179"/>
      <c r="F1462" s="179"/>
      <c r="G1462" s="179"/>
      <c r="H1462" s="179"/>
      <c r="I1462" s="179"/>
    </row>
    <row r="1463" spans="1:9">
      <c r="A1463" s="179"/>
      <c r="B1463" s="179"/>
      <c r="C1463" s="179"/>
      <c r="D1463" s="179"/>
      <c r="E1463" s="179"/>
      <c r="F1463" s="179"/>
      <c r="G1463" s="179"/>
      <c r="H1463" s="179"/>
      <c r="I1463" s="179"/>
    </row>
    <row r="1464" spans="1:9">
      <c r="A1464" s="179"/>
      <c r="B1464" s="179"/>
      <c r="C1464" s="179"/>
      <c r="D1464" s="179"/>
      <c r="E1464" s="179"/>
      <c r="F1464" s="179"/>
      <c r="G1464" s="179"/>
      <c r="H1464" s="179"/>
      <c r="I1464" s="179"/>
    </row>
    <row r="1465" spans="1:9">
      <c r="A1465" s="179"/>
      <c r="B1465" s="179"/>
      <c r="C1465" s="179"/>
      <c r="D1465" s="179"/>
      <c r="E1465" s="179"/>
      <c r="F1465" s="179"/>
      <c r="G1465" s="179"/>
      <c r="H1465" s="179"/>
      <c r="I1465" s="179"/>
    </row>
    <row r="1466" spans="1:9">
      <c r="A1466" s="179"/>
      <c r="B1466" s="179"/>
      <c r="C1466" s="179"/>
      <c r="D1466" s="179"/>
      <c r="E1466" s="179"/>
      <c r="F1466" s="179"/>
      <c r="G1466" s="179"/>
      <c r="H1466" s="179"/>
      <c r="I1466" s="179"/>
    </row>
    <row r="1467" spans="1:9">
      <c r="A1467" s="179"/>
      <c r="B1467" s="179"/>
      <c r="C1467" s="179"/>
      <c r="D1467" s="179"/>
      <c r="E1467" s="179"/>
      <c r="F1467" s="179"/>
      <c r="G1467" s="179"/>
      <c r="H1467" s="179"/>
      <c r="I1467" s="179"/>
    </row>
    <row r="1468" spans="1:9">
      <c r="A1468" s="179"/>
      <c r="B1468" s="179"/>
      <c r="C1468" s="179"/>
      <c r="D1468" s="179"/>
      <c r="E1468" s="179"/>
      <c r="F1468" s="179"/>
      <c r="G1468" s="179"/>
      <c r="H1468" s="179"/>
      <c r="I1468" s="179"/>
    </row>
    <row r="1469" spans="1:9">
      <c r="A1469" s="179"/>
      <c r="B1469" s="179"/>
      <c r="C1469" s="179"/>
      <c r="D1469" s="179"/>
      <c r="E1469" s="179"/>
      <c r="F1469" s="179"/>
      <c r="G1469" s="179"/>
      <c r="H1469" s="179"/>
      <c r="I1469" s="179"/>
    </row>
    <row r="1470" spans="1:9">
      <c r="A1470" s="179"/>
      <c r="B1470" s="179"/>
      <c r="C1470" s="179"/>
      <c r="D1470" s="179"/>
      <c r="E1470" s="179"/>
      <c r="F1470" s="179"/>
      <c r="G1470" s="179"/>
      <c r="H1470" s="179"/>
      <c r="I1470" s="179"/>
    </row>
    <row r="1471" spans="1:9">
      <c r="A1471" s="179"/>
      <c r="B1471" s="179"/>
      <c r="C1471" s="179"/>
      <c r="D1471" s="179"/>
      <c r="E1471" s="179"/>
      <c r="F1471" s="179"/>
      <c r="G1471" s="179"/>
      <c r="H1471" s="179"/>
      <c r="I1471" s="179"/>
    </row>
    <row r="1472" spans="1:9">
      <c r="A1472" s="179"/>
      <c r="B1472" s="179"/>
      <c r="C1472" s="179"/>
      <c r="D1472" s="179"/>
      <c r="E1472" s="179"/>
      <c r="F1472" s="179"/>
      <c r="G1472" s="179"/>
      <c r="H1472" s="179"/>
      <c r="I1472" s="179"/>
    </row>
    <row r="1473" spans="1:9">
      <c r="A1473" s="179"/>
      <c r="B1473" s="179"/>
      <c r="C1473" s="179"/>
      <c r="D1473" s="179"/>
      <c r="E1473" s="179"/>
      <c r="F1473" s="179"/>
      <c r="G1473" s="179"/>
      <c r="H1473" s="179"/>
      <c r="I1473" s="179"/>
    </row>
    <row r="1474" spans="1:9">
      <c r="A1474" s="179"/>
      <c r="B1474" s="179"/>
      <c r="C1474" s="179"/>
      <c r="D1474" s="179"/>
      <c r="E1474" s="179"/>
      <c r="F1474" s="179"/>
      <c r="G1474" s="179"/>
      <c r="H1474" s="179"/>
      <c r="I1474" s="179"/>
    </row>
    <row r="1475" spans="1:9">
      <c r="A1475" s="179"/>
      <c r="B1475" s="179"/>
      <c r="C1475" s="179"/>
      <c r="D1475" s="179"/>
      <c r="E1475" s="179"/>
      <c r="F1475" s="179"/>
      <c r="G1475" s="179"/>
      <c r="H1475" s="179"/>
      <c r="I1475" s="179"/>
    </row>
    <row r="1476" spans="1:9">
      <c r="A1476" s="179"/>
      <c r="B1476" s="179"/>
      <c r="C1476" s="179"/>
      <c r="D1476" s="179"/>
      <c r="E1476" s="179"/>
      <c r="F1476" s="179"/>
      <c r="G1476" s="179"/>
      <c r="H1476" s="179"/>
      <c r="I1476" s="179"/>
    </row>
    <row r="1477" spans="1:9">
      <c r="A1477" s="179"/>
      <c r="B1477" s="179"/>
      <c r="C1477" s="179"/>
      <c r="D1477" s="179"/>
      <c r="E1477" s="179"/>
      <c r="F1477" s="179"/>
      <c r="G1477" s="179"/>
      <c r="H1477" s="179"/>
      <c r="I1477" s="179"/>
    </row>
    <row r="1478" spans="1:9">
      <c r="A1478" s="179"/>
      <c r="B1478" s="179"/>
      <c r="C1478" s="179"/>
      <c r="D1478" s="179"/>
      <c r="E1478" s="179"/>
      <c r="F1478" s="179"/>
      <c r="G1478" s="179"/>
      <c r="H1478" s="179"/>
      <c r="I1478" s="179"/>
    </row>
    <row r="1479" spans="1:9">
      <c r="A1479" s="179"/>
      <c r="B1479" s="179"/>
      <c r="C1479" s="179"/>
      <c r="D1479" s="179"/>
      <c r="E1479" s="179"/>
      <c r="F1479" s="179"/>
      <c r="G1479" s="179"/>
      <c r="H1479" s="179"/>
      <c r="I1479" s="179"/>
    </row>
    <row r="1480" spans="1:9">
      <c r="A1480" s="179"/>
      <c r="B1480" s="179"/>
      <c r="C1480" s="179"/>
      <c r="D1480" s="179"/>
      <c r="E1480" s="179"/>
      <c r="F1480" s="179"/>
      <c r="G1480" s="179"/>
      <c r="H1480" s="179"/>
      <c r="I1480" s="179"/>
    </row>
    <row r="1481" spans="1:9">
      <c r="A1481" s="179"/>
      <c r="B1481" s="179"/>
      <c r="C1481" s="179"/>
      <c r="D1481" s="179"/>
      <c r="E1481" s="179"/>
      <c r="F1481" s="179"/>
      <c r="G1481" s="179"/>
      <c r="H1481" s="179"/>
      <c r="I1481" s="179"/>
    </row>
    <row r="1482" spans="1:9">
      <c r="A1482" s="179"/>
      <c r="B1482" s="179"/>
      <c r="C1482" s="179"/>
      <c r="D1482" s="179"/>
      <c r="E1482" s="179"/>
      <c r="F1482" s="179"/>
      <c r="G1482" s="179"/>
      <c r="H1482" s="179"/>
      <c r="I1482" s="179"/>
    </row>
    <row r="1483" spans="1:9">
      <c r="A1483" s="179"/>
      <c r="B1483" s="179"/>
      <c r="C1483" s="179"/>
      <c r="D1483" s="179"/>
      <c r="E1483" s="179"/>
      <c r="F1483" s="179"/>
      <c r="G1483" s="179"/>
      <c r="H1483" s="179"/>
      <c r="I1483" s="179"/>
    </row>
    <row r="1484" spans="1:9">
      <c r="A1484" s="179"/>
      <c r="B1484" s="179"/>
      <c r="C1484" s="179"/>
      <c r="D1484" s="179"/>
      <c r="E1484" s="179"/>
      <c r="F1484" s="179"/>
      <c r="G1484" s="179"/>
      <c r="H1484" s="179"/>
      <c r="I1484" s="179"/>
    </row>
    <row r="1485" spans="1:9">
      <c r="A1485" s="179"/>
      <c r="B1485" s="179"/>
      <c r="C1485" s="179"/>
      <c r="D1485" s="179"/>
      <c r="E1485" s="179"/>
      <c r="F1485" s="179"/>
      <c r="G1485" s="179"/>
      <c r="H1485" s="179"/>
      <c r="I1485" s="179"/>
    </row>
    <row r="1486" spans="1:9">
      <c r="A1486" s="179"/>
      <c r="B1486" s="179"/>
      <c r="C1486" s="179"/>
      <c r="D1486" s="179"/>
      <c r="E1486" s="179"/>
      <c r="F1486" s="179"/>
      <c r="G1486" s="179"/>
      <c r="H1486" s="179"/>
      <c r="I1486" s="179"/>
    </row>
    <row r="1487" spans="1:9">
      <c r="A1487" s="179"/>
      <c r="B1487" s="179"/>
      <c r="C1487" s="179"/>
      <c r="D1487" s="179"/>
      <c r="E1487" s="179"/>
      <c r="F1487" s="179"/>
      <c r="G1487" s="179"/>
      <c r="H1487" s="179"/>
      <c r="I1487" s="179"/>
    </row>
    <row r="1488" spans="1:9">
      <c r="A1488" s="179"/>
      <c r="B1488" s="179"/>
      <c r="C1488" s="179"/>
      <c r="D1488" s="179"/>
      <c r="E1488" s="179"/>
      <c r="F1488" s="179"/>
      <c r="G1488" s="179"/>
      <c r="H1488" s="179"/>
      <c r="I1488" s="179"/>
    </row>
    <row r="1489" spans="1:9">
      <c r="A1489" s="179"/>
      <c r="B1489" s="179"/>
      <c r="C1489" s="179"/>
      <c r="D1489" s="179"/>
      <c r="E1489" s="179"/>
      <c r="F1489" s="179"/>
      <c r="G1489" s="179"/>
      <c r="H1489" s="179"/>
      <c r="I1489" s="179"/>
    </row>
    <row r="1490" spans="1:9">
      <c r="A1490" s="179"/>
      <c r="B1490" s="179"/>
      <c r="C1490" s="179"/>
      <c r="D1490" s="179"/>
      <c r="E1490" s="179"/>
      <c r="F1490" s="179"/>
      <c r="G1490" s="179"/>
      <c r="H1490" s="179"/>
      <c r="I1490" s="179"/>
    </row>
    <row r="1491" spans="1:9">
      <c r="A1491" s="179"/>
      <c r="B1491" s="179"/>
      <c r="C1491" s="179"/>
      <c r="D1491" s="179"/>
      <c r="E1491" s="179"/>
      <c r="F1491" s="179"/>
      <c r="G1491" s="179"/>
      <c r="H1491" s="179"/>
      <c r="I1491" s="179"/>
    </row>
    <row r="1492" spans="1:9">
      <c r="A1492" s="179"/>
      <c r="B1492" s="179"/>
      <c r="C1492" s="179"/>
      <c r="D1492" s="179"/>
      <c r="E1492" s="179"/>
      <c r="F1492" s="179"/>
      <c r="G1492" s="179"/>
      <c r="H1492" s="179"/>
      <c r="I1492" s="179"/>
    </row>
    <row r="1493" spans="1:9">
      <c r="A1493" s="179"/>
      <c r="B1493" s="179"/>
      <c r="C1493" s="179"/>
      <c r="D1493" s="179"/>
      <c r="E1493" s="179"/>
      <c r="F1493" s="179"/>
      <c r="G1493" s="179"/>
      <c r="H1493" s="179"/>
      <c r="I1493" s="179"/>
    </row>
    <row r="1494" spans="1:9">
      <c r="A1494" s="179"/>
      <c r="B1494" s="179"/>
      <c r="C1494" s="179"/>
      <c r="D1494" s="179"/>
      <c r="E1494" s="179"/>
      <c r="F1494" s="179"/>
      <c r="G1494" s="179"/>
      <c r="H1494" s="179"/>
      <c r="I1494" s="179"/>
    </row>
    <row r="1495" spans="1:9">
      <c r="A1495" s="179"/>
      <c r="B1495" s="179"/>
      <c r="C1495" s="179"/>
      <c r="D1495" s="179"/>
      <c r="E1495" s="179"/>
      <c r="F1495" s="179"/>
      <c r="G1495" s="179"/>
      <c r="H1495" s="179"/>
      <c r="I1495" s="179"/>
    </row>
    <row r="1496" spans="1:9">
      <c r="A1496" s="179"/>
      <c r="B1496" s="179"/>
      <c r="C1496" s="179"/>
      <c r="D1496" s="179"/>
      <c r="E1496" s="179"/>
      <c r="F1496" s="179"/>
      <c r="G1496" s="179"/>
      <c r="H1496" s="179"/>
      <c r="I1496" s="179"/>
    </row>
    <row r="1497" spans="1:9">
      <c r="A1497" s="179"/>
      <c r="B1497" s="179"/>
      <c r="C1497" s="179"/>
      <c r="D1497" s="179"/>
      <c r="E1497" s="179"/>
      <c r="F1497" s="179"/>
      <c r="G1497" s="179"/>
      <c r="H1497" s="179"/>
      <c r="I1497" s="179"/>
    </row>
    <row r="1498" spans="1:9">
      <c r="A1498" s="179"/>
      <c r="B1498" s="179"/>
      <c r="C1498" s="179"/>
      <c r="D1498" s="179"/>
      <c r="E1498" s="179"/>
      <c r="F1498" s="179"/>
      <c r="G1498" s="179"/>
      <c r="H1498" s="179"/>
      <c r="I1498" s="179"/>
    </row>
    <row r="1499" spans="1:9">
      <c r="A1499" s="179"/>
      <c r="B1499" s="179"/>
      <c r="C1499" s="179"/>
      <c r="D1499" s="179"/>
      <c r="E1499" s="179"/>
      <c r="F1499" s="179"/>
      <c r="G1499" s="179"/>
      <c r="H1499" s="179"/>
      <c r="I1499" s="179"/>
    </row>
    <row r="1500" spans="1:9">
      <c r="A1500" s="179"/>
      <c r="B1500" s="179"/>
      <c r="C1500" s="179"/>
      <c r="D1500" s="179"/>
      <c r="E1500" s="179"/>
      <c r="F1500" s="179"/>
      <c r="G1500" s="179"/>
      <c r="H1500" s="179"/>
      <c r="I1500" s="179"/>
    </row>
    <row r="1501" spans="1:9">
      <c r="A1501" s="179"/>
      <c r="B1501" s="179"/>
      <c r="C1501" s="179"/>
      <c r="D1501" s="179"/>
      <c r="E1501" s="179"/>
      <c r="F1501" s="179"/>
      <c r="G1501" s="179"/>
      <c r="H1501" s="179"/>
      <c r="I1501" s="179"/>
    </row>
    <row r="1502" spans="1:9">
      <c r="A1502" s="179"/>
      <c r="B1502" s="179"/>
      <c r="C1502" s="179"/>
      <c r="D1502" s="179"/>
      <c r="E1502" s="179"/>
      <c r="F1502" s="179"/>
      <c r="G1502" s="179"/>
      <c r="H1502" s="179"/>
      <c r="I1502" s="179"/>
    </row>
    <row r="1503" spans="1:9">
      <c r="A1503" s="179"/>
      <c r="B1503" s="179"/>
      <c r="C1503" s="179"/>
      <c r="D1503" s="179"/>
      <c r="E1503" s="179"/>
      <c r="F1503" s="179"/>
      <c r="G1503" s="179"/>
      <c r="H1503" s="179"/>
      <c r="I1503" s="179"/>
    </row>
    <row r="1504" spans="1:9">
      <c r="A1504" s="179"/>
      <c r="B1504" s="179"/>
      <c r="C1504" s="179"/>
      <c r="D1504" s="179"/>
      <c r="E1504" s="179"/>
      <c r="F1504" s="179"/>
      <c r="G1504" s="179"/>
      <c r="H1504" s="179"/>
      <c r="I1504" s="179"/>
    </row>
    <row r="1505" spans="1:9">
      <c r="A1505" s="179"/>
      <c r="B1505" s="179"/>
      <c r="C1505" s="179"/>
      <c r="D1505" s="179"/>
      <c r="E1505" s="179"/>
      <c r="F1505" s="179"/>
      <c r="G1505" s="179"/>
      <c r="H1505" s="179"/>
      <c r="I1505" s="179"/>
    </row>
    <row r="1506" spans="1:9">
      <c r="A1506" s="179"/>
      <c r="B1506" s="179"/>
      <c r="C1506" s="179"/>
      <c r="D1506" s="179"/>
      <c r="E1506" s="179"/>
      <c r="F1506" s="179"/>
      <c r="G1506" s="179"/>
      <c r="H1506" s="179"/>
      <c r="I1506" s="179"/>
    </row>
    <row r="1507" spans="1:9">
      <c r="A1507" s="179"/>
      <c r="B1507" s="179"/>
      <c r="C1507" s="179"/>
      <c r="D1507" s="179"/>
      <c r="E1507" s="179"/>
      <c r="F1507" s="179"/>
      <c r="G1507" s="179"/>
      <c r="H1507" s="179"/>
      <c r="I1507" s="179"/>
    </row>
    <row r="1508" spans="1:9">
      <c r="A1508" s="179"/>
      <c r="B1508" s="179"/>
      <c r="C1508" s="179"/>
      <c r="D1508" s="179"/>
      <c r="E1508" s="179"/>
      <c r="F1508" s="179"/>
      <c r="G1508" s="179"/>
      <c r="H1508" s="179"/>
      <c r="I1508" s="179"/>
    </row>
    <row r="1509" spans="1:9">
      <c r="A1509" s="179"/>
      <c r="B1509" s="179"/>
      <c r="C1509" s="179"/>
      <c r="D1509" s="179"/>
      <c r="E1509" s="179"/>
      <c r="F1509" s="179"/>
      <c r="G1509" s="179"/>
      <c r="H1509" s="179"/>
      <c r="I1509" s="179"/>
    </row>
    <row r="1510" spans="1:9">
      <c r="A1510" s="179"/>
      <c r="B1510" s="179"/>
      <c r="C1510" s="179"/>
      <c r="D1510" s="179"/>
      <c r="E1510" s="179"/>
      <c r="F1510" s="179"/>
      <c r="G1510" s="179"/>
      <c r="H1510" s="179"/>
      <c r="I1510" s="179"/>
    </row>
    <row r="1511" spans="1:9">
      <c r="A1511" s="179"/>
      <c r="B1511" s="179"/>
      <c r="C1511" s="179"/>
      <c r="D1511" s="179"/>
      <c r="E1511" s="179"/>
      <c r="F1511" s="179"/>
      <c r="G1511" s="179"/>
      <c r="H1511" s="179"/>
      <c r="I1511" s="179"/>
    </row>
    <row r="1512" spans="1:9">
      <c r="A1512" s="179"/>
      <c r="B1512" s="179"/>
      <c r="C1512" s="179"/>
      <c r="D1512" s="179"/>
      <c r="E1512" s="179"/>
      <c r="F1512" s="179"/>
      <c r="G1512" s="179"/>
      <c r="H1512" s="179"/>
      <c r="I1512" s="179"/>
    </row>
    <row r="1513" spans="1:9">
      <c r="A1513" s="179"/>
      <c r="B1513" s="179"/>
      <c r="C1513" s="179"/>
      <c r="D1513" s="179"/>
      <c r="E1513" s="179"/>
      <c r="F1513" s="179"/>
      <c r="G1513" s="179"/>
      <c r="H1513" s="179"/>
      <c r="I1513" s="179"/>
    </row>
    <row r="1514" spans="1:9">
      <c r="A1514" s="179"/>
      <c r="B1514" s="179"/>
      <c r="C1514" s="179"/>
      <c r="D1514" s="179"/>
      <c r="E1514" s="179"/>
      <c r="F1514" s="179"/>
      <c r="G1514" s="179"/>
      <c r="H1514" s="179"/>
      <c r="I1514" s="179"/>
    </row>
    <row r="1515" spans="1:9">
      <c r="A1515" s="179"/>
      <c r="B1515" s="179"/>
      <c r="C1515" s="179"/>
      <c r="D1515" s="179"/>
      <c r="E1515" s="179"/>
      <c r="F1515" s="179"/>
      <c r="G1515" s="179"/>
      <c r="H1515" s="179"/>
      <c r="I1515" s="179"/>
    </row>
    <row r="1516" spans="1:9">
      <c r="A1516" s="179"/>
      <c r="B1516" s="179"/>
      <c r="C1516" s="179"/>
      <c r="D1516" s="179"/>
      <c r="E1516" s="179"/>
      <c r="F1516" s="179"/>
      <c r="G1516" s="179"/>
      <c r="H1516" s="179"/>
      <c r="I1516" s="179"/>
    </row>
    <row r="1517" spans="1:9">
      <c r="A1517" s="179"/>
      <c r="B1517" s="179"/>
      <c r="C1517" s="179"/>
      <c r="D1517" s="179"/>
      <c r="E1517" s="179"/>
      <c r="F1517" s="179"/>
      <c r="G1517" s="179"/>
      <c r="H1517" s="179"/>
      <c r="I1517" s="179"/>
    </row>
    <row r="1518" spans="1:9">
      <c r="A1518" s="179"/>
      <c r="B1518" s="179"/>
      <c r="C1518" s="179"/>
      <c r="D1518" s="179"/>
      <c r="E1518" s="179"/>
      <c r="F1518" s="179"/>
      <c r="G1518" s="179"/>
      <c r="H1518" s="179"/>
      <c r="I1518" s="179"/>
    </row>
    <row r="1519" spans="1:9">
      <c r="A1519" s="179"/>
      <c r="B1519" s="179"/>
      <c r="C1519" s="179"/>
      <c r="D1519" s="179"/>
      <c r="E1519" s="179"/>
      <c r="F1519" s="179"/>
      <c r="G1519" s="179"/>
      <c r="H1519" s="179"/>
      <c r="I1519" s="179"/>
    </row>
    <row r="1520" spans="1:9">
      <c r="A1520" s="179"/>
      <c r="B1520" s="179"/>
      <c r="C1520" s="179"/>
      <c r="D1520" s="179"/>
      <c r="E1520" s="179"/>
      <c r="F1520" s="179"/>
      <c r="G1520" s="179"/>
      <c r="H1520" s="179"/>
      <c r="I1520" s="179"/>
    </row>
    <row r="1521" spans="1:9">
      <c r="A1521" s="179"/>
      <c r="B1521" s="179"/>
      <c r="C1521" s="179"/>
      <c r="D1521" s="179"/>
      <c r="E1521" s="179"/>
      <c r="F1521" s="179"/>
      <c r="G1521" s="179"/>
      <c r="H1521" s="179"/>
      <c r="I1521" s="179"/>
    </row>
    <row r="1522" spans="1:9">
      <c r="A1522" s="179"/>
      <c r="B1522" s="179"/>
      <c r="C1522" s="179"/>
      <c r="D1522" s="179"/>
      <c r="E1522" s="179"/>
      <c r="F1522" s="179"/>
      <c r="G1522" s="179"/>
      <c r="H1522" s="179"/>
      <c r="I1522" s="179"/>
    </row>
    <row r="1523" spans="1:9">
      <c r="A1523" s="179"/>
      <c r="B1523" s="179"/>
      <c r="C1523" s="179"/>
      <c r="D1523" s="179"/>
      <c r="E1523" s="179"/>
      <c r="F1523" s="179"/>
      <c r="G1523" s="179"/>
      <c r="H1523" s="179"/>
      <c r="I1523" s="179"/>
    </row>
    <row r="1524" spans="1:9">
      <c r="A1524" s="179"/>
      <c r="B1524" s="179"/>
      <c r="C1524" s="179"/>
      <c r="D1524" s="179"/>
      <c r="E1524" s="179"/>
      <c r="F1524" s="179"/>
      <c r="G1524" s="179"/>
      <c r="H1524" s="179"/>
      <c r="I1524" s="179"/>
    </row>
    <row r="1525" spans="1:9">
      <c r="A1525" s="179"/>
      <c r="B1525" s="179"/>
      <c r="C1525" s="179"/>
      <c r="D1525" s="179"/>
      <c r="E1525" s="179"/>
      <c r="F1525" s="179"/>
      <c r="G1525" s="179"/>
      <c r="H1525" s="179"/>
      <c r="I1525" s="179"/>
    </row>
    <row r="1526" spans="1:9">
      <c r="A1526" s="179"/>
      <c r="B1526" s="179"/>
      <c r="C1526" s="179"/>
      <c r="D1526" s="179"/>
      <c r="E1526" s="179"/>
      <c r="F1526" s="179"/>
      <c r="G1526" s="179"/>
      <c r="H1526" s="179"/>
      <c r="I1526" s="179"/>
    </row>
    <row r="1527" spans="1:9">
      <c r="A1527" s="179"/>
      <c r="B1527" s="179"/>
      <c r="C1527" s="179"/>
      <c r="D1527" s="179"/>
      <c r="E1527" s="179"/>
      <c r="F1527" s="179"/>
      <c r="G1527" s="179"/>
      <c r="H1527" s="179"/>
      <c r="I1527" s="179"/>
    </row>
    <row r="1528" spans="1:9">
      <c r="A1528" s="179"/>
      <c r="B1528" s="179"/>
      <c r="C1528" s="179"/>
      <c r="D1528" s="179"/>
      <c r="E1528" s="179"/>
      <c r="F1528" s="179"/>
      <c r="G1528" s="179"/>
      <c r="H1528" s="179"/>
      <c r="I1528" s="179"/>
    </row>
    <row r="1529" spans="1:9">
      <c r="A1529" s="179"/>
      <c r="B1529" s="179"/>
      <c r="C1529" s="179"/>
      <c r="D1529" s="179"/>
      <c r="E1529" s="179"/>
      <c r="F1529" s="179"/>
      <c r="G1529" s="179"/>
      <c r="H1529" s="179"/>
      <c r="I1529" s="179"/>
    </row>
    <row r="1530" spans="1:9">
      <c r="A1530" s="179"/>
      <c r="B1530" s="179"/>
      <c r="C1530" s="179"/>
      <c r="D1530" s="179"/>
      <c r="E1530" s="179"/>
      <c r="F1530" s="179"/>
      <c r="G1530" s="179"/>
      <c r="H1530" s="179"/>
      <c r="I1530" s="179"/>
    </row>
    <row r="1531" spans="1:9">
      <c r="A1531" s="179"/>
      <c r="B1531" s="179"/>
      <c r="C1531" s="179"/>
      <c r="D1531" s="179"/>
      <c r="E1531" s="179"/>
      <c r="F1531" s="179"/>
      <c r="G1531" s="179"/>
      <c r="H1531" s="179"/>
      <c r="I1531" s="179"/>
    </row>
    <row r="1532" spans="1:9">
      <c r="A1532" s="179"/>
      <c r="B1532" s="179"/>
      <c r="C1532" s="179"/>
      <c r="D1532" s="179"/>
      <c r="E1532" s="179"/>
      <c r="F1532" s="179"/>
      <c r="G1532" s="179"/>
      <c r="H1532" s="179"/>
      <c r="I1532" s="179"/>
    </row>
    <row r="1533" spans="1:9">
      <c r="A1533" s="179"/>
      <c r="B1533" s="179"/>
      <c r="C1533" s="179"/>
      <c r="D1533" s="179"/>
      <c r="E1533" s="179"/>
      <c r="F1533" s="179"/>
      <c r="G1533" s="179"/>
      <c r="H1533" s="179"/>
      <c r="I1533" s="179"/>
    </row>
    <row r="1534" spans="1:9">
      <c r="A1534" s="179"/>
      <c r="B1534" s="179"/>
      <c r="C1534" s="179"/>
      <c r="D1534" s="179"/>
      <c r="E1534" s="179"/>
      <c r="F1534" s="179"/>
      <c r="G1534" s="179"/>
      <c r="H1534" s="179"/>
      <c r="I1534" s="179"/>
    </row>
    <row r="1535" spans="1:9">
      <c r="A1535" s="179"/>
      <c r="B1535" s="179"/>
      <c r="C1535" s="179"/>
      <c r="D1535" s="179"/>
      <c r="E1535" s="179"/>
      <c r="F1535" s="179"/>
      <c r="G1535" s="179"/>
      <c r="H1535" s="179"/>
      <c r="I1535" s="179"/>
    </row>
    <row r="1536" spans="1:9">
      <c r="A1536" s="179"/>
      <c r="B1536" s="179"/>
      <c r="C1536" s="179"/>
      <c r="D1536" s="179"/>
      <c r="E1536" s="179"/>
      <c r="F1536" s="179"/>
      <c r="G1536" s="179"/>
      <c r="H1536" s="179"/>
      <c r="I1536" s="179"/>
    </row>
    <row r="1537" spans="1:9">
      <c r="A1537" s="179"/>
      <c r="B1537" s="179"/>
      <c r="C1537" s="179"/>
      <c r="D1537" s="179"/>
      <c r="E1537" s="179"/>
      <c r="F1537" s="179"/>
      <c r="G1537" s="179"/>
      <c r="H1537" s="179"/>
      <c r="I1537" s="179"/>
    </row>
    <row r="1538" spans="1:9">
      <c r="A1538" s="179"/>
      <c r="B1538" s="179"/>
      <c r="C1538" s="179"/>
      <c r="D1538" s="179"/>
      <c r="E1538" s="179"/>
      <c r="F1538" s="179"/>
      <c r="G1538" s="179"/>
      <c r="H1538" s="179"/>
      <c r="I1538" s="179"/>
    </row>
    <row r="1539" spans="1:9">
      <c r="A1539" s="179"/>
      <c r="B1539" s="179"/>
      <c r="C1539" s="179"/>
      <c r="D1539" s="179"/>
      <c r="E1539" s="179"/>
      <c r="F1539" s="179"/>
      <c r="G1539" s="179"/>
      <c r="H1539" s="179"/>
      <c r="I1539" s="179"/>
    </row>
    <row r="1540" spans="1:9">
      <c r="A1540" s="179"/>
      <c r="B1540" s="179"/>
      <c r="C1540" s="179"/>
      <c r="D1540" s="179"/>
      <c r="E1540" s="179"/>
      <c r="F1540" s="179"/>
      <c r="G1540" s="179"/>
      <c r="H1540" s="179"/>
      <c r="I1540" s="179"/>
    </row>
    <row r="1541" spans="1:9">
      <c r="A1541" s="179"/>
      <c r="B1541" s="179"/>
      <c r="C1541" s="179"/>
      <c r="D1541" s="179"/>
      <c r="E1541" s="179"/>
      <c r="F1541" s="179"/>
      <c r="G1541" s="179"/>
      <c r="H1541" s="179"/>
      <c r="I1541" s="179"/>
    </row>
    <row r="1542" spans="1:9">
      <c r="A1542" s="179"/>
      <c r="B1542" s="179"/>
      <c r="C1542" s="179"/>
      <c r="D1542" s="179"/>
      <c r="E1542" s="179"/>
      <c r="F1542" s="179"/>
      <c r="G1542" s="179"/>
      <c r="H1542" s="179"/>
      <c r="I1542" s="179"/>
    </row>
    <row r="1543" spans="1:9">
      <c r="A1543" s="179"/>
      <c r="B1543" s="179"/>
      <c r="C1543" s="179"/>
      <c r="D1543" s="179"/>
      <c r="E1543" s="179"/>
      <c r="F1543" s="179"/>
      <c r="G1543" s="179"/>
      <c r="H1543" s="179"/>
      <c r="I1543" s="179"/>
    </row>
    <row r="1544" spans="1:9">
      <c r="A1544" s="179"/>
      <c r="B1544" s="179"/>
      <c r="C1544" s="179"/>
      <c r="D1544" s="179"/>
      <c r="E1544" s="179"/>
      <c r="F1544" s="179"/>
      <c r="G1544" s="179"/>
      <c r="H1544" s="179"/>
      <c r="I1544" s="179"/>
    </row>
    <row r="1545" spans="1:9">
      <c r="A1545" s="179"/>
      <c r="B1545" s="179"/>
      <c r="C1545" s="179"/>
      <c r="D1545" s="179"/>
      <c r="E1545" s="179"/>
      <c r="F1545" s="179"/>
      <c r="G1545" s="179"/>
      <c r="H1545" s="179"/>
      <c r="I1545" s="179"/>
    </row>
    <row r="1546" spans="1:9">
      <c r="A1546" s="179"/>
      <c r="B1546" s="179"/>
      <c r="C1546" s="179"/>
      <c r="D1546" s="179"/>
      <c r="E1546" s="179"/>
      <c r="F1546" s="179"/>
      <c r="G1546" s="179"/>
      <c r="H1546" s="179"/>
      <c r="I1546" s="179"/>
    </row>
    <row r="1547" spans="1:9">
      <c r="A1547" s="179"/>
      <c r="B1547" s="179"/>
      <c r="C1547" s="179"/>
      <c r="D1547" s="179"/>
      <c r="E1547" s="179"/>
      <c r="F1547" s="179"/>
      <c r="G1547" s="179"/>
      <c r="H1547" s="179"/>
      <c r="I1547" s="179"/>
    </row>
    <row r="1548" spans="1:9">
      <c r="A1548" s="179"/>
      <c r="B1548" s="179"/>
      <c r="C1548" s="179"/>
      <c r="D1548" s="179"/>
      <c r="E1548" s="179"/>
      <c r="F1548" s="179"/>
      <c r="G1548" s="179"/>
      <c r="H1548" s="179"/>
      <c r="I1548" s="179"/>
    </row>
    <row r="1549" spans="1:9">
      <c r="A1549" s="179"/>
      <c r="B1549" s="179"/>
      <c r="C1549" s="179"/>
      <c r="D1549" s="179"/>
      <c r="E1549" s="179"/>
      <c r="F1549" s="179"/>
      <c r="G1549" s="179"/>
      <c r="H1549" s="179"/>
      <c r="I1549" s="179"/>
    </row>
    <row r="1550" spans="1:9">
      <c r="A1550" s="179"/>
      <c r="B1550" s="179"/>
      <c r="C1550" s="179"/>
      <c r="D1550" s="179"/>
      <c r="E1550" s="179"/>
      <c r="F1550" s="179"/>
      <c r="G1550" s="179"/>
      <c r="H1550" s="179"/>
      <c r="I1550" s="179"/>
    </row>
    <row r="1551" spans="1:9">
      <c r="A1551" s="179"/>
      <c r="B1551" s="179"/>
      <c r="C1551" s="179"/>
      <c r="D1551" s="179"/>
      <c r="E1551" s="179"/>
      <c r="F1551" s="179"/>
      <c r="G1551" s="179"/>
      <c r="H1551" s="179"/>
      <c r="I1551" s="179"/>
    </row>
    <row r="1552" spans="1:9">
      <c r="A1552" s="179"/>
      <c r="B1552" s="179"/>
      <c r="C1552" s="179"/>
      <c r="D1552" s="179"/>
      <c r="E1552" s="179"/>
      <c r="F1552" s="179"/>
      <c r="G1552" s="179"/>
      <c r="H1552" s="179"/>
      <c r="I1552" s="179"/>
    </row>
    <row r="1553" spans="1:9">
      <c r="A1553" s="179"/>
      <c r="B1553" s="179"/>
      <c r="C1553" s="179"/>
      <c r="D1553" s="179"/>
      <c r="E1553" s="179"/>
      <c r="F1553" s="179"/>
      <c r="G1553" s="179"/>
      <c r="H1553" s="179"/>
      <c r="I1553" s="179"/>
    </row>
    <row r="1554" spans="1:9">
      <c r="A1554" s="179"/>
      <c r="B1554" s="179"/>
      <c r="C1554" s="179"/>
      <c r="D1554" s="179"/>
      <c r="E1554" s="179"/>
      <c r="F1554" s="179"/>
      <c r="G1554" s="179"/>
      <c r="H1554" s="179"/>
      <c r="I1554" s="179"/>
    </row>
    <row r="1555" spans="1:9">
      <c r="A1555" s="179"/>
      <c r="B1555" s="179"/>
      <c r="C1555" s="179"/>
      <c r="D1555" s="179"/>
      <c r="E1555" s="179"/>
      <c r="F1555" s="179"/>
      <c r="G1555" s="179"/>
      <c r="H1555" s="179"/>
      <c r="I1555" s="179"/>
    </row>
    <row r="1556" spans="1:9">
      <c r="A1556" s="179"/>
      <c r="B1556" s="179"/>
      <c r="C1556" s="179"/>
      <c r="D1556" s="179"/>
      <c r="E1556" s="179"/>
      <c r="F1556" s="179"/>
      <c r="G1556" s="179"/>
      <c r="H1556" s="179"/>
      <c r="I1556" s="179"/>
    </row>
    <row r="1557" spans="1:9">
      <c r="A1557" s="179"/>
      <c r="B1557" s="179"/>
      <c r="C1557" s="179"/>
      <c r="D1557" s="179"/>
      <c r="E1557" s="179"/>
      <c r="F1557" s="179"/>
      <c r="G1557" s="179"/>
      <c r="H1557" s="179"/>
      <c r="I1557" s="179"/>
    </row>
    <row r="1558" spans="1:9">
      <c r="A1558" s="179"/>
      <c r="B1558" s="179"/>
      <c r="C1558" s="179"/>
      <c r="D1558" s="179"/>
      <c r="E1558" s="179"/>
      <c r="F1558" s="179"/>
      <c r="G1558" s="179"/>
      <c r="H1558" s="179"/>
      <c r="I1558" s="179"/>
    </row>
    <row r="1559" spans="1:9">
      <c r="A1559" s="179"/>
      <c r="B1559" s="179"/>
      <c r="C1559" s="179"/>
      <c r="D1559" s="179"/>
      <c r="E1559" s="179"/>
      <c r="F1559" s="179"/>
      <c r="G1559" s="179"/>
      <c r="H1559" s="179"/>
      <c r="I1559" s="179"/>
    </row>
    <row r="1560" spans="1:9">
      <c r="A1560" s="179"/>
      <c r="B1560" s="179"/>
      <c r="C1560" s="179"/>
      <c r="D1560" s="179"/>
      <c r="E1560" s="179"/>
      <c r="F1560" s="179"/>
      <c r="G1560" s="179"/>
      <c r="H1560" s="179"/>
      <c r="I1560" s="179"/>
    </row>
    <row r="1561" spans="1:9">
      <c r="A1561" s="179"/>
      <c r="B1561" s="179"/>
      <c r="C1561" s="179"/>
      <c r="D1561" s="179"/>
      <c r="E1561" s="179"/>
      <c r="F1561" s="179"/>
      <c r="G1561" s="179"/>
      <c r="H1561" s="179"/>
      <c r="I1561" s="179"/>
    </row>
    <row r="1562" spans="1:9">
      <c r="A1562" s="179"/>
      <c r="B1562" s="179"/>
      <c r="C1562" s="179"/>
      <c r="D1562" s="179"/>
      <c r="E1562" s="179"/>
      <c r="F1562" s="179"/>
      <c r="G1562" s="179"/>
      <c r="H1562" s="179"/>
      <c r="I1562" s="179"/>
    </row>
    <row r="1563" spans="1:9">
      <c r="A1563" s="179"/>
      <c r="B1563" s="179"/>
      <c r="C1563" s="179"/>
      <c r="D1563" s="179"/>
      <c r="E1563" s="179"/>
      <c r="F1563" s="179"/>
      <c r="G1563" s="179"/>
      <c r="H1563" s="179"/>
      <c r="I1563" s="179"/>
    </row>
    <row r="1564" spans="1:9">
      <c r="A1564" s="179"/>
      <c r="B1564" s="179"/>
      <c r="C1564" s="179"/>
      <c r="D1564" s="179"/>
      <c r="E1564" s="179"/>
      <c r="F1564" s="179"/>
      <c r="G1564" s="179"/>
      <c r="H1564" s="179"/>
      <c r="I1564" s="179"/>
    </row>
    <row r="1565" spans="1:9">
      <c r="A1565" s="179"/>
      <c r="B1565" s="179"/>
      <c r="C1565" s="179"/>
      <c r="D1565" s="179"/>
      <c r="E1565" s="179"/>
      <c r="F1565" s="179"/>
      <c r="G1565" s="179"/>
      <c r="H1565" s="179"/>
      <c r="I1565" s="179"/>
    </row>
    <row r="1566" spans="1:9">
      <c r="A1566" s="179"/>
      <c r="B1566" s="179"/>
      <c r="C1566" s="179"/>
      <c r="D1566" s="179"/>
      <c r="E1566" s="179"/>
      <c r="F1566" s="179"/>
      <c r="G1566" s="179"/>
      <c r="H1566" s="179"/>
      <c r="I1566" s="179"/>
    </row>
    <row r="1567" spans="1:9">
      <c r="A1567" s="179"/>
      <c r="B1567" s="179"/>
      <c r="C1567" s="179"/>
      <c r="D1567" s="179"/>
      <c r="E1567" s="179"/>
      <c r="F1567" s="179"/>
      <c r="G1567" s="179"/>
      <c r="H1567" s="179"/>
      <c r="I1567" s="179"/>
    </row>
    <row r="1568" spans="1:9">
      <c r="A1568" s="179"/>
      <c r="B1568" s="179"/>
      <c r="C1568" s="179"/>
      <c r="D1568" s="179"/>
      <c r="E1568" s="179"/>
      <c r="F1568" s="179"/>
      <c r="G1568" s="179"/>
      <c r="H1568" s="179"/>
      <c r="I1568" s="179"/>
    </row>
    <row r="1569" spans="1:9">
      <c r="A1569" s="179"/>
      <c r="B1569" s="179"/>
      <c r="C1569" s="179"/>
      <c r="D1569" s="179"/>
      <c r="E1569" s="179"/>
      <c r="F1569" s="179"/>
      <c r="G1569" s="179"/>
      <c r="H1569" s="179"/>
      <c r="I1569" s="179"/>
    </row>
    <row r="1570" spans="1:9">
      <c r="A1570" s="179"/>
      <c r="B1570" s="179"/>
      <c r="C1570" s="179"/>
      <c r="D1570" s="179"/>
      <c r="E1570" s="179"/>
      <c r="F1570" s="179"/>
      <c r="G1570" s="179"/>
      <c r="H1570" s="179"/>
      <c r="I1570" s="179"/>
    </row>
    <row r="1571" spans="1:9">
      <c r="A1571" s="179"/>
      <c r="B1571" s="179"/>
      <c r="C1571" s="179"/>
      <c r="D1571" s="179"/>
      <c r="E1571" s="179"/>
      <c r="F1571" s="179"/>
      <c r="G1571" s="179"/>
      <c r="H1571" s="179"/>
      <c r="I1571" s="179"/>
    </row>
    <row r="1572" spans="1:9">
      <c r="A1572" s="179"/>
      <c r="B1572" s="179"/>
      <c r="C1572" s="179"/>
      <c r="D1572" s="179"/>
      <c r="E1572" s="179"/>
      <c r="F1572" s="179"/>
      <c r="G1572" s="179"/>
      <c r="H1572" s="179"/>
      <c r="I1572" s="179"/>
    </row>
    <row r="1573" spans="1:9">
      <c r="A1573" s="179"/>
      <c r="B1573" s="179"/>
      <c r="C1573" s="179"/>
      <c r="D1573" s="179"/>
      <c r="E1573" s="179"/>
      <c r="F1573" s="179"/>
      <c r="G1573" s="179"/>
      <c r="H1573" s="179"/>
      <c r="I1573" s="179"/>
    </row>
    <row r="1574" spans="1:9">
      <c r="A1574" s="179"/>
      <c r="B1574" s="179"/>
      <c r="C1574" s="179"/>
      <c r="D1574" s="179"/>
      <c r="E1574" s="179"/>
      <c r="F1574" s="179"/>
      <c r="G1574" s="179"/>
      <c r="H1574" s="179"/>
      <c r="I1574" s="179"/>
    </row>
    <row r="1575" spans="1:9">
      <c r="A1575" s="179"/>
      <c r="B1575" s="179"/>
      <c r="C1575" s="179"/>
      <c r="D1575" s="179"/>
      <c r="E1575" s="179"/>
      <c r="F1575" s="179"/>
      <c r="G1575" s="179"/>
      <c r="H1575" s="179"/>
      <c r="I1575" s="179"/>
    </row>
    <row r="1576" spans="1:9">
      <c r="A1576" s="179"/>
      <c r="B1576" s="179"/>
      <c r="C1576" s="179"/>
      <c r="D1576" s="179"/>
      <c r="E1576" s="179"/>
      <c r="F1576" s="179"/>
      <c r="G1576" s="179"/>
      <c r="H1576" s="179"/>
      <c r="I1576" s="179"/>
    </row>
    <row r="1577" spans="1:9">
      <c r="A1577" s="179"/>
      <c r="B1577" s="179"/>
      <c r="C1577" s="179"/>
      <c r="D1577" s="179"/>
      <c r="E1577" s="179"/>
      <c r="F1577" s="179"/>
      <c r="G1577" s="179"/>
      <c r="H1577" s="179"/>
      <c r="I1577" s="179"/>
    </row>
    <row r="1578" spans="1:9">
      <c r="A1578" s="179"/>
      <c r="B1578" s="179"/>
      <c r="C1578" s="179"/>
      <c r="D1578" s="179"/>
      <c r="E1578" s="179"/>
      <c r="F1578" s="179"/>
      <c r="G1578" s="179"/>
      <c r="H1578" s="179"/>
      <c r="I1578" s="179"/>
    </row>
    <row r="1579" spans="1:9">
      <c r="A1579" s="179"/>
      <c r="B1579" s="179"/>
      <c r="C1579" s="179"/>
      <c r="D1579" s="179"/>
      <c r="E1579" s="179"/>
      <c r="F1579" s="179"/>
      <c r="G1579" s="179"/>
      <c r="H1579" s="179"/>
      <c r="I1579" s="179"/>
    </row>
    <row r="1580" spans="1:9">
      <c r="A1580" s="179"/>
      <c r="B1580" s="179"/>
      <c r="C1580" s="179"/>
      <c r="D1580" s="179"/>
      <c r="E1580" s="179"/>
      <c r="F1580" s="179"/>
      <c r="G1580" s="179"/>
      <c r="H1580" s="179"/>
      <c r="I1580" s="179"/>
    </row>
    <row r="1581" spans="1:9">
      <c r="A1581" s="179"/>
      <c r="B1581" s="179"/>
      <c r="C1581" s="179"/>
      <c r="D1581" s="179"/>
      <c r="E1581" s="179"/>
      <c r="F1581" s="179"/>
      <c r="G1581" s="179"/>
      <c r="H1581" s="179"/>
      <c r="I1581" s="179"/>
    </row>
    <row r="1582" spans="1:9">
      <c r="A1582" s="179"/>
      <c r="B1582" s="179"/>
      <c r="C1582" s="179"/>
      <c r="D1582" s="179"/>
      <c r="E1582" s="179"/>
      <c r="F1582" s="179"/>
      <c r="G1582" s="179"/>
      <c r="H1582" s="179"/>
      <c r="I1582" s="179"/>
    </row>
    <row r="1583" spans="1:9">
      <c r="A1583" s="179"/>
      <c r="B1583" s="179"/>
      <c r="C1583" s="179"/>
      <c r="D1583" s="179"/>
      <c r="E1583" s="179"/>
      <c r="F1583" s="179"/>
      <c r="G1583" s="179"/>
      <c r="H1583" s="179"/>
      <c r="I1583" s="179"/>
    </row>
    <row r="1584" spans="1:9">
      <c r="A1584" s="179"/>
      <c r="B1584" s="179"/>
      <c r="C1584" s="179"/>
      <c r="D1584" s="179"/>
      <c r="E1584" s="179"/>
      <c r="F1584" s="179"/>
      <c r="G1584" s="179"/>
      <c r="H1584" s="179"/>
      <c r="I1584" s="179"/>
    </row>
    <row r="1585" spans="1:9">
      <c r="A1585" s="179"/>
      <c r="B1585" s="179"/>
      <c r="C1585" s="179"/>
      <c r="D1585" s="179"/>
      <c r="E1585" s="179"/>
      <c r="F1585" s="179"/>
      <c r="G1585" s="179"/>
      <c r="H1585" s="179"/>
      <c r="I1585" s="179"/>
    </row>
    <row r="1586" spans="1:9">
      <c r="A1586" s="179"/>
      <c r="B1586" s="179"/>
      <c r="C1586" s="179"/>
      <c r="D1586" s="179"/>
      <c r="E1586" s="179"/>
      <c r="F1586" s="179"/>
      <c r="G1586" s="179"/>
      <c r="H1586" s="179"/>
      <c r="I1586" s="179"/>
    </row>
    <row r="1587" spans="1:9">
      <c r="A1587" s="179"/>
      <c r="B1587" s="179"/>
      <c r="C1587" s="179"/>
      <c r="D1587" s="179"/>
      <c r="E1587" s="179"/>
      <c r="F1587" s="179"/>
      <c r="G1587" s="179"/>
      <c r="H1587" s="179"/>
      <c r="I1587" s="179"/>
    </row>
    <row r="1588" spans="1:9">
      <c r="A1588" s="179"/>
      <c r="B1588" s="179"/>
      <c r="C1588" s="179"/>
      <c r="D1588" s="179"/>
      <c r="E1588" s="179"/>
      <c r="F1588" s="179"/>
      <c r="G1588" s="179"/>
      <c r="H1588" s="179"/>
      <c r="I1588" s="179"/>
    </row>
    <row r="1589" spans="1:9">
      <c r="A1589" s="179"/>
      <c r="B1589" s="179"/>
      <c r="C1589" s="179"/>
      <c r="D1589" s="179"/>
      <c r="E1589" s="179"/>
      <c r="F1589" s="179"/>
      <c r="G1589" s="179"/>
      <c r="H1589" s="179"/>
      <c r="I1589" s="179"/>
    </row>
    <row r="1590" spans="1:9">
      <c r="A1590" s="179"/>
      <c r="B1590" s="179"/>
      <c r="C1590" s="179"/>
      <c r="D1590" s="179"/>
      <c r="E1590" s="179"/>
      <c r="F1590" s="179"/>
      <c r="G1590" s="179"/>
      <c r="H1590" s="179"/>
      <c r="I1590" s="179"/>
    </row>
    <row r="1591" spans="1:9">
      <c r="A1591" s="179"/>
      <c r="B1591" s="179"/>
      <c r="C1591" s="179"/>
      <c r="D1591" s="179"/>
      <c r="E1591" s="179"/>
      <c r="F1591" s="179"/>
      <c r="G1591" s="179"/>
      <c r="H1591" s="179"/>
      <c r="I1591" s="179"/>
    </row>
    <row r="1592" spans="1:9">
      <c r="A1592" s="179"/>
      <c r="B1592" s="179"/>
      <c r="C1592" s="179"/>
      <c r="D1592" s="179"/>
      <c r="E1592" s="179"/>
      <c r="F1592" s="179"/>
      <c r="G1592" s="179"/>
      <c r="H1592" s="179"/>
      <c r="I1592" s="179"/>
    </row>
    <row r="1593" spans="1:9">
      <c r="A1593" s="179"/>
      <c r="B1593" s="179"/>
      <c r="C1593" s="179"/>
      <c r="D1593" s="179"/>
      <c r="E1593" s="179"/>
      <c r="F1593" s="179"/>
      <c r="G1593" s="179"/>
      <c r="H1593" s="179"/>
      <c r="I1593" s="179"/>
    </row>
    <row r="1594" spans="1:9">
      <c r="A1594" s="179"/>
      <c r="B1594" s="179"/>
      <c r="C1594" s="179"/>
      <c r="D1594" s="179"/>
      <c r="E1594" s="179"/>
      <c r="F1594" s="179"/>
      <c r="G1594" s="179"/>
      <c r="H1594" s="179"/>
      <c r="I1594" s="179"/>
    </row>
    <row r="1595" spans="1:9">
      <c r="A1595" s="179"/>
      <c r="B1595" s="179"/>
      <c r="C1595" s="179"/>
      <c r="D1595" s="179"/>
      <c r="E1595" s="179"/>
      <c r="F1595" s="179"/>
      <c r="G1595" s="179"/>
      <c r="H1595" s="179"/>
      <c r="I1595" s="179"/>
    </row>
    <row r="1596" spans="1:9">
      <c r="A1596" s="179"/>
      <c r="B1596" s="179"/>
      <c r="C1596" s="179"/>
      <c r="D1596" s="179"/>
      <c r="E1596" s="179"/>
      <c r="F1596" s="179"/>
      <c r="G1596" s="179"/>
      <c r="H1596" s="179"/>
      <c r="I1596" s="179"/>
    </row>
    <row r="1597" spans="1:9">
      <c r="A1597" s="179"/>
      <c r="B1597" s="179"/>
      <c r="C1597" s="179"/>
      <c r="D1597" s="179"/>
      <c r="E1597" s="179"/>
      <c r="F1597" s="179"/>
      <c r="G1597" s="179"/>
      <c r="H1597" s="179"/>
      <c r="I1597" s="179"/>
    </row>
    <row r="1598" spans="1:9">
      <c r="A1598" s="179"/>
      <c r="B1598" s="179"/>
      <c r="C1598" s="179"/>
      <c r="D1598" s="179"/>
      <c r="E1598" s="179"/>
      <c r="F1598" s="179"/>
      <c r="G1598" s="179"/>
      <c r="H1598" s="179"/>
      <c r="I1598" s="179"/>
    </row>
    <row r="1599" spans="1:9">
      <c r="A1599" s="179"/>
      <c r="B1599" s="179"/>
      <c r="C1599" s="179"/>
      <c r="D1599" s="179"/>
      <c r="E1599" s="179"/>
      <c r="F1599" s="179"/>
      <c r="G1599" s="179"/>
      <c r="H1599" s="179"/>
      <c r="I1599" s="179"/>
    </row>
    <row r="1600" spans="1:9">
      <c r="A1600" s="179"/>
      <c r="B1600" s="179"/>
      <c r="C1600" s="179"/>
      <c r="D1600" s="179"/>
      <c r="E1600" s="179"/>
      <c r="F1600" s="179"/>
      <c r="G1600" s="179"/>
      <c r="H1600" s="179"/>
      <c r="I1600" s="179"/>
    </row>
    <row r="1601" spans="1:9">
      <c r="A1601" s="179"/>
      <c r="B1601" s="179"/>
      <c r="C1601" s="179"/>
      <c r="D1601" s="179"/>
      <c r="E1601" s="179"/>
      <c r="F1601" s="179"/>
      <c r="G1601" s="179"/>
      <c r="H1601" s="179"/>
      <c r="I1601" s="179"/>
    </row>
    <row r="1602" spans="1:9">
      <c r="A1602" s="179"/>
      <c r="B1602" s="179"/>
      <c r="C1602" s="179"/>
      <c r="D1602" s="179"/>
      <c r="E1602" s="179"/>
      <c r="F1602" s="179"/>
      <c r="G1602" s="179"/>
      <c r="H1602" s="179"/>
      <c r="I1602" s="179"/>
    </row>
    <row r="1603" spans="1:9">
      <c r="A1603" s="179"/>
      <c r="B1603" s="179"/>
      <c r="C1603" s="179"/>
      <c r="D1603" s="179"/>
      <c r="E1603" s="179"/>
      <c r="F1603" s="179"/>
      <c r="G1603" s="179"/>
      <c r="H1603" s="179"/>
      <c r="I1603" s="179"/>
    </row>
    <row r="1604" spans="1:9">
      <c r="A1604" s="179"/>
      <c r="B1604" s="179"/>
      <c r="C1604" s="179"/>
      <c r="D1604" s="179"/>
      <c r="E1604" s="179"/>
      <c r="F1604" s="179"/>
      <c r="G1604" s="179"/>
      <c r="H1604" s="179"/>
      <c r="I1604" s="179"/>
    </row>
    <row r="1605" spans="1:9">
      <c r="A1605" s="179"/>
      <c r="B1605" s="179"/>
      <c r="C1605" s="179"/>
      <c r="D1605" s="179"/>
      <c r="E1605" s="179"/>
      <c r="F1605" s="179"/>
      <c r="G1605" s="179"/>
      <c r="H1605" s="179"/>
      <c r="I1605" s="179"/>
    </row>
    <row r="1606" spans="1:9">
      <c r="A1606" s="179"/>
      <c r="B1606" s="179"/>
      <c r="C1606" s="179"/>
      <c r="D1606" s="179"/>
      <c r="E1606" s="179"/>
      <c r="F1606" s="179"/>
      <c r="G1606" s="179"/>
      <c r="H1606" s="179"/>
      <c r="I1606" s="179"/>
    </row>
    <row r="1607" spans="1:9">
      <c r="A1607" s="179"/>
      <c r="B1607" s="179"/>
      <c r="C1607" s="179"/>
      <c r="D1607" s="179"/>
      <c r="E1607" s="179"/>
      <c r="F1607" s="179"/>
      <c r="G1607" s="179"/>
      <c r="H1607" s="179"/>
      <c r="I1607" s="179"/>
    </row>
    <row r="1608" spans="1:9">
      <c r="A1608" s="179"/>
      <c r="B1608" s="179"/>
      <c r="C1608" s="179"/>
      <c r="D1608" s="179"/>
      <c r="E1608" s="179"/>
      <c r="F1608" s="179"/>
      <c r="G1608" s="179"/>
      <c r="H1608" s="179"/>
      <c r="I1608" s="179"/>
    </row>
    <row r="1609" spans="1:9">
      <c r="A1609" s="179"/>
      <c r="B1609" s="179"/>
      <c r="C1609" s="179"/>
      <c r="D1609" s="179"/>
      <c r="E1609" s="179"/>
      <c r="F1609" s="179"/>
      <c r="G1609" s="179"/>
      <c r="H1609" s="179"/>
      <c r="I1609" s="179"/>
    </row>
    <row r="1610" spans="1:9">
      <c r="A1610" s="179"/>
      <c r="B1610" s="179"/>
      <c r="C1610" s="179"/>
      <c r="D1610" s="179"/>
      <c r="E1610" s="179"/>
      <c r="F1610" s="179"/>
      <c r="G1610" s="179"/>
      <c r="H1610" s="179"/>
      <c r="I1610" s="179"/>
    </row>
    <row r="1611" spans="1:9">
      <c r="A1611" s="179"/>
      <c r="B1611" s="179"/>
      <c r="C1611" s="179"/>
      <c r="D1611" s="179"/>
      <c r="E1611" s="179"/>
      <c r="F1611" s="179"/>
      <c r="G1611" s="179"/>
      <c r="H1611" s="179"/>
      <c r="I1611" s="179"/>
    </row>
    <row r="1612" spans="1:9">
      <c r="A1612" s="179"/>
      <c r="B1612" s="179"/>
      <c r="C1612" s="179"/>
      <c r="D1612" s="179"/>
      <c r="E1612" s="179"/>
      <c r="F1612" s="179"/>
      <c r="G1612" s="179"/>
      <c r="H1612" s="179"/>
      <c r="I1612" s="179"/>
    </row>
    <row r="1613" spans="1:9">
      <c r="A1613" s="179"/>
      <c r="B1613" s="179"/>
      <c r="C1613" s="179"/>
      <c r="D1613" s="179"/>
      <c r="E1613" s="179"/>
      <c r="F1613" s="179"/>
      <c r="G1613" s="179"/>
      <c r="H1613" s="179"/>
      <c r="I1613" s="179"/>
    </row>
    <row r="1614" spans="1:9">
      <c r="A1614" s="179"/>
      <c r="B1614" s="179"/>
      <c r="C1614" s="179"/>
      <c r="D1614" s="179"/>
      <c r="E1614" s="179"/>
      <c r="F1614" s="179"/>
      <c r="G1614" s="179"/>
      <c r="H1614" s="179"/>
      <c r="I1614" s="179"/>
    </row>
    <row r="1615" spans="1:9">
      <c r="A1615" s="179"/>
      <c r="B1615" s="179"/>
      <c r="C1615" s="179"/>
      <c r="D1615" s="179"/>
      <c r="E1615" s="179"/>
      <c r="F1615" s="179"/>
      <c r="G1615" s="179"/>
      <c r="H1615" s="179"/>
      <c r="I1615" s="179"/>
    </row>
    <row r="1616" spans="1:9">
      <c r="A1616" s="179"/>
      <c r="B1616" s="179"/>
      <c r="C1616" s="179"/>
      <c r="D1616" s="179"/>
      <c r="E1616" s="179"/>
      <c r="F1616" s="179"/>
      <c r="G1616" s="179"/>
      <c r="H1616" s="179"/>
      <c r="I1616" s="179"/>
    </row>
    <row r="1617" spans="1:9">
      <c r="A1617" s="179"/>
      <c r="B1617" s="179"/>
      <c r="C1617" s="179"/>
      <c r="D1617" s="179"/>
      <c r="E1617" s="179"/>
      <c r="F1617" s="179"/>
      <c r="G1617" s="179"/>
      <c r="H1617" s="179"/>
      <c r="I1617" s="179"/>
    </row>
    <row r="1618" spans="1:9">
      <c r="A1618" s="179"/>
      <c r="B1618" s="179"/>
      <c r="C1618" s="179"/>
      <c r="D1618" s="179"/>
      <c r="E1618" s="179"/>
      <c r="F1618" s="179"/>
      <c r="G1618" s="179"/>
      <c r="H1618" s="179"/>
      <c r="I1618" s="179"/>
    </row>
    <row r="1619" spans="1:9">
      <c r="A1619" s="179"/>
      <c r="B1619" s="179"/>
      <c r="C1619" s="179"/>
      <c r="D1619" s="179"/>
      <c r="E1619" s="179"/>
      <c r="F1619" s="179"/>
      <c r="G1619" s="179"/>
      <c r="H1619" s="179"/>
      <c r="I1619" s="179"/>
    </row>
    <row r="1620" spans="1:9">
      <c r="A1620" s="179"/>
      <c r="B1620" s="179"/>
      <c r="C1620" s="179"/>
      <c r="D1620" s="179"/>
      <c r="E1620" s="179"/>
      <c r="F1620" s="179"/>
      <c r="G1620" s="179"/>
      <c r="H1620" s="179"/>
      <c r="I1620" s="179"/>
    </row>
    <row r="1621" spans="1:9">
      <c r="A1621" s="179"/>
      <c r="B1621" s="179"/>
      <c r="C1621" s="179"/>
      <c r="D1621" s="179"/>
      <c r="E1621" s="179"/>
      <c r="F1621" s="179"/>
      <c r="G1621" s="179"/>
      <c r="H1621" s="179"/>
      <c r="I1621" s="179"/>
    </row>
    <row r="1622" spans="1:9">
      <c r="A1622" s="179"/>
      <c r="B1622" s="179"/>
      <c r="C1622" s="179"/>
      <c r="D1622" s="179"/>
      <c r="E1622" s="179"/>
      <c r="F1622" s="179"/>
      <c r="G1622" s="179"/>
      <c r="H1622" s="179"/>
      <c r="I1622" s="179"/>
    </row>
    <row r="1623" spans="1:9">
      <c r="A1623" s="179"/>
      <c r="B1623" s="179"/>
      <c r="C1623" s="179"/>
      <c r="D1623" s="179"/>
      <c r="E1623" s="179"/>
      <c r="F1623" s="179"/>
      <c r="G1623" s="179"/>
      <c r="H1623" s="179"/>
      <c r="I1623" s="179"/>
    </row>
    <row r="1624" spans="1:9">
      <c r="A1624" s="179"/>
      <c r="B1624" s="179"/>
      <c r="C1624" s="179"/>
      <c r="D1624" s="179"/>
      <c r="E1624" s="179"/>
      <c r="F1624" s="179"/>
      <c r="G1624" s="179"/>
      <c r="H1624" s="179"/>
      <c r="I1624" s="179"/>
    </row>
    <row r="1625" spans="1:9">
      <c r="A1625" s="179"/>
      <c r="B1625" s="179"/>
      <c r="C1625" s="179"/>
      <c r="D1625" s="179"/>
      <c r="E1625" s="179"/>
      <c r="F1625" s="179"/>
      <c r="G1625" s="179"/>
      <c r="H1625" s="179"/>
      <c r="I1625" s="179"/>
    </row>
    <row r="1626" spans="1:9">
      <c r="A1626" s="179"/>
      <c r="B1626" s="179"/>
      <c r="C1626" s="179"/>
      <c r="D1626" s="179"/>
      <c r="E1626" s="179"/>
      <c r="F1626" s="179"/>
      <c r="G1626" s="179"/>
      <c r="H1626" s="179"/>
      <c r="I1626" s="179"/>
    </row>
    <row r="1627" spans="1:9">
      <c r="A1627" s="179"/>
      <c r="B1627" s="179"/>
      <c r="C1627" s="179"/>
      <c r="D1627" s="179"/>
      <c r="E1627" s="179"/>
      <c r="F1627" s="179"/>
      <c r="G1627" s="179"/>
      <c r="H1627" s="179"/>
      <c r="I1627" s="179"/>
    </row>
    <row r="1628" spans="1:9">
      <c r="A1628" s="179"/>
      <c r="B1628" s="179"/>
      <c r="C1628" s="179"/>
      <c r="D1628" s="179"/>
      <c r="E1628" s="179"/>
      <c r="F1628" s="179"/>
      <c r="G1628" s="179"/>
      <c r="H1628" s="179"/>
      <c r="I1628" s="179"/>
    </row>
    <row r="1629" spans="1:9">
      <c r="A1629" s="179"/>
      <c r="B1629" s="179"/>
      <c r="C1629" s="179"/>
      <c r="D1629" s="179"/>
      <c r="E1629" s="179"/>
      <c r="F1629" s="179"/>
      <c r="G1629" s="179"/>
      <c r="H1629" s="179"/>
      <c r="I1629" s="179"/>
    </row>
    <row r="1630" spans="1:9">
      <c r="A1630" s="179"/>
      <c r="B1630" s="179"/>
      <c r="C1630" s="179"/>
      <c r="D1630" s="179"/>
      <c r="E1630" s="179"/>
      <c r="F1630" s="179"/>
      <c r="G1630" s="179"/>
      <c r="H1630" s="179"/>
      <c r="I1630" s="179"/>
    </row>
    <row r="1631" spans="1:9">
      <c r="A1631" s="179"/>
      <c r="B1631" s="179"/>
      <c r="C1631" s="179"/>
      <c r="D1631" s="179"/>
      <c r="E1631" s="179"/>
      <c r="F1631" s="179"/>
      <c r="G1631" s="179"/>
      <c r="H1631" s="179"/>
      <c r="I1631" s="179"/>
    </row>
    <row r="1632" spans="1:9">
      <c r="A1632" s="179"/>
      <c r="B1632" s="179"/>
      <c r="C1632" s="179"/>
      <c r="D1632" s="179"/>
      <c r="E1632" s="179"/>
      <c r="F1632" s="179"/>
      <c r="G1632" s="179"/>
      <c r="H1632" s="179"/>
      <c r="I1632" s="179"/>
    </row>
    <row r="1633" spans="1:9">
      <c r="A1633" s="179"/>
      <c r="B1633" s="179"/>
      <c r="C1633" s="179"/>
      <c r="D1633" s="179"/>
      <c r="E1633" s="179"/>
      <c r="F1633" s="179"/>
      <c r="G1633" s="179"/>
      <c r="H1633" s="179"/>
      <c r="I1633" s="179"/>
    </row>
    <row r="1634" spans="1:9">
      <c r="A1634" s="179"/>
      <c r="B1634" s="179"/>
      <c r="C1634" s="179"/>
      <c r="D1634" s="179"/>
      <c r="E1634" s="179"/>
      <c r="F1634" s="179"/>
      <c r="G1634" s="179"/>
      <c r="H1634" s="179"/>
      <c r="I1634" s="179"/>
    </row>
    <row r="1635" spans="1:9">
      <c r="A1635" s="179"/>
      <c r="B1635" s="179"/>
      <c r="C1635" s="179"/>
      <c r="D1635" s="179"/>
      <c r="E1635" s="179"/>
      <c r="F1635" s="179"/>
      <c r="G1635" s="179"/>
      <c r="H1635" s="179"/>
      <c r="I1635" s="179"/>
    </row>
    <row r="1636" spans="1:9">
      <c r="A1636" s="179"/>
      <c r="B1636" s="179"/>
      <c r="C1636" s="179"/>
      <c r="D1636" s="179"/>
      <c r="E1636" s="179"/>
      <c r="F1636" s="179"/>
      <c r="G1636" s="179"/>
      <c r="H1636" s="179"/>
      <c r="I1636" s="179"/>
    </row>
    <row r="1637" spans="1:9">
      <c r="A1637" s="179"/>
      <c r="B1637" s="179"/>
      <c r="C1637" s="179"/>
      <c r="D1637" s="179"/>
      <c r="E1637" s="179"/>
      <c r="F1637" s="179"/>
      <c r="G1637" s="179"/>
      <c r="H1637" s="179"/>
      <c r="I1637" s="179"/>
    </row>
    <row r="1638" spans="1:9">
      <c r="A1638" s="179"/>
      <c r="B1638" s="179"/>
      <c r="C1638" s="179"/>
      <c r="D1638" s="179"/>
      <c r="E1638" s="179"/>
      <c r="F1638" s="179"/>
      <c r="G1638" s="179"/>
      <c r="H1638" s="179"/>
      <c r="I1638" s="179"/>
    </row>
    <row r="1639" spans="1:9">
      <c r="A1639" s="179"/>
      <c r="B1639" s="179"/>
      <c r="C1639" s="179"/>
      <c r="D1639" s="179"/>
      <c r="E1639" s="179"/>
      <c r="F1639" s="179"/>
      <c r="G1639" s="179"/>
      <c r="H1639" s="179"/>
      <c r="I1639" s="179"/>
    </row>
    <row r="1640" spans="1:9">
      <c r="A1640" s="179"/>
      <c r="B1640" s="179"/>
      <c r="C1640" s="179"/>
      <c r="D1640" s="179"/>
      <c r="E1640" s="179"/>
      <c r="F1640" s="179"/>
      <c r="G1640" s="179"/>
      <c r="H1640" s="179"/>
      <c r="I1640" s="179"/>
    </row>
    <row r="1641" spans="1:9">
      <c r="A1641" s="179"/>
      <c r="B1641" s="179"/>
      <c r="C1641" s="179"/>
      <c r="D1641" s="179"/>
      <c r="E1641" s="179"/>
      <c r="F1641" s="179"/>
      <c r="G1641" s="179"/>
      <c r="H1641" s="179"/>
      <c r="I1641" s="179"/>
    </row>
    <row r="1642" spans="1:9">
      <c r="A1642" s="179"/>
      <c r="B1642" s="179"/>
      <c r="C1642" s="179"/>
      <c r="D1642" s="179"/>
      <c r="E1642" s="179"/>
      <c r="F1642" s="179"/>
      <c r="G1642" s="179"/>
      <c r="H1642" s="179"/>
      <c r="I1642" s="179"/>
    </row>
    <row r="1643" spans="1:9">
      <c r="A1643" s="179"/>
      <c r="B1643" s="179"/>
      <c r="C1643" s="179"/>
      <c r="D1643" s="179"/>
      <c r="E1643" s="179"/>
      <c r="F1643" s="179"/>
      <c r="G1643" s="179"/>
      <c r="H1643" s="179"/>
      <c r="I1643" s="179"/>
    </row>
    <row r="1644" spans="1:9">
      <c r="A1644" s="179"/>
      <c r="B1644" s="179"/>
      <c r="C1644" s="179"/>
      <c r="D1644" s="179"/>
      <c r="E1644" s="179"/>
      <c r="F1644" s="179"/>
      <c r="G1644" s="179"/>
      <c r="H1644" s="179"/>
      <c r="I1644" s="179"/>
    </row>
    <row r="1645" spans="1:9">
      <c r="A1645" s="179"/>
      <c r="B1645" s="179"/>
      <c r="C1645" s="179"/>
      <c r="D1645" s="179"/>
      <c r="E1645" s="179"/>
      <c r="F1645" s="179"/>
      <c r="G1645" s="179"/>
      <c r="H1645" s="179"/>
      <c r="I1645" s="179"/>
    </row>
    <row r="1646" spans="1:9">
      <c r="A1646" s="179"/>
      <c r="B1646" s="179"/>
      <c r="C1646" s="179"/>
      <c r="D1646" s="179"/>
      <c r="E1646" s="179"/>
      <c r="F1646" s="179"/>
      <c r="G1646" s="179"/>
      <c r="H1646" s="179"/>
      <c r="I1646" s="179"/>
    </row>
    <row r="1647" spans="1:9">
      <c r="A1647" s="179"/>
      <c r="B1647" s="179"/>
      <c r="C1647" s="179"/>
      <c r="D1647" s="179"/>
      <c r="E1647" s="179"/>
      <c r="F1647" s="179"/>
      <c r="G1647" s="179"/>
      <c r="H1647" s="179"/>
      <c r="I1647" s="179"/>
    </row>
    <row r="1648" spans="1:9">
      <c r="A1648" s="179"/>
      <c r="B1648" s="179"/>
      <c r="C1648" s="179"/>
      <c r="D1648" s="179"/>
      <c r="E1648" s="179"/>
      <c r="F1648" s="179"/>
      <c r="G1648" s="179"/>
      <c r="H1648" s="179"/>
      <c r="I1648" s="179"/>
    </row>
    <row r="1649" spans="1:9">
      <c r="A1649" s="179"/>
      <c r="B1649" s="179"/>
      <c r="C1649" s="179"/>
      <c r="D1649" s="179"/>
      <c r="E1649" s="179"/>
      <c r="F1649" s="179"/>
      <c r="G1649" s="179"/>
      <c r="H1649" s="179"/>
      <c r="I1649" s="179"/>
    </row>
    <row r="1650" spans="1:9">
      <c r="A1650" s="179"/>
      <c r="B1650" s="179"/>
      <c r="C1650" s="179"/>
      <c r="D1650" s="179"/>
      <c r="E1650" s="179"/>
      <c r="F1650" s="179"/>
      <c r="G1650" s="179"/>
      <c r="H1650" s="179"/>
      <c r="I1650" s="179"/>
    </row>
    <row r="1651" spans="1:9">
      <c r="A1651" s="179"/>
      <c r="B1651" s="179"/>
      <c r="C1651" s="179"/>
      <c r="D1651" s="179"/>
      <c r="E1651" s="179"/>
      <c r="F1651" s="179"/>
      <c r="G1651" s="179"/>
      <c r="H1651" s="179"/>
      <c r="I1651" s="179"/>
    </row>
    <row r="1652" spans="1:9">
      <c r="A1652" s="179"/>
      <c r="B1652" s="179"/>
      <c r="C1652" s="179"/>
      <c r="D1652" s="179"/>
      <c r="E1652" s="179"/>
      <c r="F1652" s="179"/>
      <c r="G1652" s="179"/>
      <c r="H1652" s="179"/>
      <c r="I1652" s="179"/>
    </row>
    <row r="1653" spans="1:9">
      <c r="A1653" s="179"/>
      <c r="B1653" s="179"/>
      <c r="C1653" s="179"/>
      <c r="D1653" s="179"/>
      <c r="E1653" s="179"/>
      <c r="F1653" s="179"/>
      <c r="G1653" s="179"/>
      <c r="H1653" s="179"/>
      <c r="I1653" s="179"/>
    </row>
    <row r="1654" spans="1:9">
      <c r="A1654" s="179"/>
      <c r="B1654" s="179"/>
      <c r="C1654" s="179"/>
      <c r="D1654" s="179"/>
      <c r="E1654" s="179"/>
      <c r="F1654" s="179"/>
      <c r="G1654" s="179"/>
      <c r="H1654" s="179"/>
      <c r="I1654" s="179"/>
    </row>
    <row r="1655" spans="1:9">
      <c r="A1655" s="179"/>
      <c r="B1655" s="179"/>
      <c r="C1655" s="179"/>
      <c r="D1655" s="179"/>
      <c r="E1655" s="179"/>
      <c r="F1655" s="179"/>
      <c r="G1655" s="179"/>
      <c r="H1655" s="179"/>
      <c r="I1655" s="179"/>
    </row>
    <row r="1656" spans="1:9">
      <c r="A1656" s="179"/>
      <c r="B1656" s="179"/>
      <c r="C1656" s="179"/>
      <c r="D1656" s="179"/>
      <c r="E1656" s="179"/>
      <c r="F1656" s="179"/>
      <c r="G1656" s="179"/>
      <c r="H1656" s="179"/>
      <c r="I1656" s="179"/>
    </row>
    <row r="1657" spans="1:9">
      <c r="A1657" s="179"/>
      <c r="B1657" s="179"/>
      <c r="C1657" s="179"/>
      <c r="D1657" s="179"/>
      <c r="E1657" s="179"/>
      <c r="F1657" s="179"/>
      <c r="G1657" s="179"/>
      <c r="H1657" s="179"/>
      <c r="I1657" s="179"/>
    </row>
    <row r="1658" spans="1:9">
      <c r="A1658" s="179"/>
      <c r="B1658" s="179"/>
      <c r="C1658" s="179"/>
      <c r="D1658" s="179"/>
      <c r="E1658" s="179"/>
      <c r="F1658" s="179"/>
      <c r="G1658" s="179"/>
      <c r="H1658" s="179"/>
      <c r="I1658" s="179"/>
    </row>
    <row r="1659" spans="1:9">
      <c r="A1659" s="179"/>
      <c r="B1659" s="179"/>
      <c r="C1659" s="179"/>
      <c r="D1659" s="179"/>
      <c r="E1659" s="179"/>
      <c r="F1659" s="179"/>
      <c r="G1659" s="179"/>
      <c r="H1659" s="179"/>
      <c r="I1659" s="179"/>
    </row>
    <row r="1660" spans="1:9">
      <c r="A1660" s="179"/>
      <c r="B1660" s="179"/>
      <c r="C1660" s="179"/>
      <c r="D1660" s="179"/>
      <c r="E1660" s="179"/>
      <c r="F1660" s="179"/>
      <c r="G1660" s="179"/>
      <c r="H1660" s="179"/>
      <c r="I1660" s="179"/>
    </row>
    <row r="1661" spans="1:9">
      <c r="A1661" s="179"/>
      <c r="B1661" s="179"/>
      <c r="C1661" s="179"/>
      <c r="D1661" s="179"/>
      <c r="E1661" s="179"/>
      <c r="F1661" s="179"/>
      <c r="G1661" s="179"/>
      <c r="H1661" s="179"/>
      <c r="I1661" s="179"/>
    </row>
    <row r="1662" spans="1:9">
      <c r="A1662" s="179"/>
      <c r="B1662" s="179"/>
      <c r="C1662" s="179"/>
      <c r="D1662" s="179"/>
      <c r="E1662" s="179"/>
      <c r="F1662" s="179"/>
      <c r="G1662" s="179"/>
      <c r="H1662" s="179"/>
      <c r="I1662" s="179"/>
    </row>
    <row r="1663" spans="1:9">
      <c r="A1663" s="179"/>
      <c r="B1663" s="179"/>
      <c r="C1663" s="179"/>
      <c r="D1663" s="179"/>
      <c r="E1663" s="179"/>
      <c r="F1663" s="179"/>
      <c r="G1663" s="179"/>
      <c r="H1663" s="179"/>
      <c r="I1663" s="179"/>
    </row>
    <row r="1664" spans="1:9">
      <c r="A1664" s="179"/>
      <c r="B1664" s="179"/>
      <c r="C1664" s="179"/>
      <c r="D1664" s="179"/>
      <c r="E1664" s="179"/>
      <c r="F1664" s="179"/>
      <c r="G1664" s="179"/>
      <c r="H1664" s="179"/>
      <c r="I1664" s="179"/>
    </row>
    <row r="1665" spans="1:9">
      <c r="A1665" s="179"/>
      <c r="B1665" s="179"/>
      <c r="C1665" s="179"/>
      <c r="D1665" s="179"/>
      <c r="E1665" s="179"/>
      <c r="F1665" s="179"/>
      <c r="G1665" s="179"/>
      <c r="H1665" s="179"/>
      <c r="I1665" s="179"/>
    </row>
    <row r="1666" spans="1:9">
      <c r="A1666" s="179"/>
      <c r="B1666" s="179"/>
      <c r="C1666" s="179"/>
      <c r="D1666" s="179"/>
      <c r="E1666" s="179"/>
      <c r="F1666" s="179"/>
      <c r="G1666" s="179"/>
      <c r="H1666" s="179"/>
      <c r="I1666" s="179"/>
    </row>
    <row r="1667" spans="1:9">
      <c r="A1667" s="179"/>
      <c r="B1667" s="179"/>
      <c r="C1667" s="179"/>
      <c r="D1667" s="179"/>
      <c r="E1667" s="179"/>
      <c r="F1667" s="179"/>
      <c r="G1667" s="179"/>
      <c r="H1667" s="179"/>
      <c r="I1667" s="179"/>
    </row>
    <row r="1668" spans="1:9">
      <c r="A1668" s="179"/>
      <c r="B1668" s="179"/>
      <c r="C1668" s="179"/>
      <c r="D1668" s="179"/>
      <c r="E1668" s="179"/>
      <c r="F1668" s="179"/>
      <c r="G1668" s="179"/>
      <c r="H1668" s="179"/>
      <c r="I1668" s="179"/>
    </row>
    <row r="1669" spans="1:9">
      <c r="A1669" s="179"/>
      <c r="B1669" s="179"/>
      <c r="C1669" s="179"/>
      <c r="D1669" s="179"/>
      <c r="E1669" s="179"/>
      <c r="F1669" s="179"/>
      <c r="G1669" s="179"/>
      <c r="H1669" s="179"/>
      <c r="I1669" s="179"/>
    </row>
    <row r="1670" spans="1:9">
      <c r="A1670" s="179"/>
      <c r="B1670" s="179"/>
      <c r="C1670" s="179"/>
      <c r="D1670" s="179"/>
      <c r="E1670" s="179"/>
      <c r="F1670" s="179"/>
      <c r="G1670" s="179"/>
      <c r="H1670" s="179"/>
      <c r="I1670" s="179"/>
    </row>
    <row r="1671" spans="1:9">
      <c r="A1671" s="179"/>
      <c r="B1671" s="179"/>
      <c r="C1671" s="179"/>
      <c r="D1671" s="179"/>
      <c r="E1671" s="179"/>
      <c r="F1671" s="179"/>
      <c r="G1671" s="179"/>
      <c r="H1671" s="179"/>
      <c r="I1671" s="179"/>
    </row>
    <row r="1672" spans="1:9">
      <c r="A1672" s="179"/>
      <c r="B1672" s="179"/>
      <c r="C1672" s="179"/>
      <c r="D1672" s="179"/>
      <c r="E1672" s="179"/>
      <c r="F1672" s="179"/>
      <c r="G1672" s="179"/>
      <c r="H1672" s="179"/>
      <c r="I1672" s="179"/>
    </row>
    <row r="1673" spans="1:9">
      <c r="A1673" s="179"/>
      <c r="B1673" s="179"/>
      <c r="C1673" s="179"/>
      <c r="D1673" s="179"/>
      <c r="E1673" s="179"/>
      <c r="F1673" s="179"/>
      <c r="G1673" s="179"/>
      <c r="H1673" s="179"/>
      <c r="I1673" s="179"/>
    </row>
    <row r="1674" spans="1:9">
      <c r="A1674" s="179"/>
      <c r="B1674" s="179"/>
      <c r="C1674" s="179"/>
      <c r="D1674" s="179"/>
      <c r="E1674" s="179"/>
      <c r="F1674" s="179"/>
      <c r="G1674" s="179"/>
      <c r="H1674" s="179"/>
      <c r="I1674" s="179"/>
    </row>
    <row r="1675" spans="1:9">
      <c r="A1675" s="179"/>
      <c r="B1675" s="179"/>
      <c r="C1675" s="179"/>
      <c r="D1675" s="179"/>
      <c r="E1675" s="179"/>
      <c r="F1675" s="179"/>
      <c r="G1675" s="179"/>
      <c r="H1675" s="179"/>
      <c r="I1675" s="179"/>
    </row>
    <row r="1676" spans="1:9">
      <c r="A1676" s="179"/>
      <c r="B1676" s="179"/>
      <c r="C1676" s="179"/>
      <c r="D1676" s="179"/>
      <c r="E1676" s="179"/>
      <c r="F1676" s="179"/>
      <c r="G1676" s="179"/>
      <c r="H1676" s="179"/>
      <c r="I1676" s="179"/>
    </row>
    <row r="1677" spans="1:9">
      <c r="A1677" s="179"/>
      <c r="B1677" s="179"/>
      <c r="C1677" s="179"/>
      <c r="D1677" s="179"/>
      <c r="E1677" s="179"/>
      <c r="F1677" s="179"/>
      <c r="G1677" s="179"/>
      <c r="H1677" s="179"/>
      <c r="I1677" s="179"/>
    </row>
    <row r="1678" spans="1:9">
      <c r="A1678" s="179"/>
      <c r="B1678" s="179"/>
      <c r="C1678" s="179"/>
      <c r="D1678" s="179"/>
      <c r="E1678" s="179"/>
      <c r="F1678" s="179"/>
      <c r="G1678" s="179"/>
      <c r="H1678" s="179"/>
      <c r="I1678" s="179"/>
    </row>
    <row r="1679" spans="1:9">
      <c r="A1679" s="179"/>
      <c r="B1679" s="179"/>
      <c r="C1679" s="179"/>
      <c r="D1679" s="179"/>
      <c r="E1679" s="179"/>
      <c r="F1679" s="179"/>
      <c r="G1679" s="179"/>
      <c r="H1679" s="179"/>
      <c r="I1679" s="179"/>
    </row>
    <row r="1680" spans="1:9">
      <c r="A1680" s="179"/>
      <c r="B1680" s="179"/>
      <c r="C1680" s="179"/>
      <c r="D1680" s="179"/>
      <c r="E1680" s="179"/>
      <c r="F1680" s="179"/>
      <c r="G1680" s="179"/>
      <c r="H1680" s="179"/>
      <c r="I1680" s="179"/>
    </row>
    <row r="1681" spans="1:9">
      <c r="A1681" s="179"/>
      <c r="B1681" s="179"/>
      <c r="C1681" s="179"/>
      <c r="D1681" s="179"/>
      <c r="E1681" s="179"/>
      <c r="F1681" s="179"/>
      <c r="G1681" s="179"/>
      <c r="H1681" s="179"/>
      <c r="I1681" s="179"/>
    </row>
    <row r="1682" spans="1:9">
      <c r="A1682" s="179"/>
      <c r="B1682" s="179"/>
      <c r="C1682" s="179"/>
      <c r="D1682" s="179"/>
      <c r="E1682" s="179"/>
      <c r="F1682" s="179"/>
      <c r="G1682" s="179"/>
      <c r="H1682" s="179"/>
      <c r="I1682" s="179"/>
    </row>
    <row r="1683" spans="1:9">
      <c r="A1683" s="179"/>
      <c r="B1683" s="179"/>
      <c r="C1683" s="179"/>
      <c r="D1683" s="179"/>
      <c r="E1683" s="179"/>
      <c r="F1683" s="179"/>
      <c r="G1683" s="179"/>
      <c r="H1683" s="179"/>
      <c r="I1683" s="179"/>
    </row>
    <row r="1684" spans="1:9">
      <c r="A1684" s="179"/>
      <c r="B1684" s="179"/>
      <c r="C1684" s="179"/>
      <c r="D1684" s="179"/>
      <c r="E1684" s="179"/>
      <c r="F1684" s="179"/>
      <c r="G1684" s="179"/>
      <c r="H1684" s="179"/>
      <c r="I1684" s="179"/>
    </row>
    <row r="1685" spans="1:9">
      <c r="A1685" s="179"/>
      <c r="B1685" s="179"/>
      <c r="C1685" s="179"/>
      <c r="D1685" s="179"/>
      <c r="E1685" s="179"/>
      <c r="F1685" s="179"/>
      <c r="G1685" s="179"/>
      <c r="H1685" s="179"/>
      <c r="I1685" s="179"/>
    </row>
    <row r="1686" spans="1:9">
      <c r="A1686" s="179"/>
      <c r="B1686" s="179"/>
      <c r="C1686" s="179"/>
      <c r="D1686" s="179"/>
      <c r="E1686" s="179"/>
      <c r="F1686" s="179"/>
      <c r="G1686" s="179"/>
      <c r="H1686" s="179"/>
      <c r="I1686" s="179"/>
    </row>
    <row r="1687" spans="1:9">
      <c r="A1687" s="179"/>
      <c r="B1687" s="179"/>
      <c r="C1687" s="179"/>
      <c r="D1687" s="179"/>
      <c r="E1687" s="179"/>
      <c r="F1687" s="179"/>
      <c r="G1687" s="179"/>
      <c r="H1687" s="179"/>
      <c r="I1687" s="179"/>
    </row>
    <row r="1688" spans="1:9">
      <c r="A1688" s="179"/>
      <c r="B1688" s="179"/>
      <c r="C1688" s="179"/>
      <c r="D1688" s="179"/>
      <c r="E1688" s="179"/>
      <c r="F1688" s="179"/>
      <c r="G1688" s="179"/>
      <c r="H1688" s="179"/>
      <c r="I1688" s="179"/>
    </row>
    <row r="1689" spans="1:9">
      <c r="A1689" s="179"/>
      <c r="B1689" s="179"/>
      <c r="C1689" s="179"/>
      <c r="D1689" s="179"/>
      <c r="E1689" s="179"/>
      <c r="F1689" s="179"/>
      <c r="G1689" s="179"/>
      <c r="H1689" s="179"/>
      <c r="I1689" s="179"/>
    </row>
    <row r="1690" spans="1:9">
      <c r="A1690" s="179"/>
      <c r="B1690" s="179"/>
      <c r="C1690" s="179"/>
      <c r="D1690" s="179"/>
      <c r="E1690" s="179"/>
      <c r="F1690" s="179"/>
      <c r="G1690" s="179"/>
      <c r="H1690" s="179"/>
      <c r="I1690" s="179"/>
    </row>
    <row r="1691" spans="1:9">
      <c r="A1691" s="179"/>
      <c r="B1691" s="179"/>
      <c r="C1691" s="179"/>
      <c r="D1691" s="179"/>
      <c r="E1691" s="179"/>
      <c r="F1691" s="179"/>
      <c r="G1691" s="179"/>
      <c r="H1691" s="179"/>
      <c r="I1691" s="179"/>
    </row>
    <row r="1692" spans="1:9">
      <c r="A1692" s="179"/>
      <c r="B1692" s="179"/>
      <c r="C1692" s="179"/>
      <c r="D1692" s="179"/>
      <c r="E1692" s="179"/>
      <c r="F1692" s="179"/>
      <c r="G1692" s="179"/>
      <c r="H1692" s="179"/>
      <c r="I1692" s="179"/>
    </row>
    <row r="1693" spans="1:9">
      <c r="A1693" s="179"/>
      <c r="B1693" s="179"/>
      <c r="C1693" s="179"/>
      <c r="D1693" s="179"/>
      <c r="E1693" s="179"/>
      <c r="F1693" s="179"/>
      <c r="G1693" s="179"/>
      <c r="H1693" s="179"/>
      <c r="I1693" s="179"/>
    </row>
    <row r="1694" spans="1:9">
      <c r="A1694" s="179"/>
      <c r="B1694" s="179"/>
      <c r="C1694" s="179"/>
      <c r="D1694" s="179"/>
      <c r="E1694" s="179"/>
      <c r="F1694" s="179"/>
      <c r="G1694" s="179"/>
      <c r="H1694" s="179"/>
      <c r="I1694" s="179"/>
    </row>
    <row r="1695" spans="1:9">
      <c r="A1695" s="179"/>
      <c r="B1695" s="179"/>
      <c r="C1695" s="179"/>
      <c r="D1695" s="179"/>
      <c r="E1695" s="179"/>
      <c r="F1695" s="179"/>
      <c r="G1695" s="179"/>
      <c r="H1695" s="179"/>
      <c r="I1695" s="179"/>
    </row>
    <row r="1696" spans="1:9">
      <c r="A1696" s="179"/>
      <c r="B1696" s="179"/>
      <c r="C1696" s="179"/>
      <c r="D1696" s="179"/>
      <c r="E1696" s="179"/>
      <c r="F1696" s="179"/>
      <c r="G1696" s="179"/>
      <c r="H1696" s="179"/>
      <c r="I1696" s="179"/>
    </row>
    <row r="1697" spans="1:9">
      <c r="A1697" s="179"/>
      <c r="B1697" s="179"/>
      <c r="C1697" s="179"/>
      <c r="D1697" s="179"/>
      <c r="E1697" s="179"/>
      <c r="F1697" s="179"/>
      <c r="G1697" s="179"/>
      <c r="H1697" s="179"/>
      <c r="I1697" s="179"/>
    </row>
    <row r="1698" spans="1:9">
      <c r="A1698" s="179"/>
      <c r="B1698" s="179"/>
      <c r="C1698" s="179"/>
      <c r="D1698" s="179"/>
      <c r="E1698" s="179"/>
      <c r="F1698" s="179"/>
      <c r="G1698" s="179"/>
      <c r="H1698" s="179"/>
      <c r="I1698" s="179"/>
    </row>
    <row r="1699" spans="1:9">
      <c r="A1699" s="179"/>
      <c r="B1699" s="179"/>
      <c r="C1699" s="179"/>
      <c r="D1699" s="179"/>
      <c r="E1699" s="179"/>
      <c r="F1699" s="179"/>
      <c r="G1699" s="179"/>
      <c r="H1699" s="179"/>
      <c r="I1699" s="179"/>
    </row>
    <row r="1700" spans="1:9">
      <c r="A1700" s="179"/>
      <c r="B1700" s="179"/>
      <c r="C1700" s="179"/>
      <c r="D1700" s="179"/>
      <c r="E1700" s="179"/>
      <c r="F1700" s="179"/>
      <c r="G1700" s="179"/>
      <c r="H1700" s="179"/>
      <c r="I1700" s="179"/>
    </row>
    <row r="1701" spans="1:9">
      <c r="A1701" s="179"/>
      <c r="B1701" s="179"/>
      <c r="C1701" s="179"/>
      <c r="D1701" s="179"/>
      <c r="E1701" s="179"/>
      <c r="F1701" s="179"/>
      <c r="G1701" s="179"/>
      <c r="H1701" s="179"/>
      <c r="I1701" s="179"/>
    </row>
    <row r="1702" spans="1:9">
      <c r="A1702" s="179"/>
      <c r="B1702" s="179"/>
      <c r="C1702" s="179"/>
      <c r="D1702" s="179"/>
      <c r="E1702" s="179"/>
      <c r="F1702" s="179"/>
      <c r="G1702" s="179"/>
      <c r="H1702" s="179"/>
      <c r="I1702" s="179"/>
    </row>
    <row r="1703" spans="1:9">
      <c r="A1703" s="179"/>
      <c r="B1703" s="179"/>
      <c r="C1703" s="179"/>
      <c r="D1703" s="179"/>
      <c r="E1703" s="179"/>
      <c r="F1703" s="179"/>
      <c r="G1703" s="179"/>
      <c r="H1703" s="179"/>
      <c r="I1703" s="179"/>
    </row>
    <row r="1704" spans="1:9">
      <c r="A1704" s="179"/>
      <c r="B1704" s="179"/>
      <c r="C1704" s="179"/>
      <c r="D1704" s="179"/>
      <c r="E1704" s="179"/>
      <c r="F1704" s="179"/>
      <c r="G1704" s="179"/>
      <c r="H1704" s="179"/>
      <c r="I1704" s="179"/>
    </row>
    <row r="1705" spans="1:9">
      <c r="A1705" s="179"/>
      <c r="B1705" s="179"/>
      <c r="C1705" s="179"/>
      <c r="D1705" s="179"/>
      <c r="E1705" s="179"/>
      <c r="F1705" s="179"/>
      <c r="G1705" s="179"/>
      <c r="H1705" s="179"/>
      <c r="I1705" s="179"/>
    </row>
    <row r="1706" spans="1:9">
      <c r="A1706" s="179"/>
      <c r="B1706" s="179"/>
      <c r="C1706" s="179"/>
      <c r="D1706" s="179"/>
      <c r="E1706" s="179"/>
      <c r="F1706" s="179"/>
      <c r="G1706" s="179"/>
      <c r="H1706" s="179"/>
      <c r="I1706" s="179"/>
    </row>
    <row r="1707" spans="1:9">
      <c r="A1707" s="179"/>
      <c r="B1707" s="179"/>
      <c r="C1707" s="179"/>
      <c r="D1707" s="179"/>
      <c r="E1707" s="179"/>
      <c r="F1707" s="179"/>
      <c r="G1707" s="179"/>
      <c r="H1707" s="179"/>
      <c r="I1707" s="179"/>
    </row>
    <row r="1708" spans="1:9">
      <c r="A1708" s="179"/>
      <c r="B1708" s="179"/>
      <c r="C1708" s="179"/>
      <c r="D1708" s="179"/>
      <c r="E1708" s="179"/>
      <c r="F1708" s="179"/>
      <c r="G1708" s="179"/>
      <c r="H1708" s="179"/>
      <c r="I1708" s="179"/>
    </row>
    <row r="1709" spans="1:9">
      <c r="A1709" s="179"/>
      <c r="B1709" s="179"/>
      <c r="C1709" s="179"/>
      <c r="D1709" s="179"/>
      <c r="E1709" s="179"/>
      <c r="F1709" s="179"/>
      <c r="G1709" s="179"/>
      <c r="H1709" s="179"/>
      <c r="I1709" s="179"/>
    </row>
    <row r="1710" spans="1:9">
      <c r="A1710" s="179"/>
      <c r="B1710" s="179"/>
      <c r="C1710" s="179"/>
      <c r="D1710" s="179"/>
      <c r="E1710" s="179"/>
      <c r="F1710" s="179"/>
      <c r="G1710" s="179"/>
      <c r="H1710" s="179"/>
      <c r="I1710" s="179"/>
    </row>
    <row r="1711" spans="1:9">
      <c r="A1711" s="179"/>
      <c r="B1711" s="179"/>
      <c r="C1711" s="179"/>
      <c r="D1711" s="179"/>
      <c r="E1711" s="179"/>
      <c r="F1711" s="179"/>
      <c r="G1711" s="179"/>
      <c r="H1711" s="179"/>
      <c r="I1711" s="179"/>
    </row>
    <row r="1712" spans="1:9">
      <c r="A1712" s="179"/>
      <c r="B1712" s="179"/>
      <c r="C1712" s="179"/>
      <c r="D1712" s="179"/>
      <c r="E1712" s="179"/>
      <c r="F1712" s="179"/>
      <c r="G1712" s="179"/>
      <c r="H1712" s="179"/>
      <c r="I1712" s="179"/>
    </row>
    <row r="1713" spans="1:9">
      <c r="A1713" s="179"/>
      <c r="B1713" s="179"/>
      <c r="C1713" s="179"/>
      <c r="D1713" s="179"/>
      <c r="E1713" s="179"/>
      <c r="F1713" s="179"/>
      <c r="G1713" s="179"/>
      <c r="H1713" s="179"/>
      <c r="I1713" s="179"/>
    </row>
    <row r="1714" spans="1:9">
      <c r="A1714" s="179"/>
      <c r="B1714" s="179"/>
      <c r="C1714" s="179"/>
      <c r="D1714" s="179"/>
      <c r="E1714" s="179"/>
      <c r="F1714" s="179"/>
      <c r="G1714" s="179"/>
      <c r="H1714" s="179"/>
      <c r="I1714" s="179"/>
    </row>
    <row r="1715" spans="1:9">
      <c r="A1715" s="179"/>
      <c r="B1715" s="179"/>
      <c r="C1715" s="179"/>
      <c r="D1715" s="179"/>
      <c r="E1715" s="179"/>
      <c r="F1715" s="179"/>
      <c r="G1715" s="179"/>
      <c r="H1715" s="179"/>
      <c r="I1715" s="179"/>
    </row>
    <row r="1716" spans="1:9">
      <c r="A1716" s="179"/>
      <c r="B1716" s="179"/>
      <c r="C1716" s="179"/>
      <c r="D1716" s="179"/>
      <c r="E1716" s="179"/>
      <c r="F1716" s="179"/>
      <c r="G1716" s="179"/>
      <c r="H1716" s="179"/>
      <c r="I1716" s="179"/>
    </row>
    <row r="1717" spans="1:9">
      <c r="A1717" s="179"/>
      <c r="B1717" s="179"/>
      <c r="C1717" s="179"/>
      <c r="D1717" s="179"/>
      <c r="E1717" s="179"/>
      <c r="F1717" s="179"/>
      <c r="G1717" s="179"/>
      <c r="H1717" s="179"/>
      <c r="I1717" s="179"/>
    </row>
    <row r="1718" spans="1:9">
      <c r="A1718" s="179"/>
      <c r="B1718" s="179"/>
      <c r="C1718" s="179"/>
      <c r="D1718" s="179"/>
      <c r="E1718" s="179"/>
      <c r="F1718" s="179"/>
      <c r="G1718" s="179"/>
      <c r="H1718" s="179"/>
      <c r="I1718" s="179"/>
    </row>
    <row r="1719" spans="1:9">
      <c r="A1719" s="179"/>
      <c r="B1719" s="179"/>
      <c r="C1719" s="179"/>
      <c r="D1719" s="179"/>
      <c r="E1719" s="179"/>
      <c r="F1719" s="179"/>
      <c r="G1719" s="179"/>
      <c r="H1719" s="179"/>
      <c r="I1719" s="179"/>
    </row>
    <row r="1720" spans="1:9">
      <c r="A1720" s="179"/>
      <c r="B1720" s="179"/>
      <c r="C1720" s="179"/>
      <c r="D1720" s="179"/>
      <c r="E1720" s="179"/>
      <c r="F1720" s="179"/>
      <c r="G1720" s="179"/>
      <c r="H1720" s="179"/>
      <c r="I1720" s="179"/>
    </row>
    <row r="1721" spans="1:9">
      <c r="A1721" s="179"/>
      <c r="B1721" s="179"/>
      <c r="C1721" s="179"/>
      <c r="D1721" s="179"/>
      <c r="E1721" s="179"/>
      <c r="F1721" s="179"/>
      <c r="G1721" s="179"/>
      <c r="H1721" s="179"/>
      <c r="I1721" s="179"/>
    </row>
    <row r="1722" spans="1:9">
      <c r="A1722" s="179"/>
      <c r="B1722" s="179"/>
      <c r="C1722" s="179"/>
      <c r="D1722" s="179"/>
      <c r="E1722" s="179"/>
      <c r="F1722" s="179"/>
      <c r="G1722" s="179"/>
      <c r="H1722" s="179"/>
      <c r="I1722" s="179"/>
    </row>
    <row r="1723" spans="1:9">
      <c r="A1723" s="179"/>
      <c r="B1723" s="179"/>
      <c r="C1723" s="179"/>
      <c r="D1723" s="179"/>
      <c r="E1723" s="179"/>
      <c r="F1723" s="179"/>
      <c r="G1723" s="179"/>
      <c r="H1723" s="179"/>
      <c r="I1723" s="179"/>
    </row>
    <row r="1724" spans="1:9">
      <c r="A1724" s="179"/>
      <c r="B1724" s="179"/>
      <c r="C1724" s="179"/>
      <c r="D1724" s="179"/>
      <c r="E1724" s="179"/>
      <c r="F1724" s="179"/>
      <c r="G1724" s="179"/>
      <c r="H1724" s="179"/>
      <c r="I1724" s="179"/>
    </row>
    <row r="1725" spans="1:9">
      <c r="A1725" s="179"/>
      <c r="B1725" s="179"/>
      <c r="C1725" s="179"/>
      <c r="D1725" s="179"/>
      <c r="E1725" s="179"/>
      <c r="F1725" s="179"/>
      <c r="G1725" s="179"/>
      <c r="H1725" s="179"/>
      <c r="I1725" s="179"/>
    </row>
    <row r="1726" spans="1:9">
      <c r="A1726" s="179"/>
      <c r="B1726" s="179"/>
      <c r="C1726" s="179"/>
      <c r="D1726" s="179"/>
      <c r="E1726" s="179"/>
      <c r="F1726" s="179"/>
      <c r="G1726" s="179"/>
      <c r="H1726" s="179"/>
      <c r="I1726" s="179"/>
    </row>
    <row r="1727" spans="1:9">
      <c r="A1727" s="179"/>
      <c r="B1727" s="179"/>
      <c r="C1727" s="179"/>
      <c r="D1727" s="179"/>
      <c r="E1727" s="179"/>
      <c r="F1727" s="179"/>
      <c r="G1727" s="179"/>
      <c r="H1727" s="179"/>
      <c r="I1727" s="179"/>
    </row>
    <row r="1728" spans="1:9">
      <c r="A1728" s="179"/>
      <c r="B1728" s="179"/>
      <c r="C1728" s="179"/>
      <c r="D1728" s="179"/>
      <c r="E1728" s="179"/>
      <c r="F1728" s="179"/>
      <c r="G1728" s="179"/>
      <c r="H1728" s="179"/>
      <c r="I1728" s="179"/>
    </row>
    <row r="1729" spans="1:9">
      <c r="A1729" s="179"/>
      <c r="B1729" s="179"/>
      <c r="C1729" s="179"/>
      <c r="D1729" s="179"/>
      <c r="E1729" s="179"/>
      <c r="F1729" s="179"/>
      <c r="G1729" s="179"/>
      <c r="H1729" s="179"/>
      <c r="I1729" s="179"/>
    </row>
    <row r="1730" spans="1:9">
      <c r="A1730" s="179"/>
      <c r="B1730" s="179"/>
      <c r="C1730" s="179"/>
      <c r="D1730" s="179"/>
      <c r="E1730" s="179"/>
      <c r="F1730" s="179"/>
      <c r="G1730" s="179"/>
      <c r="H1730" s="179"/>
      <c r="I1730" s="179"/>
    </row>
    <row r="1731" spans="1:9">
      <c r="A1731" s="179"/>
      <c r="B1731" s="179"/>
      <c r="C1731" s="179"/>
      <c r="D1731" s="179"/>
      <c r="E1731" s="179"/>
      <c r="F1731" s="179"/>
      <c r="G1731" s="179"/>
      <c r="H1731" s="179"/>
      <c r="I1731" s="179"/>
    </row>
    <row r="1732" spans="1:9">
      <c r="A1732" s="179"/>
      <c r="B1732" s="179"/>
      <c r="C1732" s="179"/>
      <c r="D1732" s="179"/>
      <c r="E1732" s="179"/>
      <c r="F1732" s="179"/>
      <c r="G1732" s="179"/>
      <c r="H1732" s="179"/>
      <c r="I1732" s="179"/>
    </row>
    <row r="1733" spans="1:9">
      <c r="A1733" s="179"/>
      <c r="B1733" s="179"/>
      <c r="C1733" s="179"/>
      <c r="D1733" s="179"/>
      <c r="E1733" s="179"/>
      <c r="F1733" s="179"/>
      <c r="G1733" s="179"/>
      <c r="H1733" s="179"/>
      <c r="I1733" s="179"/>
    </row>
    <row r="1734" spans="1:9">
      <c r="A1734" s="179"/>
      <c r="B1734" s="179"/>
      <c r="C1734" s="179"/>
      <c r="D1734" s="179"/>
      <c r="E1734" s="179"/>
      <c r="F1734" s="179"/>
      <c r="G1734" s="179"/>
      <c r="H1734" s="179"/>
      <c r="I1734" s="179"/>
    </row>
    <row r="1735" spans="1:9">
      <c r="A1735" s="179"/>
      <c r="B1735" s="179"/>
      <c r="C1735" s="179"/>
      <c r="D1735" s="179"/>
      <c r="E1735" s="179"/>
      <c r="F1735" s="179"/>
      <c r="G1735" s="179"/>
      <c r="H1735" s="179"/>
      <c r="I1735" s="179"/>
    </row>
    <row r="1736" spans="1:9">
      <c r="B1736" s="179"/>
      <c r="C1736" s="179"/>
      <c r="D1736" s="179"/>
      <c r="E1736" s="179"/>
    </row>
    <row r="1737" spans="1:9">
      <c r="B1737" s="179"/>
      <c r="C1737" s="179"/>
      <c r="D1737" s="179"/>
      <c r="E1737" s="179"/>
    </row>
    <row r="1738" spans="1:9">
      <c r="B1738" s="179"/>
      <c r="C1738" s="179"/>
      <c r="D1738" s="179"/>
      <c r="E1738" s="179"/>
    </row>
    <row r="1739" spans="1:9">
      <c r="B1739" s="179"/>
      <c r="C1739" s="179"/>
      <c r="D1739" s="179"/>
      <c r="E1739" s="179"/>
    </row>
    <row r="1740" spans="1:9">
      <c r="B1740" s="179"/>
      <c r="C1740" s="179"/>
      <c r="D1740" s="179"/>
      <c r="E1740" s="179"/>
    </row>
    <row r="1741" spans="1:9">
      <c r="B1741" s="179"/>
      <c r="C1741" s="179"/>
      <c r="D1741" s="179"/>
      <c r="E1741" s="179"/>
    </row>
    <row r="1742" spans="1:9">
      <c r="B1742" s="179"/>
      <c r="C1742" s="179"/>
      <c r="D1742" s="179"/>
      <c r="E1742" s="179"/>
    </row>
    <row r="1743" spans="1:9">
      <c r="B1743" s="179"/>
      <c r="C1743" s="179"/>
      <c r="D1743" s="179"/>
      <c r="E1743" s="179"/>
    </row>
    <row r="1744" spans="1:9">
      <c r="B1744" s="179"/>
      <c r="C1744" s="179"/>
      <c r="D1744" s="179"/>
      <c r="E1744" s="179"/>
    </row>
  </sheetData>
  <mergeCells count="15">
    <mergeCell ref="C53:G53"/>
    <mergeCell ref="H53:L53"/>
    <mergeCell ref="B95:L95"/>
    <mergeCell ref="C23:O23"/>
    <mergeCell ref="B35:B48"/>
    <mergeCell ref="N1:O1"/>
    <mergeCell ref="B9:D9"/>
    <mergeCell ref="F44:J44"/>
    <mergeCell ref="F31:H31"/>
    <mergeCell ref="C10:D10"/>
    <mergeCell ref="B18:C18"/>
    <mergeCell ref="F10:F11"/>
    <mergeCell ref="F36:J36"/>
    <mergeCell ref="G10:G11"/>
    <mergeCell ref="E10:E11"/>
  </mergeCells>
  <conditionalFormatting sqref="D18">
    <cfRule type="expression" priority="2" stopIfTrue="1">
      <formula>"$E$165&gt;=1,¨Aumento¨"</formula>
    </cfRule>
  </conditionalFormatting>
  <dataValidations count="1">
    <dataValidation type="list" allowBlank="1" showInputMessage="1" showErrorMessage="1" sqref="G9">
      <formula1>$G$4:$G$6</formula1>
    </dataValidation>
  </dataValidations>
  <hyperlinks>
    <hyperlink ref="E9" location="IPT!A1" display="INDICE"/>
  </hyperlinks>
  <printOptions horizontalCentered="1"/>
  <pageMargins left="0.51181102362204722" right="0.51181102362204722" top="0.74803149606299213" bottom="0.94488188976377963" header="0.31496062992125984" footer="0.31496062992125984"/>
  <pageSetup scale="60"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87"/>
  <sheetViews>
    <sheetView topLeftCell="A13" workbookViewId="0">
      <selection activeCell="E33" sqref="E33"/>
    </sheetView>
  </sheetViews>
  <sheetFormatPr baseColWidth="10" defaultColWidth="9.140625" defaultRowHeight="15"/>
  <cols>
    <col min="1" max="1" width="5.28515625" customWidth="1"/>
    <col min="2" max="2" width="43.42578125" customWidth="1"/>
    <col min="3" max="4" width="15.28515625" bestFit="1" customWidth="1"/>
    <col min="5" max="5" width="16.140625" bestFit="1" customWidth="1"/>
    <col min="6" max="6" width="12.5703125" customWidth="1"/>
    <col min="7" max="7" width="11.42578125" customWidth="1"/>
    <col min="8" max="8" width="12.42578125" bestFit="1" customWidth="1"/>
    <col min="9" max="15" width="10.85546875" bestFit="1" customWidth="1"/>
  </cols>
  <sheetData>
    <row r="1" spans="1:14">
      <c r="B1" s="574" t="str">
        <f>BALANZA!B1</f>
        <v>CORPORACION DEL ACUEDUCTO Y ALCANTARILLADO DE MOCA</v>
      </c>
      <c r="M1" s="1895" t="str">
        <f>IPT!$F$5</f>
        <v>AUDITOR: JJSM</v>
      </c>
      <c r="N1" s="1895"/>
    </row>
    <row r="2" spans="1:14">
      <c r="B2" s="522" t="str">
        <f>BALANZA!B2</f>
        <v>Del Ejercicio terminado el  31 de marzo de 2026  y  2025</v>
      </c>
    </row>
    <row r="3" spans="1:14">
      <c r="B3" s="522"/>
    </row>
    <row r="4" spans="1:14" hidden="1">
      <c r="G4" s="492" t="s">
        <v>1532</v>
      </c>
    </row>
    <row r="5" spans="1:14" hidden="1">
      <c r="G5" s="492" t="s">
        <v>1533</v>
      </c>
    </row>
    <row r="6" spans="1:14" hidden="1">
      <c r="G6" s="492" t="s">
        <v>1531</v>
      </c>
    </row>
    <row r="7" spans="1:14">
      <c r="A7" s="396"/>
      <c r="B7" s="397" t="s">
        <v>1491</v>
      </c>
      <c r="D7" s="397"/>
      <c r="E7" s="397"/>
      <c r="F7" s="397"/>
      <c r="G7" s="179"/>
      <c r="H7" s="179"/>
    </row>
    <row r="8" spans="1:14" ht="7.5" customHeight="1">
      <c r="A8" s="179"/>
      <c r="B8" s="179"/>
      <c r="C8" s="179"/>
      <c r="D8" s="179"/>
      <c r="E8" s="179"/>
      <c r="F8" s="179"/>
      <c r="G8" s="179"/>
      <c r="H8" s="179"/>
    </row>
    <row r="9" spans="1:14">
      <c r="A9" s="179"/>
      <c r="B9" s="2021" t="s">
        <v>1475</v>
      </c>
      <c r="C9" s="2021"/>
      <c r="D9" s="2021"/>
      <c r="E9" s="179"/>
      <c r="F9" s="179"/>
      <c r="G9" s="179"/>
      <c r="H9" s="179"/>
    </row>
    <row r="10" spans="1:14" ht="19.5" customHeight="1">
      <c r="A10" s="179"/>
      <c r="B10" s="179"/>
      <c r="C10" s="179"/>
      <c r="D10" s="179"/>
      <c r="E10" s="539" t="s">
        <v>1355</v>
      </c>
      <c r="F10" s="538" t="str">
        <f>IPT!C34</f>
        <v>AA-20</v>
      </c>
      <c r="G10" s="529" t="str">
        <f>IF(C40=0,"Verificado","Pendiente")</f>
        <v>Verificado</v>
      </c>
      <c r="H10" s="179"/>
    </row>
    <row r="11" spans="1:14" ht="45">
      <c r="B11" s="200" t="s">
        <v>1149</v>
      </c>
      <c r="C11" s="201">
        <f>BALANZA!B4</f>
        <v>2026</v>
      </c>
      <c r="D11" s="201">
        <f>BALANZA!C4</f>
        <v>2025</v>
      </c>
      <c r="E11" s="616" t="s">
        <v>1213</v>
      </c>
      <c r="F11" s="465" t="s">
        <v>1465</v>
      </c>
      <c r="G11" s="465" t="s">
        <v>1476</v>
      </c>
    </row>
    <row r="12" spans="1:14" ht="19.5" customHeight="1">
      <c r="A12">
        <v>1</v>
      </c>
      <c r="B12" s="489" t="str">
        <f>+'Notas NF'!B536</f>
        <v>Sueldos para cargos Fijos</v>
      </c>
      <c r="C12" s="204">
        <f>+'Notas NF'!C536</f>
        <v>37501006.670000002</v>
      </c>
      <c r="D12" s="204">
        <f>+'Notas NF'!D536</f>
        <v>145335261.69</v>
      </c>
      <c r="E12" s="650">
        <f t="shared" ref="E12:E17" si="0">+C12-D12</f>
        <v>-107834255.02</v>
      </c>
      <c r="F12" s="651">
        <f t="shared" ref="F12:F22" si="1">IFERROR(E12/D12,0)</f>
        <v>-0.74196897412281393</v>
      </c>
      <c r="G12" s="450" t="s">
        <v>1428</v>
      </c>
    </row>
    <row r="13" spans="1:14" ht="19.5" customHeight="1">
      <c r="A13">
        <v>2</v>
      </c>
      <c r="B13" s="489" t="str">
        <f>+'Notas NF'!B537</f>
        <v>Sueldos personal temporero y contratado</v>
      </c>
      <c r="C13" s="204">
        <f>+'Notas NF'!C537</f>
        <v>614250</v>
      </c>
      <c r="D13" s="204">
        <f>+'Notas NF'!D537</f>
        <v>0</v>
      </c>
      <c r="E13" s="650">
        <f t="shared" si="0"/>
        <v>614250</v>
      </c>
      <c r="F13" s="651">
        <f t="shared" si="1"/>
        <v>0</v>
      </c>
      <c r="G13" s="450" t="s">
        <v>1428</v>
      </c>
    </row>
    <row r="14" spans="1:14" ht="19.5" customHeight="1">
      <c r="A14">
        <v>3</v>
      </c>
      <c r="B14" s="489" t="str">
        <f>+'Notas NF'!B538</f>
        <v>Sobresueldos (compensación por hora extraordinario ,compensación por resultado, prima de transp., incentivos por rendimiento)</v>
      </c>
      <c r="C14" s="204">
        <f>+'Notas NF'!C538</f>
        <v>2331135.4900000002</v>
      </c>
      <c r="D14" s="204">
        <f>+'Notas NF'!D538</f>
        <v>17865012.939999998</v>
      </c>
      <c r="E14" s="650">
        <f t="shared" si="0"/>
        <v>-15533877.449999997</v>
      </c>
      <c r="F14" s="651">
        <f t="shared" si="1"/>
        <v>-0.86951392099019653</v>
      </c>
      <c r="G14" s="450" t="s">
        <v>1428</v>
      </c>
    </row>
    <row r="15" spans="1:14" ht="19.5" customHeight="1">
      <c r="A15">
        <v>4</v>
      </c>
      <c r="B15" s="489" t="str">
        <f>+'Notas NF'!B539</f>
        <v>Jornales</v>
      </c>
      <c r="C15" s="204">
        <f>+'Notas NF'!C539</f>
        <v>0</v>
      </c>
      <c r="D15" s="204">
        <f>+'Notas NF'!D539</f>
        <v>0</v>
      </c>
      <c r="E15" s="650">
        <f t="shared" si="0"/>
        <v>0</v>
      </c>
      <c r="F15" s="651">
        <f t="shared" si="1"/>
        <v>0</v>
      </c>
      <c r="G15" s="450" t="s">
        <v>1428</v>
      </c>
    </row>
    <row r="16" spans="1:14" ht="19.5" customHeight="1">
      <c r="A16">
        <v>5</v>
      </c>
      <c r="B16" s="489" t="str">
        <f>+'Notas NF'!B540</f>
        <v>Dietas y Gastos de Representación</v>
      </c>
      <c r="C16" s="204">
        <f>+'Notas NF'!C540</f>
        <v>430000</v>
      </c>
      <c r="D16" s="204">
        <f>+'Notas NF'!D540</f>
        <v>2365000</v>
      </c>
      <c r="E16" s="650">
        <f t="shared" si="0"/>
        <v>-1935000</v>
      </c>
      <c r="F16" s="651">
        <f t="shared" si="1"/>
        <v>-0.81818181818181823</v>
      </c>
      <c r="G16" s="450" t="s">
        <v>1428</v>
      </c>
    </row>
    <row r="17" spans="1:15" ht="19.5" customHeight="1">
      <c r="B17" s="489" t="str">
        <f>+'Notas NF'!B541</f>
        <v>Gratificaciones y Bonificaciones</v>
      </c>
      <c r="C17" s="204">
        <f>+'Notas NF'!C541</f>
        <v>155800</v>
      </c>
      <c r="D17" s="204">
        <f>+'Notas NF'!D541</f>
        <v>12070148.16</v>
      </c>
      <c r="E17" s="650">
        <f t="shared" si="0"/>
        <v>-11914348.16</v>
      </c>
      <c r="F17" s="651">
        <f t="shared" si="1"/>
        <v>-0.98709212199098639</v>
      </c>
      <c r="G17" s="450" t="s">
        <v>1428</v>
      </c>
    </row>
    <row r="18" spans="1:15" ht="19.5" customHeight="1">
      <c r="B18" s="489" t="str">
        <f>+'Notas NF'!B543</f>
        <v>Contribución al seguro de salud</v>
      </c>
      <c r="C18" s="204">
        <f>+'Notas NF'!C543</f>
        <v>2650100.36</v>
      </c>
      <c r="D18" s="204"/>
      <c r="E18" s="650"/>
      <c r="F18" s="651"/>
      <c r="G18" s="450"/>
    </row>
    <row r="19" spans="1:15" ht="19.5" customHeight="1">
      <c r="B19" s="489" t="str">
        <f>+'Notas NF'!B544</f>
        <v>Contribución al seguro pensión</v>
      </c>
      <c r="C19" s="204">
        <f>+'Notas NF'!C544</f>
        <v>2700676.93</v>
      </c>
      <c r="D19" s="204"/>
      <c r="E19" s="650"/>
      <c r="F19" s="651"/>
      <c r="G19" s="450"/>
      <c r="I19" s="11">
        <f>+C14-C33</f>
        <v>0</v>
      </c>
    </row>
    <row r="20" spans="1:15" ht="19.5" customHeight="1">
      <c r="A20">
        <v>6</v>
      </c>
      <c r="B20" s="489" t="str">
        <f>+'Notas NF'!B545</f>
        <v>Contribución al seguro riesgo laboral</v>
      </c>
      <c r="C20" s="204">
        <f>+'Notas NF'!C545</f>
        <v>437355</v>
      </c>
      <c r="D20" s="243"/>
      <c r="E20" s="243"/>
      <c r="F20" s="243"/>
      <c r="G20" s="450" t="s">
        <v>1428</v>
      </c>
    </row>
    <row r="21" spans="1:15" ht="19.5" customHeight="1">
      <c r="B21" s="489"/>
      <c r="C21" s="204">
        <f>SUM(C18:C20)</f>
        <v>5788132.29</v>
      </c>
      <c r="D21" s="204">
        <f>+'Notas NF'!D545</f>
        <v>1728679.77</v>
      </c>
      <c r="E21" s="650">
        <f>+C20-D21</f>
        <v>-1291324.77</v>
      </c>
      <c r="F21" s="651">
        <f>IFERROR(E21/D21,0)</f>
        <v>-0.74700056795365866</v>
      </c>
      <c r="G21" s="450"/>
    </row>
    <row r="22" spans="1:15" ht="19.5" customHeight="1">
      <c r="A22">
        <v>7</v>
      </c>
      <c r="B22" s="205" t="s">
        <v>1160</v>
      </c>
      <c r="C22" s="199">
        <f>SUM(C12:C20)</f>
        <v>46820324.450000003</v>
      </c>
      <c r="D22" s="498">
        <f>SUM(D12:D21)</f>
        <v>179364102.56</v>
      </c>
      <c r="E22" s="652">
        <f>SUM(E12:E21)</f>
        <v>-137894555.40000001</v>
      </c>
      <c r="F22" s="653">
        <f t="shared" si="1"/>
        <v>-0.76879684079411703</v>
      </c>
      <c r="G22" s="500" t="s">
        <v>1419</v>
      </c>
    </row>
    <row r="23" spans="1:15" ht="10.5" customHeight="1">
      <c r="B23" s="158"/>
      <c r="E23" s="206"/>
    </row>
    <row r="24" spans="1:15" s="5" customFormat="1" ht="27.75" customHeight="1">
      <c r="B24" s="2051" t="str">
        <f>+'1'!B21:C21</f>
        <v>Cambio porcentual con relación al 2025</v>
      </c>
      <c r="C24" s="2052"/>
      <c r="D24" s="618" t="str">
        <f>IF(E24&gt;=0,"Aumento","Disminución")</f>
        <v>Disminución</v>
      </c>
      <c r="E24" s="619">
        <f>+E22/D22</f>
        <v>-0.76879684079411703</v>
      </c>
    </row>
    <row r="25" spans="1:15" ht="15.75">
      <c r="B25" s="158"/>
      <c r="E25" s="206"/>
    </row>
    <row r="26" spans="1:15" ht="5.25" customHeight="1">
      <c r="A26" s="179"/>
      <c r="B26" s="179"/>
      <c r="C26" s="179"/>
      <c r="D26" s="179"/>
      <c r="E26" s="179"/>
      <c r="F26" s="179"/>
      <c r="G26" s="179"/>
      <c r="H26" s="179"/>
    </row>
    <row r="27" spans="1:15">
      <c r="A27" s="179"/>
      <c r="B27" s="397" t="s">
        <v>1492</v>
      </c>
      <c r="C27" s="179"/>
      <c r="D27" s="179"/>
      <c r="E27" s="179"/>
      <c r="F27" s="179"/>
      <c r="G27" s="179"/>
      <c r="H27" s="179"/>
    </row>
    <row r="28" spans="1:15">
      <c r="A28" s="407"/>
      <c r="B28" s="482" t="s">
        <v>1467</v>
      </c>
      <c r="C28" s="482"/>
      <c r="D28" s="482"/>
      <c r="E28" s="407"/>
      <c r="G28" s="407"/>
      <c r="H28" s="407"/>
      <c r="I28" s="407"/>
      <c r="J28" s="407"/>
      <c r="K28" s="407"/>
    </row>
    <row r="29" spans="1:15" ht="21" customHeight="1">
      <c r="A29" s="407"/>
      <c r="B29" s="462"/>
      <c r="C29" s="1879">
        <f>C11</f>
        <v>2026</v>
      </c>
      <c r="D29" s="1880"/>
      <c r="E29" s="1880"/>
      <c r="F29" s="1880"/>
      <c r="G29" s="1880"/>
      <c r="H29" s="1880"/>
      <c r="I29" s="1880"/>
      <c r="J29" s="1880"/>
      <c r="K29" s="1880"/>
      <c r="L29" s="1880"/>
      <c r="M29" s="1880"/>
      <c r="N29" s="1880"/>
      <c r="O29" s="1880"/>
    </row>
    <row r="30" spans="1:15">
      <c r="A30" s="407"/>
      <c r="B30" s="462" t="s">
        <v>1149</v>
      </c>
      <c r="C30" s="463" t="s">
        <v>1415</v>
      </c>
      <c r="D30" s="463" t="s">
        <v>1418</v>
      </c>
      <c r="E30" s="463" t="s">
        <v>1434</v>
      </c>
      <c r="F30" s="463" t="s">
        <v>1435</v>
      </c>
      <c r="G30" s="463" t="s">
        <v>1436</v>
      </c>
      <c r="H30" s="463" t="s">
        <v>1437</v>
      </c>
      <c r="I30" s="463" t="s">
        <v>1438</v>
      </c>
      <c r="J30" s="463" t="s">
        <v>1439</v>
      </c>
      <c r="K30" s="463" t="s">
        <v>1440</v>
      </c>
      <c r="L30" s="463" t="s">
        <v>1441</v>
      </c>
      <c r="M30" s="463" t="s">
        <v>1410</v>
      </c>
      <c r="N30" s="463" t="s">
        <v>1411</v>
      </c>
      <c r="O30" s="463" t="s">
        <v>1412</v>
      </c>
    </row>
    <row r="31" spans="1:15" s="134" customFormat="1" ht="18" customHeight="1">
      <c r="A31" s="134">
        <v>1</v>
      </c>
      <c r="B31" s="622" t="str">
        <f t="shared" ref="B31:B36" si="2">+B12</f>
        <v>Sueldos para cargos Fijos</v>
      </c>
      <c r="C31" s="629">
        <f t="shared" ref="C31:C37" si="3">SUM(D31:O31)</f>
        <v>37501006.670000002</v>
      </c>
      <c r="D31" s="635">
        <f>+BALANZA!N208+BALANZA!N212+BALANZA!N359</f>
        <v>0</v>
      </c>
      <c r="E31" s="635">
        <f>+BALANZA!O208+BALANZA!O212+BALANZA!O359</f>
        <v>23832742.670000002</v>
      </c>
      <c r="F31" s="635">
        <f>+BALANZA!P208+BALANZA!P212+BALANZA!P359</f>
        <v>13668264</v>
      </c>
      <c r="G31" s="635">
        <f>+BALANZA!Q208+BALANZA!Q212+BALANZA!Q359</f>
        <v>0</v>
      </c>
      <c r="H31" s="635">
        <f>+BALANZA!R208+BALANZA!R212+BALANZA!R359</f>
        <v>0</v>
      </c>
      <c r="I31" s="635">
        <f>+BALANZA!S208+BALANZA!S212+BALANZA!S359</f>
        <v>0</v>
      </c>
      <c r="J31" s="635">
        <f>+BALANZA!T208+BALANZA!T212+BALANZA!T359</f>
        <v>0</v>
      </c>
      <c r="K31" s="635">
        <f>+BALANZA!U208+BALANZA!U212+BALANZA!U359</f>
        <v>0</v>
      </c>
      <c r="L31" s="635">
        <f>+BALANZA!V208+BALANZA!V212+BALANZA!V359</f>
        <v>0</v>
      </c>
      <c r="M31" s="635">
        <f>+BALANZA!W208+BALANZA!W212+BALANZA!W359</f>
        <v>0</v>
      </c>
      <c r="N31" s="635">
        <f>+BALANZA!X208+BALANZA!X212+BALANZA!X359</f>
        <v>0</v>
      </c>
      <c r="O31" s="635">
        <f>+BALANZA!Y208+BALANZA!Y212+BALANZA!Y359</f>
        <v>0</v>
      </c>
    </row>
    <row r="32" spans="1:15" s="134" customFormat="1" ht="18" customHeight="1">
      <c r="A32" s="134">
        <v>2</v>
      </c>
      <c r="B32" s="622" t="str">
        <f t="shared" si="2"/>
        <v>Sueldos personal temporero y contratado</v>
      </c>
      <c r="C32" s="629">
        <f t="shared" si="3"/>
        <v>614250</v>
      </c>
      <c r="D32" s="635">
        <f>+BALANZA!N211+BALANZA!N213+BALANZA!N214+BALANZA!N209</f>
        <v>0</v>
      </c>
      <c r="E32" s="635">
        <f>+BALANZA!O211+BALANZA!O213+BALANZA!O214+BALANZA!O209</f>
        <v>409500</v>
      </c>
      <c r="F32" s="635">
        <f>+BALANZA!P211+BALANZA!P213+BALANZA!P214+BALANZA!P209</f>
        <v>204750</v>
      </c>
      <c r="G32" s="635">
        <f>+BALANZA!Q211+BALANZA!Q213+BALANZA!Q214+BALANZA!Q209</f>
        <v>0</v>
      </c>
      <c r="H32" s="635">
        <f>+BALANZA!R211+BALANZA!R213+BALANZA!R214+BALANZA!R209</f>
        <v>0</v>
      </c>
      <c r="I32" s="635">
        <f>+BALANZA!S211+BALANZA!S213+BALANZA!S214+BALANZA!S209</f>
        <v>0</v>
      </c>
      <c r="J32" s="635">
        <f>+BALANZA!T211+BALANZA!T213+BALANZA!T214+BALANZA!T209</f>
        <v>0</v>
      </c>
      <c r="K32" s="635">
        <f>+BALANZA!U211+BALANZA!U213+BALANZA!U214+BALANZA!U209</f>
        <v>0</v>
      </c>
      <c r="L32" s="635">
        <f>+BALANZA!V211+BALANZA!V213+BALANZA!V214+BALANZA!V209</f>
        <v>0</v>
      </c>
      <c r="M32" s="635">
        <f>+BALANZA!W211+BALANZA!W213+BALANZA!W214+BALANZA!W209</f>
        <v>0</v>
      </c>
      <c r="N32" s="635">
        <f>+BALANZA!X211+BALANZA!X213+BALANZA!X214+BALANZA!X209</f>
        <v>0</v>
      </c>
      <c r="O32" s="635">
        <f>+BALANZA!Y211+BALANZA!Y213+BALANZA!Y214+BALANZA!Y209</f>
        <v>0</v>
      </c>
    </row>
    <row r="33" spans="1:15" s="134" customFormat="1" ht="49.5" customHeight="1">
      <c r="A33" s="134">
        <v>3</v>
      </c>
      <c r="B33" s="622" t="str">
        <f t="shared" si="2"/>
        <v>Sobresueldos (compensación por hora extraordinario ,compensación por resultado, prima de transp., incentivos por rendimiento)</v>
      </c>
      <c r="C33" s="629">
        <f t="shared" si="3"/>
        <v>2331135.4900000002</v>
      </c>
      <c r="D33" s="635">
        <f>+BALANZA!N215+BALANZA!N216+BALANZA!N217+BALANZA!N218+BALANZA!N219+BALANZA!N220+BALANZA!N369+BALANZA!N221+BALANZA!N339</f>
        <v>0</v>
      </c>
      <c r="E33" s="635">
        <f>+BALANZA!O215+BALANZA!O216+BALANZA!O217+BALANZA!O218+BALANZA!O219+BALANZA!O220+BALANZA!O369+BALANZA!O221+BALANZA!O339</f>
        <v>932733.22</v>
      </c>
      <c r="F33" s="635">
        <f>+BALANZA!P215+BALANZA!P216+BALANZA!P217+BALANZA!P218+BALANZA!P219+BALANZA!P220+BALANZA!P369+BALANZA!P221+BALANZA!P339</f>
        <v>1398402.27</v>
      </c>
      <c r="G33" s="635">
        <f>+BALANZA!Q215+BALANZA!Q216+BALANZA!Q217+BALANZA!Q218+BALANZA!Q219+BALANZA!Q220+BALANZA!Q369+BALANZA!Q221+BALANZA!Q339</f>
        <v>0</v>
      </c>
      <c r="H33" s="635">
        <f>+BALANZA!R215+BALANZA!R216+BALANZA!R217+BALANZA!R218+BALANZA!R219+BALANZA!R220+BALANZA!R369+BALANZA!R221+BALANZA!R339</f>
        <v>0</v>
      </c>
      <c r="I33" s="635">
        <f>+BALANZA!S215+BALANZA!S216+BALANZA!S217+BALANZA!S218+BALANZA!S219+BALANZA!S220+BALANZA!S369+BALANZA!S221+BALANZA!S339</f>
        <v>0</v>
      </c>
      <c r="J33" s="635">
        <f>+BALANZA!T215+BALANZA!T216+BALANZA!T217+BALANZA!T218+BALANZA!T219+BALANZA!T220+BALANZA!T369+BALANZA!T221+BALANZA!T339</f>
        <v>0</v>
      </c>
      <c r="K33" s="635">
        <f>+BALANZA!U215+BALANZA!U216+BALANZA!U217+BALANZA!U218+BALANZA!U219+BALANZA!U220+BALANZA!U369+BALANZA!U221+BALANZA!U339</f>
        <v>0</v>
      </c>
      <c r="L33" s="635">
        <f>+BALANZA!V215+BALANZA!V216+BALANZA!V217+BALANZA!V218+BALANZA!V219+BALANZA!V220+BALANZA!V369+BALANZA!V221+BALANZA!V339</f>
        <v>0</v>
      </c>
      <c r="M33" s="635">
        <f>+BALANZA!W215+BALANZA!W216+BALANZA!W217+BALANZA!W218+BALANZA!W219+BALANZA!W220+BALANZA!W369+BALANZA!W221+BALANZA!W339</f>
        <v>0</v>
      </c>
      <c r="N33" s="635">
        <f>+BALANZA!X215+BALANZA!X216+BALANZA!X217+BALANZA!X218+BALANZA!X219+BALANZA!X220+BALANZA!X369+BALANZA!X221+BALANZA!X339</f>
        <v>0</v>
      </c>
      <c r="O33" s="635">
        <f>+BALANZA!Y215+BALANZA!Y216+BALANZA!Y217+BALANZA!Y218+BALANZA!Y219+BALANZA!Y220+BALANZA!Y369+BALANZA!Y221+BALANZA!Y339</f>
        <v>0</v>
      </c>
    </row>
    <row r="34" spans="1:15" s="134" customFormat="1" ht="18" customHeight="1">
      <c r="A34" s="134">
        <v>4</v>
      </c>
      <c r="B34" s="622" t="str">
        <f t="shared" si="2"/>
        <v>Jornales</v>
      </c>
      <c r="C34" s="629">
        <f t="shared" si="3"/>
        <v>0</v>
      </c>
      <c r="D34" s="635">
        <f>+BALANZA!N223</f>
        <v>0</v>
      </c>
      <c r="E34" s="635">
        <f>+BALANZA!O223</f>
        <v>0</v>
      </c>
      <c r="F34" s="635">
        <f>+BALANZA!P223</f>
        <v>0</v>
      </c>
      <c r="G34" s="635">
        <f>+BALANZA!Q223</f>
        <v>0</v>
      </c>
      <c r="H34" s="635">
        <f>+BALANZA!R223</f>
        <v>0</v>
      </c>
      <c r="I34" s="635">
        <f>+BALANZA!S223</f>
        <v>0</v>
      </c>
      <c r="J34" s="635">
        <f>+BALANZA!T223</f>
        <v>0</v>
      </c>
      <c r="K34" s="635">
        <f>+BALANZA!U223</f>
        <v>0</v>
      </c>
      <c r="L34" s="635">
        <f>+BALANZA!V223</f>
        <v>0</v>
      </c>
      <c r="M34" s="635">
        <f>+BALANZA!W223</f>
        <v>0</v>
      </c>
      <c r="N34" s="635">
        <f>+BALANZA!X223</f>
        <v>0</v>
      </c>
      <c r="O34" s="635">
        <f>+BALANZA!Y223</f>
        <v>0</v>
      </c>
    </row>
    <row r="35" spans="1:15" s="134" customFormat="1" ht="18" customHeight="1">
      <c r="A35" s="134">
        <v>5</v>
      </c>
      <c r="B35" s="1790" t="str">
        <f t="shared" si="2"/>
        <v>Dietas y Gastos de Representación</v>
      </c>
      <c r="C35" s="1791">
        <f t="shared" si="3"/>
        <v>430000</v>
      </c>
      <c r="D35" s="1792">
        <f>+BALANZA!N225+BALANZA!N226+BALANZA!N227+BALANZA!N228</f>
        <v>0</v>
      </c>
      <c r="E35" s="1792">
        <f>+BALANZA!O225+BALANZA!O226+BALANZA!O227+BALANZA!O228</f>
        <v>215000</v>
      </c>
      <c r="F35" s="1792">
        <f>+BALANZA!P225+BALANZA!P226+BALANZA!P227+BALANZA!P228</f>
        <v>215000</v>
      </c>
      <c r="G35" s="1792">
        <f>+BALANZA!Q225+BALANZA!Q226+BALANZA!Q227+BALANZA!Q228</f>
        <v>0</v>
      </c>
      <c r="H35" s="1792">
        <f>+BALANZA!R225+BALANZA!R226+BALANZA!R227+BALANZA!R228</f>
        <v>0</v>
      </c>
      <c r="I35" s="1792">
        <f>+BALANZA!S225+BALANZA!S226+BALANZA!S227+BALANZA!S228</f>
        <v>0</v>
      </c>
      <c r="J35" s="1792">
        <f>+BALANZA!T225+BALANZA!T226+BALANZA!T227+BALANZA!T228</f>
        <v>0</v>
      </c>
      <c r="K35" s="1792">
        <f>+BALANZA!U225+BALANZA!U226+BALANZA!U227+BALANZA!U228</f>
        <v>0</v>
      </c>
      <c r="L35" s="1792">
        <f>+BALANZA!V225+BALANZA!V226+BALANZA!V227+BALANZA!V228</f>
        <v>0</v>
      </c>
      <c r="M35" s="1792">
        <f>+BALANZA!W225+BALANZA!W226+BALANZA!W227+BALANZA!W228</f>
        <v>0</v>
      </c>
      <c r="N35" s="1792">
        <f>+BALANZA!X225+BALANZA!X226+BALANZA!X227+BALANZA!X228</f>
        <v>0</v>
      </c>
      <c r="O35" s="1792">
        <f>+BALANZA!Y225+BALANZA!Y226+BALANZA!Y227+BALANZA!Y228</f>
        <v>0</v>
      </c>
    </row>
    <row r="36" spans="1:15" s="134" customFormat="1" ht="18" customHeight="1">
      <c r="B36" s="622" t="str">
        <f t="shared" si="2"/>
        <v>Gratificaciones y Bonificaciones</v>
      </c>
      <c r="C36" s="629">
        <f t="shared" si="3"/>
        <v>155800</v>
      </c>
      <c r="D36" s="635">
        <f>+BALANZA!N229+BALANZA!N222+BALANZA!N235+BALANZA!N230</f>
        <v>0</v>
      </c>
      <c r="E36" s="635">
        <f>+BALANZA!O229+BALANZA!O222+BALANZA!O235+BALANZA!O230</f>
        <v>0</v>
      </c>
      <c r="F36" s="635">
        <f>+BALANZA!P229+BALANZA!P222+BALANZA!P235+BALANZA!P230</f>
        <v>155800</v>
      </c>
      <c r="G36" s="635">
        <f>+BALANZA!Q229+BALANZA!Q222+BALANZA!Q235+BALANZA!Q230</f>
        <v>0</v>
      </c>
      <c r="H36" s="635">
        <f>+BALANZA!R229+BALANZA!R222+BALANZA!R235+BALANZA!R230</f>
        <v>0</v>
      </c>
      <c r="I36" s="635">
        <f>+BALANZA!S229+BALANZA!S222+BALANZA!S235+BALANZA!S230</f>
        <v>0</v>
      </c>
      <c r="J36" s="635">
        <f>+BALANZA!T229+BALANZA!T222+BALANZA!T235+BALANZA!T230</f>
        <v>0</v>
      </c>
      <c r="K36" s="635">
        <f>+BALANZA!U229+BALANZA!U222+BALANZA!U235+BALANZA!U230</f>
        <v>0</v>
      </c>
      <c r="L36" s="635">
        <f>+BALANZA!V229+BALANZA!V222+BALANZA!V235+BALANZA!V230</f>
        <v>0</v>
      </c>
      <c r="M36" s="635">
        <f>+BALANZA!W229+BALANZA!W222+BALANZA!W235+BALANZA!W230</f>
        <v>0</v>
      </c>
      <c r="N36" s="635">
        <f>+BALANZA!X229+BALANZA!X222+BALANZA!X235+BALANZA!X230</f>
        <v>0</v>
      </c>
      <c r="O36" s="635">
        <f>+BALANZA!Y229+BALANZA!Y222+BALANZA!Y235+BALANZA!Y230</f>
        <v>0</v>
      </c>
    </row>
    <row r="37" spans="1:15" s="134" customFormat="1" ht="18" customHeight="1">
      <c r="A37" s="134">
        <v>6</v>
      </c>
      <c r="B37" s="622" t="str">
        <f>+B20</f>
        <v>Contribución al seguro riesgo laboral</v>
      </c>
      <c r="C37" s="629">
        <f t="shared" si="3"/>
        <v>5788132.2899999991</v>
      </c>
      <c r="D37" s="635">
        <f>+BALANZA!N236+BALANZA!N237+BALANZA!N238</f>
        <v>0</v>
      </c>
      <c r="E37" s="635">
        <f>+BALANZA!O236+BALANZA!O237+BALANZA!O238</f>
        <v>3777568.4299999997</v>
      </c>
      <c r="F37" s="635">
        <f>+BALANZA!P236+BALANZA!P237+BALANZA!P238</f>
        <v>2010563.8599999999</v>
      </c>
      <c r="G37" s="635">
        <f>+BALANZA!Q236+BALANZA!Q237+BALANZA!Q238</f>
        <v>0</v>
      </c>
      <c r="H37" s="635">
        <f>+BALANZA!R236+BALANZA!R237+BALANZA!R238</f>
        <v>0</v>
      </c>
      <c r="I37" s="635">
        <f>+BALANZA!S236+BALANZA!S237+BALANZA!S238</f>
        <v>0</v>
      </c>
      <c r="J37" s="635">
        <f>+BALANZA!T236+BALANZA!T237+BALANZA!T238</f>
        <v>0</v>
      </c>
      <c r="K37" s="635">
        <f>+BALANZA!U236+BALANZA!U237+BALANZA!U238</f>
        <v>0</v>
      </c>
      <c r="L37" s="635">
        <f>+BALANZA!V236+BALANZA!V237+BALANZA!V238</f>
        <v>0</v>
      </c>
      <c r="M37" s="635">
        <f>+BALANZA!W236+BALANZA!W237+BALANZA!W238</f>
        <v>0</v>
      </c>
      <c r="N37" s="635">
        <f>+BALANZA!X236+BALANZA!X237+BALANZA!X238</f>
        <v>0</v>
      </c>
      <c r="O37" s="635">
        <f>+BALANZA!Y236+BALANZA!Y237+BALANZA!Y238</f>
        <v>0</v>
      </c>
    </row>
    <row r="38" spans="1:15" s="134" customFormat="1" ht="22.5" customHeight="1">
      <c r="A38" s="636"/>
      <c r="B38" s="632" t="s">
        <v>1152</v>
      </c>
      <c r="C38" s="633">
        <f>SUM(C31:C37)</f>
        <v>46820324.450000003</v>
      </c>
      <c r="D38" s="633">
        <f t="shared" ref="D38:O38" si="4">SUM(D31:D37)</f>
        <v>0</v>
      </c>
      <c r="E38" s="633">
        <f t="shared" si="4"/>
        <v>29167544.32</v>
      </c>
      <c r="F38" s="633">
        <f t="shared" si="4"/>
        <v>17652780.129999999</v>
      </c>
      <c r="G38" s="633">
        <f t="shared" si="4"/>
        <v>0</v>
      </c>
      <c r="H38" s="633">
        <f t="shared" si="4"/>
        <v>0</v>
      </c>
      <c r="I38" s="633">
        <f t="shared" si="4"/>
        <v>0</v>
      </c>
      <c r="J38" s="633">
        <f t="shared" si="4"/>
        <v>0</v>
      </c>
      <c r="K38" s="633">
        <f t="shared" si="4"/>
        <v>0</v>
      </c>
      <c r="L38" s="633">
        <f t="shared" si="4"/>
        <v>0</v>
      </c>
      <c r="M38" s="633">
        <f t="shared" si="4"/>
        <v>0</v>
      </c>
      <c r="N38" s="633">
        <f t="shared" si="4"/>
        <v>0</v>
      </c>
      <c r="O38" s="633">
        <f t="shared" si="4"/>
        <v>0</v>
      </c>
    </row>
    <row r="39" spans="1:15">
      <c r="A39" s="407"/>
      <c r="B39" s="483"/>
      <c r="C39" s="484"/>
      <c r="D39" s="484"/>
      <c r="E39" s="407"/>
      <c r="F39" s="407"/>
      <c r="G39" s="407"/>
    </row>
    <row r="40" spans="1:15">
      <c r="A40" s="407"/>
      <c r="B40" s="485" t="s">
        <v>1406</v>
      </c>
      <c r="C40" s="486">
        <f>C38-C22</f>
        <v>0</v>
      </c>
      <c r="D40" s="11">
        <f>+C38-ERF!B17</f>
        <v>0</v>
      </c>
      <c r="F40" s="11"/>
    </row>
    <row r="41" spans="1:15">
      <c r="A41" s="407"/>
      <c r="B41" s="393"/>
      <c r="C41" s="450" t="str">
        <f>IF(C40=0,m!$B$7,m!$B$11)</f>
        <v>P</v>
      </c>
    </row>
    <row r="42" spans="1:15" ht="15.75" thickBot="1">
      <c r="A42" s="179"/>
      <c r="B42" s="596" t="s">
        <v>1573</v>
      </c>
      <c r="C42" s="179"/>
      <c r="D42" s="179"/>
      <c r="E42" s="179"/>
      <c r="F42" s="179"/>
      <c r="G42" s="179"/>
      <c r="H42" s="179"/>
    </row>
    <row r="43" spans="1:15" s="525" customFormat="1" ht="15.75" thickBot="1">
      <c r="B43" s="2022"/>
      <c r="C43" s="637" t="s">
        <v>1425</v>
      </c>
    </row>
    <row r="44" spans="1:15" s="525" customFormat="1" ht="18.75" customHeight="1">
      <c r="B44" s="2023"/>
      <c r="C44" s="638" t="s">
        <v>1477</v>
      </c>
      <c r="D44" s="557" t="s">
        <v>1478</v>
      </c>
      <c r="E44" s="557" t="s">
        <v>6</v>
      </c>
      <c r="F44" s="1891" t="s">
        <v>1356</v>
      </c>
      <c r="G44" s="1891"/>
      <c r="H44" s="1891"/>
      <c r="I44" s="1891"/>
      <c r="J44" s="1891"/>
      <c r="K44" s="559" t="s">
        <v>1357</v>
      </c>
      <c r="L44" s="560" t="s">
        <v>1358</v>
      </c>
    </row>
    <row r="45" spans="1:15" s="525" customFormat="1" ht="9.75" customHeight="1">
      <c r="B45" s="2023"/>
      <c r="C45" s="451"/>
      <c r="D45" s="451"/>
      <c r="E45" s="451"/>
      <c r="F45" s="451"/>
      <c r="G45" s="457"/>
      <c r="H45" s="457"/>
      <c r="I45" s="393"/>
      <c r="J45" s="393"/>
      <c r="K45" s="393"/>
      <c r="L45" s="418"/>
    </row>
    <row r="46" spans="1:15" s="525" customFormat="1" ht="18.75" customHeight="1">
      <c r="B46" s="2023"/>
      <c r="C46" s="639">
        <v>20</v>
      </c>
      <c r="D46" s="543" t="str">
        <f>F10</f>
        <v>AA-20</v>
      </c>
      <c r="E46" s="544"/>
      <c r="F46" s="545" t="s">
        <v>1570</v>
      </c>
      <c r="G46" s="546"/>
      <c r="H46" s="546"/>
      <c r="I46" s="546"/>
      <c r="J46" s="547"/>
      <c r="K46" s="544">
        <v>0</v>
      </c>
      <c r="L46" s="548"/>
    </row>
    <row r="47" spans="1:15" s="525" customFormat="1" ht="18.75" customHeight="1">
      <c r="B47" s="2023"/>
      <c r="C47" s="640"/>
      <c r="D47" s="550"/>
      <c r="E47" s="544"/>
      <c r="F47" s="545" t="s">
        <v>1570</v>
      </c>
      <c r="G47" s="546"/>
      <c r="H47" s="546"/>
      <c r="I47" s="546"/>
      <c r="J47" s="547"/>
      <c r="K47" s="544"/>
      <c r="L47" s="551">
        <f>K46</f>
        <v>0</v>
      </c>
    </row>
    <row r="48" spans="1:15" s="525" customFormat="1" ht="18.75" customHeight="1" thickBot="1">
      <c r="B48" s="2023"/>
      <c r="C48" s="553" t="s">
        <v>1562</v>
      </c>
      <c r="D48" s="553"/>
      <c r="E48" s="553"/>
      <c r="F48" s="553"/>
      <c r="G48" s="553"/>
      <c r="H48" s="553"/>
      <c r="I48" s="553"/>
      <c r="J48" s="553"/>
      <c r="K48" s="553"/>
      <c r="L48" s="554"/>
    </row>
    <row r="49" spans="1:12" s="525" customFormat="1" ht="6" customHeight="1">
      <c r="B49" s="2023"/>
    </row>
    <row r="50" spans="1:12" s="525" customFormat="1" ht="6.75" customHeight="1" thickBot="1">
      <c r="B50" s="2023"/>
    </row>
    <row r="51" spans="1:12" s="525" customFormat="1" ht="15.75" thickBot="1">
      <c r="B51" s="2023"/>
      <c r="C51" s="637" t="s">
        <v>1561</v>
      </c>
    </row>
    <row r="52" spans="1:12" s="525" customFormat="1" ht="18.75" customHeight="1">
      <c r="B52" s="2023"/>
      <c r="C52" s="638" t="s">
        <v>1477</v>
      </c>
      <c r="D52" s="557" t="s">
        <v>1478</v>
      </c>
      <c r="E52" s="557" t="s">
        <v>6</v>
      </c>
      <c r="F52" s="1891" t="s">
        <v>1356</v>
      </c>
      <c r="G52" s="1891"/>
      <c r="H52" s="1891"/>
      <c r="I52" s="1891"/>
      <c r="J52" s="1891"/>
      <c r="K52" s="559" t="s">
        <v>1357</v>
      </c>
      <c r="L52" s="560" t="s">
        <v>1358</v>
      </c>
    </row>
    <row r="53" spans="1:12" s="525" customFormat="1" ht="9.75" customHeight="1">
      <c r="B53" s="2023"/>
      <c r="C53" s="451"/>
      <c r="D53" s="451"/>
      <c r="E53" s="451"/>
      <c r="F53" s="451"/>
      <c r="G53" s="457"/>
      <c r="H53" s="457"/>
      <c r="I53" s="393"/>
      <c r="J53" s="393"/>
      <c r="K53" s="393"/>
      <c r="L53" s="418"/>
    </row>
    <row r="54" spans="1:12" s="525" customFormat="1" ht="18.75" customHeight="1">
      <c r="B54" s="2023"/>
      <c r="C54" s="639">
        <f>C46</f>
        <v>20</v>
      </c>
      <c r="D54" s="543" t="str">
        <f>D46</f>
        <v>AA-20</v>
      </c>
      <c r="E54" s="544"/>
      <c r="F54" s="545" t="s">
        <v>1570</v>
      </c>
      <c r="G54" s="546"/>
      <c r="H54" s="546"/>
      <c r="I54" s="546"/>
      <c r="J54" s="547"/>
      <c r="K54" s="544"/>
      <c r="L54" s="548"/>
    </row>
    <row r="55" spans="1:12" s="525" customFormat="1" ht="18.75" customHeight="1">
      <c r="B55" s="2023"/>
      <c r="C55" s="640"/>
      <c r="D55" s="550"/>
      <c r="E55" s="544"/>
      <c r="F55" s="545" t="s">
        <v>1570</v>
      </c>
      <c r="G55" s="546"/>
      <c r="H55" s="546"/>
      <c r="I55" s="546"/>
      <c r="J55" s="547"/>
      <c r="K55" s="544"/>
      <c r="L55" s="551">
        <f>K54</f>
        <v>0</v>
      </c>
    </row>
    <row r="56" spans="1:12" s="525" customFormat="1" ht="18.75" customHeight="1" thickBot="1">
      <c r="B56" s="2024"/>
      <c r="C56" s="553" t="s">
        <v>1569</v>
      </c>
      <c r="D56" s="553"/>
      <c r="E56" s="553"/>
      <c r="F56" s="553"/>
      <c r="G56" s="553"/>
      <c r="H56" s="553"/>
      <c r="I56" s="553"/>
      <c r="J56" s="553"/>
      <c r="K56" s="553"/>
      <c r="L56" s="554"/>
    </row>
    <row r="57" spans="1:12" s="525" customFormat="1"/>
    <row r="58" spans="1:12">
      <c r="A58" s="179"/>
      <c r="B58" s="398"/>
      <c r="C58" s="179"/>
      <c r="D58" s="179"/>
      <c r="E58" s="179"/>
      <c r="F58" s="179"/>
      <c r="G58" s="179"/>
      <c r="H58" s="179"/>
    </row>
    <row r="61" spans="1:12" ht="15.75" thickBot="1"/>
    <row r="62" spans="1:12" ht="15.75" thickBot="1">
      <c r="A62" s="989"/>
      <c r="B62" s="989"/>
      <c r="C62" s="1887" t="s">
        <v>2413</v>
      </c>
      <c r="D62" s="1888"/>
      <c r="E62" s="1889"/>
      <c r="F62" s="1889"/>
      <c r="G62" s="1890"/>
      <c r="H62" s="1883" t="s">
        <v>2414</v>
      </c>
      <c r="I62" s="1884"/>
      <c r="J62" s="1884"/>
      <c r="K62" s="1884"/>
      <c r="L62" s="1885"/>
    </row>
    <row r="63" spans="1:12" ht="27" thickBot="1">
      <c r="A63" s="990" t="s">
        <v>1481</v>
      </c>
      <c r="B63" s="990" t="s">
        <v>8</v>
      </c>
      <c r="C63" s="991" t="s">
        <v>2415</v>
      </c>
      <c r="D63" s="992" t="s">
        <v>2416</v>
      </c>
      <c r="E63" s="993" t="s">
        <v>2417</v>
      </c>
      <c r="F63" s="992" t="s">
        <v>2416</v>
      </c>
      <c r="G63" s="994" t="s">
        <v>2418</v>
      </c>
      <c r="H63" s="1123" t="s">
        <v>2415</v>
      </c>
      <c r="I63" s="995" t="s">
        <v>2416</v>
      </c>
      <c r="J63" s="996" t="s">
        <v>2417</v>
      </c>
      <c r="K63" s="995" t="s">
        <v>2416</v>
      </c>
      <c r="L63" s="997" t="s">
        <v>2418</v>
      </c>
    </row>
    <row r="64" spans="1:12" ht="15.75" thickBot="1"/>
    <row r="65" spans="1:12" ht="45.75" thickBot="1">
      <c r="A65" s="1092">
        <v>1</v>
      </c>
      <c r="B65" s="1135" t="s">
        <v>2658</v>
      </c>
      <c r="C65" s="1000"/>
      <c r="D65" s="1025"/>
      <c r="E65" s="1000"/>
      <c r="F65" s="1025"/>
      <c r="G65" s="1000"/>
      <c r="H65" s="1025"/>
      <c r="I65" s="1000"/>
      <c r="J65" s="1025"/>
      <c r="K65" s="1000"/>
      <c r="L65" s="1094"/>
    </row>
    <row r="66" spans="1:12" ht="15.75" thickBot="1">
      <c r="A66" s="1092"/>
    </row>
    <row r="67" spans="1:12" ht="90.75" thickBot="1">
      <c r="A67" s="1092">
        <v>2</v>
      </c>
      <c r="B67" s="1135" t="s">
        <v>2697</v>
      </c>
      <c r="C67" s="1000"/>
      <c r="D67" s="1025"/>
      <c r="E67" s="1000"/>
      <c r="F67" s="1025"/>
      <c r="G67" s="1000"/>
      <c r="H67" s="1025"/>
      <c r="I67" s="1000"/>
      <c r="J67" s="1025"/>
      <c r="K67" s="1000"/>
      <c r="L67" s="1094"/>
    </row>
    <row r="68" spans="1:12" ht="15.75" thickBot="1">
      <c r="A68" s="1092"/>
    </row>
    <row r="69" spans="1:12" ht="45">
      <c r="A69" s="1092">
        <v>3</v>
      </c>
      <c r="B69" s="1145" t="s">
        <v>2698</v>
      </c>
      <c r="C69" s="1021"/>
      <c r="D69" s="1022"/>
      <c r="E69" s="1021"/>
      <c r="F69" s="1022"/>
      <c r="G69" s="1021"/>
      <c r="H69" s="1022"/>
      <c r="I69" s="1021"/>
      <c r="J69" s="1022"/>
      <c r="K69" s="1021"/>
      <c r="L69" s="1105"/>
    </row>
    <row r="70" spans="1:12">
      <c r="A70" s="1092"/>
      <c r="B70" s="1008" t="s">
        <v>2699</v>
      </c>
      <c r="C70" s="1009"/>
      <c r="E70" s="1009"/>
      <c r="G70" s="1009"/>
      <c r="I70" s="1009"/>
      <c r="K70" s="1009"/>
      <c r="L70" s="6"/>
    </row>
    <row r="71" spans="1:12">
      <c r="A71" s="1092"/>
      <c r="B71" s="1008" t="s">
        <v>2700</v>
      </c>
      <c r="C71" s="1009"/>
      <c r="E71" s="1009"/>
      <c r="G71" s="1009"/>
      <c r="I71" s="1009"/>
      <c r="K71" s="1009"/>
      <c r="L71" s="6"/>
    </row>
    <row r="72" spans="1:12">
      <c r="A72" s="1092"/>
      <c r="B72" s="1008" t="s">
        <v>2701</v>
      </c>
      <c r="C72" s="1009"/>
      <c r="E72" s="1009"/>
      <c r="G72" s="1009"/>
      <c r="I72" s="1009"/>
      <c r="K72" s="1009"/>
      <c r="L72" s="6"/>
    </row>
    <row r="73" spans="1:12">
      <c r="A73" s="1092"/>
      <c r="B73" s="1019" t="s">
        <v>2702</v>
      </c>
      <c r="C73" s="746"/>
      <c r="D73" s="1024"/>
      <c r="E73" s="746"/>
      <c r="F73" s="1024"/>
      <c r="G73" s="746"/>
      <c r="H73" s="1024"/>
      <c r="I73" s="746"/>
      <c r="J73" s="1024"/>
      <c r="K73" s="746"/>
      <c r="L73" s="1109"/>
    </row>
    <row r="74" spans="1:12">
      <c r="A74" s="1092"/>
      <c r="B74" s="1008" t="s">
        <v>2703</v>
      </c>
      <c r="C74" s="1009"/>
      <c r="E74" s="1009"/>
      <c r="G74" s="1009"/>
      <c r="I74" s="1009"/>
      <c r="K74" s="1009"/>
      <c r="L74" s="6"/>
    </row>
    <row r="75" spans="1:12" ht="15.75" thickBot="1">
      <c r="A75" s="1092"/>
      <c r="B75" s="1011" t="s">
        <v>2704</v>
      </c>
      <c r="C75" s="1012"/>
      <c r="D75" s="8"/>
      <c r="E75" s="1012"/>
      <c r="F75" s="8"/>
      <c r="G75" s="1012"/>
      <c r="H75" s="8"/>
      <c r="I75" s="1012"/>
      <c r="J75" s="8"/>
      <c r="K75" s="1012"/>
      <c r="L75" s="9"/>
    </row>
    <row r="76" spans="1:12" ht="15.75" thickBot="1">
      <c r="A76" s="1092"/>
    </row>
    <row r="77" spans="1:12" ht="60.75" thickBot="1">
      <c r="A77" s="1092">
        <v>4</v>
      </c>
      <c r="B77" s="1135" t="s">
        <v>2705</v>
      </c>
      <c r="C77" s="1000"/>
      <c r="D77" s="1025"/>
      <c r="E77" s="1000"/>
      <c r="F77" s="1025"/>
      <c r="G77" s="1000"/>
      <c r="H77" s="1025"/>
      <c r="I77" s="1000"/>
      <c r="J77" s="1025"/>
      <c r="K77" s="1000"/>
      <c r="L77" s="1094"/>
    </row>
    <row r="78" spans="1:12" ht="15.75" thickBot="1">
      <c r="A78" s="1092"/>
    </row>
    <row r="79" spans="1:12" ht="75.75" thickBot="1">
      <c r="A79" s="1092">
        <v>5</v>
      </c>
      <c r="B79" s="1135" t="s">
        <v>2668</v>
      </c>
      <c r="C79" s="1000"/>
      <c r="D79" s="1025"/>
      <c r="E79" s="1000"/>
      <c r="F79" s="1025"/>
      <c r="G79" s="1000"/>
      <c r="H79" s="1025"/>
      <c r="I79" s="1000"/>
      <c r="J79" s="1025"/>
      <c r="K79" s="1000"/>
      <c r="L79" s="1094"/>
    </row>
    <row r="80" spans="1:12" ht="15.75" thickBot="1">
      <c r="A80" s="1092"/>
    </row>
    <row r="81" spans="1:12" ht="75.75" thickBot="1">
      <c r="A81" s="1092">
        <v>6</v>
      </c>
      <c r="B81" s="1135" t="s">
        <v>2694</v>
      </c>
      <c r="C81" s="1000"/>
      <c r="D81" s="1025"/>
      <c r="E81" s="1000"/>
      <c r="F81" s="1025"/>
      <c r="G81" s="1000"/>
      <c r="H81" s="1025"/>
      <c r="I81" s="1000"/>
      <c r="J81" s="1025"/>
      <c r="K81" s="1000"/>
      <c r="L81" s="1094"/>
    </row>
    <row r="82" spans="1:12" ht="15.75" thickBot="1">
      <c r="A82" s="1092"/>
    </row>
    <row r="83" spans="1:12" ht="45.75" thickBot="1">
      <c r="A83" s="1092">
        <v>7</v>
      </c>
      <c r="B83" s="1135" t="s">
        <v>2670</v>
      </c>
      <c r="C83" s="1000"/>
      <c r="D83" s="1025"/>
      <c r="E83" s="1000"/>
      <c r="F83" s="1025"/>
      <c r="G83" s="1000"/>
      <c r="H83" s="1025"/>
      <c r="I83" s="1000"/>
      <c r="J83" s="1025"/>
      <c r="K83" s="1000"/>
      <c r="L83" s="1094"/>
    </row>
    <row r="84" spans="1:12">
      <c r="A84" s="65"/>
    </row>
    <row r="85" spans="1:12">
      <c r="A85" s="65"/>
    </row>
    <row r="86" spans="1:12">
      <c r="A86" s="65"/>
    </row>
    <row r="87" spans="1:12">
      <c r="A87" s="65"/>
      <c r="B87" s="1902" t="s">
        <v>2576</v>
      </c>
      <c r="C87" s="1902"/>
      <c r="D87" s="1902"/>
      <c r="E87" s="1902"/>
      <c r="F87" s="1902"/>
      <c r="G87" s="1902"/>
      <c r="H87" s="1902"/>
      <c r="I87" s="1902"/>
      <c r="J87" s="1902"/>
      <c r="K87" s="1902"/>
      <c r="L87" s="1902"/>
    </row>
  </sheetData>
  <mergeCells count="10">
    <mergeCell ref="C62:G62"/>
    <mergeCell ref="H62:L62"/>
    <mergeCell ref="B87:L87"/>
    <mergeCell ref="B43:B56"/>
    <mergeCell ref="M1:N1"/>
    <mergeCell ref="F52:J52"/>
    <mergeCell ref="B24:C24"/>
    <mergeCell ref="B9:D9"/>
    <mergeCell ref="C29:O29"/>
    <mergeCell ref="F44:J44"/>
  </mergeCells>
  <conditionalFormatting sqref="D24">
    <cfRule type="expression" priority="1" stopIfTrue="1">
      <formula>"$E$165&gt;=1,¨Aumento¨"</formula>
    </cfRule>
  </conditionalFormatting>
  <dataValidations count="1">
    <dataValidation type="list" allowBlank="1" showInputMessage="1" showErrorMessage="1" sqref="G10">
      <formula1>$G$4:$G$6</formula1>
    </dataValidation>
  </dataValidations>
  <hyperlinks>
    <hyperlink ref="E10" location="IPT!A1" display="INDICE"/>
  </hyperlinks>
  <printOptions horizontalCentered="1"/>
  <pageMargins left="0.51181102362204722" right="0.51181102362204722" top="0.74803149606299213" bottom="0.94488188976377963" header="0.31496062992125984" footer="0.31496062992125984"/>
  <pageSetup scale="6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5"/>
  <sheetViews>
    <sheetView topLeftCell="A16" workbookViewId="0"/>
  </sheetViews>
  <sheetFormatPr baseColWidth="10" defaultColWidth="9.140625" defaultRowHeight="15"/>
  <cols>
    <col min="1" max="1" width="6.7109375" customWidth="1"/>
    <col min="2" max="2" width="39.28515625" customWidth="1"/>
    <col min="3" max="3" width="14" bestFit="1" customWidth="1"/>
    <col min="4" max="4" width="12.7109375" bestFit="1" customWidth="1"/>
    <col min="5" max="5" width="12.42578125" bestFit="1" customWidth="1"/>
    <col min="6" max="6" width="13.28515625" bestFit="1" customWidth="1"/>
    <col min="7" max="7" width="12.85546875" customWidth="1"/>
    <col min="8" max="8" width="10.85546875" bestFit="1" customWidth="1"/>
    <col min="9" max="9" width="10.5703125" bestFit="1" customWidth="1"/>
    <col min="10" max="12" width="10" bestFit="1" customWidth="1"/>
    <col min="13" max="15" width="10.85546875" bestFit="1" customWidth="1"/>
  </cols>
  <sheetData>
    <row r="1" spans="1:15">
      <c r="B1" s="574" t="str">
        <f>BALANZA!B1</f>
        <v>CORPORACION DEL ACUEDUCTO Y ALCANTARILLADO DE MOCA</v>
      </c>
      <c r="N1" s="1895" t="str">
        <f>IPT!$F$5</f>
        <v>AUDITOR: JJSM</v>
      </c>
      <c r="O1" s="1895"/>
    </row>
    <row r="2" spans="1:15">
      <c r="B2" s="522" t="str">
        <f>BALANZA!B2</f>
        <v>Del Ejercicio terminado el  31 de marzo de 2026  y  2025</v>
      </c>
    </row>
    <row r="3" spans="1:15" ht="5.25" customHeight="1">
      <c r="B3" s="522"/>
    </row>
    <row r="4" spans="1:15" hidden="1">
      <c r="G4" s="492" t="s">
        <v>1532</v>
      </c>
    </row>
    <row r="5" spans="1:15" hidden="1">
      <c r="G5" s="492" t="s">
        <v>1533</v>
      </c>
    </row>
    <row r="6" spans="1:15" hidden="1">
      <c r="G6" s="492" t="s">
        <v>1531</v>
      </c>
    </row>
    <row r="7" spans="1:15">
      <c r="A7" s="396"/>
      <c r="B7" s="397" t="s">
        <v>1515</v>
      </c>
      <c r="D7" s="397"/>
      <c r="E7" s="397"/>
      <c r="F7" s="397"/>
      <c r="G7" s="407"/>
      <c r="H7" s="407"/>
    </row>
    <row r="8" spans="1:15" ht="20.25" customHeight="1">
      <c r="A8" s="5"/>
      <c r="B8" s="467"/>
      <c r="C8" s="467"/>
      <c r="D8" s="467"/>
      <c r="E8" s="539" t="s">
        <v>1355</v>
      </c>
      <c r="F8" s="538" t="str">
        <f>IPT!C35</f>
        <v>AA-30</v>
      </c>
      <c r="G8" s="529" t="str">
        <f>IF(C37=0,"Verificado","Pendiente")</f>
        <v>Verificado</v>
      </c>
    </row>
    <row r="9" spans="1:15" ht="31.5" customHeight="1">
      <c r="B9" s="185" t="str">
        <f>BALANZA!A4</f>
        <v>AÑOS</v>
      </c>
      <c r="C9" s="185">
        <f>BALANZA!B4</f>
        <v>2026</v>
      </c>
      <c r="D9" s="185">
        <f>BALANZA!C4</f>
        <v>2025</v>
      </c>
      <c r="E9" s="616" t="s">
        <v>1213</v>
      </c>
      <c r="F9" s="465" t="s">
        <v>1465</v>
      </c>
      <c r="G9" s="465" t="s">
        <v>1476</v>
      </c>
    </row>
    <row r="10" spans="1:15">
      <c r="A10">
        <v>1</v>
      </c>
      <c r="B10" s="898" t="str">
        <f>+'Notas NF'!B604</f>
        <v>Servicios básicos</v>
      </c>
      <c r="C10" s="642">
        <f>+'Notas NF'!C604</f>
        <v>768000.19000000006</v>
      </c>
      <c r="D10" s="642">
        <f>+'Notas NF'!D604</f>
        <v>3043466.5100000002</v>
      </c>
      <c r="E10" s="654">
        <f>+C10-D10</f>
        <v>-2275466.3200000003</v>
      </c>
      <c r="F10" s="655">
        <f t="shared" ref="F10:F18" si="0">IFERROR(E10/D10,0)</f>
        <v>-0.74765610612879718</v>
      </c>
      <c r="G10" s="450" t="s">
        <v>1428</v>
      </c>
    </row>
    <row r="11" spans="1:15">
      <c r="A11">
        <v>2</v>
      </c>
      <c r="B11" s="898" t="str">
        <f>+'Notas NF'!B606</f>
        <v>Publicidad, impresión y encuadernación</v>
      </c>
      <c r="C11" s="642">
        <f>+'Notas NF'!C606</f>
        <v>354</v>
      </c>
      <c r="D11" s="642">
        <f>+'Notas NF'!D606</f>
        <v>1240392.55</v>
      </c>
      <c r="E11" s="654">
        <f t="shared" ref="E11:E17" si="1">+C11-D11</f>
        <v>-1240038.55</v>
      </c>
      <c r="F11" s="655">
        <f t="shared" si="0"/>
        <v>-0.99971460647679644</v>
      </c>
      <c r="G11" s="450" t="s">
        <v>1428</v>
      </c>
    </row>
    <row r="12" spans="1:15">
      <c r="A12">
        <v>3</v>
      </c>
      <c r="B12" s="898" t="str">
        <f>+'Notas NF'!B607</f>
        <v>Viáticos</v>
      </c>
      <c r="C12" s="642">
        <f>+'Notas NF'!C607</f>
        <v>594499.5</v>
      </c>
      <c r="D12" s="642">
        <f>+'Notas NF'!D607</f>
        <v>984627</v>
      </c>
      <c r="E12" s="654">
        <f t="shared" si="1"/>
        <v>-390127.5</v>
      </c>
      <c r="F12" s="655">
        <f t="shared" si="0"/>
        <v>-0.39621856804658007</v>
      </c>
      <c r="G12" s="450" t="s">
        <v>1428</v>
      </c>
    </row>
    <row r="13" spans="1:15">
      <c r="A13">
        <v>4</v>
      </c>
      <c r="B13" s="898" t="str">
        <f>+'Notas NF'!B608</f>
        <v>Transporte y almacenaje</v>
      </c>
      <c r="C13" s="642">
        <f>+'Notas NF'!C608</f>
        <v>2200</v>
      </c>
      <c r="D13" s="642">
        <f>+'Notas NF'!D608</f>
        <v>0</v>
      </c>
      <c r="E13" s="654">
        <f t="shared" si="1"/>
        <v>2200</v>
      </c>
      <c r="F13" s="655">
        <f t="shared" si="0"/>
        <v>0</v>
      </c>
      <c r="G13" s="450" t="s">
        <v>1428</v>
      </c>
    </row>
    <row r="14" spans="1:15">
      <c r="A14">
        <v>5</v>
      </c>
      <c r="B14" s="898" t="str">
        <f>+'Notas NF'!B609</f>
        <v>Alquileres y rentas</v>
      </c>
      <c r="C14" s="642">
        <f>+'Notas NF'!C609</f>
        <v>0</v>
      </c>
      <c r="D14" s="642">
        <f>+'Notas NF'!D609</f>
        <v>3525989.46</v>
      </c>
      <c r="E14" s="654">
        <f t="shared" si="1"/>
        <v>-3525989.46</v>
      </c>
      <c r="F14" s="655">
        <f t="shared" si="0"/>
        <v>-1</v>
      </c>
      <c r="G14" s="450" t="s">
        <v>1428</v>
      </c>
    </row>
    <row r="15" spans="1:15">
      <c r="A15">
        <v>6</v>
      </c>
      <c r="B15" s="898" t="str">
        <f>+'Notas NF'!B610</f>
        <v>Seguros</v>
      </c>
      <c r="C15" s="642">
        <f>+'Notas NF'!C610</f>
        <v>207897.87</v>
      </c>
      <c r="D15" s="642">
        <f>+'Notas NF'!D610</f>
        <v>656678.94999999995</v>
      </c>
      <c r="E15" s="654">
        <f t="shared" si="1"/>
        <v>-448781.07999999996</v>
      </c>
      <c r="F15" s="655">
        <f t="shared" si="0"/>
        <v>-0.68341018088062666</v>
      </c>
      <c r="G15" s="450" t="s">
        <v>1428</v>
      </c>
    </row>
    <row r="16" spans="1:15">
      <c r="A16">
        <v>7</v>
      </c>
      <c r="B16" s="898" t="str">
        <f>+'Notas NF'!B611</f>
        <v>Servicios de conservación, reparaciones menores e instalaciones temporales</v>
      </c>
      <c r="C16" s="642">
        <f>+'Notas NF'!C611+nota12!K29</f>
        <v>1756744.9900000002</v>
      </c>
      <c r="D16" s="642">
        <f>+'Notas NF'!D611</f>
        <v>5248535.1899999995</v>
      </c>
      <c r="E16" s="654">
        <f t="shared" si="1"/>
        <v>-3491790.1999999993</v>
      </c>
      <c r="F16" s="655">
        <f t="shared" si="0"/>
        <v>-0.66528851833800884</v>
      </c>
      <c r="G16" s="450" t="s">
        <v>1428</v>
      </c>
    </row>
    <row r="17" spans="1:15">
      <c r="A17">
        <v>8</v>
      </c>
      <c r="B17" s="898" t="str">
        <f>+'Notas NF'!B612</f>
        <v>Otros servicios no incluidos en conceptos anteriores</v>
      </c>
      <c r="C17" s="642">
        <f>+'Notas NF'!C612</f>
        <v>840651.72</v>
      </c>
      <c r="D17" s="642">
        <f>+'Notas NF'!D612</f>
        <v>8700280.1900000013</v>
      </c>
      <c r="E17" s="654">
        <f t="shared" si="1"/>
        <v>-7859628.4700000016</v>
      </c>
      <c r="F17" s="655">
        <f t="shared" si="0"/>
        <v>-0.90337647734997839</v>
      </c>
      <c r="G17" s="450" t="s">
        <v>1428</v>
      </c>
    </row>
    <row r="18" spans="1:15" ht="15.75">
      <c r="B18" s="184" t="s">
        <v>1171</v>
      </c>
      <c r="C18" s="659">
        <f>SUM(C10:C17)</f>
        <v>4170348.2700000005</v>
      </c>
      <c r="D18" s="659">
        <f>SUM(D10:D17)</f>
        <v>23399969.850000001</v>
      </c>
      <c r="E18" s="659">
        <f>SUM(E10:E17)</f>
        <v>-19229621.580000002</v>
      </c>
      <c r="F18" s="656">
        <f t="shared" si="0"/>
        <v>-0.82177975883161236</v>
      </c>
      <c r="G18" s="500" t="s">
        <v>1428</v>
      </c>
    </row>
    <row r="19" spans="1:15" ht="8.25" customHeight="1">
      <c r="B19" s="156" t="s">
        <v>1038</v>
      </c>
      <c r="E19" s="206"/>
    </row>
    <row r="20" spans="1:15" s="5" customFormat="1" ht="15.75">
      <c r="B20" s="1881" t="str">
        <f>+'1'!B21:C21</f>
        <v>Cambio porcentual con relación al 2025</v>
      </c>
      <c r="C20" s="1882"/>
      <c r="D20" s="304" t="str">
        <f>IF(E20&gt;=0,"Aumento","Disminución")</f>
        <v>Disminución</v>
      </c>
      <c r="E20" s="228">
        <f>+E18/D18</f>
        <v>-0.82177975883161236</v>
      </c>
    </row>
    <row r="21" spans="1:15" ht="7.5" customHeight="1">
      <c r="B21" s="234"/>
      <c r="C21" s="234"/>
      <c r="D21" s="234"/>
      <c r="E21" s="235"/>
    </row>
    <row r="22" spans="1:15" ht="6" customHeight="1">
      <c r="B22" s="234"/>
      <c r="C22" s="234"/>
      <c r="D22" s="234"/>
      <c r="E22" s="235"/>
    </row>
    <row r="23" spans="1:15">
      <c r="A23" s="407"/>
      <c r="B23" s="397" t="s">
        <v>1516</v>
      </c>
      <c r="C23" s="407"/>
      <c r="D23" s="407"/>
      <c r="E23" s="407"/>
      <c r="F23" s="407"/>
      <c r="G23" s="407"/>
      <c r="H23" s="407"/>
    </row>
    <row r="24" spans="1:15">
      <c r="A24" s="407"/>
      <c r="B24" s="482" t="s">
        <v>1467</v>
      </c>
      <c r="C24" s="482"/>
      <c r="D24" s="482"/>
      <c r="E24" s="407"/>
      <c r="G24" s="407"/>
      <c r="H24" s="407"/>
      <c r="I24" s="407"/>
      <c r="J24" s="407"/>
      <c r="K24" s="407"/>
    </row>
    <row r="25" spans="1:15" ht="21" customHeight="1">
      <c r="A25" s="407"/>
      <c r="B25" s="462"/>
      <c r="C25" s="1879">
        <f>C9</f>
        <v>2026</v>
      </c>
      <c r="D25" s="1880"/>
      <c r="E25" s="1880"/>
      <c r="F25" s="1880"/>
      <c r="G25" s="1880"/>
      <c r="H25" s="1880"/>
      <c r="I25" s="1880"/>
      <c r="J25" s="1880"/>
      <c r="K25" s="1880"/>
      <c r="L25" s="1880"/>
      <c r="M25" s="1880"/>
      <c r="N25" s="1880"/>
      <c r="O25" s="1880"/>
    </row>
    <row r="26" spans="1:15" ht="18" customHeight="1">
      <c r="A26" s="407"/>
      <c r="B26" s="462" t="s">
        <v>1149</v>
      </c>
      <c r="C26" s="463" t="s">
        <v>1415</v>
      </c>
      <c r="D26" s="463" t="s">
        <v>1418</v>
      </c>
      <c r="E26" s="463" t="s">
        <v>1434</v>
      </c>
      <c r="F26" s="463" t="s">
        <v>1435</v>
      </c>
      <c r="G26" s="463" t="s">
        <v>1436</v>
      </c>
      <c r="H26" s="463" t="s">
        <v>1437</v>
      </c>
      <c r="I26" s="463" t="s">
        <v>1438</v>
      </c>
      <c r="J26" s="463" t="s">
        <v>1439</v>
      </c>
      <c r="K26" s="463" t="s">
        <v>1440</v>
      </c>
      <c r="L26" s="463" t="s">
        <v>1441</v>
      </c>
      <c r="M26" s="463" t="s">
        <v>1410</v>
      </c>
      <c r="N26" s="463" t="s">
        <v>1411</v>
      </c>
      <c r="O26" s="463" t="s">
        <v>1412</v>
      </c>
    </row>
    <row r="27" spans="1:15" ht="18.75" customHeight="1">
      <c r="A27">
        <v>1</v>
      </c>
      <c r="B27" s="641" t="str">
        <f>B10</f>
        <v>Servicios básicos</v>
      </c>
      <c r="C27" s="629">
        <f t="shared" ref="C27:C34" si="2">SUM(D27:O27)</f>
        <v>768000.19</v>
      </c>
      <c r="D27" s="642">
        <f>+BALANZA!N245+BALANZA!N246+BALANZA!N247+BALANZA!N248+BALANZA!N249+BALANZA!N243+BALANZA!N244</f>
        <v>256387.28</v>
      </c>
      <c r="E27" s="642">
        <f>+BALANZA!O245+BALANZA!O246+BALANZA!O247+BALANZA!O248+BALANZA!O249+BALANZA!O243+BALANZA!O244</f>
        <v>248793.42</v>
      </c>
      <c r="F27" s="642">
        <f>+BALANZA!P245+BALANZA!P246+BALANZA!P247+BALANZA!P248+BALANZA!P249+BALANZA!P243+BALANZA!P244</f>
        <v>262819.49</v>
      </c>
      <c r="G27" s="642">
        <f>+BALANZA!Q245+BALANZA!Q246+BALANZA!Q247+BALANZA!Q248+BALANZA!Q249+BALANZA!Q243+BALANZA!Q244</f>
        <v>0</v>
      </c>
      <c r="H27" s="642">
        <f>+BALANZA!R245+BALANZA!R246+BALANZA!R247+BALANZA!R248+BALANZA!R249+BALANZA!R243+BALANZA!R244</f>
        <v>0</v>
      </c>
      <c r="I27" s="642">
        <f>+BALANZA!S245+BALANZA!S246+BALANZA!S247+BALANZA!S248+BALANZA!S249+BALANZA!S243+BALANZA!S244</f>
        <v>0</v>
      </c>
      <c r="J27" s="642">
        <f>+BALANZA!T245+BALANZA!T246+BALANZA!T247+BALANZA!T248+BALANZA!T249+BALANZA!T243+BALANZA!T244</f>
        <v>0</v>
      </c>
      <c r="K27" s="642">
        <f>+BALANZA!U245+BALANZA!U246+BALANZA!U247+BALANZA!U248+BALANZA!U249+BALANZA!U243+BALANZA!U244</f>
        <v>0</v>
      </c>
      <c r="L27" s="642">
        <f>+BALANZA!V245+BALANZA!V246+BALANZA!V247+BALANZA!V248+BALANZA!V249+BALANZA!V243+BALANZA!V244</f>
        <v>0</v>
      </c>
      <c r="M27" s="642">
        <f>+BALANZA!W245+BALANZA!W246+BALANZA!W247+BALANZA!W248+BALANZA!W249+BALANZA!W243+BALANZA!W244</f>
        <v>0</v>
      </c>
      <c r="N27" s="642">
        <f>+BALANZA!X245+BALANZA!X246+BALANZA!X247+BALANZA!X248+BALANZA!X249+BALANZA!X243+BALANZA!X244</f>
        <v>0</v>
      </c>
      <c r="O27" s="642">
        <f>+BALANZA!Y245+BALANZA!Y246+BALANZA!Y247+BALANZA!Y248+BALANZA!Y249+BALANZA!Y243+BALANZA!Y244</f>
        <v>0</v>
      </c>
    </row>
    <row r="28" spans="1:15" ht="18.75" customHeight="1">
      <c r="A28">
        <v>2</v>
      </c>
      <c r="B28" s="641" t="str">
        <f t="shared" ref="B28:B34" si="3">B11</f>
        <v>Publicidad, impresión y encuadernación</v>
      </c>
      <c r="C28" s="629">
        <f t="shared" si="2"/>
        <v>354</v>
      </c>
      <c r="D28" s="642">
        <f>+BALANZA!N250+BALANZA!N251+BALANZA!N346</f>
        <v>0</v>
      </c>
      <c r="E28" s="642">
        <f>+BALANZA!O250+BALANZA!O251+BALANZA!O346</f>
        <v>0</v>
      </c>
      <c r="F28" s="642">
        <f>+BALANZA!P250+BALANZA!P251+BALANZA!P346</f>
        <v>354</v>
      </c>
      <c r="G28" s="642">
        <f>+BALANZA!Q250+BALANZA!Q251+BALANZA!Q346</f>
        <v>0</v>
      </c>
      <c r="H28" s="642">
        <f>+BALANZA!R250+BALANZA!R251+BALANZA!R346</f>
        <v>0</v>
      </c>
      <c r="I28" s="642">
        <f>+BALANZA!S250+BALANZA!S251+BALANZA!S346</f>
        <v>0</v>
      </c>
      <c r="J28" s="642">
        <f>+BALANZA!T250+BALANZA!T251+BALANZA!T346</f>
        <v>0</v>
      </c>
      <c r="K28" s="642">
        <f>+BALANZA!U250+BALANZA!U251+BALANZA!U346</f>
        <v>0</v>
      </c>
      <c r="L28" s="642">
        <f>+BALANZA!V250+BALANZA!V251+BALANZA!V346</f>
        <v>0</v>
      </c>
      <c r="M28" s="642">
        <f>+BALANZA!W250+BALANZA!W251+BALANZA!W346</f>
        <v>0</v>
      </c>
      <c r="N28" s="642">
        <f>+BALANZA!X250+BALANZA!X251+BALANZA!X346</f>
        <v>0</v>
      </c>
      <c r="O28" s="642">
        <f>+BALANZA!Y250+BALANZA!Y251+BALANZA!Y346</f>
        <v>0</v>
      </c>
    </row>
    <row r="29" spans="1:15" ht="18.75" customHeight="1">
      <c r="A29">
        <v>3</v>
      </c>
      <c r="B29" s="641" t="str">
        <f t="shared" si="3"/>
        <v>Viáticos</v>
      </c>
      <c r="C29" s="629">
        <f t="shared" si="2"/>
        <v>594499.5</v>
      </c>
      <c r="D29" s="642">
        <f>+BALANZA!N252+BALANZA!N253</f>
        <v>0</v>
      </c>
      <c r="E29" s="642">
        <f>+BALANZA!O252+BALANZA!O253</f>
        <v>82162.5</v>
      </c>
      <c r="F29" s="642">
        <f>+BALANZA!P252+BALANZA!P253</f>
        <v>512337</v>
      </c>
      <c r="G29" s="642">
        <f>+BALANZA!Q252+BALANZA!Q253</f>
        <v>0</v>
      </c>
      <c r="H29" s="642">
        <f>+BALANZA!R252+BALANZA!R253</f>
        <v>0</v>
      </c>
      <c r="I29" s="642">
        <f>+BALANZA!S252+BALANZA!S253</f>
        <v>0</v>
      </c>
      <c r="J29" s="642">
        <f>+BALANZA!T252+BALANZA!T253</f>
        <v>0</v>
      </c>
      <c r="K29" s="642">
        <f>+BALANZA!U252+BALANZA!U253</f>
        <v>0</v>
      </c>
      <c r="L29" s="642">
        <f>+BALANZA!V252+BALANZA!V253</f>
        <v>0</v>
      </c>
      <c r="M29" s="642">
        <f>+BALANZA!W252+BALANZA!W253</f>
        <v>0</v>
      </c>
      <c r="N29" s="642">
        <f>+BALANZA!X252+BALANZA!X253</f>
        <v>0</v>
      </c>
      <c r="O29" s="642">
        <f>+BALANZA!Y252+BALANZA!Y253</f>
        <v>0</v>
      </c>
    </row>
    <row r="30" spans="1:15" ht="18.75" customHeight="1">
      <c r="A30">
        <v>4</v>
      </c>
      <c r="B30" s="641" t="str">
        <f t="shared" si="3"/>
        <v>Transporte y almacenaje</v>
      </c>
      <c r="C30" s="629">
        <f t="shared" si="2"/>
        <v>2200</v>
      </c>
      <c r="D30" s="642">
        <f>+BALANZA!N254+BALANZA!N255+BALANZA!N256+BALANZA!N257+BALANZA!N258</f>
        <v>0</v>
      </c>
      <c r="E30" s="642">
        <f>+BALANZA!O254+BALANZA!O255+BALANZA!O256+BALANZA!O257+BALANZA!O258</f>
        <v>0</v>
      </c>
      <c r="F30" s="642">
        <f>+BALANZA!P254+BALANZA!P255+BALANZA!P256+BALANZA!P257+BALANZA!P258</f>
        <v>2200</v>
      </c>
      <c r="G30" s="642">
        <f>+BALANZA!Q254+BALANZA!Q255+BALANZA!Q256+BALANZA!Q257+BALANZA!Q258</f>
        <v>0</v>
      </c>
      <c r="H30" s="642">
        <f>+BALANZA!R254+BALANZA!R255+BALANZA!R256+BALANZA!R257+BALANZA!R258</f>
        <v>0</v>
      </c>
      <c r="I30" s="642">
        <f>+BALANZA!S254+BALANZA!S255+BALANZA!S256+BALANZA!S257+BALANZA!S258</f>
        <v>0</v>
      </c>
      <c r="J30" s="642">
        <f>+BALANZA!T254+BALANZA!T255+BALANZA!T256+BALANZA!T257+BALANZA!T258</f>
        <v>0</v>
      </c>
      <c r="K30" s="642">
        <f>+BALANZA!U254+BALANZA!U255+BALANZA!U256+BALANZA!U257+BALANZA!U258</f>
        <v>0</v>
      </c>
      <c r="L30" s="642">
        <f>+BALANZA!V254+BALANZA!V255+BALANZA!V256+BALANZA!V257+BALANZA!V258</f>
        <v>0</v>
      </c>
      <c r="M30" s="642">
        <f>+BALANZA!W254+BALANZA!W255+BALANZA!W256+BALANZA!W257+BALANZA!W258</f>
        <v>0</v>
      </c>
      <c r="N30" s="642">
        <f>+BALANZA!X254+BALANZA!X255+BALANZA!X256+BALANZA!X257+BALANZA!X258</f>
        <v>0</v>
      </c>
      <c r="O30" s="642">
        <f>+BALANZA!Y254+BALANZA!Y255+BALANZA!Y256+BALANZA!Y257+BALANZA!Y258</f>
        <v>0</v>
      </c>
    </row>
    <row r="31" spans="1:15" ht="18.75" customHeight="1">
      <c r="A31">
        <v>5</v>
      </c>
      <c r="B31" s="641" t="str">
        <f t="shared" si="3"/>
        <v>Alquileres y rentas</v>
      </c>
      <c r="C31" s="629">
        <f t="shared" si="2"/>
        <v>0</v>
      </c>
      <c r="D31" s="642">
        <f>+BALANZA!N259+BALANZA!N260+BALANZA!N261+BALANZA!N262+BALANZA!N263+BALANZA!N264+BALANZA!N265+BALANZA!N266+BALANZA!N267+BALANZA!N345</f>
        <v>0</v>
      </c>
      <c r="E31" s="642">
        <f>+BALANZA!O259+BALANZA!O260+BALANZA!O261+BALANZA!O262+BALANZA!O263+BALANZA!O264+BALANZA!O265+BALANZA!O266+BALANZA!O267+BALANZA!O345</f>
        <v>0</v>
      </c>
      <c r="F31" s="642">
        <f>+BALANZA!P259+BALANZA!P260+BALANZA!P261+BALANZA!P262+BALANZA!P263+BALANZA!P264+BALANZA!P265+BALANZA!P266+BALANZA!P267+BALANZA!P345</f>
        <v>0</v>
      </c>
      <c r="G31" s="642">
        <f>+BALANZA!Q259+BALANZA!Q260+BALANZA!Q261+BALANZA!Q262+BALANZA!Q263+BALANZA!Q264+BALANZA!Q265+BALANZA!Q266+BALANZA!Q267+BALANZA!Q345</f>
        <v>0</v>
      </c>
      <c r="H31" s="642">
        <f>+BALANZA!R259+BALANZA!R260+BALANZA!R261+BALANZA!R262+BALANZA!R263+BALANZA!R264+BALANZA!R265+BALANZA!R266+BALANZA!R267+BALANZA!R345</f>
        <v>0</v>
      </c>
      <c r="I31" s="642">
        <f>+BALANZA!S259+BALANZA!S260+BALANZA!S261+BALANZA!S262+BALANZA!S263+BALANZA!S264+BALANZA!S265+BALANZA!S266+BALANZA!S267+BALANZA!S345</f>
        <v>0</v>
      </c>
      <c r="J31" s="642">
        <f>+BALANZA!T259+BALANZA!T260+BALANZA!T261+BALANZA!T262+BALANZA!T263+BALANZA!T264+BALANZA!T265+BALANZA!T266+BALANZA!T267+BALANZA!T345</f>
        <v>0</v>
      </c>
      <c r="K31" s="642">
        <f>+BALANZA!U259+BALANZA!U260+BALANZA!U261+BALANZA!U262+BALANZA!U263+BALANZA!U264+BALANZA!U265+BALANZA!U266+BALANZA!U267+BALANZA!U345</f>
        <v>0</v>
      </c>
      <c r="L31" s="642">
        <f>+BALANZA!V259+BALANZA!V260+BALANZA!V261+BALANZA!V262+BALANZA!V263+BALANZA!V264+BALANZA!V265+BALANZA!V266+BALANZA!V267+BALANZA!V345</f>
        <v>0</v>
      </c>
      <c r="M31" s="642">
        <f>+BALANZA!W259+BALANZA!W260+BALANZA!W261+BALANZA!W262+BALANZA!W263+BALANZA!W264+BALANZA!W265+BALANZA!W266+BALANZA!W267+BALANZA!W345</f>
        <v>0</v>
      </c>
      <c r="N31" s="642">
        <f>+BALANZA!X259+BALANZA!X260+BALANZA!X261+BALANZA!X262+BALANZA!X263+BALANZA!X264+BALANZA!X265+BALANZA!X266+BALANZA!X267+BALANZA!X345</f>
        <v>0</v>
      </c>
      <c r="O31" s="642">
        <f>+BALANZA!Y259+BALANZA!Y260+BALANZA!Y261+BALANZA!Y262+BALANZA!Y263+BALANZA!Y264+BALANZA!Y265+BALANZA!Y266+BALANZA!Y267+BALANZA!Y345</f>
        <v>0</v>
      </c>
    </row>
    <row r="32" spans="1:15" ht="18.75" customHeight="1">
      <c r="A32">
        <v>6</v>
      </c>
      <c r="B32" s="641" t="str">
        <f t="shared" si="3"/>
        <v>Seguros</v>
      </c>
      <c r="C32" s="629">
        <f t="shared" si="2"/>
        <v>207897.87</v>
      </c>
      <c r="D32" s="642">
        <f>BALANZA!N268+BALANZA!N371</f>
        <v>99331.45</v>
      </c>
      <c r="E32" s="642">
        <f>BALANZA!O268+BALANZA!O371</f>
        <v>54283.21</v>
      </c>
      <c r="F32" s="642">
        <f>BALANZA!P268+BALANZA!P371</f>
        <v>54283.21</v>
      </c>
      <c r="G32" s="642">
        <f>BALANZA!Q268+BALANZA!Q371</f>
        <v>0</v>
      </c>
      <c r="H32" s="642">
        <f>BALANZA!R268+BALANZA!R371</f>
        <v>0</v>
      </c>
      <c r="I32" s="642">
        <f>BALANZA!S268+BALANZA!S371</f>
        <v>0</v>
      </c>
      <c r="J32" s="642">
        <f>BALANZA!T268+BALANZA!T371</f>
        <v>0</v>
      </c>
      <c r="K32" s="642">
        <f>BALANZA!U268+BALANZA!U371</f>
        <v>0</v>
      </c>
      <c r="L32" s="642">
        <f>BALANZA!V268+BALANZA!V371</f>
        <v>0</v>
      </c>
      <c r="M32" s="642">
        <f>BALANZA!W268+BALANZA!W371</f>
        <v>0</v>
      </c>
      <c r="N32" s="642">
        <f>BALANZA!X268+BALANZA!X371</f>
        <v>0</v>
      </c>
      <c r="O32" s="642">
        <f>BALANZA!Y268+BALANZA!Y371</f>
        <v>0</v>
      </c>
    </row>
    <row r="33" spans="1:15" ht="30" customHeight="1">
      <c r="A33">
        <v>7</v>
      </c>
      <c r="B33" s="641" t="str">
        <f t="shared" si="3"/>
        <v>Servicios de conservación, reparaciones menores e instalaciones temporales</v>
      </c>
      <c r="C33" s="629">
        <f t="shared" si="2"/>
        <v>1756744.99</v>
      </c>
      <c r="D33" s="642">
        <f>SUM(BALANZA!N270:N285)+BALANZA!N321</f>
        <v>-5003.83</v>
      </c>
      <c r="E33" s="642">
        <f>SUM(BALANZA!O270:O285)+BALANZA!O321</f>
        <v>-693976.97000000009</v>
      </c>
      <c r="F33" s="642">
        <f>SUM(BALANZA!P270:P285)+BALANZA!P321</f>
        <v>2455725.79</v>
      </c>
      <c r="G33" s="642">
        <f>SUM(BALANZA!Q270:Q285)+BALANZA!Q321</f>
        <v>0</v>
      </c>
      <c r="H33" s="642">
        <f>SUM(BALANZA!R270:R285)+BALANZA!R321</f>
        <v>0</v>
      </c>
      <c r="I33" s="642">
        <f>SUM(BALANZA!S270:S285)+BALANZA!S321</f>
        <v>0</v>
      </c>
      <c r="J33" s="642">
        <f>SUM(BALANZA!T270:T285)+BALANZA!T321</f>
        <v>0</v>
      </c>
      <c r="K33" s="642">
        <f>SUM(BALANZA!U270:U285)+BALANZA!U321</f>
        <v>0</v>
      </c>
      <c r="L33" s="642">
        <f>SUM(BALANZA!V270:V285)+BALANZA!V321</f>
        <v>0</v>
      </c>
      <c r="M33" s="642">
        <f>SUM(BALANZA!W270:W285)+BALANZA!W321</f>
        <v>0</v>
      </c>
      <c r="N33" s="642">
        <f>SUM(BALANZA!X270:X285)+BALANZA!X321</f>
        <v>0</v>
      </c>
      <c r="O33" s="642">
        <f>SUM(BALANZA!Y270:Y285)+BALANZA!Y321</f>
        <v>0</v>
      </c>
    </row>
    <row r="34" spans="1:15" ht="25.5" customHeight="1">
      <c r="A34">
        <v>8</v>
      </c>
      <c r="B34" s="641" t="str">
        <f t="shared" si="3"/>
        <v>Otros servicios no incluidos en conceptos anteriores</v>
      </c>
      <c r="C34" s="629">
        <f t="shared" si="2"/>
        <v>840651.72000000009</v>
      </c>
      <c r="D34" s="642">
        <f>SUM(BALANZA!N286:N298)-BALANZA!N297-BALANZA!N288+BALANZA!N239+BALANZA!N240+BALANZA!N241+BALANZA!N242+BALANZA!N337+BALANZA!N351</f>
        <v>36961.910000000003</v>
      </c>
      <c r="E34" s="642">
        <f>SUM(BALANZA!O286:O298)-BALANZA!O297-BALANZA!O288+BALANZA!O239+BALANZA!O240+BALANZA!O241+BALANZA!O242+BALANZA!O337+BALANZA!O351</f>
        <v>51963.750000000007</v>
      </c>
      <c r="F34" s="642">
        <f>SUM(BALANZA!P286:P298)-BALANZA!P297-BALANZA!P288+BALANZA!P239+BALANZA!P240+BALANZA!P241+BALANZA!P242+BALANZA!P337+BALANZA!P351</f>
        <v>751726.06</v>
      </c>
      <c r="G34" s="642">
        <f>SUM(BALANZA!Q286:Q298)-BALANZA!Q297-BALANZA!Q288+BALANZA!Q239+BALANZA!Q240+BALANZA!Q241+BALANZA!Q242+BALANZA!Q337+BALANZA!Q351</f>
        <v>0</v>
      </c>
      <c r="H34" s="642">
        <f>SUM(BALANZA!R286:R298)-BALANZA!R297-BALANZA!R288+BALANZA!R239+BALANZA!R240+BALANZA!R241+BALANZA!R242+BALANZA!R337+BALANZA!R351</f>
        <v>0</v>
      </c>
      <c r="I34" s="642">
        <f>SUM(BALANZA!S286:S298)-BALANZA!S297-BALANZA!S288+BALANZA!S239+BALANZA!S240+BALANZA!S241+BALANZA!S242+BALANZA!S337+BALANZA!S351</f>
        <v>0</v>
      </c>
      <c r="J34" s="642">
        <f>SUM(BALANZA!T286:T298)-BALANZA!T297-BALANZA!T288+BALANZA!T239+BALANZA!T240+BALANZA!T241+BALANZA!T242+BALANZA!T337+BALANZA!T351</f>
        <v>0</v>
      </c>
      <c r="K34" s="642">
        <f>SUM(BALANZA!U286:U298)-BALANZA!U297-BALANZA!U288+BALANZA!U239+BALANZA!U240+BALANZA!U241+BALANZA!U242+BALANZA!U337+BALANZA!U351</f>
        <v>0</v>
      </c>
      <c r="L34" s="642">
        <f>SUM(BALANZA!V286:V298)-BALANZA!V297-BALANZA!V288+BALANZA!V239+BALANZA!V240+BALANZA!V241+BALANZA!V242+BALANZA!V337+BALANZA!V351</f>
        <v>0</v>
      </c>
      <c r="M34" s="642">
        <f>SUM(BALANZA!W286:W298)-BALANZA!W297-BALANZA!W288+BALANZA!W239+BALANZA!W240+BALANZA!W241+BALANZA!W242+BALANZA!W337+BALANZA!W351</f>
        <v>0</v>
      </c>
      <c r="N34" s="642">
        <f>SUM(BALANZA!X286:X298)-BALANZA!X297-BALANZA!X288+BALANZA!X239+BALANZA!X240+BALANZA!X241+BALANZA!X242+BALANZA!X337+BALANZA!X351</f>
        <v>0</v>
      </c>
      <c r="O34" s="642">
        <f>SUM(BALANZA!Y286:Y298)-BALANZA!Y297-BALANZA!Y288+BALANZA!Y239+BALANZA!Y240+BALANZA!Y241+BALANZA!Y242+BALANZA!Y337+BALANZA!Y351</f>
        <v>0</v>
      </c>
    </row>
    <row r="35" spans="1:15" ht="22.5" customHeight="1">
      <c r="A35" s="407"/>
      <c r="B35" s="632" t="s">
        <v>3846</v>
      </c>
      <c r="C35" s="633">
        <f t="shared" ref="C35:O35" si="4">SUM(C27:C34)</f>
        <v>4170348.27</v>
      </c>
      <c r="D35" s="633">
        <f t="shared" si="4"/>
        <v>387676.80999999994</v>
      </c>
      <c r="E35" s="633">
        <f t="shared" si="4"/>
        <v>-256774.09000000003</v>
      </c>
      <c r="F35" s="633">
        <f t="shared" si="4"/>
        <v>4039445.5500000003</v>
      </c>
      <c r="G35" s="633">
        <f t="shared" si="4"/>
        <v>0</v>
      </c>
      <c r="H35" s="633">
        <f t="shared" si="4"/>
        <v>0</v>
      </c>
      <c r="I35" s="633">
        <f t="shared" si="4"/>
        <v>0</v>
      </c>
      <c r="J35" s="633">
        <f t="shared" si="4"/>
        <v>0</v>
      </c>
      <c r="K35" s="633">
        <f t="shared" si="4"/>
        <v>0</v>
      </c>
      <c r="L35" s="633">
        <f t="shared" si="4"/>
        <v>0</v>
      </c>
      <c r="M35" s="633">
        <f t="shared" si="4"/>
        <v>0</v>
      </c>
      <c r="N35" s="633">
        <f t="shared" si="4"/>
        <v>0</v>
      </c>
      <c r="O35" s="633">
        <f t="shared" si="4"/>
        <v>0</v>
      </c>
    </row>
    <row r="36" spans="1:15">
      <c r="A36" s="407"/>
      <c r="B36" s="483"/>
      <c r="C36" s="484"/>
      <c r="D36" s="1728">
        <v>2605435.4099999997</v>
      </c>
      <c r="E36" s="1729">
        <v>315705.05</v>
      </c>
      <c r="F36" s="1729">
        <v>255832.69</v>
      </c>
      <c r="G36" s="1729">
        <v>1748874.96</v>
      </c>
      <c r="H36" s="740">
        <v>571828.11</v>
      </c>
      <c r="I36" s="740">
        <v>1052412.1099999999</v>
      </c>
      <c r="J36" s="740">
        <v>707555.55</v>
      </c>
      <c r="K36" s="740">
        <v>375744.14999999997</v>
      </c>
      <c r="L36" s="740">
        <v>438598.19</v>
      </c>
      <c r="M36" s="740">
        <v>441611.82999999996</v>
      </c>
      <c r="N36" s="740">
        <v>570736.4</v>
      </c>
    </row>
    <row r="37" spans="1:15">
      <c r="A37" s="407"/>
      <c r="B37" s="485" t="s">
        <v>1406</v>
      </c>
      <c r="C37" s="486">
        <f>ROUND(C18-C35,2)</f>
        <v>0</v>
      </c>
      <c r="D37" s="11"/>
      <c r="E37" s="11">
        <f>+E32*6</f>
        <v>325699.26</v>
      </c>
    </row>
    <row r="38" spans="1:15">
      <c r="A38" s="407"/>
      <c r="B38" s="393"/>
      <c r="C38" s="450" t="str">
        <f>IF(C37=0,m!$B$7,m!$B$11)</f>
        <v>P</v>
      </c>
      <c r="D38" s="11"/>
      <c r="E38" s="11">
        <f>+C17-C34</f>
        <v>0</v>
      </c>
      <c r="F38" s="11">
        <f>+C32-E37</f>
        <v>-117801.39000000001</v>
      </c>
      <c r="M38">
        <f>901591.71-863519.51</f>
        <v>38072.199999999953</v>
      </c>
    </row>
    <row r="39" spans="1:15" ht="3.75" customHeight="1">
      <c r="A39" s="407"/>
      <c r="B39" s="407"/>
      <c r="C39" s="407"/>
      <c r="D39" s="407"/>
      <c r="E39" s="407"/>
      <c r="F39" s="407"/>
      <c r="G39" s="407"/>
      <c r="H39" s="407"/>
    </row>
    <row r="40" spans="1:15" ht="15.75" thickBot="1">
      <c r="B40" s="596" t="s">
        <v>1573</v>
      </c>
      <c r="D40" s="11">
        <f>+D34-D36</f>
        <v>-2568473.4999999995</v>
      </c>
      <c r="E40" s="11">
        <f t="shared" ref="E40:O40" si="5">+E34-E36</f>
        <v>-263741.3</v>
      </c>
      <c r="F40" s="11">
        <f t="shared" si="5"/>
        <v>495893.37000000005</v>
      </c>
      <c r="G40" s="11">
        <f t="shared" si="5"/>
        <v>-1748874.96</v>
      </c>
      <c r="H40" s="11">
        <f t="shared" si="5"/>
        <v>-571828.11</v>
      </c>
      <c r="I40" s="11">
        <f t="shared" si="5"/>
        <v>-1052412.1099999999</v>
      </c>
      <c r="J40" s="11">
        <f t="shared" si="5"/>
        <v>-707555.55</v>
      </c>
      <c r="K40" s="11">
        <f t="shared" si="5"/>
        <v>-375744.14999999997</v>
      </c>
      <c r="L40" s="11">
        <f t="shared" si="5"/>
        <v>-438598.19</v>
      </c>
      <c r="M40" s="11">
        <f t="shared" si="5"/>
        <v>-441611.82999999996</v>
      </c>
      <c r="N40" s="11">
        <f t="shared" si="5"/>
        <v>-570736.4</v>
      </c>
      <c r="O40" s="11">
        <f t="shared" si="5"/>
        <v>0</v>
      </c>
    </row>
    <row r="41" spans="1:15" s="525" customFormat="1" ht="15.75" thickBot="1">
      <c r="B41" s="2022"/>
      <c r="C41" s="555" t="s">
        <v>1425</v>
      </c>
    </row>
    <row r="42" spans="1:15" s="525" customFormat="1" ht="18.75" customHeight="1">
      <c r="B42" s="2023"/>
      <c r="C42" s="556" t="s">
        <v>1477</v>
      </c>
      <c r="D42" s="557" t="s">
        <v>1478</v>
      </c>
      <c r="E42" s="557" t="s">
        <v>6</v>
      </c>
      <c r="F42" s="1891" t="s">
        <v>1356</v>
      </c>
      <c r="G42" s="1891"/>
      <c r="H42" s="1891"/>
      <c r="I42" s="1891"/>
      <c r="J42" s="1891"/>
      <c r="K42" s="559" t="s">
        <v>1357</v>
      </c>
      <c r="L42" s="560" t="s">
        <v>1358</v>
      </c>
    </row>
    <row r="43" spans="1:15" s="525" customFormat="1" ht="9.75" customHeight="1">
      <c r="B43" s="2023"/>
      <c r="C43" s="540"/>
      <c r="D43" s="451"/>
      <c r="E43" s="451"/>
      <c r="F43" s="451"/>
      <c r="G43" s="457"/>
      <c r="H43" s="457"/>
      <c r="I43" s="393"/>
      <c r="J43" s="393"/>
      <c r="K43" s="393"/>
      <c r="L43" s="418"/>
    </row>
    <row r="44" spans="1:15" s="525" customFormat="1" ht="18.75" customHeight="1">
      <c r="B44" s="2023"/>
      <c r="C44" s="561">
        <v>21</v>
      </c>
      <c r="D44" s="543" t="str">
        <f>F8</f>
        <v>AA-30</v>
      </c>
      <c r="E44" s="544"/>
      <c r="F44" s="545" t="s">
        <v>1570</v>
      </c>
      <c r="G44" s="546"/>
      <c r="H44" s="546"/>
      <c r="I44" s="546"/>
      <c r="J44" s="547"/>
      <c r="K44" s="544">
        <v>0</v>
      </c>
      <c r="L44" s="548"/>
    </row>
    <row r="45" spans="1:15" s="525" customFormat="1" ht="18.75" customHeight="1">
      <c r="B45" s="2023"/>
      <c r="C45" s="549"/>
      <c r="D45" s="550"/>
      <c r="E45" s="544"/>
      <c r="F45" s="545" t="s">
        <v>1570</v>
      </c>
      <c r="G45" s="546"/>
      <c r="H45" s="546"/>
      <c r="I45" s="546"/>
      <c r="J45" s="547"/>
      <c r="K45" s="544"/>
      <c r="L45" s="551">
        <f>K44</f>
        <v>0</v>
      </c>
    </row>
    <row r="46" spans="1:15" s="525" customFormat="1" ht="18.75" customHeight="1" thickBot="1">
      <c r="B46" s="2023"/>
      <c r="C46" s="552" t="s">
        <v>1562</v>
      </c>
      <c r="D46" s="553"/>
      <c r="E46" s="553"/>
      <c r="F46" s="553"/>
      <c r="G46" s="553"/>
      <c r="H46" s="553"/>
      <c r="I46" s="553"/>
      <c r="J46" s="553"/>
      <c r="K46" s="553"/>
      <c r="L46" s="554"/>
    </row>
    <row r="47" spans="1:15" s="525" customFormat="1" ht="5.25" customHeight="1">
      <c r="B47" s="2023"/>
    </row>
    <row r="48" spans="1:15" s="525" customFormat="1" ht="5.25" customHeight="1" thickBot="1">
      <c r="B48" s="2023"/>
    </row>
    <row r="49" spans="2:12" s="525" customFormat="1" ht="15.75" thickBot="1">
      <c r="B49" s="2023"/>
      <c r="C49" s="555" t="s">
        <v>1561</v>
      </c>
    </row>
    <row r="50" spans="2:12" s="525" customFormat="1" ht="18.75" customHeight="1">
      <c r="B50" s="2023"/>
      <c r="C50" s="556" t="s">
        <v>1477</v>
      </c>
      <c r="D50" s="557" t="s">
        <v>1478</v>
      </c>
      <c r="E50" s="557" t="s">
        <v>6</v>
      </c>
      <c r="F50" s="1891" t="s">
        <v>1356</v>
      </c>
      <c r="G50" s="1891"/>
      <c r="H50" s="1891"/>
      <c r="I50" s="1891"/>
      <c r="J50" s="1891"/>
      <c r="K50" s="559" t="s">
        <v>1357</v>
      </c>
      <c r="L50" s="560" t="s">
        <v>1358</v>
      </c>
    </row>
    <row r="51" spans="2:12" s="525" customFormat="1" ht="9.75" customHeight="1">
      <c r="B51" s="2023"/>
      <c r="C51" s="540"/>
      <c r="D51" s="451"/>
      <c r="E51" s="451"/>
      <c r="F51" s="451"/>
      <c r="G51" s="457"/>
      <c r="H51" s="457"/>
      <c r="I51" s="393"/>
      <c r="J51" s="393"/>
      <c r="K51" s="393"/>
      <c r="L51" s="418"/>
    </row>
    <row r="52" spans="2:12" s="525" customFormat="1" ht="18.75" customHeight="1">
      <c r="B52" s="2023"/>
      <c r="C52" s="561">
        <f>C44</f>
        <v>21</v>
      </c>
      <c r="D52" s="543" t="str">
        <f>D44</f>
        <v>AA-30</v>
      </c>
      <c r="E52" s="544"/>
      <c r="F52" s="545" t="s">
        <v>1570</v>
      </c>
      <c r="G52" s="546"/>
      <c r="H52" s="546"/>
      <c r="I52" s="546"/>
      <c r="J52" s="547"/>
      <c r="K52" s="544"/>
      <c r="L52" s="548"/>
    </row>
    <row r="53" spans="2:12" s="525" customFormat="1" ht="18.75" customHeight="1">
      <c r="B53" s="2023"/>
      <c r="C53" s="549"/>
      <c r="D53" s="550"/>
      <c r="E53" s="544"/>
      <c r="F53" s="545" t="s">
        <v>1570</v>
      </c>
      <c r="G53" s="546"/>
      <c r="H53" s="546"/>
      <c r="I53" s="546"/>
      <c r="J53" s="547"/>
      <c r="K53" s="544"/>
      <c r="L53" s="551">
        <f>K52</f>
        <v>0</v>
      </c>
    </row>
    <row r="54" spans="2:12" s="525" customFormat="1" ht="18.75" customHeight="1" thickBot="1">
      <c r="B54" s="2024"/>
      <c r="C54" s="552" t="s">
        <v>1569</v>
      </c>
      <c r="D54" s="553"/>
      <c r="E54" s="553"/>
      <c r="F54" s="553"/>
      <c r="G54" s="553"/>
      <c r="H54" s="553"/>
      <c r="I54" s="553"/>
      <c r="J54" s="553"/>
      <c r="K54" s="553"/>
      <c r="L54" s="554"/>
    </row>
    <row r="55" spans="2:12" s="525" customFormat="1"/>
  </sheetData>
  <mergeCells count="6">
    <mergeCell ref="F50:J50"/>
    <mergeCell ref="B20:C20"/>
    <mergeCell ref="C25:O25"/>
    <mergeCell ref="F42:J42"/>
    <mergeCell ref="B41:B54"/>
    <mergeCell ref="N1:O1"/>
  </mergeCells>
  <conditionalFormatting sqref="D20">
    <cfRule type="expression" priority="1" stopIfTrue="1">
      <formula>"$E$165&gt;=1,¨Aumento¨"</formula>
    </cfRule>
  </conditionalFormatting>
  <dataValidations count="1">
    <dataValidation type="list" allowBlank="1" showInputMessage="1" showErrorMessage="1" sqref="G8">
      <formula1>$G$4:$G$6</formula1>
    </dataValidation>
  </dataValidations>
  <hyperlinks>
    <hyperlink ref="E8" location="IPT!A1" display="INDICE"/>
  </hyperlinks>
  <printOptions horizontalCentered="1"/>
  <pageMargins left="0.51181102362204722" right="0.51181102362204722" top="0.74803149606299213" bottom="0.94488188976377963" header="0.31496062992125984" footer="0.31496062992125984"/>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
  <sheetViews>
    <sheetView workbookViewId="0">
      <selection activeCell="E34" sqref="E34"/>
    </sheetView>
  </sheetViews>
  <sheetFormatPr baseColWidth="10" defaultRowHeight="1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5"/>
  <sheetViews>
    <sheetView topLeftCell="C1" workbookViewId="0">
      <selection activeCell="K30" sqref="K30"/>
    </sheetView>
  </sheetViews>
  <sheetFormatPr baseColWidth="10" defaultColWidth="9.140625" defaultRowHeight="15"/>
  <cols>
    <col min="1" max="1" width="4.7109375" customWidth="1"/>
    <col min="2" max="2" width="31" customWidth="1"/>
    <col min="3" max="5" width="16.5703125" customWidth="1"/>
    <col min="6" max="6" width="13.28515625" customWidth="1"/>
    <col min="7" max="7" width="16.7109375" bestFit="1" customWidth="1"/>
    <col min="8" max="9" width="11.7109375" bestFit="1" customWidth="1"/>
    <col min="10" max="11" width="10" bestFit="1" customWidth="1"/>
    <col min="12" max="12" width="10.7109375" customWidth="1"/>
    <col min="13" max="15" width="10" bestFit="1" customWidth="1"/>
  </cols>
  <sheetData>
    <row r="1" spans="1:15">
      <c r="B1" s="574" t="str">
        <f>BALANZA!B1</f>
        <v>CORPORACION DEL ACUEDUCTO Y ALCANTARILLADO DE MOCA</v>
      </c>
      <c r="N1" s="1895" t="str">
        <f>IPT!$F$5</f>
        <v>AUDITOR: JJSM</v>
      </c>
      <c r="O1" s="1895"/>
    </row>
    <row r="2" spans="1:15">
      <c r="B2" s="522" t="str">
        <f>BALANZA!B2</f>
        <v>Del Ejercicio terminado el  31 de marzo de 2026  y  2025</v>
      </c>
    </row>
    <row r="3" spans="1:15" ht="6.75" customHeight="1">
      <c r="B3" s="522"/>
    </row>
    <row r="4" spans="1:15" hidden="1">
      <c r="G4" s="492" t="s">
        <v>1532</v>
      </c>
    </row>
    <row r="5" spans="1:15" hidden="1">
      <c r="G5" s="492" t="s">
        <v>1533</v>
      </c>
    </row>
    <row r="6" spans="1:15" hidden="1">
      <c r="G6" s="492" t="s">
        <v>1531</v>
      </c>
    </row>
    <row r="7" spans="1:15">
      <c r="A7" s="396"/>
      <c r="B7" s="397" t="s">
        <v>1517</v>
      </c>
      <c r="D7" s="397"/>
      <c r="E7" s="397"/>
      <c r="F7" s="397"/>
      <c r="G7" s="407"/>
      <c r="H7" s="407"/>
    </row>
    <row r="8" spans="1:15" ht="18.75" customHeight="1">
      <c r="B8" s="453"/>
      <c r="C8" s="467"/>
      <c r="D8" s="447"/>
      <c r="E8" s="539" t="s">
        <v>1355</v>
      </c>
      <c r="F8" s="538" t="str">
        <f>IPT!C36</f>
        <v>AA-40</v>
      </c>
      <c r="G8" s="529" t="str">
        <f>IF(C37=0,"Verificado","Pendiente")</f>
        <v>Verificado</v>
      </c>
    </row>
    <row r="9" spans="1:15" ht="26.25" customHeight="1">
      <c r="B9" s="184" t="s">
        <v>1162</v>
      </c>
      <c r="C9" s="185">
        <f>BALANZA!B4</f>
        <v>2026</v>
      </c>
      <c r="D9" s="185">
        <f>BALANZA!C4</f>
        <v>2025</v>
      </c>
      <c r="E9" s="487" t="s">
        <v>1213</v>
      </c>
      <c r="F9" s="494" t="s">
        <v>1465</v>
      </c>
      <c r="G9" s="494" t="s">
        <v>1476</v>
      </c>
    </row>
    <row r="10" spans="1:15">
      <c r="A10">
        <v>1</v>
      </c>
      <c r="B10" s="488" t="str">
        <f>+'Notas NF'!B571</f>
        <v>Alimentos y productos agroforestales</v>
      </c>
      <c r="C10" s="660">
        <f>+'Notas NF'!C571</f>
        <v>1228061.3999999999</v>
      </c>
      <c r="D10" s="660">
        <f>+'Notas NF'!D571</f>
        <v>2765461.46</v>
      </c>
      <c r="E10" s="253">
        <f t="shared" ref="E10:E17" si="0">+C10-D10</f>
        <v>-1537400.06</v>
      </c>
      <c r="F10" s="647">
        <f t="shared" ref="F10:F18" si="1">IFERROR(E10/D10,0)</f>
        <v>-0.55592894069838172</v>
      </c>
      <c r="G10" s="450" t="s">
        <v>1428</v>
      </c>
    </row>
    <row r="11" spans="1:15">
      <c r="A11">
        <v>2</v>
      </c>
      <c r="B11" s="488" t="str">
        <f>+'Notas NF'!B572</f>
        <v>Textiles y vestuarios</v>
      </c>
      <c r="C11" s="660">
        <f>+'Notas NF'!C572</f>
        <v>0</v>
      </c>
      <c r="D11" s="660">
        <f>+'Notas NF'!D572</f>
        <v>636000</v>
      </c>
      <c r="E11" s="253">
        <f t="shared" si="0"/>
        <v>-636000</v>
      </c>
      <c r="F11" s="647">
        <f t="shared" si="1"/>
        <v>-1</v>
      </c>
      <c r="G11" s="450" t="s">
        <v>1428</v>
      </c>
    </row>
    <row r="12" spans="1:15">
      <c r="A12">
        <v>3</v>
      </c>
      <c r="B12" s="488"/>
      <c r="C12" s="660"/>
      <c r="D12" s="660"/>
      <c r="E12" s="253">
        <f t="shared" si="0"/>
        <v>0</v>
      </c>
      <c r="F12" s="647">
        <f t="shared" si="1"/>
        <v>0</v>
      </c>
      <c r="G12" s="450" t="s">
        <v>1428</v>
      </c>
    </row>
    <row r="13" spans="1:15">
      <c r="A13">
        <v>4</v>
      </c>
      <c r="B13" s="488" t="str">
        <f>+'Notas NF'!B573</f>
        <v xml:space="preserve">Productos de papel, cartón e impresos   </v>
      </c>
      <c r="C13" s="660">
        <f>+'Notas NF'!C573</f>
        <v>39850</v>
      </c>
      <c r="D13" s="660">
        <f>+'Notas NF'!D573</f>
        <v>382921.93</v>
      </c>
      <c r="E13" s="253">
        <f t="shared" si="0"/>
        <v>-343071.93</v>
      </c>
      <c r="F13" s="647">
        <f t="shared" si="1"/>
        <v>-0.89593178954258379</v>
      </c>
      <c r="G13" s="450" t="s">
        <v>1428</v>
      </c>
    </row>
    <row r="14" spans="1:15">
      <c r="A14">
        <v>5</v>
      </c>
      <c r="B14" s="488" t="str">
        <f>+'Notas NF'!B574</f>
        <v>Combustibles, lubricantes</v>
      </c>
      <c r="C14" s="660">
        <f>+'Notas NF'!C574</f>
        <v>2076350</v>
      </c>
      <c r="D14" s="660">
        <f>+'Notas NF'!D574</f>
        <v>9387735</v>
      </c>
      <c r="E14" s="253">
        <f t="shared" si="0"/>
        <v>-7311385</v>
      </c>
      <c r="F14" s="647">
        <f t="shared" si="1"/>
        <v>-0.77882311334949272</v>
      </c>
      <c r="G14" s="450" t="s">
        <v>1428</v>
      </c>
    </row>
    <row r="15" spans="1:15">
      <c r="A15">
        <v>6</v>
      </c>
      <c r="B15" s="488" t="str">
        <f>+'Notas NF'!B575</f>
        <v>Productos químicos y conexos</v>
      </c>
      <c r="C15" s="660">
        <f>+'Notas NF'!C575</f>
        <v>1109500</v>
      </c>
      <c r="D15" s="660">
        <f>+'Notas NF'!D575</f>
        <v>4567147.57</v>
      </c>
      <c r="E15" s="253">
        <f t="shared" si="0"/>
        <v>-3457647.5700000003</v>
      </c>
      <c r="F15" s="647">
        <f t="shared" si="1"/>
        <v>-0.75706937798815199</v>
      </c>
      <c r="G15" s="450" t="s">
        <v>1428</v>
      </c>
      <c r="I15" s="11"/>
    </row>
    <row r="16" spans="1:15">
      <c r="A16">
        <v>7</v>
      </c>
      <c r="B16" s="488" t="str">
        <f>+'Notas NF'!B576</f>
        <v>Productos y útiles varios</v>
      </c>
      <c r="C16" s="660">
        <f>+'Notas NF'!C576</f>
        <v>140023.32999999999</v>
      </c>
      <c r="D16" s="660">
        <f>+'Notas NF'!D576</f>
        <v>9813882.0600000005</v>
      </c>
      <c r="E16" s="253">
        <f t="shared" si="0"/>
        <v>-9673858.7300000004</v>
      </c>
      <c r="F16" s="647">
        <f t="shared" si="1"/>
        <v>-0.98573211608373457</v>
      </c>
      <c r="G16" s="450" t="s">
        <v>1428</v>
      </c>
    </row>
    <row r="17" spans="1:15">
      <c r="A17">
        <v>8</v>
      </c>
      <c r="B17" s="488" t="str">
        <f>+'Notas NF'!B577</f>
        <v>Variación en el Inventario</v>
      </c>
      <c r="C17" s="660">
        <f>+'Notas NF'!C577</f>
        <v>0</v>
      </c>
      <c r="D17" s="660">
        <f>+'Notas NF'!D577</f>
        <v>0</v>
      </c>
      <c r="E17" s="253">
        <f t="shared" si="0"/>
        <v>0</v>
      </c>
      <c r="F17" s="647">
        <f t="shared" si="1"/>
        <v>0</v>
      </c>
      <c r="G17" s="450" t="s">
        <v>1428</v>
      </c>
    </row>
    <row r="18" spans="1:15" ht="15.75">
      <c r="B18" s="184" t="s">
        <v>1171</v>
      </c>
      <c r="C18" s="661">
        <f>SUM(C10:C17)</f>
        <v>4593784.7300000004</v>
      </c>
      <c r="D18" s="661">
        <f>SUM(D10:D17)</f>
        <v>27553148.020000003</v>
      </c>
      <c r="E18" s="661">
        <f>SUM(E10:E17)</f>
        <v>-22959363.289999999</v>
      </c>
      <c r="F18" s="662">
        <f t="shared" si="1"/>
        <v>-0.83327550352266411</v>
      </c>
      <c r="G18" s="450" t="s">
        <v>1428</v>
      </c>
    </row>
    <row r="19" spans="1:15" ht="15.75">
      <c r="B19" s="156" t="s">
        <v>1038</v>
      </c>
      <c r="E19" s="206"/>
    </row>
    <row r="20" spans="1:15" s="5" customFormat="1" ht="15.75">
      <c r="B20" s="1881" t="str">
        <f>+'1'!B21:C21</f>
        <v>Cambio porcentual con relación al 2025</v>
      </c>
      <c r="C20" s="1882"/>
      <c r="D20" s="304" t="str">
        <f>IF(E20&gt;=0,"Aumento","Disminución")</f>
        <v>Disminución</v>
      </c>
      <c r="E20" s="228">
        <f>+E18/D18</f>
        <v>-0.83327550352266411</v>
      </c>
    </row>
    <row r="21" spans="1:15" ht="9" customHeight="1">
      <c r="B21" s="234"/>
      <c r="C21" s="234"/>
      <c r="D21" s="234"/>
      <c r="E21" s="235"/>
    </row>
    <row r="22" spans="1:15" ht="8.25" customHeight="1">
      <c r="B22" s="234"/>
      <c r="C22" s="234"/>
      <c r="D22" s="234"/>
      <c r="E22" s="235"/>
    </row>
    <row r="23" spans="1:15">
      <c r="A23" s="407"/>
      <c r="B23" s="397" t="s">
        <v>1518</v>
      </c>
      <c r="C23" s="407"/>
      <c r="D23" s="407"/>
      <c r="E23" s="400">
        <f>+C16-C33</f>
        <v>0</v>
      </c>
      <c r="F23" s="407"/>
      <c r="G23" s="407"/>
      <c r="H23" s="407"/>
    </row>
    <row r="24" spans="1:15">
      <c r="A24" s="407"/>
      <c r="B24" s="482" t="s">
        <v>1467</v>
      </c>
      <c r="C24" s="482"/>
      <c r="D24" s="482"/>
      <c r="E24" s="407"/>
      <c r="G24" s="407"/>
      <c r="H24" s="407"/>
      <c r="I24" s="407"/>
      <c r="J24" s="407"/>
      <c r="K24" s="407"/>
    </row>
    <row r="25" spans="1:15" ht="21" customHeight="1">
      <c r="A25" s="407"/>
      <c r="B25" s="462"/>
      <c r="C25" s="1879">
        <f>C9</f>
        <v>2026</v>
      </c>
      <c r="D25" s="1880"/>
      <c r="E25" s="1880"/>
      <c r="F25" s="1880"/>
      <c r="G25" s="1880"/>
      <c r="H25" s="1880"/>
      <c r="I25" s="1880"/>
      <c r="J25" s="1880"/>
      <c r="K25" s="1880"/>
      <c r="L25" s="1880"/>
      <c r="M25" s="1880"/>
      <c r="N25" s="1880"/>
      <c r="O25" s="1880"/>
    </row>
    <row r="26" spans="1:15" ht="27" customHeight="1">
      <c r="A26" s="407"/>
      <c r="B26" s="462" t="s">
        <v>1149</v>
      </c>
      <c r="C26" s="463" t="s">
        <v>1415</v>
      </c>
      <c r="D26" s="463" t="s">
        <v>1418</v>
      </c>
      <c r="E26" s="463" t="s">
        <v>1434</v>
      </c>
      <c r="F26" s="463" t="s">
        <v>1435</v>
      </c>
      <c r="G26" s="463" t="s">
        <v>1436</v>
      </c>
      <c r="H26" s="463" t="s">
        <v>1437</v>
      </c>
      <c r="I26" s="463" t="s">
        <v>1438</v>
      </c>
      <c r="J26" s="463" t="s">
        <v>1439</v>
      </c>
      <c r="K26" s="463" t="s">
        <v>1440</v>
      </c>
      <c r="L26" s="463" t="s">
        <v>1441</v>
      </c>
      <c r="M26" s="463" t="s">
        <v>1410</v>
      </c>
      <c r="N26" s="463" t="s">
        <v>1411</v>
      </c>
      <c r="O26" s="463" t="s">
        <v>1412</v>
      </c>
    </row>
    <row r="27" spans="1:15" ht="27" customHeight="1">
      <c r="A27">
        <v>1</v>
      </c>
      <c r="B27" s="641" t="str">
        <f>+B10</f>
        <v>Alimentos y productos agroforestales</v>
      </c>
      <c r="C27" s="629">
        <f t="shared" ref="C27:C34" si="2">SUM(D27:O27)</f>
        <v>1228061.3999999999</v>
      </c>
      <c r="D27" s="642">
        <f>+BALANZA!N299+BALANZA!N300+BALANZA!N349</f>
        <v>12580</v>
      </c>
      <c r="E27" s="642">
        <f>+BALANZA!O299+BALANZA!O300+BALANZA!O349</f>
        <v>1601.4</v>
      </c>
      <c r="F27" s="642">
        <f>+BALANZA!P299+BALANZA!P300+BALANZA!P349</f>
        <v>1213880</v>
      </c>
      <c r="G27" s="642">
        <f>+BALANZA!Q299+BALANZA!Q300+BALANZA!Q349</f>
        <v>0</v>
      </c>
      <c r="H27" s="642">
        <f>+BALANZA!R299+BALANZA!R300+BALANZA!R349</f>
        <v>0</v>
      </c>
      <c r="I27" s="642">
        <f>+BALANZA!S299+BALANZA!S300+BALANZA!S349</f>
        <v>0</v>
      </c>
      <c r="J27" s="642">
        <f>+BALANZA!T299+BALANZA!T300+BALANZA!T349</f>
        <v>0</v>
      </c>
      <c r="K27" s="642">
        <f>+BALANZA!U299+BALANZA!U300+BALANZA!U349</f>
        <v>0</v>
      </c>
      <c r="L27" s="642">
        <f>+BALANZA!V299+BALANZA!V300+BALANZA!V349</f>
        <v>0</v>
      </c>
      <c r="M27" s="642">
        <f>+BALANZA!W299+BALANZA!W300+BALANZA!W349</f>
        <v>0</v>
      </c>
      <c r="N27" s="642">
        <f>+BALANZA!X299+BALANZA!X300+BALANZA!X349</f>
        <v>0</v>
      </c>
      <c r="O27" s="642">
        <f>+BALANZA!Y299+BALANZA!Y300+BALANZA!Y349</f>
        <v>0</v>
      </c>
    </row>
    <row r="28" spans="1:15" ht="27" customHeight="1">
      <c r="A28">
        <v>2</v>
      </c>
      <c r="B28" s="641" t="str">
        <f t="shared" ref="B28:B34" si="3">+B11</f>
        <v>Textiles y vestuarios</v>
      </c>
      <c r="C28" s="629">
        <f t="shared" si="2"/>
        <v>0</v>
      </c>
      <c r="D28" s="642">
        <f>+BALANZA!N301+BALANZA!N302+BALANZA!N343</f>
        <v>0</v>
      </c>
      <c r="E28" s="642">
        <f>+BALANZA!O301+BALANZA!O302+BALANZA!O343</f>
        <v>0</v>
      </c>
      <c r="F28" s="642">
        <f>+BALANZA!P301+BALANZA!P302+BALANZA!P343</f>
        <v>0</v>
      </c>
      <c r="G28" s="642">
        <f>+BALANZA!Q301+BALANZA!Q302+BALANZA!Q343</f>
        <v>0</v>
      </c>
      <c r="H28" s="642">
        <f>+BALANZA!R301+BALANZA!R302+BALANZA!R343</f>
        <v>0</v>
      </c>
      <c r="I28" s="642">
        <f>+BALANZA!S301+BALANZA!S302+BALANZA!S343</f>
        <v>0</v>
      </c>
      <c r="J28" s="642">
        <f>+BALANZA!T301+BALANZA!T302+BALANZA!T343</f>
        <v>0</v>
      </c>
      <c r="K28" s="642">
        <f>+BALANZA!U301+BALANZA!U302+BALANZA!U343</f>
        <v>0</v>
      </c>
      <c r="L28" s="642">
        <f>+BALANZA!V301+BALANZA!V302+BALANZA!V343</f>
        <v>0</v>
      </c>
      <c r="M28" s="642">
        <f>+BALANZA!W301+BALANZA!W302+BALANZA!W343</f>
        <v>0</v>
      </c>
      <c r="N28" s="642">
        <f>+BALANZA!X301+BALANZA!X302+BALANZA!X343</f>
        <v>0</v>
      </c>
      <c r="O28" s="642">
        <f>+BALANZA!Y301+BALANZA!Y302+BALANZA!Y343</f>
        <v>0</v>
      </c>
    </row>
    <row r="29" spans="1:15" ht="27" customHeight="1">
      <c r="A29">
        <v>3</v>
      </c>
      <c r="B29" s="641"/>
      <c r="C29" s="629"/>
      <c r="D29" s="642"/>
      <c r="E29" s="642"/>
      <c r="F29" s="642"/>
      <c r="G29" s="642"/>
      <c r="H29" s="642"/>
      <c r="I29" s="642"/>
      <c r="J29" s="642"/>
      <c r="K29" s="642"/>
      <c r="L29" s="642"/>
      <c r="M29" s="642"/>
      <c r="N29" s="642"/>
      <c r="O29" s="642"/>
    </row>
    <row r="30" spans="1:15" ht="27" customHeight="1">
      <c r="A30">
        <v>4</v>
      </c>
      <c r="B30" s="641" t="str">
        <f t="shared" si="3"/>
        <v xml:space="preserve">Productos de papel, cartón e impresos   </v>
      </c>
      <c r="C30" s="629">
        <f t="shared" si="2"/>
        <v>39850</v>
      </c>
      <c r="D30" s="642">
        <f>+BALANZA!N303+BALANZA!N305+BALANZA!N356+BALANZA!N304</f>
        <v>0</v>
      </c>
      <c r="E30" s="642">
        <f>+BALANZA!O303+BALANZA!O305+BALANZA!O356+BALANZA!O304</f>
        <v>39850</v>
      </c>
      <c r="F30" s="642">
        <f>+BALANZA!P303+BALANZA!P305+BALANZA!P356+BALANZA!P304</f>
        <v>0</v>
      </c>
      <c r="G30" s="642">
        <f>+BALANZA!Q303+BALANZA!Q305+BALANZA!Q356+BALANZA!Q304</f>
        <v>0</v>
      </c>
      <c r="H30" s="642">
        <f>+BALANZA!R303+BALANZA!R305+BALANZA!R356+BALANZA!R304</f>
        <v>0</v>
      </c>
      <c r="I30" s="642">
        <f>+BALANZA!S303+BALANZA!S305+BALANZA!S356+BALANZA!S304</f>
        <v>0</v>
      </c>
      <c r="J30" s="642">
        <f>+BALANZA!T303+BALANZA!T305+BALANZA!T356+BALANZA!T304</f>
        <v>0</v>
      </c>
      <c r="K30" s="642">
        <f>+BALANZA!U303+BALANZA!U305+BALANZA!U356+BALANZA!U304</f>
        <v>0</v>
      </c>
      <c r="L30" s="642">
        <f>+BALANZA!V303+BALANZA!V305+BALANZA!V356+BALANZA!V304</f>
        <v>0</v>
      </c>
      <c r="M30" s="642">
        <f>+BALANZA!W303+BALANZA!W305+BALANZA!W356+BALANZA!W304</f>
        <v>0</v>
      </c>
      <c r="N30" s="642">
        <f>+BALANZA!X303+BALANZA!X305+BALANZA!X356+BALANZA!X304</f>
        <v>0</v>
      </c>
      <c r="O30" s="642">
        <f>+BALANZA!Y303+BALANZA!Y305+BALANZA!Y356+BALANZA!Y304</f>
        <v>0</v>
      </c>
    </row>
    <row r="31" spans="1:15" ht="27" customHeight="1">
      <c r="A31">
        <v>5</v>
      </c>
      <c r="B31" s="641" t="str">
        <f t="shared" si="3"/>
        <v>Combustibles, lubricantes</v>
      </c>
      <c r="C31" s="629">
        <f t="shared" si="2"/>
        <v>2076350</v>
      </c>
      <c r="D31" s="642">
        <f>+BALANZA!N306+BALANZA!N307+BALANZA!N308+BALANZA!N310</f>
        <v>2850</v>
      </c>
      <c r="E31" s="642">
        <f>+BALANZA!O306+BALANZA!O307+BALANZA!O308+BALANZA!O310</f>
        <v>0</v>
      </c>
      <c r="F31" s="642">
        <f>+BALANZA!P306+BALANZA!P307+BALANZA!P308+BALANZA!P310</f>
        <v>2073500</v>
      </c>
      <c r="G31" s="642">
        <f>+BALANZA!Q306+BALANZA!Q307+BALANZA!Q308+BALANZA!Q310</f>
        <v>0</v>
      </c>
      <c r="H31" s="642">
        <f>+BALANZA!R306+BALANZA!R307+BALANZA!R308+BALANZA!R310</f>
        <v>0</v>
      </c>
      <c r="I31" s="642">
        <f>+BALANZA!S306+BALANZA!S307+BALANZA!S308+BALANZA!S310</f>
        <v>0</v>
      </c>
      <c r="J31" s="642">
        <f>+BALANZA!T306+BALANZA!T307+BALANZA!T308+BALANZA!T310</f>
        <v>0</v>
      </c>
      <c r="K31" s="642">
        <f>+BALANZA!U306+BALANZA!U307+BALANZA!U308+BALANZA!U310</f>
        <v>0</v>
      </c>
      <c r="L31" s="642">
        <f>+BALANZA!V306+BALANZA!V307+BALANZA!V308+BALANZA!V310</f>
        <v>0</v>
      </c>
      <c r="M31" s="642">
        <f>+BALANZA!W306+BALANZA!W307+BALANZA!W308+BALANZA!W310</f>
        <v>0</v>
      </c>
      <c r="N31" s="642">
        <f>+BALANZA!X306+BALANZA!X307+BALANZA!X308+BALANZA!X310</f>
        <v>0</v>
      </c>
      <c r="O31" s="642">
        <f>+BALANZA!Y306+BALANZA!Y307+BALANZA!Y308+BALANZA!Y310</f>
        <v>0</v>
      </c>
    </row>
    <row r="32" spans="1:15" ht="27" customHeight="1">
      <c r="A32">
        <v>6</v>
      </c>
      <c r="B32" s="641" t="str">
        <f t="shared" si="3"/>
        <v>Productos químicos y conexos</v>
      </c>
      <c r="C32" s="629">
        <f t="shared" si="2"/>
        <v>1109500</v>
      </c>
      <c r="D32" s="642">
        <f>+BALANZA!N309+BALANZA!N311+BALANZA!N335+BALANZA!N336+BALANZA!N312</f>
        <v>0</v>
      </c>
      <c r="E32" s="642">
        <f>+BALANZA!O309+BALANZA!O311+BALANZA!O335+BALANZA!O336+BALANZA!O312</f>
        <v>4500</v>
      </c>
      <c r="F32" s="642">
        <f>+BALANZA!P309+BALANZA!P311+BALANZA!P335+BALANZA!P336+BALANZA!P312</f>
        <v>1105000</v>
      </c>
      <c r="G32" s="642">
        <f>+BALANZA!Q309+BALANZA!Q311+BALANZA!Q335+BALANZA!Q336+BALANZA!Q312</f>
        <v>0</v>
      </c>
      <c r="H32" s="642">
        <f>+BALANZA!R309+BALANZA!R311+BALANZA!R335+BALANZA!R336+BALANZA!R312</f>
        <v>0</v>
      </c>
      <c r="I32" s="642">
        <f>+BALANZA!S309+BALANZA!S311+BALANZA!S335+BALANZA!S336+BALANZA!S312</f>
        <v>0</v>
      </c>
      <c r="J32" s="642">
        <f>+BALANZA!T309+BALANZA!T311+BALANZA!T335+BALANZA!T336+BALANZA!T312</f>
        <v>0</v>
      </c>
      <c r="K32" s="642">
        <f>+BALANZA!U309+BALANZA!U311+BALANZA!U335+BALANZA!U336+BALANZA!U312</f>
        <v>0</v>
      </c>
      <c r="L32" s="642">
        <f>+BALANZA!V309+BALANZA!V311+BALANZA!V335+BALANZA!V336+BALANZA!V312</f>
        <v>0</v>
      </c>
      <c r="M32" s="642">
        <f>+BALANZA!W309+BALANZA!W311+BALANZA!W335+BALANZA!W336+BALANZA!W312</f>
        <v>0</v>
      </c>
      <c r="N32" s="642">
        <f>+BALANZA!X309+BALANZA!X311+BALANZA!X335+BALANZA!X336+BALANZA!X312</f>
        <v>0</v>
      </c>
      <c r="O32" s="642">
        <f>+BALANZA!Y309+BALANZA!Y311+BALANZA!Y335+BALANZA!Y336+BALANZA!Y312</f>
        <v>0</v>
      </c>
    </row>
    <row r="33" spans="1:15" ht="27" customHeight="1">
      <c r="A33">
        <v>7</v>
      </c>
      <c r="B33" s="641" t="str">
        <f t="shared" si="3"/>
        <v>Productos y útiles varios</v>
      </c>
      <c r="C33" s="629">
        <f t="shared" si="2"/>
        <v>140023.32999999999</v>
      </c>
      <c r="D33" s="642">
        <f>+BALANZA!N316+BALANZA!N317+BALANZA!N318+BALANZA!N319+BALANZA!N313+BALANZA!N314+BALANZA!N315+BALANZA!N334+BALANZA!N332+BALANZA!N338+BALANZA!N340+BALANZA!N341+BALANZA!N347+BALANZA!N348+BALANZA!N350+BALANZA!N352+BALANZA!N353+BALANZA!N354+BALANZA!N355+BALANZA!N357+BALANZA!N342</f>
        <v>1190</v>
      </c>
      <c r="E33" s="642">
        <f>+BALANZA!O316+BALANZA!O317+BALANZA!O318+BALANZA!O319+BALANZA!O313+BALANZA!O314+BALANZA!O315+BALANZA!O334+BALANZA!O332+BALANZA!O338+BALANZA!O340+BALANZA!O341+BALANZA!O347+BALANZA!O348+BALANZA!O350+BALANZA!O352+BALANZA!O353+BALANZA!O354+BALANZA!O355+BALANZA!O357+BALANZA!O342</f>
        <v>56097.95</v>
      </c>
      <c r="F33" s="642">
        <f>+BALANZA!P316+BALANZA!P317+BALANZA!P318+BALANZA!P319+BALANZA!P313+BALANZA!P314+BALANZA!P315+BALANZA!P334+BALANZA!P332+BALANZA!P338+BALANZA!P340+BALANZA!P341+BALANZA!P347+BALANZA!P348+BALANZA!P350+BALANZA!P352+BALANZA!P353+BALANZA!P354+BALANZA!P355+BALANZA!P357+BALANZA!P342</f>
        <v>82735.37999999999</v>
      </c>
      <c r="G33" s="642">
        <f>+BALANZA!Q316+BALANZA!Q317+BALANZA!Q318+BALANZA!Q319+BALANZA!Q313+BALANZA!Q314+BALANZA!Q315+BALANZA!Q334+BALANZA!Q332+BALANZA!Q338+BALANZA!Q340+BALANZA!Q341+BALANZA!Q347+BALANZA!Q348+BALANZA!Q350+BALANZA!Q352+BALANZA!Q353+BALANZA!Q354+BALANZA!Q355+BALANZA!Q357+BALANZA!Q342</f>
        <v>0</v>
      </c>
      <c r="H33" s="642">
        <f>+BALANZA!R316+BALANZA!R317+BALANZA!R318+BALANZA!R319+BALANZA!R313+BALANZA!R314+BALANZA!R315+BALANZA!R334+BALANZA!R332+BALANZA!R338+BALANZA!R340+BALANZA!R341+BALANZA!R347+BALANZA!R348+BALANZA!R350+BALANZA!R352+BALANZA!R353+BALANZA!R354+BALANZA!R355+BALANZA!R357+BALANZA!R342</f>
        <v>0</v>
      </c>
      <c r="I33" s="642">
        <f>+BALANZA!S316+BALANZA!S317+BALANZA!S318+BALANZA!S319+BALANZA!S313+BALANZA!S314+BALANZA!S315+BALANZA!S334+BALANZA!S332+BALANZA!S338+BALANZA!S340+BALANZA!S341+BALANZA!S347+BALANZA!S348+BALANZA!S350+BALANZA!S352+BALANZA!S353+BALANZA!S354+BALANZA!S355+BALANZA!S357+BALANZA!S342</f>
        <v>0</v>
      </c>
      <c r="J33" s="642">
        <f>+BALANZA!T316+BALANZA!T317+BALANZA!T318+BALANZA!T319+BALANZA!T313+BALANZA!T314+BALANZA!T315+BALANZA!T334+BALANZA!T332+BALANZA!T338+BALANZA!T340+BALANZA!T341+BALANZA!T347+BALANZA!T348+BALANZA!T350+BALANZA!T352+BALANZA!T353+BALANZA!T354+BALANZA!T355+BALANZA!T357+BALANZA!T342</f>
        <v>0</v>
      </c>
      <c r="K33" s="642">
        <f>+BALANZA!U316+BALANZA!U317+BALANZA!U318+BALANZA!U319+BALANZA!U313+BALANZA!U314+BALANZA!U315+BALANZA!U334+BALANZA!U332+BALANZA!U338+BALANZA!U340+BALANZA!U341+BALANZA!U347+BALANZA!U348+BALANZA!U350+BALANZA!U352+BALANZA!U353+BALANZA!U354+BALANZA!U355+BALANZA!U357+BALANZA!U342</f>
        <v>0</v>
      </c>
      <c r="L33" s="642">
        <f>+BALANZA!V316+BALANZA!V317+BALANZA!V318+BALANZA!V319+BALANZA!V313+BALANZA!V314+BALANZA!V315+BALANZA!V334+BALANZA!V332+BALANZA!V338+BALANZA!V340+BALANZA!V341+BALANZA!V347+BALANZA!V348+BALANZA!V350+BALANZA!V352+BALANZA!V353+BALANZA!V354+BALANZA!V355+BALANZA!V357+BALANZA!V342</f>
        <v>0</v>
      </c>
      <c r="M33" s="642">
        <f>+BALANZA!W316+BALANZA!W317+BALANZA!W318+BALANZA!W319+BALANZA!W313+BALANZA!W314+BALANZA!W315+BALANZA!W334+BALANZA!W332+BALANZA!W338+BALANZA!W340+BALANZA!W341+BALANZA!W347+BALANZA!W348+BALANZA!W350+BALANZA!W352+BALANZA!W353+BALANZA!W354+BALANZA!W355+BALANZA!W357+BALANZA!W342</f>
        <v>0</v>
      </c>
      <c r="N33" s="642">
        <f>+BALANZA!X316+BALANZA!X317+BALANZA!X318+BALANZA!X319+BALANZA!X313+BALANZA!X314+BALANZA!X315+BALANZA!X334+BALANZA!X332+BALANZA!X338+BALANZA!X340+BALANZA!X341+BALANZA!X347+BALANZA!X348+BALANZA!X350+BALANZA!X352+BALANZA!X353+BALANZA!X354+BALANZA!X355+BALANZA!X357+BALANZA!X342</f>
        <v>0</v>
      </c>
      <c r="O33" s="642">
        <f>+BALANZA!Y316+BALANZA!Y317+BALANZA!Y318+BALANZA!Y319+BALANZA!Y313+BALANZA!Y314+BALANZA!Y315+BALANZA!Y334+BALANZA!Y332+BALANZA!Y338+BALANZA!Y340+BALANZA!Y341+BALANZA!Y347+BALANZA!Y348+BALANZA!Y350+BALANZA!Y352+BALANZA!Y353+BALANZA!Y354+BALANZA!Y355+BALANZA!Y357+BALANZA!Y342</f>
        <v>0</v>
      </c>
    </row>
    <row r="34" spans="1:15" ht="36.75" customHeight="1">
      <c r="A34">
        <v>8</v>
      </c>
      <c r="B34" s="641" t="str">
        <f t="shared" si="3"/>
        <v>Variación en el Inventario</v>
      </c>
      <c r="C34" s="629">
        <f t="shared" si="2"/>
        <v>0</v>
      </c>
      <c r="D34" s="642">
        <f>BALANZA!N296</f>
        <v>0</v>
      </c>
      <c r="E34" s="642">
        <f>BALANZA!O296</f>
        <v>0</v>
      </c>
      <c r="F34" s="642">
        <f>BALANZA!P296</f>
        <v>0</v>
      </c>
      <c r="G34" s="642">
        <f>BALANZA!Q296</f>
        <v>0</v>
      </c>
      <c r="H34" s="642">
        <f>BALANZA!R296</f>
        <v>0</v>
      </c>
      <c r="I34" s="642">
        <f>BALANZA!S296</f>
        <v>0</v>
      </c>
      <c r="J34" s="642">
        <f>BALANZA!T296</f>
        <v>0</v>
      </c>
      <c r="K34" s="642">
        <f>BALANZA!U296</f>
        <v>0</v>
      </c>
      <c r="L34" s="642">
        <f>BALANZA!V296</f>
        <v>0</v>
      </c>
      <c r="M34" s="642">
        <f>BALANZA!W296</f>
        <v>0</v>
      </c>
      <c r="N34" s="642">
        <f>BALANZA!X296</f>
        <v>0</v>
      </c>
      <c r="O34" s="642">
        <f>BALANZA!Y296</f>
        <v>0</v>
      </c>
    </row>
    <row r="35" spans="1:15" ht="22.5" customHeight="1">
      <c r="A35" s="407"/>
      <c r="B35" s="632" t="s">
        <v>1152</v>
      </c>
      <c r="C35" s="633">
        <f t="shared" ref="C35:O35" si="4">SUM(C27:C34)</f>
        <v>4593784.7300000004</v>
      </c>
      <c r="D35" s="633">
        <f t="shared" si="4"/>
        <v>16620</v>
      </c>
      <c r="E35" s="633">
        <f t="shared" si="4"/>
        <v>102049.35</v>
      </c>
      <c r="F35" s="633">
        <f t="shared" si="4"/>
        <v>4475115.38</v>
      </c>
      <c r="G35" s="633">
        <f t="shared" si="4"/>
        <v>0</v>
      </c>
      <c r="H35" s="633">
        <f t="shared" si="4"/>
        <v>0</v>
      </c>
      <c r="I35" s="633">
        <f t="shared" si="4"/>
        <v>0</v>
      </c>
      <c r="J35" s="633">
        <f t="shared" si="4"/>
        <v>0</v>
      </c>
      <c r="K35" s="633">
        <f t="shared" si="4"/>
        <v>0</v>
      </c>
      <c r="L35" s="633">
        <f t="shared" si="4"/>
        <v>0</v>
      </c>
      <c r="M35" s="633">
        <f t="shared" si="4"/>
        <v>0</v>
      </c>
      <c r="N35" s="633">
        <f t="shared" si="4"/>
        <v>0</v>
      </c>
      <c r="O35" s="633">
        <f t="shared" si="4"/>
        <v>0</v>
      </c>
    </row>
    <row r="36" spans="1:15">
      <c r="A36" s="407"/>
      <c r="B36" s="483"/>
      <c r="C36" s="484"/>
      <c r="D36" s="484"/>
      <c r="E36" s="407"/>
      <c r="F36" s="407"/>
      <c r="G36" s="407"/>
    </row>
    <row r="37" spans="1:15">
      <c r="A37" s="407"/>
      <c r="B37" s="485" t="s">
        <v>1406</v>
      </c>
      <c r="C37" s="486">
        <f>C35-C18</f>
        <v>0</v>
      </c>
      <c r="D37" s="11">
        <v>189765.37</v>
      </c>
      <c r="E37" s="11">
        <v>88233.87</v>
      </c>
      <c r="F37" s="11">
        <v>118798.14</v>
      </c>
      <c r="G37" s="11">
        <v>16980.96</v>
      </c>
      <c r="H37" s="11">
        <v>347406.01</v>
      </c>
      <c r="I37" s="11">
        <v>70898.850000000006</v>
      </c>
      <c r="J37" s="11">
        <v>77919.090000000011</v>
      </c>
      <c r="K37" s="11">
        <v>185180.38</v>
      </c>
      <c r="L37" s="11">
        <v>13723.51</v>
      </c>
      <c r="M37" s="11">
        <v>4336.17</v>
      </c>
      <c r="N37" s="11">
        <v>306469.64999999997</v>
      </c>
      <c r="O37" s="11"/>
    </row>
    <row r="38" spans="1:15">
      <c r="A38" s="407"/>
      <c r="B38" s="393"/>
      <c r="C38" s="450" t="str">
        <f>IF(C37=0,m!$B$7,m!$B$11)</f>
        <v>P</v>
      </c>
      <c r="D38" s="11">
        <f>+D37-D27</f>
        <v>177185.37</v>
      </c>
      <c r="E38" s="11">
        <f t="shared" ref="E38:N38" si="5">+E37-E27</f>
        <v>86632.47</v>
      </c>
      <c r="F38" s="11">
        <f t="shared" si="5"/>
        <v>-1095081.8600000001</v>
      </c>
      <c r="G38" s="11">
        <f t="shared" si="5"/>
        <v>16980.96</v>
      </c>
      <c r="H38" s="11">
        <f t="shared" si="5"/>
        <v>347406.01</v>
      </c>
      <c r="I38" s="11">
        <f t="shared" si="5"/>
        <v>70898.850000000006</v>
      </c>
      <c r="J38" s="11">
        <f t="shared" si="5"/>
        <v>77919.090000000011</v>
      </c>
      <c r="K38" s="11">
        <f t="shared" si="5"/>
        <v>185180.38</v>
      </c>
      <c r="L38" s="11">
        <f t="shared" si="5"/>
        <v>13723.51</v>
      </c>
      <c r="M38" s="11">
        <f t="shared" si="5"/>
        <v>4336.17</v>
      </c>
      <c r="N38" s="11">
        <f t="shared" si="5"/>
        <v>306469.64999999997</v>
      </c>
      <c r="O38" s="11"/>
    </row>
    <row r="39" spans="1:15">
      <c r="A39" s="407"/>
      <c r="B39" s="407"/>
      <c r="C39" s="407"/>
      <c r="D39" s="400"/>
      <c r="E39" s="400"/>
      <c r="F39" s="400"/>
      <c r="G39" s="400"/>
      <c r="H39" s="400"/>
      <c r="I39" s="400"/>
      <c r="J39" s="400"/>
      <c r="K39" s="400"/>
      <c r="L39" s="400"/>
      <c r="M39" s="400"/>
      <c r="N39" s="400"/>
    </row>
    <row r="40" spans="1:15" ht="15.75" thickBot="1">
      <c r="B40" s="596" t="s">
        <v>1573</v>
      </c>
      <c r="D40" s="11"/>
      <c r="E40" s="11"/>
    </row>
    <row r="41" spans="1:15" s="525" customFormat="1" ht="15.75" thickBot="1">
      <c r="B41" s="2022"/>
      <c r="C41" s="555" t="s">
        <v>1425</v>
      </c>
    </row>
    <row r="42" spans="1:15" s="525" customFormat="1" ht="18.75" customHeight="1">
      <c r="B42" s="2023"/>
      <c r="C42" s="556" t="s">
        <v>1477</v>
      </c>
      <c r="D42" s="557" t="s">
        <v>1478</v>
      </c>
      <c r="E42" s="557" t="s">
        <v>6</v>
      </c>
      <c r="F42" s="1891" t="s">
        <v>1356</v>
      </c>
      <c r="G42" s="1891"/>
      <c r="H42" s="1891"/>
      <c r="I42" s="1891"/>
      <c r="J42" s="1891"/>
      <c r="K42" s="559" t="s">
        <v>1357</v>
      </c>
      <c r="L42" s="560" t="s">
        <v>1358</v>
      </c>
    </row>
    <row r="43" spans="1:15" s="525" customFormat="1" ht="9.75" customHeight="1">
      <c r="B43" s="2023"/>
      <c r="C43" s="540"/>
      <c r="D43" s="451"/>
      <c r="E43" s="451"/>
      <c r="F43" s="451"/>
      <c r="G43" s="457"/>
      <c r="H43" s="457"/>
      <c r="I43" s="393"/>
      <c r="J43" s="393"/>
      <c r="K43" s="393"/>
      <c r="L43" s="418"/>
    </row>
    <row r="44" spans="1:15" s="525" customFormat="1" ht="18.75" customHeight="1">
      <c r="B44" s="2023"/>
      <c r="C44" s="561">
        <v>22</v>
      </c>
      <c r="D44" s="543" t="str">
        <f>F8</f>
        <v>AA-40</v>
      </c>
      <c r="E44" s="544"/>
      <c r="F44" s="545" t="s">
        <v>1570</v>
      </c>
      <c r="G44" s="546"/>
      <c r="H44" s="546"/>
      <c r="I44" s="546"/>
      <c r="J44" s="547"/>
      <c r="K44" s="544">
        <v>0</v>
      </c>
      <c r="L44" s="548"/>
    </row>
    <row r="45" spans="1:15" s="525" customFormat="1" ht="18.75" customHeight="1">
      <c r="B45" s="2023"/>
      <c r="C45" s="549"/>
      <c r="D45" s="550"/>
      <c r="E45" s="544"/>
      <c r="F45" s="545" t="s">
        <v>1570</v>
      </c>
      <c r="G45" s="546"/>
      <c r="H45" s="546"/>
      <c r="I45" s="546"/>
      <c r="J45" s="547"/>
      <c r="K45" s="544"/>
      <c r="L45" s="551">
        <f>K44</f>
        <v>0</v>
      </c>
    </row>
    <row r="46" spans="1:15" s="525" customFormat="1" ht="18.75" customHeight="1" thickBot="1">
      <c r="B46" s="2023"/>
      <c r="C46" s="552" t="s">
        <v>1562</v>
      </c>
      <c r="D46" s="553"/>
      <c r="E46" s="553"/>
      <c r="F46" s="553"/>
      <c r="G46" s="553"/>
      <c r="H46" s="553"/>
      <c r="I46" s="553"/>
      <c r="J46" s="553"/>
      <c r="K46" s="553"/>
      <c r="L46" s="554"/>
    </row>
    <row r="47" spans="1:15" s="525" customFormat="1" ht="6.75" customHeight="1">
      <c r="B47" s="2023"/>
    </row>
    <row r="48" spans="1:15" s="525" customFormat="1" ht="6" customHeight="1" thickBot="1">
      <c r="B48" s="2023"/>
    </row>
    <row r="49" spans="2:12" s="525" customFormat="1" ht="15.75" thickBot="1">
      <c r="B49" s="2023"/>
      <c r="C49" s="555" t="s">
        <v>1561</v>
      </c>
    </row>
    <row r="50" spans="2:12" s="525" customFormat="1" ht="18.75" customHeight="1">
      <c r="B50" s="2023"/>
      <c r="C50" s="556" t="s">
        <v>1477</v>
      </c>
      <c r="D50" s="557" t="s">
        <v>1478</v>
      </c>
      <c r="E50" s="557" t="s">
        <v>6</v>
      </c>
      <c r="F50" s="1891" t="s">
        <v>1356</v>
      </c>
      <c r="G50" s="1891"/>
      <c r="H50" s="1891"/>
      <c r="I50" s="1891"/>
      <c r="J50" s="1891"/>
      <c r="K50" s="559" t="s">
        <v>1357</v>
      </c>
      <c r="L50" s="560" t="s">
        <v>1358</v>
      </c>
    </row>
    <row r="51" spans="2:12" s="525" customFormat="1" ht="9.75" customHeight="1">
      <c r="B51" s="2023"/>
      <c r="C51" s="540"/>
      <c r="D51" s="451"/>
      <c r="E51" s="451"/>
      <c r="F51" s="451"/>
      <c r="G51" s="457"/>
      <c r="H51" s="457"/>
      <c r="I51" s="393"/>
      <c r="J51" s="393"/>
      <c r="K51" s="393"/>
      <c r="L51" s="418"/>
    </row>
    <row r="52" spans="2:12" s="525" customFormat="1" ht="18.75" customHeight="1">
      <c r="B52" s="2023"/>
      <c r="C52" s="561">
        <f>C44</f>
        <v>22</v>
      </c>
      <c r="D52" s="543" t="str">
        <f>D44</f>
        <v>AA-40</v>
      </c>
      <c r="E52" s="544"/>
      <c r="F52" s="545" t="s">
        <v>1570</v>
      </c>
      <c r="G52" s="546"/>
      <c r="H52" s="546"/>
      <c r="I52" s="546"/>
      <c r="J52" s="547"/>
      <c r="K52" s="544"/>
      <c r="L52" s="548"/>
    </row>
    <row r="53" spans="2:12" s="525" customFormat="1" ht="18.75" customHeight="1">
      <c r="B53" s="2023"/>
      <c r="C53" s="549"/>
      <c r="D53" s="550"/>
      <c r="E53" s="544"/>
      <c r="F53" s="545" t="s">
        <v>1570</v>
      </c>
      <c r="G53" s="546"/>
      <c r="H53" s="546"/>
      <c r="I53" s="546"/>
      <c r="J53" s="547"/>
      <c r="K53" s="544"/>
      <c r="L53" s="551">
        <f>K52</f>
        <v>0</v>
      </c>
    </row>
    <row r="54" spans="2:12" s="525" customFormat="1" ht="18.75" customHeight="1" thickBot="1">
      <c r="B54" s="2024"/>
      <c r="C54" s="552" t="s">
        <v>1569</v>
      </c>
      <c r="D54" s="553"/>
      <c r="E54" s="553"/>
      <c r="F54" s="553"/>
      <c r="G54" s="553"/>
      <c r="H54" s="553"/>
      <c r="I54" s="553"/>
      <c r="J54" s="553"/>
      <c r="K54" s="553"/>
      <c r="L54" s="554"/>
    </row>
    <row r="55" spans="2:12" s="525" customFormat="1"/>
  </sheetData>
  <mergeCells count="6">
    <mergeCell ref="F50:J50"/>
    <mergeCell ref="B20:C20"/>
    <mergeCell ref="C25:O25"/>
    <mergeCell ref="F42:J42"/>
    <mergeCell ref="B41:B54"/>
    <mergeCell ref="N1:O1"/>
  </mergeCells>
  <conditionalFormatting sqref="D20">
    <cfRule type="expression" priority="1" stopIfTrue="1">
      <formula>"$E$165&gt;=1,¨Aumento¨"</formula>
    </cfRule>
  </conditionalFormatting>
  <dataValidations count="1">
    <dataValidation type="list" allowBlank="1" showInputMessage="1" showErrorMessage="1" sqref="G8">
      <formula1>$G$4:$G$6</formula1>
    </dataValidation>
  </dataValidations>
  <hyperlinks>
    <hyperlink ref="E8" location="IPT!A1" display="INDICE"/>
  </hyperlinks>
  <pageMargins left="0.70866141732283472" right="0.70866141732283472" top="0.74803149606299213" bottom="0.74803149606299213" header="0.31496062992125984" footer="0.31496062992125984"/>
  <pageSetup scale="6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1"/>
  <sheetViews>
    <sheetView workbookViewId="0">
      <selection activeCell="G25" sqref="G25"/>
    </sheetView>
  </sheetViews>
  <sheetFormatPr baseColWidth="10" defaultColWidth="9.140625" defaultRowHeight="15"/>
  <cols>
    <col min="1" max="1" width="4.7109375" customWidth="1"/>
    <col min="2" max="2" width="40.5703125" customWidth="1"/>
    <col min="3" max="4" width="16.5703125" customWidth="1"/>
    <col min="5" max="5" width="13.5703125" customWidth="1"/>
    <col min="6" max="6" width="13.28515625" bestFit="1" customWidth="1"/>
    <col min="7" max="7" width="14.7109375" customWidth="1"/>
    <col min="8" max="15" width="10" customWidth="1"/>
  </cols>
  <sheetData>
    <row r="1" spans="1:15">
      <c r="B1" s="574" t="str">
        <f>BALANZA!B1</f>
        <v>CORPORACION DEL ACUEDUCTO Y ALCANTARILLADO DE MOCA</v>
      </c>
      <c r="N1" s="1895" t="str">
        <f>IPT!$F$5</f>
        <v>AUDITOR: JJSM</v>
      </c>
      <c r="O1" s="1895"/>
    </row>
    <row r="2" spans="1:15">
      <c r="B2" s="522" t="str">
        <f>BALANZA!B2</f>
        <v>Del Ejercicio terminado el  31 de marzo de 2026  y  2025</v>
      </c>
    </row>
    <row r="3" spans="1:15" hidden="1">
      <c r="G3" s="492" t="s">
        <v>1532</v>
      </c>
    </row>
    <row r="4" spans="1:15" hidden="1">
      <c r="G4" s="492" t="s">
        <v>1533</v>
      </c>
    </row>
    <row r="5" spans="1:15" hidden="1">
      <c r="G5" s="492" t="s">
        <v>1531</v>
      </c>
    </row>
    <row r="7" spans="1:15">
      <c r="A7" s="396"/>
      <c r="B7" s="397" t="s">
        <v>1519</v>
      </c>
      <c r="D7" s="397"/>
      <c r="E7" s="397"/>
      <c r="F7" s="397"/>
      <c r="G7" s="407"/>
      <c r="H7" s="407"/>
    </row>
    <row r="8" spans="1:15" ht="19.5" customHeight="1">
      <c r="B8" s="453"/>
      <c r="C8" s="467"/>
      <c r="D8" s="447"/>
      <c r="E8" s="539" t="s">
        <v>1355</v>
      </c>
      <c r="F8" s="538" t="str">
        <f>IPT!C37</f>
        <v>AA-50</v>
      </c>
      <c r="G8" s="529" t="str">
        <f>IF(C23=0,"Verificado","Pendiente")</f>
        <v>Verificado</v>
      </c>
    </row>
    <row r="9" spans="1:15" ht="30" customHeight="1">
      <c r="B9" s="184" t="s">
        <v>1162</v>
      </c>
      <c r="C9" s="185">
        <f>BALANZA!B4</f>
        <v>2026</v>
      </c>
      <c r="D9" s="185">
        <f>BALANZA!C4</f>
        <v>2025</v>
      </c>
      <c r="E9" s="616" t="s">
        <v>1213</v>
      </c>
      <c r="F9" s="465" t="s">
        <v>1465</v>
      </c>
      <c r="G9" s="465" t="s">
        <v>1476</v>
      </c>
    </row>
    <row r="10" spans="1:15">
      <c r="B10" s="488" t="str">
        <f>Notas!B429</f>
        <v xml:space="preserve">Transferencias al Sector Privado  </v>
      </c>
      <c r="C10" s="660">
        <f>+'Notas NF'!C559</f>
        <v>0</v>
      </c>
      <c r="D10" s="660">
        <f>+'Notas NF'!D559</f>
        <v>30000</v>
      </c>
      <c r="E10" s="253">
        <f>+C10-D10</f>
        <v>-30000</v>
      </c>
      <c r="F10" s="647">
        <f>IFERROR(E10/D10,0)</f>
        <v>-1</v>
      </c>
      <c r="G10" s="450" t="s">
        <v>1428</v>
      </c>
    </row>
    <row r="11" spans="1:15" ht="15.75">
      <c r="B11" s="184" t="s">
        <v>1171</v>
      </c>
      <c r="C11" s="661">
        <f>SUM(C10:C10)</f>
        <v>0</v>
      </c>
      <c r="D11" s="661">
        <f>SUM(D10:D10)</f>
        <v>30000</v>
      </c>
      <c r="E11" s="661">
        <f>SUM(E10:E10)</f>
        <v>-30000</v>
      </c>
      <c r="F11" s="649">
        <f>IFERROR(E11/D11,0)</f>
        <v>-1</v>
      </c>
      <c r="G11" s="500" t="s">
        <v>1428</v>
      </c>
    </row>
    <row r="12" spans="1:15" ht="15.75">
      <c r="B12" s="156" t="s">
        <v>1038</v>
      </c>
      <c r="E12" s="206"/>
    </row>
    <row r="13" spans="1:15" s="5" customFormat="1" ht="15.75">
      <c r="B13" s="1881" t="str">
        <f>+'1'!B21:C21</f>
        <v>Cambio porcentual con relación al 2025</v>
      </c>
      <c r="C13" s="1882"/>
      <c r="D13" s="304" t="str">
        <f>IF(E13&gt;=0,"Aumento","Disminución")</f>
        <v>Disminución</v>
      </c>
      <c r="E13" s="228">
        <f>+E11/D11</f>
        <v>-1</v>
      </c>
    </row>
    <row r="14" spans="1:15" ht="15.75">
      <c r="B14" s="234"/>
      <c r="C14" s="234"/>
      <c r="D14" s="234"/>
      <c r="E14" s="235"/>
    </row>
    <row r="15" spans="1:15" ht="15.75">
      <c r="B15" s="234"/>
      <c r="C15" s="234"/>
      <c r="D15" s="234"/>
      <c r="E15" s="235"/>
    </row>
    <row r="16" spans="1:15">
      <c r="A16" s="407"/>
      <c r="B16" s="397" t="s">
        <v>1520</v>
      </c>
      <c r="C16" s="407"/>
      <c r="D16" s="407"/>
      <c r="E16" s="407"/>
      <c r="F16" s="407"/>
      <c r="G16" s="407"/>
      <c r="H16" s="407"/>
    </row>
    <row r="17" spans="1:15">
      <c r="A17" s="407"/>
      <c r="B17" s="482" t="s">
        <v>1467</v>
      </c>
      <c r="C17" s="482"/>
      <c r="D17" s="482"/>
      <c r="E17" s="407"/>
      <c r="G17" s="407"/>
      <c r="H17" s="407"/>
      <c r="I17" s="407"/>
      <c r="J17" s="407"/>
      <c r="K17" s="407"/>
    </row>
    <row r="18" spans="1:15" ht="21" customHeight="1">
      <c r="A18" s="407"/>
      <c r="B18" s="462"/>
      <c r="C18" s="1879">
        <f>C9</f>
        <v>2026</v>
      </c>
      <c r="D18" s="1880"/>
      <c r="E18" s="1880"/>
      <c r="F18" s="1880"/>
      <c r="G18" s="1880"/>
      <c r="H18" s="1880"/>
      <c r="I18" s="1880"/>
      <c r="J18" s="1880"/>
      <c r="K18" s="1880"/>
      <c r="L18" s="1880"/>
      <c r="M18" s="1880"/>
      <c r="N18" s="1880"/>
      <c r="O18" s="1880"/>
    </row>
    <row r="19" spans="1:15" ht="27" customHeight="1">
      <c r="A19" s="407"/>
      <c r="B19" s="462" t="s">
        <v>1149</v>
      </c>
      <c r="C19" s="463" t="s">
        <v>1415</v>
      </c>
      <c r="D19" s="463" t="s">
        <v>1418</v>
      </c>
      <c r="E19" s="463" t="s">
        <v>1434</v>
      </c>
      <c r="F19" s="463" t="s">
        <v>1435</v>
      </c>
      <c r="G19" s="463" t="s">
        <v>1436</v>
      </c>
      <c r="H19" s="463" t="s">
        <v>1437</v>
      </c>
      <c r="I19" s="463" t="s">
        <v>1438</v>
      </c>
      <c r="J19" s="463" t="s">
        <v>1439</v>
      </c>
      <c r="K19" s="463" t="s">
        <v>1440</v>
      </c>
      <c r="L19" s="463" t="s">
        <v>1441</v>
      </c>
      <c r="M19" s="463" t="s">
        <v>1410</v>
      </c>
      <c r="N19" s="463" t="s">
        <v>1411</v>
      </c>
      <c r="O19" s="463" t="s">
        <v>1412</v>
      </c>
    </row>
    <row r="20" spans="1:15" ht="27" customHeight="1">
      <c r="A20">
        <v>1</v>
      </c>
      <c r="B20" s="641" t="str">
        <f>B10</f>
        <v xml:space="preserve">Transferencias al Sector Privado  </v>
      </c>
      <c r="C20" s="629">
        <f>SUM(D20:O20)</f>
        <v>0</v>
      </c>
      <c r="D20" s="642">
        <f>+BALANZA!N324+BALANZA!N325</f>
        <v>0</v>
      </c>
      <c r="E20" s="642">
        <f>+BALANZA!O324+BALANZA!O325</f>
        <v>0</v>
      </c>
      <c r="F20" s="642">
        <f>+BALANZA!P324+BALANZA!P325</f>
        <v>0</v>
      </c>
      <c r="G20" s="642">
        <f>+BALANZA!Q324+BALANZA!Q325</f>
        <v>0</v>
      </c>
      <c r="H20" s="642">
        <f>+BALANZA!R324+BALANZA!R325</f>
        <v>0</v>
      </c>
      <c r="I20" s="642">
        <f>+BALANZA!S324+BALANZA!S325</f>
        <v>0</v>
      </c>
      <c r="J20" s="642">
        <f>+BALANZA!T324+BALANZA!T325</f>
        <v>0</v>
      </c>
      <c r="K20" s="642">
        <f>+BALANZA!U324+BALANZA!U325</f>
        <v>0</v>
      </c>
      <c r="L20" s="642">
        <f>+BALANZA!V324+BALANZA!V325</f>
        <v>0</v>
      </c>
      <c r="M20" s="642">
        <f>+BALANZA!W324+BALANZA!W325</f>
        <v>0</v>
      </c>
      <c r="N20" s="642">
        <f>+BALANZA!X324+BALANZA!X325</f>
        <v>0</v>
      </c>
      <c r="O20" s="642">
        <f>+BALANZA!Y324+BALANZA!Y325</f>
        <v>0</v>
      </c>
    </row>
    <row r="21" spans="1:15" ht="22.5" customHeight="1">
      <c r="A21" s="407"/>
      <c r="B21" s="632" t="s">
        <v>1152</v>
      </c>
      <c r="C21" s="633">
        <f t="shared" ref="C21:O21" si="0">SUM(C20:C20)</f>
        <v>0</v>
      </c>
      <c r="D21" s="633">
        <f t="shared" si="0"/>
        <v>0</v>
      </c>
      <c r="E21" s="633">
        <f t="shared" si="0"/>
        <v>0</v>
      </c>
      <c r="F21" s="633">
        <f t="shared" si="0"/>
        <v>0</v>
      </c>
      <c r="G21" s="633">
        <f t="shared" si="0"/>
        <v>0</v>
      </c>
      <c r="H21" s="633">
        <f t="shared" si="0"/>
        <v>0</v>
      </c>
      <c r="I21" s="633">
        <f t="shared" si="0"/>
        <v>0</v>
      </c>
      <c r="J21" s="633">
        <f t="shared" si="0"/>
        <v>0</v>
      </c>
      <c r="K21" s="633">
        <f t="shared" si="0"/>
        <v>0</v>
      </c>
      <c r="L21" s="633">
        <f t="shared" si="0"/>
        <v>0</v>
      </c>
      <c r="M21" s="633">
        <f t="shared" si="0"/>
        <v>0</v>
      </c>
      <c r="N21" s="633">
        <f t="shared" si="0"/>
        <v>0</v>
      </c>
      <c r="O21" s="633">
        <f t="shared" si="0"/>
        <v>0</v>
      </c>
    </row>
    <row r="22" spans="1:15">
      <c r="A22" s="407"/>
      <c r="B22" s="483"/>
      <c r="C22" s="484"/>
      <c r="D22" s="484"/>
      <c r="E22" s="407"/>
      <c r="F22" s="407"/>
      <c r="G22" s="407"/>
    </row>
    <row r="23" spans="1:15">
      <c r="A23" s="407"/>
      <c r="B23" s="485" t="s">
        <v>1406</v>
      </c>
      <c r="C23" s="486">
        <f>C21-C11</f>
        <v>0</v>
      </c>
    </row>
    <row r="24" spans="1:15">
      <c r="A24" s="407"/>
      <c r="B24" s="393"/>
      <c r="C24" s="450" t="str">
        <f>IF(C23=0,m!$B$7,m!$B$11)</f>
        <v>P</v>
      </c>
    </row>
    <row r="25" spans="1:15">
      <c r="A25" s="407"/>
      <c r="B25" s="407"/>
      <c r="C25" s="407"/>
      <c r="D25" s="407"/>
      <c r="E25" s="407"/>
      <c r="F25" s="407"/>
      <c r="G25" s="407"/>
      <c r="H25" s="407"/>
    </row>
    <row r="26" spans="1:15" ht="15.75" thickBot="1">
      <c r="B26" s="596" t="s">
        <v>1573</v>
      </c>
    </row>
    <row r="27" spans="1:15" s="525" customFormat="1" ht="15.75" thickBot="1">
      <c r="B27" s="2022"/>
      <c r="C27" s="555" t="s">
        <v>1425</v>
      </c>
    </row>
    <row r="28" spans="1:15" s="525" customFormat="1" ht="18.75" customHeight="1">
      <c r="B28" s="2023"/>
      <c r="C28" s="556" t="s">
        <v>1477</v>
      </c>
      <c r="D28" s="557" t="s">
        <v>1478</v>
      </c>
      <c r="E28" s="557" t="s">
        <v>6</v>
      </c>
      <c r="F28" s="1891" t="s">
        <v>1356</v>
      </c>
      <c r="G28" s="1891"/>
      <c r="H28" s="1891"/>
      <c r="I28" s="1891"/>
      <c r="J28" s="1891"/>
      <c r="K28" s="559" t="s">
        <v>1357</v>
      </c>
      <c r="L28" s="560" t="s">
        <v>1358</v>
      </c>
    </row>
    <row r="29" spans="1:15" s="525" customFormat="1" ht="9.75" customHeight="1">
      <c r="B29" s="2023"/>
      <c r="C29" s="540"/>
      <c r="D29" s="451"/>
      <c r="E29" s="451"/>
      <c r="F29" s="451"/>
      <c r="G29" s="457"/>
      <c r="H29" s="457"/>
      <c r="I29" s="393"/>
      <c r="J29" s="393"/>
      <c r="K29" s="393"/>
      <c r="L29" s="418"/>
    </row>
    <row r="30" spans="1:15" s="525" customFormat="1" ht="18.75" customHeight="1">
      <c r="B30" s="2023"/>
      <c r="C30" s="561">
        <v>23</v>
      </c>
      <c r="D30" s="543" t="str">
        <f>F8</f>
        <v>AA-50</v>
      </c>
      <c r="E30" s="544"/>
      <c r="F30" s="545" t="s">
        <v>1570</v>
      </c>
      <c r="G30" s="546"/>
      <c r="H30" s="546"/>
      <c r="I30" s="546"/>
      <c r="J30" s="547"/>
      <c r="K30" s="544">
        <v>0</v>
      </c>
      <c r="L30" s="548"/>
    </row>
    <row r="31" spans="1:15" s="525" customFormat="1" ht="18.75" customHeight="1">
      <c r="B31" s="2023"/>
      <c r="C31" s="549"/>
      <c r="D31" s="550"/>
      <c r="E31" s="544"/>
      <c r="F31" s="545" t="s">
        <v>1570</v>
      </c>
      <c r="G31" s="546"/>
      <c r="H31" s="546"/>
      <c r="I31" s="546"/>
      <c r="J31" s="547"/>
      <c r="K31" s="544"/>
      <c r="L31" s="551">
        <f>K30</f>
        <v>0</v>
      </c>
    </row>
    <row r="32" spans="1:15" s="525" customFormat="1" ht="18.75" customHeight="1" thickBot="1">
      <c r="B32" s="2023"/>
      <c r="C32" s="552" t="s">
        <v>1562</v>
      </c>
      <c r="D32" s="553"/>
      <c r="E32" s="553"/>
      <c r="F32" s="553"/>
      <c r="G32" s="553"/>
      <c r="H32" s="553"/>
      <c r="I32" s="553"/>
      <c r="J32" s="553"/>
      <c r="K32" s="553"/>
      <c r="L32" s="554"/>
    </row>
    <row r="33" spans="2:12" s="525" customFormat="1">
      <c r="B33" s="2023"/>
    </row>
    <row r="34" spans="2:12" s="525" customFormat="1" ht="15.75" thickBot="1">
      <c r="B34" s="2023"/>
    </row>
    <row r="35" spans="2:12" s="525" customFormat="1" ht="15.75" thickBot="1">
      <c r="B35" s="2023"/>
      <c r="C35" s="555" t="s">
        <v>1561</v>
      </c>
    </row>
    <row r="36" spans="2:12" s="525" customFormat="1" ht="18.75" customHeight="1">
      <c r="B36" s="2023"/>
      <c r="C36" s="556" t="s">
        <v>1477</v>
      </c>
      <c r="D36" s="557" t="s">
        <v>1478</v>
      </c>
      <c r="E36" s="557" t="s">
        <v>6</v>
      </c>
      <c r="F36" s="1891" t="s">
        <v>1356</v>
      </c>
      <c r="G36" s="1891"/>
      <c r="H36" s="1891"/>
      <c r="I36" s="1891"/>
      <c r="J36" s="1891"/>
      <c r="K36" s="559" t="s">
        <v>1357</v>
      </c>
      <c r="L36" s="560" t="s">
        <v>1358</v>
      </c>
    </row>
    <row r="37" spans="2:12" s="525" customFormat="1" ht="9.75" customHeight="1">
      <c r="B37" s="2023"/>
      <c r="C37" s="540"/>
      <c r="D37" s="451"/>
      <c r="E37" s="451"/>
      <c r="F37" s="451"/>
      <c r="G37" s="457"/>
      <c r="H37" s="457"/>
      <c r="I37" s="393"/>
      <c r="J37" s="393"/>
      <c r="K37" s="393"/>
      <c r="L37" s="418"/>
    </row>
    <row r="38" spans="2:12" s="525" customFormat="1" ht="18.75" customHeight="1">
      <c r="B38" s="2023"/>
      <c r="C38" s="561">
        <f>C30</f>
        <v>23</v>
      </c>
      <c r="D38" s="543" t="str">
        <f>D30</f>
        <v>AA-50</v>
      </c>
      <c r="E38" s="544"/>
      <c r="F38" s="545" t="s">
        <v>1570</v>
      </c>
      <c r="G38" s="546"/>
      <c r="H38" s="546"/>
      <c r="I38" s="546"/>
      <c r="J38" s="547"/>
      <c r="K38" s="544"/>
      <c r="L38" s="548"/>
    </row>
    <row r="39" spans="2:12" s="525" customFormat="1" ht="18.75" customHeight="1">
      <c r="B39" s="2023"/>
      <c r="C39" s="549"/>
      <c r="D39" s="550"/>
      <c r="E39" s="544"/>
      <c r="F39" s="545" t="s">
        <v>1570</v>
      </c>
      <c r="G39" s="546"/>
      <c r="H39" s="546"/>
      <c r="I39" s="546"/>
      <c r="J39" s="547"/>
      <c r="K39" s="544"/>
      <c r="L39" s="551">
        <f>K38</f>
        <v>0</v>
      </c>
    </row>
    <row r="40" spans="2:12" s="525" customFormat="1" ht="18.75" customHeight="1" thickBot="1">
      <c r="B40" s="2024"/>
      <c r="C40" s="552" t="s">
        <v>1569</v>
      </c>
      <c r="D40" s="553"/>
      <c r="E40" s="553"/>
      <c r="F40" s="553"/>
      <c r="G40" s="553"/>
      <c r="H40" s="553"/>
      <c r="I40" s="553"/>
      <c r="J40" s="553"/>
      <c r="K40" s="553"/>
      <c r="L40" s="554"/>
    </row>
    <row r="41" spans="2:12" s="525" customFormat="1"/>
  </sheetData>
  <mergeCells count="6">
    <mergeCell ref="F36:J36"/>
    <mergeCell ref="B13:C13"/>
    <mergeCell ref="C18:O18"/>
    <mergeCell ref="F28:J28"/>
    <mergeCell ref="B27:B40"/>
    <mergeCell ref="N1:O1"/>
  </mergeCells>
  <conditionalFormatting sqref="D13">
    <cfRule type="expression" priority="1" stopIfTrue="1">
      <formula>"$E$165&gt;=1,¨Aumento¨"</formula>
    </cfRule>
  </conditionalFormatting>
  <dataValidations count="1">
    <dataValidation type="list" allowBlank="1" showInputMessage="1" showErrorMessage="1" sqref="G8">
      <formula1>$G$3:$G$5</formula1>
    </dataValidation>
  </dataValidations>
  <hyperlinks>
    <hyperlink ref="E8" location="IPT!A1" display="INDICE"/>
  </hyperlinks>
  <printOptions horizontalCentered="1"/>
  <pageMargins left="0.51181102362204722" right="0.51181102362204722" top="0.74803149606299213" bottom="0.74803149606299213" header="0.31496062992125984" footer="0.31496062992125984"/>
  <pageSetup scale="6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98"/>
  <sheetViews>
    <sheetView workbookViewId="0"/>
  </sheetViews>
  <sheetFormatPr baseColWidth="10" defaultColWidth="9.140625" defaultRowHeight="15"/>
  <cols>
    <col min="1" max="1" width="4" customWidth="1"/>
    <col min="2" max="2" width="35.5703125" customWidth="1"/>
    <col min="3" max="3" width="16.7109375" customWidth="1"/>
    <col min="4" max="4" width="14.140625" bestFit="1" customWidth="1"/>
    <col min="5" max="5" width="15" bestFit="1" customWidth="1"/>
    <col min="6" max="6" width="13.28515625" bestFit="1" customWidth="1"/>
    <col min="7" max="15" width="12.7109375" bestFit="1" customWidth="1"/>
    <col min="16" max="16" width="12.28515625" bestFit="1" customWidth="1"/>
    <col min="17" max="17" width="2.140625" customWidth="1"/>
  </cols>
  <sheetData>
    <row r="1" spans="1:16" ht="14.25" customHeight="1">
      <c r="A1" s="521"/>
      <c r="B1" s="574" t="str">
        <f>BALANZA!B1</f>
        <v>CORPORACION DEL ACUEDUCTO Y ALCANTARILLADO DE MOCA</v>
      </c>
      <c r="C1" s="522"/>
      <c r="D1" s="369"/>
      <c r="E1" s="369"/>
      <c r="F1" s="369"/>
      <c r="G1" s="369"/>
      <c r="H1" s="369"/>
      <c r="I1" s="1603"/>
      <c r="J1" s="1603"/>
      <c r="K1" s="375"/>
      <c r="L1" s="1603"/>
      <c r="M1" s="1603"/>
      <c r="O1" s="1895" t="str">
        <f>IPT!$F$5</f>
        <v>AUDITOR: JJSM</v>
      </c>
      <c r="P1" s="1895"/>
    </row>
    <row r="2" spans="1:16" ht="14.25" customHeight="1">
      <c r="A2" s="521"/>
      <c r="B2" s="522" t="str">
        <f>BALANZA!B2</f>
        <v>Del Ejercicio terminado el  31 de marzo de 2026  y  2025</v>
      </c>
      <c r="C2" s="522"/>
      <c r="D2" s="378"/>
      <c r="E2" s="378"/>
      <c r="F2" s="378"/>
      <c r="G2" s="378"/>
      <c r="H2" s="369"/>
      <c r="I2" s="1603"/>
      <c r="J2" s="1603"/>
      <c r="K2" s="375"/>
      <c r="L2" s="1603"/>
      <c r="M2" s="1603"/>
    </row>
    <row r="3" spans="1:16" ht="14.25" customHeight="1">
      <c r="A3" s="521"/>
      <c r="B3" s="522"/>
      <c r="C3" s="522"/>
      <c r="D3" s="378" t="s">
        <v>2074</v>
      </c>
      <c r="E3" s="378"/>
      <c r="F3" s="378"/>
      <c r="G3" s="378"/>
      <c r="H3" s="369"/>
      <c r="I3" s="1603"/>
      <c r="J3" s="1603"/>
      <c r="K3" s="375"/>
      <c r="L3" s="1603"/>
      <c r="M3" s="1603"/>
    </row>
    <row r="4" spans="1:16" hidden="1">
      <c r="A4" s="446"/>
      <c r="B4" s="446"/>
      <c r="C4" s="1603"/>
      <c r="D4" s="378"/>
      <c r="E4" s="378"/>
      <c r="F4" s="378"/>
      <c r="G4" s="1603" t="s">
        <v>1532</v>
      </c>
      <c r="H4" s="369"/>
      <c r="I4" s="1603"/>
      <c r="J4" s="1603"/>
      <c r="K4" s="375"/>
      <c r="L4" s="1603"/>
      <c r="M4" s="1603"/>
    </row>
    <row r="5" spans="1:16" hidden="1">
      <c r="A5" s="446"/>
      <c r="B5" s="446"/>
      <c r="C5" s="1603"/>
      <c r="D5" s="378"/>
      <c r="E5" s="378"/>
      <c r="F5" s="378"/>
      <c r="G5" s="1603" t="s">
        <v>1533</v>
      </c>
      <c r="H5" s="369"/>
      <c r="I5" s="1603"/>
      <c r="J5" s="1603"/>
      <c r="K5" s="375"/>
      <c r="L5" s="1603"/>
      <c r="M5" s="1603"/>
    </row>
    <row r="6" spans="1:16" hidden="1">
      <c r="A6" s="446"/>
      <c r="B6" s="446"/>
      <c r="C6" s="1603"/>
      <c r="D6" s="378"/>
      <c r="E6" s="378"/>
      <c r="F6" s="378"/>
      <c r="G6" s="1603" t="s">
        <v>1531</v>
      </c>
      <c r="H6" s="369"/>
      <c r="I6" s="1603"/>
      <c r="J6" s="1603"/>
      <c r="K6" s="375"/>
      <c r="L6" s="1603"/>
      <c r="M6" s="1603"/>
    </row>
    <row r="7" spans="1:16">
      <c r="A7" s="396"/>
      <c r="B7" s="397" t="s">
        <v>3893</v>
      </c>
      <c r="D7" s="397"/>
      <c r="E7" s="397"/>
      <c r="F7" s="397"/>
      <c r="G7" s="1603"/>
      <c r="H7" s="1603"/>
    </row>
    <row r="8" spans="1:16" ht="6.75" customHeight="1">
      <c r="A8" s="1603"/>
      <c r="B8" s="1603"/>
      <c r="C8" s="1603"/>
      <c r="D8" s="1603"/>
      <c r="E8" s="1603"/>
      <c r="F8" s="1603"/>
      <c r="G8" s="1603"/>
      <c r="H8" s="1603"/>
    </row>
    <row r="9" spans="1:16">
      <c r="A9" s="1603"/>
      <c r="B9" s="2021" t="s">
        <v>3898</v>
      </c>
      <c r="C9" s="2021"/>
      <c r="D9" s="2021"/>
      <c r="E9" s="1603"/>
      <c r="F9" s="1603"/>
      <c r="G9" s="1603"/>
      <c r="H9" s="1603"/>
    </row>
    <row r="10" spans="1:16" ht="18.75" customHeight="1">
      <c r="A10" s="1603"/>
      <c r="B10" s="1603"/>
      <c r="C10" s="1603"/>
      <c r="D10" s="1603"/>
      <c r="E10" s="539" t="s">
        <v>1355</v>
      </c>
      <c r="F10" s="538" t="str">
        <f>+IPT!C38</f>
        <v>AA-60</v>
      </c>
      <c r="G10" s="529" t="str">
        <f>IF(C28=0,"Verificado","Pendiente")</f>
        <v>Verificado</v>
      </c>
      <c r="H10" s="1603"/>
    </row>
    <row r="11" spans="1:16" ht="30">
      <c r="B11" s="200" t="s">
        <v>1149</v>
      </c>
      <c r="C11" s="201">
        <f>BALANZA!B4</f>
        <v>2026</v>
      </c>
      <c r="D11" s="201">
        <f>BALANZA!C4</f>
        <v>2025</v>
      </c>
      <c r="E11" s="615" t="s">
        <v>1213</v>
      </c>
      <c r="F11" s="494" t="s">
        <v>1465</v>
      </c>
      <c r="G11" s="494" t="s">
        <v>1476</v>
      </c>
    </row>
    <row r="12" spans="1:16" ht="27.75" customHeight="1">
      <c r="B12" s="489" t="str">
        <f>+'Notas NF'!B624</f>
        <v>Comisiones y gastos bancarios</v>
      </c>
      <c r="C12" s="204">
        <f>+'Notas NF'!C626</f>
        <v>177987.98</v>
      </c>
      <c r="D12" s="204">
        <f>+'Notas NF'!D626</f>
        <v>692897.94</v>
      </c>
      <c r="E12" s="650">
        <f>+C12-D12</f>
        <v>-514909.95999999996</v>
      </c>
      <c r="F12" s="653">
        <f>IFERROR(E12/D12,0)</f>
        <v>-0.74312525737917479</v>
      </c>
      <c r="G12" s="450" t="s">
        <v>1428</v>
      </c>
    </row>
    <row r="13" spans="1:16" ht="27.75" customHeight="1">
      <c r="A13">
        <v>1</v>
      </c>
      <c r="B13" s="489" t="str">
        <f>+'Notas NF'!B625</f>
        <v>Intereses</v>
      </c>
      <c r="C13" s="243"/>
      <c r="D13" s="243"/>
      <c r="E13" s="243"/>
      <c r="F13" s="653">
        <f>IFERROR(E13/D13,0)</f>
        <v>0</v>
      </c>
      <c r="G13" s="450" t="s">
        <v>1428</v>
      </c>
    </row>
    <row r="14" spans="1:16" ht="27.75" customHeight="1">
      <c r="B14" s="205" t="s">
        <v>1160</v>
      </c>
      <c r="C14" s="199">
        <f>SUM(C12:C12)</f>
        <v>177987.98</v>
      </c>
      <c r="D14" s="199">
        <f>SUM(D12:D12)</f>
        <v>692897.94</v>
      </c>
      <c r="E14" s="652">
        <f>SUM(E12:E12)</f>
        <v>-514909.95999999996</v>
      </c>
      <c r="F14" s="653">
        <f>IFERROR(E14/D14,0)</f>
        <v>-0.74312525737917479</v>
      </c>
      <c r="G14" s="500" t="s">
        <v>1419</v>
      </c>
    </row>
    <row r="15" spans="1:16" ht="13.5" customHeight="1">
      <c r="B15" s="158"/>
      <c r="E15" s="206"/>
    </row>
    <row r="16" spans="1:16" s="5" customFormat="1" ht="27.75" customHeight="1">
      <c r="B16" s="2051" t="str">
        <f>+'1'!B21:C21</f>
        <v>Cambio porcentual con relación al 2025</v>
      </c>
      <c r="C16" s="2052"/>
      <c r="D16" s="304" t="str">
        <f>IF(E16&gt;=0,"Aumento","Disminución")</f>
        <v>Disminución</v>
      </c>
      <c r="E16" s="228">
        <f>+E14/D14</f>
        <v>-0.74312525737917479</v>
      </c>
    </row>
    <row r="17" spans="1:16" ht="15.75">
      <c r="B17" s="158"/>
      <c r="E17" s="206"/>
    </row>
    <row r="18" spans="1:16">
      <c r="A18" s="1603"/>
      <c r="B18" s="1603"/>
      <c r="C18" s="1603"/>
      <c r="D18" s="1603"/>
      <c r="E18" s="1603"/>
      <c r="F18" s="1603"/>
      <c r="G18" s="1603"/>
      <c r="H18" s="1603"/>
    </row>
    <row r="19" spans="1:16">
      <c r="A19" s="1603"/>
      <c r="B19" s="1603"/>
      <c r="C19" s="1603"/>
      <c r="D19" s="1603"/>
      <c r="E19" s="1603"/>
      <c r="F19" s="1603"/>
      <c r="G19" s="1603"/>
      <c r="H19" s="1603"/>
    </row>
    <row r="20" spans="1:16">
      <c r="A20" s="1603"/>
      <c r="B20" s="397" t="s">
        <v>3899</v>
      </c>
      <c r="C20" s="1603"/>
      <c r="D20" s="1603"/>
      <c r="E20" s="1603"/>
      <c r="F20" s="1603"/>
      <c r="G20" s="1603"/>
      <c r="H20" s="1603"/>
    </row>
    <row r="21" spans="1:16">
      <c r="A21" s="1603"/>
      <c r="B21" s="482" t="s">
        <v>3894</v>
      </c>
      <c r="C21" s="482"/>
      <c r="D21" s="482"/>
      <c r="E21" s="1603"/>
      <c r="G21" s="1603"/>
      <c r="H21" s="1603"/>
      <c r="I21" s="1603"/>
      <c r="J21" s="1603"/>
      <c r="K21" s="1603"/>
    </row>
    <row r="22" spans="1:16" ht="21" customHeight="1">
      <c r="A22" s="1603"/>
      <c r="B22" s="462"/>
      <c r="C22" s="1879">
        <f>C11</f>
        <v>2026</v>
      </c>
      <c r="D22" s="1880"/>
      <c r="E22" s="1880"/>
      <c r="F22" s="1880"/>
      <c r="G22" s="1880"/>
      <c r="H22" s="1880"/>
      <c r="I22" s="1880"/>
      <c r="J22" s="1880"/>
      <c r="K22" s="1880"/>
      <c r="L22" s="1880"/>
      <c r="M22" s="1880"/>
      <c r="N22" s="1880"/>
      <c r="O22" s="1880"/>
      <c r="P22" s="502">
        <f>D11</f>
        <v>2025</v>
      </c>
    </row>
    <row r="23" spans="1:16">
      <c r="A23" s="1603"/>
      <c r="B23" s="462" t="s">
        <v>1149</v>
      </c>
      <c r="C23" s="463" t="s">
        <v>1415</v>
      </c>
      <c r="D23" s="463" t="s">
        <v>1418</v>
      </c>
      <c r="E23" s="463" t="s">
        <v>1434</v>
      </c>
      <c r="F23" s="463" t="s">
        <v>1435</v>
      </c>
      <c r="G23" s="463" t="s">
        <v>1436</v>
      </c>
      <c r="H23" s="463" t="s">
        <v>1437</v>
      </c>
      <c r="I23" s="463" t="s">
        <v>1438</v>
      </c>
      <c r="J23" s="463" t="s">
        <v>1439</v>
      </c>
      <c r="K23" s="463" t="s">
        <v>1440</v>
      </c>
      <c r="L23" s="463" t="s">
        <v>1441</v>
      </c>
      <c r="M23" s="463" t="s">
        <v>1410</v>
      </c>
      <c r="N23" s="463" t="s">
        <v>1411</v>
      </c>
      <c r="O23" s="463" t="s">
        <v>1412</v>
      </c>
      <c r="P23" s="502" t="s">
        <v>1526</v>
      </c>
    </row>
    <row r="24" spans="1:16" ht="27.75" customHeight="1">
      <c r="A24">
        <v>3</v>
      </c>
      <c r="B24" s="490" t="str">
        <f>+B12</f>
        <v>Comisiones y gastos bancarios</v>
      </c>
      <c r="C24" s="213">
        <f>SUM(D24:P24)</f>
        <v>177987.98</v>
      </c>
      <c r="D24" s="512">
        <f>+BALANZA!N288</f>
        <v>55675.19</v>
      </c>
      <c r="E24" s="512">
        <f>+BALANZA!O288</f>
        <v>45701.1</v>
      </c>
      <c r="F24" s="512">
        <f>+BALANZA!P288</f>
        <v>76611.69</v>
      </c>
      <c r="G24" s="512">
        <f>+BALANZA!Q288</f>
        <v>0</v>
      </c>
      <c r="H24" s="512">
        <f>+BALANZA!R288</f>
        <v>0</v>
      </c>
      <c r="I24" s="512">
        <f>+BALANZA!S288</f>
        <v>0</v>
      </c>
      <c r="J24" s="512">
        <f>+BALANZA!T288</f>
        <v>0</v>
      </c>
      <c r="K24" s="512">
        <f>+BALANZA!U288</f>
        <v>0</v>
      </c>
      <c r="L24" s="512">
        <f>+BALANZA!V288</f>
        <v>0</v>
      </c>
      <c r="M24" s="512">
        <f>+BALANZA!W288</f>
        <v>0</v>
      </c>
      <c r="N24" s="512">
        <f>+BALANZA!X288</f>
        <v>0</v>
      </c>
      <c r="O24" s="512">
        <f>+BALANZA!Y288</f>
        <v>0</v>
      </c>
      <c r="P24" s="253"/>
    </row>
    <row r="25" spans="1:16" ht="27.75" customHeight="1">
      <c r="A25">
        <v>4</v>
      </c>
      <c r="B25" s="490" t="str">
        <f>+B13</f>
        <v>Intereses</v>
      </c>
      <c r="C25" s="213">
        <f>SUM(D25:P25)</f>
        <v>0</v>
      </c>
      <c r="D25" s="512"/>
      <c r="E25" s="512"/>
      <c r="F25" s="512"/>
      <c r="G25" s="512"/>
      <c r="H25" s="512"/>
      <c r="I25" s="512"/>
      <c r="J25" s="512"/>
      <c r="K25" s="512"/>
      <c r="L25" s="512"/>
      <c r="M25" s="512"/>
      <c r="N25" s="512"/>
      <c r="O25" s="512"/>
      <c r="P25" s="253"/>
    </row>
    <row r="26" spans="1:16" ht="22.5" customHeight="1">
      <c r="A26" s="1603"/>
      <c r="B26" s="192" t="s">
        <v>1415</v>
      </c>
      <c r="C26" s="214">
        <f t="shared" ref="C26:P26" si="0">SUM(C24:C25)</f>
        <v>177987.98</v>
      </c>
      <c r="D26" s="514">
        <f t="shared" si="0"/>
        <v>55675.19</v>
      </c>
      <c r="E26" s="514">
        <f t="shared" si="0"/>
        <v>45701.1</v>
      </c>
      <c r="F26" s="514">
        <f t="shared" si="0"/>
        <v>76611.69</v>
      </c>
      <c r="G26" s="514">
        <f t="shared" si="0"/>
        <v>0</v>
      </c>
      <c r="H26" s="514">
        <f t="shared" si="0"/>
        <v>0</v>
      </c>
      <c r="I26" s="514">
        <f t="shared" si="0"/>
        <v>0</v>
      </c>
      <c r="J26" s="514">
        <f t="shared" si="0"/>
        <v>0</v>
      </c>
      <c r="K26" s="514">
        <f t="shared" si="0"/>
        <v>0</v>
      </c>
      <c r="L26" s="514">
        <f t="shared" si="0"/>
        <v>0</v>
      </c>
      <c r="M26" s="514">
        <f t="shared" si="0"/>
        <v>0</v>
      </c>
      <c r="N26" s="514">
        <f t="shared" si="0"/>
        <v>0</v>
      </c>
      <c r="O26" s="514">
        <f t="shared" si="0"/>
        <v>0</v>
      </c>
      <c r="P26" s="514">
        <f t="shared" si="0"/>
        <v>0</v>
      </c>
    </row>
    <row r="27" spans="1:16">
      <c r="A27" s="1603"/>
      <c r="B27" s="483"/>
      <c r="C27" s="484"/>
      <c r="D27" s="484"/>
      <c r="E27" s="1603"/>
      <c r="F27" s="1603"/>
      <c r="G27" s="1603"/>
    </row>
    <row r="28" spans="1:16">
      <c r="A28" s="1603"/>
      <c r="B28" s="485" t="s">
        <v>1406</v>
      </c>
      <c r="C28" s="486">
        <f>ROUND(C26-C14,2)</f>
        <v>0</v>
      </c>
      <c r="D28" s="11">
        <f>+C28+'21'!C37</f>
        <v>0</v>
      </c>
      <c r="E28" s="11"/>
      <c r="F28" s="11"/>
      <c r="G28" s="11"/>
      <c r="H28" s="11"/>
      <c r="I28" s="11"/>
      <c r="J28" s="11"/>
      <c r="K28" s="11"/>
      <c r="L28" s="11"/>
      <c r="M28" s="11"/>
      <c r="N28" s="11"/>
      <c r="O28" s="11"/>
    </row>
    <row r="29" spans="1:16">
      <c r="A29" s="1603"/>
      <c r="B29" s="393"/>
      <c r="C29" s="450" t="str">
        <f>IF(C28=0,m!$B$7,m!$B$11)</f>
        <v>P</v>
      </c>
    </row>
    <row r="30" spans="1:16">
      <c r="A30" s="1603"/>
      <c r="B30" s="1603"/>
      <c r="C30" s="1603"/>
      <c r="D30" s="400"/>
      <c r="E30" s="835"/>
      <c r="F30" s="835"/>
      <c r="G30" s="835"/>
      <c r="H30" s="835"/>
      <c r="I30" s="835"/>
      <c r="J30" s="835"/>
      <c r="K30" s="835"/>
      <c r="L30" s="835"/>
      <c r="M30" s="835"/>
      <c r="N30" s="835"/>
      <c r="O30" s="835"/>
    </row>
    <row r="31" spans="1:16" ht="15.75" thickBot="1">
      <c r="B31" s="1603" t="s">
        <v>1573</v>
      </c>
      <c r="M31" s="11"/>
    </row>
    <row r="32" spans="1:16" s="1603" customFormat="1" ht="15.75" thickBot="1">
      <c r="B32" s="2022"/>
      <c r="C32" s="555" t="s">
        <v>1425</v>
      </c>
    </row>
    <row r="33" spans="2:12" s="1603" customFormat="1" ht="18.75" customHeight="1">
      <c r="B33" s="2023"/>
      <c r="C33" s="556" t="s">
        <v>1477</v>
      </c>
      <c r="D33" s="1601" t="s">
        <v>1478</v>
      </c>
      <c r="E33" s="1601" t="s">
        <v>6</v>
      </c>
      <c r="F33" s="1891" t="s">
        <v>1356</v>
      </c>
      <c r="G33" s="1891"/>
      <c r="H33" s="1891"/>
      <c r="I33" s="1891"/>
      <c r="J33" s="1891"/>
      <c r="K33" s="559" t="s">
        <v>1357</v>
      </c>
      <c r="L33" s="560" t="s">
        <v>1358</v>
      </c>
    </row>
    <row r="34" spans="2:12" s="1603" customFormat="1" ht="9.75" customHeight="1">
      <c r="B34" s="2023"/>
      <c r="C34" s="540"/>
      <c r="D34" s="451"/>
      <c r="E34" s="451"/>
      <c r="F34" s="451"/>
      <c r="G34" s="457"/>
      <c r="H34" s="457"/>
      <c r="I34" s="393"/>
      <c r="J34" s="393"/>
      <c r="K34" s="393"/>
      <c r="L34" s="418"/>
    </row>
    <row r="35" spans="2:12" s="1603" customFormat="1" ht="18.75" customHeight="1">
      <c r="B35" s="2023"/>
      <c r="C35" s="561">
        <v>12</v>
      </c>
      <c r="D35" s="543" t="str">
        <f>F10</f>
        <v>AA-60</v>
      </c>
      <c r="E35" s="544"/>
      <c r="F35" s="545" t="s">
        <v>1570</v>
      </c>
      <c r="G35" s="546"/>
      <c r="H35" s="546"/>
      <c r="I35" s="546"/>
      <c r="J35" s="547"/>
      <c r="K35" s="544">
        <v>0</v>
      </c>
      <c r="L35" s="548"/>
    </row>
    <row r="36" spans="2:12" s="1603" customFormat="1" ht="18.75" customHeight="1">
      <c r="B36" s="2023"/>
      <c r="C36" s="549"/>
      <c r="D36" s="550"/>
      <c r="E36" s="544"/>
      <c r="F36" s="545" t="s">
        <v>1570</v>
      </c>
      <c r="G36" s="546"/>
      <c r="H36" s="546"/>
      <c r="I36" s="546"/>
      <c r="J36" s="547"/>
      <c r="K36" s="544"/>
      <c r="L36" s="551">
        <f>K35</f>
        <v>0</v>
      </c>
    </row>
    <row r="37" spans="2:12" s="1603" customFormat="1" ht="18.75" customHeight="1" thickBot="1">
      <c r="B37" s="2023"/>
      <c r="C37" s="552" t="s">
        <v>1562</v>
      </c>
      <c r="D37" s="553"/>
      <c r="E37" s="553"/>
      <c r="F37" s="553"/>
      <c r="G37" s="553"/>
      <c r="H37" s="553"/>
      <c r="I37" s="553"/>
      <c r="J37" s="553"/>
      <c r="K37" s="553"/>
      <c r="L37" s="554"/>
    </row>
    <row r="38" spans="2:12" s="1603" customFormat="1">
      <c r="B38" s="2023"/>
    </row>
    <row r="39" spans="2:12" s="1603" customFormat="1" ht="15.75" thickBot="1">
      <c r="B39" s="2023"/>
    </row>
    <row r="40" spans="2:12" s="1603" customFormat="1" ht="15.75" thickBot="1">
      <c r="B40" s="2023"/>
      <c r="C40" s="555" t="s">
        <v>3895</v>
      </c>
    </row>
    <row r="41" spans="2:12" s="1603" customFormat="1" ht="18.75" customHeight="1">
      <c r="B41" s="2023"/>
      <c r="C41" s="556" t="s">
        <v>1477</v>
      </c>
      <c r="D41" s="1601" t="s">
        <v>1478</v>
      </c>
      <c r="E41" s="1601" t="s">
        <v>6</v>
      </c>
      <c r="F41" s="1891" t="s">
        <v>1356</v>
      </c>
      <c r="G41" s="1891"/>
      <c r="H41" s="1891"/>
      <c r="I41" s="1891"/>
      <c r="J41" s="1891"/>
      <c r="K41" s="559" t="s">
        <v>1357</v>
      </c>
      <c r="L41" s="560" t="s">
        <v>1358</v>
      </c>
    </row>
    <row r="42" spans="2:12" s="1603" customFormat="1" ht="9.75" customHeight="1">
      <c r="B42" s="2023"/>
      <c r="C42" s="540"/>
      <c r="D42" s="451"/>
      <c r="E42" s="451"/>
      <c r="F42" s="451"/>
      <c r="G42" s="457"/>
      <c r="H42" s="457"/>
      <c r="I42" s="393"/>
      <c r="J42" s="393"/>
      <c r="K42" s="393"/>
      <c r="L42" s="418"/>
    </row>
    <row r="43" spans="2:12" s="1603" customFormat="1" ht="18.75" customHeight="1">
      <c r="B43" s="2023"/>
      <c r="C43" s="543">
        <f>C35</f>
        <v>12</v>
      </c>
      <c r="D43" s="543" t="str">
        <f>D35</f>
        <v>AA-60</v>
      </c>
      <c r="E43" s="544"/>
      <c r="F43" s="545" t="s">
        <v>1570</v>
      </c>
      <c r="G43" s="546"/>
      <c r="H43" s="546"/>
      <c r="I43" s="546"/>
      <c r="J43" s="547"/>
      <c r="K43" s="544"/>
      <c r="L43" s="548"/>
    </row>
    <row r="44" spans="2:12" s="1603" customFormat="1" ht="18.75" customHeight="1">
      <c r="B44" s="2023"/>
      <c r="C44" s="549"/>
      <c r="D44" s="550"/>
      <c r="E44" s="544"/>
      <c r="F44" s="545" t="s">
        <v>1570</v>
      </c>
      <c r="G44" s="546"/>
      <c r="H44" s="546"/>
      <c r="I44" s="546"/>
      <c r="J44" s="547"/>
      <c r="K44" s="544"/>
      <c r="L44" s="551">
        <f>K43</f>
        <v>0</v>
      </c>
    </row>
    <row r="45" spans="2:12" s="1603" customFormat="1" ht="18.75" customHeight="1" thickBot="1">
      <c r="B45" s="2024"/>
      <c r="C45" s="552" t="s">
        <v>1569</v>
      </c>
      <c r="D45" s="553"/>
      <c r="E45" s="553"/>
      <c r="F45" s="553"/>
      <c r="G45" s="553"/>
      <c r="H45" s="553"/>
      <c r="I45" s="553"/>
      <c r="J45" s="553"/>
      <c r="K45" s="553"/>
      <c r="L45" s="554"/>
    </row>
    <row r="46" spans="2:12" s="1603" customFormat="1"/>
    <row r="49" spans="1:13" ht="15.75" thickBot="1"/>
    <row r="50" spans="1:13" ht="15.75" thickBot="1">
      <c r="A50" s="989"/>
      <c r="B50" s="989"/>
      <c r="C50" s="1887" t="s">
        <v>2413</v>
      </c>
      <c r="D50" s="1888"/>
      <c r="E50" s="1889"/>
      <c r="F50" s="1889"/>
      <c r="G50" s="1890"/>
      <c r="H50" s="1883" t="s">
        <v>2414</v>
      </c>
      <c r="I50" s="1884"/>
      <c r="J50" s="1884"/>
      <c r="K50" s="1884"/>
      <c r="L50" s="1885"/>
      <c r="M50" s="1603"/>
    </row>
    <row r="51" spans="1:13" ht="27" thickBot="1">
      <c r="A51" s="990" t="s">
        <v>1481</v>
      </c>
      <c r="B51" s="990" t="s">
        <v>8</v>
      </c>
      <c r="C51" s="991" t="s">
        <v>2415</v>
      </c>
      <c r="D51" s="992" t="s">
        <v>2416</v>
      </c>
      <c r="E51" s="993" t="s">
        <v>2417</v>
      </c>
      <c r="F51" s="992" t="s">
        <v>2416</v>
      </c>
      <c r="G51" s="994" t="s">
        <v>3896</v>
      </c>
      <c r="H51" s="1123" t="s">
        <v>2415</v>
      </c>
      <c r="I51" s="995" t="s">
        <v>2416</v>
      </c>
      <c r="J51" s="996" t="s">
        <v>2417</v>
      </c>
      <c r="K51" s="995" t="s">
        <v>2416</v>
      </c>
      <c r="L51" s="997" t="s">
        <v>3896</v>
      </c>
      <c r="M51" s="1603"/>
    </row>
    <row r="52" spans="1:13" ht="15.75" thickBot="1">
      <c r="M52" s="1603"/>
    </row>
    <row r="53" spans="1:13" ht="37.5" thickBot="1">
      <c r="A53" s="1092">
        <v>1</v>
      </c>
      <c r="B53" s="1124" t="s">
        <v>2612</v>
      </c>
      <c r="C53" s="1025"/>
      <c r="D53" s="1014"/>
      <c r="E53" s="1000"/>
      <c r="F53" s="1025"/>
      <c r="G53" s="1000"/>
      <c r="H53" s="1025"/>
      <c r="I53" s="1014"/>
      <c r="J53" s="1000"/>
      <c r="K53" s="1025"/>
      <c r="L53" s="1002"/>
      <c r="M53" s="1603"/>
    </row>
    <row r="54" spans="1:13" ht="15.75" thickBot="1">
      <c r="A54" s="1092"/>
      <c r="B54" s="63"/>
      <c r="M54" s="1603"/>
    </row>
    <row r="55" spans="1:13" ht="37.5" thickBot="1">
      <c r="A55" s="1092">
        <v>2</v>
      </c>
      <c r="B55" s="1124" t="s">
        <v>2613</v>
      </c>
      <c r="C55" s="1000"/>
      <c r="D55" s="1025"/>
      <c r="E55" s="1000"/>
      <c r="F55" s="1000"/>
      <c r="G55" s="1025"/>
      <c r="H55" s="1000"/>
      <c r="I55" s="1025"/>
      <c r="J55" s="1000"/>
      <c r="K55" s="1000"/>
      <c r="L55" s="1094"/>
      <c r="M55" s="1603"/>
    </row>
    <row r="56" spans="1:13" ht="15.75" thickBot="1">
      <c r="A56" s="1092"/>
      <c r="B56" s="63"/>
      <c r="M56" s="1603"/>
    </row>
    <row r="57" spans="1:13" ht="37.5" thickBot="1">
      <c r="A57" s="1092">
        <v>3</v>
      </c>
      <c r="B57" s="1124" t="s">
        <v>2614</v>
      </c>
      <c r="C57" s="1000"/>
      <c r="D57" s="1025"/>
      <c r="E57" s="1000"/>
      <c r="F57" s="1000"/>
      <c r="G57" s="1025"/>
      <c r="H57" s="1000"/>
      <c r="I57" s="1025"/>
      <c r="J57" s="1000"/>
      <c r="K57" s="1000"/>
      <c r="L57" s="1094"/>
      <c r="M57" s="1603"/>
    </row>
    <row r="58" spans="1:13" ht="15.75" thickBot="1">
      <c r="A58" s="1092"/>
      <c r="B58" s="63"/>
      <c r="M58" s="1603"/>
    </row>
    <row r="59" spans="1:13" ht="39">
      <c r="A59" s="1092">
        <v>4</v>
      </c>
      <c r="B59" s="1125" t="s">
        <v>2615</v>
      </c>
      <c r="C59" s="1006"/>
      <c r="D59" s="2"/>
      <c r="E59" s="1006"/>
      <c r="F59" s="1006"/>
      <c r="G59" s="2"/>
      <c r="H59" s="1006"/>
      <c r="I59" s="2"/>
      <c r="J59" s="1006"/>
      <c r="K59" s="1006"/>
      <c r="L59" s="3"/>
      <c r="M59" s="1603"/>
    </row>
    <row r="60" spans="1:13" ht="26.25">
      <c r="A60" s="1092"/>
      <c r="B60" s="1126" t="s">
        <v>2616</v>
      </c>
      <c r="C60" s="243"/>
      <c r="D60" s="1023"/>
      <c r="E60" s="243"/>
      <c r="F60" s="243"/>
      <c r="G60" s="1023"/>
      <c r="H60" s="243"/>
      <c r="I60" s="1023"/>
      <c r="J60" s="243"/>
      <c r="K60" s="243"/>
      <c r="L60" s="1107"/>
      <c r="M60" s="1603"/>
    </row>
    <row r="61" spans="1:13">
      <c r="A61" s="1092"/>
      <c r="B61" s="1127" t="s">
        <v>2617</v>
      </c>
      <c r="C61" s="1009"/>
      <c r="E61" s="1009"/>
      <c r="F61" s="1009"/>
      <c r="H61" s="1009"/>
      <c r="J61" s="1009"/>
      <c r="K61" s="1009"/>
      <c r="L61" s="6"/>
      <c r="M61" s="1603"/>
    </row>
    <row r="62" spans="1:13">
      <c r="A62" s="1092"/>
      <c r="B62" s="1127" t="s">
        <v>2618</v>
      </c>
      <c r="C62" s="1009"/>
      <c r="E62" s="1009"/>
      <c r="F62" s="1009"/>
      <c r="H62" s="1009"/>
      <c r="J62" s="1009"/>
      <c r="K62" s="1009"/>
      <c r="L62" s="6"/>
      <c r="M62" s="1603"/>
    </row>
    <row r="63" spans="1:13">
      <c r="A63" s="1092"/>
      <c r="B63" s="1128" t="s">
        <v>2619</v>
      </c>
      <c r="C63" s="746"/>
      <c r="D63" s="1024"/>
      <c r="E63" s="746"/>
      <c r="F63" s="746"/>
      <c r="G63" s="1024"/>
      <c r="H63" s="746"/>
      <c r="I63" s="1024"/>
      <c r="J63" s="746"/>
      <c r="K63" s="746"/>
      <c r="L63" s="1109"/>
      <c r="M63" s="1603"/>
    </row>
    <row r="64" spans="1:13">
      <c r="A64" s="1092"/>
      <c r="B64" s="1127" t="s">
        <v>2620</v>
      </c>
      <c r="C64" s="1009"/>
      <c r="E64" s="1009"/>
      <c r="F64" s="1009"/>
      <c r="H64" s="1009"/>
      <c r="J64" s="1009"/>
      <c r="K64" s="1009"/>
      <c r="L64" s="6"/>
      <c r="M64" s="1603"/>
    </row>
    <row r="65" spans="1:13">
      <c r="A65" s="1092"/>
      <c r="B65" s="1127" t="s">
        <v>2621</v>
      </c>
      <c r="C65" s="1009"/>
      <c r="E65" s="1009"/>
      <c r="F65" s="1009"/>
      <c r="H65" s="1009"/>
      <c r="J65" s="1009"/>
      <c r="K65" s="1009"/>
      <c r="L65" s="6"/>
      <c r="M65" s="1603"/>
    </row>
    <row r="66" spans="1:13">
      <c r="A66" s="1092"/>
      <c r="B66" s="1128" t="s">
        <v>2622</v>
      </c>
      <c r="C66" s="746"/>
      <c r="D66" s="1024"/>
      <c r="E66" s="746"/>
      <c r="F66" s="746"/>
      <c r="G66" s="1024"/>
      <c r="H66" s="746"/>
      <c r="I66" s="1024"/>
      <c r="J66" s="746"/>
      <c r="K66" s="746"/>
      <c r="L66" s="1109"/>
      <c r="M66" s="1603"/>
    </row>
    <row r="67" spans="1:13">
      <c r="A67" s="1092"/>
      <c r="B67" s="1129" t="s">
        <v>2623</v>
      </c>
      <c r="C67" s="243"/>
      <c r="D67" s="1023"/>
      <c r="E67" s="243"/>
      <c r="F67" s="243"/>
      <c r="G67" s="1023"/>
      <c r="H67" s="243"/>
      <c r="I67" s="1023"/>
      <c r="J67" s="243"/>
      <c r="K67" s="243"/>
      <c r="L67" s="1107"/>
      <c r="M67" s="1603"/>
    </row>
    <row r="68" spans="1:13">
      <c r="A68" s="1092"/>
      <c r="B68" s="1127" t="s">
        <v>2624</v>
      </c>
      <c r="C68" s="1130"/>
      <c r="E68" s="1130"/>
      <c r="G68" s="1130"/>
      <c r="I68" s="1130"/>
      <c r="K68" s="1130"/>
      <c r="L68" s="6"/>
      <c r="M68" s="1603"/>
    </row>
    <row r="69" spans="1:13">
      <c r="A69" s="1092"/>
      <c r="B69" s="1127" t="s">
        <v>2625</v>
      </c>
      <c r="C69" s="1009"/>
      <c r="E69" s="1009"/>
      <c r="F69" s="1009"/>
      <c r="H69" s="1009"/>
      <c r="J69" s="1009"/>
      <c r="K69" s="1009"/>
      <c r="L69" s="6"/>
      <c r="M69" s="1603"/>
    </row>
    <row r="70" spans="1:13">
      <c r="A70" s="1092"/>
      <c r="B70" s="1128" t="s">
        <v>2626</v>
      </c>
      <c r="C70" s="746"/>
      <c r="D70" s="1024"/>
      <c r="E70" s="746"/>
      <c r="F70" s="746"/>
      <c r="G70" s="1024"/>
      <c r="H70" s="746"/>
      <c r="I70" s="1024"/>
      <c r="J70" s="746"/>
      <c r="K70" s="746"/>
      <c r="L70" s="1109"/>
      <c r="M70" s="1603"/>
    </row>
    <row r="71" spans="1:13">
      <c r="A71" s="1092"/>
      <c r="B71" s="1127" t="s">
        <v>2627</v>
      </c>
      <c r="C71" s="1009"/>
      <c r="E71" s="1009"/>
      <c r="F71" s="1009"/>
      <c r="H71" s="1009"/>
      <c r="J71" s="1009"/>
      <c r="K71" s="1009"/>
      <c r="L71" s="6"/>
      <c r="M71" s="1603"/>
    </row>
    <row r="72" spans="1:13">
      <c r="A72" s="1092"/>
      <c r="B72" s="1127" t="s">
        <v>2628</v>
      </c>
      <c r="C72" s="1009"/>
      <c r="E72" s="1009"/>
      <c r="F72" s="1009"/>
      <c r="H72" s="1009"/>
      <c r="J72" s="1009"/>
      <c r="K72" s="1009"/>
      <c r="L72" s="6"/>
      <c r="M72" s="1603"/>
    </row>
    <row r="73" spans="1:13" ht="15.75" thickBot="1">
      <c r="A73" s="1092"/>
      <c r="B73" s="1131" t="s">
        <v>2629</v>
      </c>
      <c r="C73" s="1012"/>
      <c r="D73" s="8"/>
      <c r="E73" s="1012"/>
      <c r="F73" s="1012"/>
      <c r="G73" s="8"/>
      <c r="H73" s="1012"/>
      <c r="I73" s="8"/>
      <c r="J73" s="1012"/>
      <c r="K73" s="1012"/>
      <c r="L73" s="9"/>
      <c r="M73" s="1603"/>
    </row>
    <row r="74" spans="1:13" ht="15.75" thickBot="1">
      <c r="A74" s="1092"/>
      <c r="B74" s="63"/>
      <c r="M74" s="1603"/>
    </row>
    <row r="75" spans="1:13" ht="61.5" thickBot="1">
      <c r="A75" s="1092">
        <v>5</v>
      </c>
      <c r="B75" s="1124" t="s">
        <v>2630</v>
      </c>
      <c r="C75" s="1000"/>
      <c r="D75" s="1025"/>
      <c r="E75" s="1000"/>
      <c r="F75" s="1000"/>
      <c r="G75" s="1025"/>
      <c r="H75" s="1000"/>
      <c r="I75" s="1025"/>
      <c r="J75" s="1000"/>
      <c r="K75" s="1000"/>
      <c r="L75" s="1094"/>
      <c r="M75" s="1603"/>
    </row>
    <row r="76" spans="1:13" ht="15.75" thickBot="1">
      <c r="A76" s="1092"/>
      <c r="B76" s="63"/>
    </row>
    <row r="77" spans="1:13" ht="61.5" thickBot="1">
      <c r="A77" s="1092">
        <v>6</v>
      </c>
      <c r="B77" s="1124" t="s">
        <v>2631</v>
      </c>
      <c r="C77" s="1000"/>
      <c r="D77" s="1025"/>
      <c r="E77" s="1000"/>
      <c r="F77" s="1000"/>
      <c r="G77" s="1025"/>
      <c r="H77" s="1000"/>
      <c r="I77" s="1025"/>
      <c r="J77" s="1000"/>
      <c r="K77" s="1000"/>
      <c r="L77" s="1094"/>
    </row>
    <row r="78" spans="1:13" ht="15.75" thickBot="1">
      <c r="A78" s="1092"/>
      <c r="B78" s="63"/>
    </row>
    <row r="79" spans="1:13" ht="60.75" thickBot="1">
      <c r="A79" s="1092">
        <v>7</v>
      </c>
      <c r="B79" s="1132" t="s">
        <v>2632</v>
      </c>
      <c r="C79" s="1000"/>
      <c r="D79" s="1025"/>
      <c r="E79" s="1000"/>
      <c r="F79" s="1000"/>
      <c r="G79" s="1025"/>
      <c r="H79" s="1000"/>
      <c r="I79" s="1025"/>
      <c r="J79" s="1000"/>
      <c r="K79" s="1000"/>
      <c r="L79" s="1094"/>
    </row>
    <row r="80" spans="1:13" ht="15.75" thickBot="1">
      <c r="A80" s="1092"/>
      <c r="B80" s="63"/>
    </row>
    <row r="81" spans="1:12" ht="61.5" thickBot="1">
      <c r="A81" s="1092">
        <v>8</v>
      </c>
      <c r="B81" s="1124" t="s">
        <v>2633</v>
      </c>
      <c r="C81" s="1000"/>
      <c r="D81" s="1025"/>
      <c r="E81" s="1000"/>
      <c r="F81" s="1000"/>
      <c r="G81" s="1025"/>
      <c r="H81" s="1000"/>
      <c r="I81" s="1025"/>
      <c r="J81" s="1000"/>
      <c r="K81" s="1000"/>
      <c r="L81" s="1094"/>
    </row>
    <row r="82" spans="1:12" ht="15.75" thickBot="1">
      <c r="A82" s="1092"/>
      <c r="B82" s="1133"/>
    </row>
    <row r="83" spans="1:12" ht="96.75" thickBot="1">
      <c r="A83" s="1092">
        <v>9</v>
      </c>
      <c r="B83" s="1134" t="s">
        <v>2634</v>
      </c>
      <c r="C83" s="1000"/>
      <c r="D83" s="1025"/>
      <c r="E83" s="1000"/>
      <c r="F83" s="1000"/>
      <c r="G83" s="1025"/>
      <c r="H83" s="1000"/>
      <c r="I83" s="1025"/>
      <c r="J83" s="1000"/>
      <c r="K83" s="1000"/>
      <c r="L83" s="1094"/>
    </row>
    <row r="84" spans="1:12" ht="15.75" thickBot="1">
      <c r="A84" s="1092"/>
    </row>
    <row r="85" spans="1:12" ht="72.75" thickBot="1">
      <c r="A85" s="1092">
        <v>10</v>
      </c>
      <c r="B85" s="1134" t="s">
        <v>2635</v>
      </c>
      <c r="C85" s="1000"/>
      <c r="D85" s="1025"/>
      <c r="E85" s="1000"/>
      <c r="F85" s="1000"/>
      <c r="G85" s="1025"/>
      <c r="H85" s="1000"/>
      <c r="I85" s="1025"/>
      <c r="J85" s="1000"/>
      <c r="K85" s="1000"/>
      <c r="L85" s="1094"/>
    </row>
    <row r="86" spans="1:12" ht="15.75" thickBot="1">
      <c r="A86" s="1092"/>
    </row>
    <row r="87" spans="1:12" ht="96.75" thickBot="1">
      <c r="A87" s="1092">
        <v>11</v>
      </c>
      <c r="B87" s="1134" t="s">
        <v>2636</v>
      </c>
      <c r="C87" s="1000"/>
      <c r="D87" s="1025"/>
      <c r="E87" s="1000"/>
      <c r="F87" s="1000"/>
      <c r="G87" s="1025"/>
      <c r="H87" s="1000"/>
      <c r="I87" s="1025"/>
      <c r="J87" s="1000"/>
      <c r="K87" s="1000"/>
      <c r="L87" s="1094"/>
    </row>
    <row r="88" spans="1:12" ht="15.75" thickBot="1">
      <c r="A88" s="1092"/>
    </row>
    <row r="89" spans="1:12" ht="108.75" thickBot="1">
      <c r="A89" s="1092">
        <v>12</v>
      </c>
      <c r="B89" s="1134" t="s">
        <v>2637</v>
      </c>
      <c r="C89" s="1000"/>
      <c r="D89" s="1025"/>
      <c r="E89" s="1000"/>
      <c r="F89" s="1000"/>
      <c r="G89" s="1025"/>
      <c r="H89" s="1000"/>
      <c r="I89" s="1025"/>
      <c r="J89" s="1000"/>
      <c r="K89" s="1000"/>
      <c r="L89" s="1094"/>
    </row>
    <row r="90" spans="1:12" ht="15.75" thickBot="1">
      <c r="A90" s="1092"/>
    </row>
    <row r="91" spans="1:12" ht="72.75" thickBot="1">
      <c r="A91" s="1092">
        <v>13</v>
      </c>
      <c r="B91" s="1134" t="s">
        <v>2638</v>
      </c>
      <c r="C91" s="1000"/>
      <c r="D91" s="1025"/>
      <c r="E91" s="1000"/>
      <c r="F91" s="1000"/>
      <c r="G91" s="1025"/>
      <c r="H91" s="1000"/>
      <c r="I91" s="1025"/>
      <c r="J91" s="1000"/>
      <c r="K91" s="1000"/>
      <c r="L91" s="1094"/>
    </row>
    <row r="92" spans="1:12" ht="15.75" thickBot="1">
      <c r="A92" s="1092"/>
    </row>
    <row r="93" spans="1:12" ht="72.75" thickBot="1">
      <c r="A93" s="1092">
        <v>14</v>
      </c>
      <c r="B93" s="1134" t="s">
        <v>2639</v>
      </c>
      <c r="C93" s="1000"/>
      <c r="D93" s="1025"/>
      <c r="E93" s="1000"/>
      <c r="F93" s="1000"/>
      <c r="G93" s="1025"/>
      <c r="H93" s="1000"/>
      <c r="I93" s="1025"/>
      <c r="J93" s="1000"/>
      <c r="K93" s="1000"/>
      <c r="L93" s="1094"/>
    </row>
    <row r="94" spans="1:12" ht="15.75" thickBot="1">
      <c r="A94" s="1092"/>
    </row>
    <row r="95" spans="1:12" ht="60.75" thickBot="1">
      <c r="A95" s="1092">
        <v>15</v>
      </c>
      <c r="B95" s="1135" t="s">
        <v>2640</v>
      </c>
      <c r="C95" s="1000"/>
      <c r="D95" s="1025"/>
      <c r="E95" s="1000"/>
      <c r="F95" s="1025"/>
      <c r="G95" s="1000"/>
      <c r="H95" s="1025"/>
      <c r="I95" s="1000"/>
      <c r="J95" s="1025"/>
      <c r="K95" s="1000"/>
      <c r="L95" s="1094"/>
    </row>
    <row r="96" spans="1:12">
      <c r="A96" s="1602"/>
    </row>
    <row r="97" spans="1:12">
      <c r="A97" s="1602"/>
    </row>
    <row r="98" spans="1:12">
      <c r="A98" s="1602"/>
      <c r="B98" s="1902" t="s">
        <v>3897</v>
      </c>
      <c r="C98" s="1902"/>
      <c r="D98" s="1902"/>
      <c r="E98" s="1902"/>
      <c r="F98" s="1902"/>
      <c r="G98" s="1902"/>
      <c r="H98" s="1902"/>
      <c r="I98" s="1902"/>
      <c r="J98" s="1902"/>
      <c r="K98" s="1902"/>
      <c r="L98" s="1902"/>
    </row>
  </sheetData>
  <mergeCells count="10">
    <mergeCell ref="C50:G50"/>
    <mergeCell ref="H50:L50"/>
    <mergeCell ref="B98:L98"/>
    <mergeCell ref="O1:P1"/>
    <mergeCell ref="B9:D9"/>
    <mergeCell ref="B16:C16"/>
    <mergeCell ref="C22:O22"/>
    <mergeCell ref="B32:B45"/>
    <mergeCell ref="F33:J33"/>
    <mergeCell ref="F41:J41"/>
  </mergeCells>
  <conditionalFormatting sqref="D16">
    <cfRule type="expression" priority="1" stopIfTrue="1">
      <formula>"$E$165&gt;=1,¨Aumento¨"</formula>
    </cfRule>
  </conditionalFormatting>
  <dataValidations count="1">
    <dataValidation type="list" allowBlank="1" showInputMessage="1" showErrorMessage="1" sqref="G10">
      <formula1>$G$4:$G$6</formula1>
    </dataValidation>
  </dataValidations>
  <hyperlinks>
    <hyperlink ref="E10" location="IPT!A1" display="INDICE"/>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baseColWidth="10" defaultColWidth="9.140625" defaultRowHeight="15"/>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123"/>
  <sheetViews>
    <sheetView workbookViewId="0">
      <selection activeCell="N11" sqref="N11"/>
    </sheetView>
  </sheetViews>
  <sheetFormatPr baseColWidth="10" defaultColWidth="9.140625" defaultRowHeight="15"/>
  <cols>
    <col min="1" max="1" width="11.42578125" customWidth="1"/>
    <col min="2" max="2" width="6.7109375" customWidth="1"/>
    <col min="3" max="3" width="13.5703125" customWidth="1"/>
    <col min="4" max="4" width="11.42578125" customWidth="1"/>
    <col min="5" max="5" width="35.5703125" customWidth="1"/>
    <col min="6" max="6" width="3" style="460" hidden="1" customWidth="1"/>
    <col min="7" max="7" width="5.5703125" style="460" hidden="1" customWidth="1"/>
    <col min="8" max="8" width="5.5703125" hidden="1" customWidth="1"/>
    <col min="9" max="9" width="11.42578125" customWidth="1"/>
    <col min="10" max="11" width="15.28515625" style="11" customWidth="1"/>
    <col min="12" max="12" width="6.85546875" customWidth="1"/>
    <col min="13" max="13" width="11.42578125" hidden="1" customWidth="1"/>
  </cols>
  <sheetData>
    <row r="1" spans="1:13">
      <c r="B1" s="2073" t="str">
        <f>BALANZA!B1</f>
        <v>CORPORACION DEL ACUEDUCTO Y ALCANTARILLADO DE MOCA</v>
      </c>
      <c r="C1" s="2073"/>
      <c r="D1" s="2073"/>
      <c r="E1" s="2073"/>
      <c r="F1" s="2073"/>
      <c r="G1" s="2073"/>
      <c r="H1" s="2073"/>
      <c r="I1" s="2073"/>
      <c r="J1" s="2073"/>
      <c r="K1" s="2073"/>
      <c r="M1" s="604" t="s">
        <v>1566</v>
      </c>
    </row>
    <row r="2" spans="1:13">
      <c r="B2" s="2074" t="str">
        <f>BALANZA!B2</f>
        <v>Del Ejercicio terminado el  31 de marzo de 2026  y  2025</v>
      </c>
      <c r="C2" s="2074"/>
      <c r="D2" s="2074"/>
      <c r="E2" s="2074"/>
      <c r="F2" s="2074"/>
      <c r="G2" s="2074"/>
      <c r="H2" s="2074"/>
      <c r="I2" s="2074"/>
      <c r="J2" s="2074"/>
      <c r="K2" s="2074"/>
      <c r="M2" t="s">
        <v>1567</v>
      </c>
    </row>
    <row r="3" spans="1:13" hidden="1">
      <c r="B3" s="522"/>
      <c r="G3" s="535" t="s">
        <v>1532</v>
      </c>
    </row>
    <row r="4" spans="1:13" hidden="1">
      <c r="G4" s="492" t="s">
        <v>1533</v>
      </c>
    </row>
    <row r="5" spans="1:13" hidden="1">
      <c r="G5" s="492" t="s">
        <v>1531</v>
      </c>
    </row>
    <row r="7" spans="1:13">
      <c r="A7" s="179"/>
      <c r="B7" s="179"/>
      <c r="C7" s="179"/>
      <c r="D7" s="179"/>
      <c r="E7" s="1950" t="s">
        <v>1399</v>
      </c>
      <c r="F7" s="1950"/>
      <c r="G7" s="455"/>
      <c r="H7" s="392"/>
    </row>
    <row r="8" spans="1:13">
      <c r="A8" s="179"/>
      <c r="B8" s="402"/>
      <c r="C8" s="402"/>
      <c r="D8" s="402"/>
      <c r="H8" s="179"/>
      <c r="I8" s="539" t="s">
        <v>1355</v>
      </c>
      <c r="J8" s="577" t="str">
        <f>IPT!C42</f>
        <v>A/A</v>
      </c>
      <c r="K8" s="600" t="s">
        <v>1533</v>
      </c>
    </row>
    <row r="9" spans="1:13" ht="15.75" thickBot="1">
      <c r="A9" s="374"/>
      <c r="B9" s="451"/>
      <c r="C9" s="452"/>
      <c r="D9" s="452"/>
      <c r="E9" s="452"/>
      <c r="F9" s="456"/>
      <c r="G9" s="457"/>
      <c r="H9" s="374"/>
    </row>
    <row r="10" spans="1:13">
      <c r="A10" s="179"/>
      <c r="B10" s="556" t="s">
        <v>1477</v>
      </c>
      <c r="C10" s="557" t="s">
        <v>1478</v>
      </c>
      <c r="D10" s="557" t="s">
        <v>6</v>
      </c>
      <c r="E10" s="1891" t="s">
        <v>1356</v>
      </c>
      <c r="F10" s="1891"/>
      <c r="G10" s="1891"/>
      <c r="H10" s="1891"/>
      <c r="I10" s="1891"/>
      <c r="J10" s="578" t="s">
        <v>1357</v>
      </c>
      <c r="K10" s="601" t="s">
        <v>1358</v>
      </c>
    </row>
    <row r="11" spans="1:13">
      <c r="A11" s="179"/>
      <c r="B11" s="564"/>
      <c r="C11" s="565"/>
      <c r="D11" s="565"/>
      <c r="E11" s="565"/>
      <c r="F11" s="566"/>
      <c r="G11" s="566"/>
      <c r="H11" s="567"/>
      <c r="I11" s="567"/>
      <c r="J11" s="579"/>
      <c r="K11" s="602"/>
    </row>
    <row r="12" spans="1:13" ht="18.75" customHeight="1">
      <c r="A12" s="179"/>
      <c r="B12" s="562">
        <v>1</v>
      </c>
      <c r="C12" s="543" t="str">
        <f>'1'!D46</f>
        <v>A</v>
      </c>
      <c r="D12" s="543">
        <f>'1'!E46</f>
        <v>0</v>
      </c>
      <c r="E12" s="573" t="str">
        <f>'1'!F46</f>
        <v>caja</v>
      </c>
      <c r="F12" s="546"/>
      <c r="G12" s="546"/>
      <c r="H12" s="546"/>
      <c r="I12" s="547"/>
      <c r="J12" s="563">
        <f>'1'!K46</f>
        <v>0</v>
      </c>
      <c r="K12" s="563">
        <f>'1'!L46</f>
        <v>0</v>
      </c>
      <c r="M12" s="11">
        <f>SUM(J12:J13)</f>
        <v>0</v>
      </c>
    </row>
    <row r="13" spans="1:13" ht="18.75" customHeight="1">
      <c r="A13" s="179"/>
      <c r="B13" s="571"/>
      <c r="C13" s="550"/>
      <c r="D13" s="543">
        <f>'1'!E47</f>
        <v>0</v>
      </c>
      <c r="E13" s="573" t="str">
        <f>'1'!F47</f>
        <v>caja</v>
      </c>
      <c r="F13" s="546"/>
      <c r="G13" s="546"/>
      <c r="H13" s="546"/>
      <c r="I13" s="547"/>
      <c r="J13" s="563">
        <f>'1'!K47</f>
        <v>0</v>
      </c>
      <c r="K13" s="563">
        <f>'1'!L47</f>
        <v>0</v>
      </c>
      <c r="M13" s="11">
        <f>SUM(K12:K13)</f>
        <v>0</v>
      </c>
    </row>
    <row r="14" spans="1:13" ht="15.75" thickBot="1">
      <c r="A14" s="179"/>
      <c r="B14" s="552"/>
      <c r="C14" s="553" t="str">
        <f>'1'!C48</f>
        <v>a</v>
      </c>
      <c r="D14" s="553"/>
      <c r="E14" s="553"/>
      <c r="F14" s="553"/>
      <c r="G14" s="553"/>
      <c r="H14" s="553"/>
      <c r="I14" s="553"/>
      <c r="J14" s="580"/>
      <c r="K14" s="603"/>
      <c r="L14" s="605" t="str">
        <f>IF(M12-M13=0,$M$1,$M$2)</f>
        <v>√</v>
      </c>
    </row>
    <row r="15" spans="1:13" ht="15.75" thickBot="1">
      <c r="A15" s="393"/>
      <c r="B15" s="541"/>
      <c r="C15" s="454"/>
      <c r="D15" s="445"/>
      <c r="E15" s="445"/>
      <c r="F15" s="459"/>
      <c r="G15" s="458"/>
      <c r="H15" s="393"/>
      <c r="I15" s="5"/>
      <c r="J15" s="581"/>
      <c r="K15" s="581"/>
    </row>
    <row r="16" spans="1:13">
      <c r="A16" s="525"/>
      <c r="B16" s="556" t="s">
        <v>1477</v>
      </c>
      <c r="C16" s="557" t="s">
        <v>1478</v>
      </c>
      <c r="D16" s="557" t="s">
        <v>6</v>
      </c>
      <c r="E16" s="1891" t="s">
        <v>1356</v>
      </c>
      <c r="F16" s="1891"/>
      <c r="G16" s="1891"/>
      <c r="H16" s="1891"/>
      <c r="I16" s="1891"/>
      <c r="J16" s="578" t="s">
        <v>1357</v>
      </c>
      <c r="K16" s="601" t="s">
        <v>1358</v>
      </c>
    </row>
    <row r="17" spans="1:13">
      <c r="A17" s="525"/>
      <c r="B17" s="564"/>
      <c r="C17" s="565"/>
      <c r="D17" s="565"/>
      <c r="E17" s="565"/>
      <c r="F17" s="566"/>
      <c r="G17" s="566"/>
      <c r="H17" s="567"/>
      <c r="I17" s="567"/>
      <c r="J17" s="579"/>
      <c r="K17" s="602"/>
    </row>
    <row r="18" spans="1:13" ht="18.75" customHeight="1">
      <c r="A18" s="525"/>
      <c r="B18" s="562">
        <v>2</v>
      </c>
      <c r="C18" s="543" t="str">
        <f>'2'!D37</f>
        <v>B</v>
      </c>
      <c r="D18" s="543">
        <f>'2'!E37</f>
        <v>0</v>
      </c>
      <c r="E18" s="575" t="str">
        <f>'2'!F37</f>
        <v>c</v>
      </c>
      <c r="F18" s="543">
        <f>'2'!G37</f>
        <v>0</v>
      </c>
      <c r="G18" s="543">
        <f>'2'!H37</f>
        <v>0</v>
      </c>
      <c r="H18" s="543">
        <f>'2'!I37</f>
        <v>0</v>
      </c>
      <c r="I18" s="543"/>
      <c r="J18" s="582">
        <f>'2'!K37</f>
        <v>0</v>
      </c>
      <c r="K18" s="582">
        <f>'2'!L37</f>
        <v>0</v>
      </c>
      <c r="M18" s="11">
        <f>SUM(J18:J19)</f>
        <v>0</v>
      </c>
    </row>
    <row r="19" spans="1:13" ht="18.75" customHeight="1">
      <c r="A19" s="525"/>
      <c r="B19" s="571"/>
      <c r="C19" s="543"/>
      <c r="D19" s="543">
        <f>'2'!E38</f>
        <v>0</v>
      </c>
      <c r="E19" s="575" t="str">
        <f>'2'!F38</f>
        <v>c</v>
      </c>
      <c r="F19" s="546"/>
      <c r="G19" s="546"/>
      <c r="H19" s="546"/>
      <c r="I19" s="547"/>
      <c r="J19" s="582">
        <f>'2'!K38</f>
        <v>0</v>
      </c>
      <c r="K19" s="582">
        <f>'2'!L38</f>
        <v>0</v>
      </c>
      <c r="M19" s="11">
        <f>SUM(K18:K19)</f>
        <v>0</v>
      </c>
    </row>
    <row r="20" spans="1:13" ht="15.75" thickBot="1">
      <c r="A20" s="525"/>
      <c r="B20" s="552"/>
      <c r="C20" s="553" t="str">
        <f>'2'!C39</f>
        <v>a</v>
      </c>
      <c r="D20" s="553"/>
      <c r="E20" s="553"/>
      <c r="F20" s="553"/>
      <c r="G20" s="553"/>
      <c r="H20" s="553"/>
      <c r="I20" s="553"/>
      <c r="J20" s="580"/>
      <c r="K20" s="603"/>
      <c r="L20" s="605" t="str">
        <f>IF(M18-M19=0,$M$1,$M$2)</f>
        <v>√</v>
      </c>
    </row>
    <row r="21" spans="1:13" ht="15.75" thickBot="1">
      <c r="A21" s="393"/>
      <c r="B21" s="541"/>
      <c r="C21" s="454"/>
      <c r="D21" s="445"/>
      <c r="E21" s="445"/>
      <c r="F21" s="459"/>
      <c r="G21" s="458"/>
      <c r="H21" s="393"/>
      <c r="I21" s="5"/>
      <c r="J21" s="581"/>
      <c r="K21" s="581"/>
    </row>
    <row r="22" spans="1:13">
      <c r="A22" s="525"/>
      <c r="B22" s="556" t="s">
        <v>1477</v>
      </c>
      <c r="C22" s="557" t="s">
        <v>1478</v>
      </c>
      <c r="D22" s="557" t="s">
        <v>6</v>
      </c>
      <c r="E22" s="1891" t="s">
        <v>1356</v>
      </c>
      <c r="F22" s="1891"/>
      <c r="G22" s="1891"/>
      <c r="H22" s="1891"/>
      <c r="I22" s="1891"/>
      <c r="J22" s="578" t="s">
        <v>1357</v>
      </c>
      <c r="K22" s="601" t="s">
        <v>1358</v>
      </c>
    </row>
    <row r="23" spans="1:13">
      <c r="A23" s="525"/>
      <c r="B23" s="564"/>
      <c r="C23" s="565"/>
      <c r="D23" s="565"/>
      <c r="E23" s="565"/>
      <c r="F23" s="566"/>
      <c r="G23" s="566"/>
      <c r="H23" s="567"/>
      <c r="I23" s="567"/>
      <c r="J23" s="579"/>
      <c r="K23" s="602"/>
    </row>
    <row r="24" spans="1:13" ht="18.75" customHeight="1">
      <c r="A24" s="525"/>
      <c r="B24" s="562">
        <v>3</v>
      </c>
      <c r="C24" s="543" t="str">
        <f>'3'!D37</f>
        <v>B-1</v>
      </c>
      <c r="D24" s="543">
        <f>'3'!E37</f>
        <v>0</v>
      </c>
      <c r="E24" s="575" t="str">
        <f>'3'!F37</f>
        <v>c</v>
      </c>
      <c r="F24" s="543">
        <f>'3'!G37</f>
        <v>0</v>
      </c>
      <c r="G24" s="543">
        <f>'3'!H37</f>
        <v>0</v>
      </c>
      <c r="H24" s="543">
        <f>'3'!I37</f>
        <v>0</v>
      </c>
      <c r="I24" s="543"/>
      <c r="J24" s="582">
        <f>'3'!K37</f>
        <v>0</v>
      </c>
      <c r="K24" s="582">
        <f>'3'!L37</f>
        <v>0</v>
      </c>
      <c r="M24" s="11">
        <f>SUM(J24:J25)</f>
        <v>0</v>
      </c>
    </row>
    <row r="25" spans="1:13" ht="18.75" customHeight="1">
      <c r="A25" s="525"/>
      <c r="B25" s="571"/>
      <c r="C25" s="543"/>
      <c r="D25" s="543">
        <f>'3'!E38</f>
        <v>0</v>
      </c>
      <c r="E25" s="575" t="str">
        <f>'3'!F38</f>
        <v>c</v>
      </c>
      <c r="F25" s="546"/>
      <c r="G25" s="546"/>
      <c r="H25" s="546"/>
      <c r="I25" s="547"/>
      <c r="J25" s="582">
        <f>'3'!K38</f>
        <v>0</v>
      </c>
      <c r="K25" s="582">
        <f>'3'!L38</f>
        <v>0</v>
      </c>
      <c r="M25" s="11">
        <f>SUM(K24:K25)</f>
        <v>0</v>
      </c>
    </row>
    <row r="26" spans="1:13" ht="15.75" thickBot="1">
      <c r="A26" s="525"/>
      <c r="B26" s="552"/>
      <c r="C26" s="553" t="str">
        <f>'3'!C39</f>
        <v>a</v>
      </c>
      <c r="D26" s="553"/>
      <c r="E26" s="553"/>
      <c r="F26" s="553"/>
      <c r="G26" s="553"/>
      <c r="H26" s="553"/>
      <c r="I26" s="553"/>
      <c r="J26" s="580"/>
      <c r="K26" s="603"/>
      <c r="L26" s="605" t="str">
        <f>IF(M24-M25=0,$M$1,$M$2)</f>
        <v>√</v>
      </c>
    </row>
    <row r="27" spans="1:13" ht="15.75" thickBot="1">
      <c r="A27" s="393"/>
      <c r="B27" s="541"/>
      <c r="C27" s="454"/>
      <c r="D27" s="445"/>
      <c r="E27" s="445"/>
      <c r="F27" s="459"/>
      <c r="G27" s="458"/>
      <c r="H27" s="393"/>
      <c r="I27" s="5"/>
      <c r="J27" s="581"/>
      <c r="K27" s="581"/>
    </row>
    <row r="28" spans="1:13">
      <c r="A28" s="525"/>
      <c r="B28" s="556" t="s">
        <v>1477</v>
      </c>
      <c r="C28" s="557" t="s">
        <v>1478</v>
      </c>
      <c r="D28" s="557" t="s">
        <v>6</v>
      </c>
      <c r="E28" s="1891" t="s">
        <v>1356</v>
      </c>
      <c r="F28" s="1891"/>
      <c r="G28" s="1891"/>
      <c r="H28" s="1891"/>
      <c r="I28" s="1891"/>
      <c r="J28" s="578" t="s">
        <v>1357</v>
      </c>
      <c r="K28" s="601" t="s">
        <v>1358</v>
      </c>
    </row>
    <row r="29" spans="1:13">
      <c r="A29" s="525"/>
      <c r="B29" s="564"/>
      <c r="C29" s="565"/>
      <c r="D29" s="565"/>
      <c r="E29" s="565"/>
      <c r="F29" s="566"/>
      <c r="G29" s="566"/>
      <c r="H29" s="567"/>
      <c r="I29" s="567"/>
      <c r="J29" s="579"/>
      <c r="K29" s="602"/>
    </row>
    <row r="30" spans="1:13" ht="18.75" customHeight="1">
      <c r="A30" s="525"/>
      <c r="B30" s="562">
        <v>4</v>
      </c>
      <c r="C30" s="543" t="str">
        <f>'4'!D36</f>
        <v>C</v>
      </c>
      <c r="D30" s="543">
        <f>'4'!E36</f>
        <v>0</v>
      </c>
      <c r="E30" s="575" t="str">
        <f>'4'!F36</f>
        <v>c</v>
      </c>
      <c r="F30" s="543">
        <f>'4'!G36</f>
        <v>0</v>
      </c>
      <c r="G30" s="543">
        <f>'4'!H36</f>
        <v>0</v>
      </c>
      <c r="H30" s="543">
        <f>'4'!I36</f>
        <v>0</v>
      </c>
      <c r="I30" s="543"/>
      <c r="J30" s="582">
        <f>'4'!K36</f>
        <v>0</v>
      </c>
      <c r="K30" s="582">
        <f>'4'!L36</f>
        <v>0</v>
      </c>
      <c r="M30" s="11">
        <f>SUM(J30:J31)</f>
        <v>0</v>
      </c>
    </row>
    <row r="31" spans="1:13" ht="18.75" customHeight="1">
      <c r="A31" s="525"/>
      <c r="B31" s="571"/>
      <c r="C31" s="543"/>
      <c r="D31" s="543">
        <f>'4'!E37</f>
        <v>0</v>
      </c>
      <c r="E31" s="575" t="str">
        <f>'4'!F37</f>
        <v>c</v>
      </c>
      <c r="F31" s="543">
        <f>'4'!G37</f>
        <v>0</v>
      </c>
      <c r="G31" s="543">
        <f>'4'!H37</f>
        <v>0</v>
      </c>
      <c r="H31" s="543">
        <f>'4'!I37</f>
        <v>0</v>
      </c>
      <c r="I31" s="543"/>
      <c r="J31" s="582">
        <f>'4'!K37</f>
        <v>0</v>
      </c>
      <c r="K31" s="582">
        <f>'4'!L37</f>
        <v>0</v>
      </c>
      <c r="M31" s="11">
        <f>SUM(K30:K31)</f>
        <v>0</v>
      </c>
    </row>
    <row r="32" spans="1:13" ht="15.75" thickBot="1">
      <c r="A32" s="525"/>
      <c r="B32" s="552"/>
      <c r="C32" s="572" t="str">
        <f>'4'!C38</f>
        <v>a</v>
      </c>
      <c r="D32" s="572"/>
      <c r="E32" s="553"/>
      <c r="F32" s="553"/>
      <c r="G32" s="553"/>
      <c r="H32" s="553"/>
      <c r="I32" s="553"/>
      <c r="J32" s="580"/>
      <c r="K32" s="603"/>
      <c r="L32" s="605" t="str">
        <f>IF(M30-M31=0,$M$1,$M$2)</f>
        <v>√</v>
      </c>
    </row>
    <row r="33" spans="1:13" ht="15.75" thickBot="1">
      <c r="A33" s="393"/>
      <c r="B33" s="541"/>
      <c r="C33" s="454"/>
      <c r="D33" s="445"/>
      <c r="E33" s="445"/>
      <c r="F33" s="459"/>
      <c r="G33" s="458"/>
      <c r="H33" s="393"/>
      <c r="I33" s="5"/>
      <c r="J33" s="581"/>
      <c r="K33" s="581"/>
    </row>
    <row r="34" spans="1:13">
      <c r="A34" s="525"/>
      <c r="B34" s="556" t="s">
        <v>1477</v>
      </c>
      <c r="C34" s="557" t="s">
        <v>1478</v>
      </c>
      <c r="D34" s="557" t="s">
        <v>6</v>
      </c>
      <c r="E34" s="568" t="s">
        <v>1356</v>
      </c>
      <c r="F34" s="569"/>
      <c r="G34" s="569"/>
      <c r="H34" s="569"/>
      <c r="I34" s="570"/>
      <c r="J34" s="578" t="s">
        <v>1357</v>
      </c>
      <c r="K34" s="601" t="s">
        <v>1358</v>
      </c>
    </row>
    <row r="35" spans="1:13">
      <c r="A35" s="525"/>
      <c r="B35" s="564"/>
      <c r="C35" s="565"/>
      <c r="D35" s="565"/>
      <c r="E35" s="565"/>
      <c r="F35" s="566"/>
      <c r="G35" s="566"/>
      <c r="H35" s="567"/>
      <c r="I35" s="567"/>
      <c r="J35" s="579"/>
      <c r="K35" s="602"/>
    </row>
    <row r="36" spans="1:13" ht="18.75" customHeight="1">
      <c r="A36" s="525"/>
      <c r="B36" s="562">
        <v>5</v>
      </c>
      <c r="C36" s="543" t="str">
        <f>'5'!D53</f>
        <v>D</v>
      </c>
      <c r="D36" s="543">
        <f>'5'!E53</f>
        <v>0</v>
      </c>
      <c r="E36" s="575" t="str">
        <f>'5'!F53</f>
        <v>c</v>
      </c>
      <c r="F36" s="543">
        <f>'5'!G53</f>
        <v>0</v>
      </c>
      <c r="G36" s="543">
        <f>'5'!H53</f>
        <v>0</v>
      </c>
      <c r="H36" s="543">
        <f>'5'!I53</f>
        <v>0</v>
      </c>
      <c r="I36" s="543"/>
      <c r="J36" s="582">
        <f>'5'!K53</f>
        <v>0</v>
      </c>
      <c r="K36" s="582">
        <f>'5'!L53</f>
        <v>0</v>
      </c>
      <c r="M36" s="11">
        <f>SUM(J36:J37)</f>
        <v>0</v>
      </c>
    </row>
    <row r="37" spans="1:13" ht="18.75" customHeight="1">
      <c r="A37" s="525"/>
      <c r="B37" s="571"/>
      <c r="C37" s="543"/>
      <c r="D37" s="543">
        <f>'5'!E54</f>
        <v>0</v>
      </c>
      <c r="E37" s="575" t="str">
        <f>'5'!F54</f>
        <v>c</v>
      </c>
      <c r="F37" s="543">
        <f>'5'!G54</f>
        <v>0</v>
      </c>
      <c r="G37" s="543">
        <f>'5'!H54</f>
        <v>0</v>
      </c>
      <c r="H37" s="543">
        <f>'5'!I54</f>
        <v>0</v>
      </c>
      <c r="I37" s="543"/>
      <c r="J37" s="582">
        <f>'5'!K54</f>
        <v>0</v>
      </c>
      <c r="K37" s="582">
        <f>'5'!L54</f>
        <v>0</v>
      </c>
      <c r="M37" s="11">
        <f>SUM(K36:K37)</f>
        <v>0</v>
      </c>
    </row>
    <row r="38" spans="1:13" ht="15.75" thickBot="1">
      <c r="A38" s="525"/>
      <c r="B38" s="552"/>
      <c r="C38" s="553" t="str">
        <f>'5'!C55</f>
        <v>a</v>
      </c>
      <c r="D38" s="553"/>
      <c r="E38" s="553"/>
      <c r="F38" s="553"/>
      <c r="G38" s="553"/>
      <c r="H38" s="553"/>
      <c r="I38" s="553"/>
      <c r="J38" s="580"/>
      <c r="K38" s="603"/>
      <c r="L38" s="605" t="str">
        <f>IF(M36-M37=0,$M$1,$M$2)</f>
        <v>√</v>
      </c>
    </row>
    <row r="39" spans="1:13" ht="15.75" thickBot="1">
      <c r="A39" s="393"/>
      <c r="B39" s="541"/>
      <c r="C39" s="454"/>
      <c r="D39" s="445"/>
      <c r="E39" s="445"/>
      <c r="F39" s="459"/>
      <c r="G39" s="458"/>
      <c r="H39" s="393"/>
      <c r="I39" s="5"/>
      <c r="J39" s="581"/>
      <c r="K39" s="581"/>
    </row>
    <row r="40" spans="1:13">
      <c r="A40" s="525"/>
      <c r="B40" s="556" t="s">
        <v>1477</v>
      </c>
      <c r="C40" s="557" t="s">
        <v>1478</v>
      </c>
      <c r="D40" s="557" t="s">
        <v>6</v>
      </c>
      <c r="E40" s="1891" t="s">
        <v>1356</v>
      </c>
      <c r="F40" s="1891"/>
      <c r="G40" s="1891"/>
      <c r="H40" s="1891"/>
      <c r="I40" s="1891"/>
      <c r="J40" s="578" t="s">
        <v>1357</v>
      </c>
      <c r="K40" s="601" t="s">
        <v>1358</v>
      </c>
    </row>
    <row r="41" spans="1:13">
      <c r="A41" s="525"/>
      <c r="B41" s="564"/>
      <c r="C41" s="565"/>
      <c r="D41" s="565"/>
      <c r="E41" s="565"/>
      <c r="F41" s="566"/>
      <c r="G41" s="566"/>
      <c r="H41" s="567"/>
      <c r="I41" s="567"/>
      <c r="J41" s="579"/>
      <c r="K41" s="602"/>
    </row>
    <row r="42" spans="1:13" ht="18.75" customHeight="1">
      <c r="A42" s="525"/>
      <c r="B42" s="562">
        <v>6</v>
      </c>
      <c r="C42" s="543" t="str">
        <f>'6'!D32</f>
        <v>D-1</v>
      </c>
      <c r="D42" s="543">
        <f>'6'!E32</f>
        <v>0</v>
      </c>
      <c r="E42" s="575" t="str">
        <f>'6'!F32</f>
        <v>c</v>
      </c>
      <c r="F42" s="543">
        <f>'6'!G32</f>
        <v>0</v>
      </c>
      <c r="G42" s="543">
        <f>'6'!H32</f>
        <v>0</v>
      </c>
      <c r="H42" s="543">
        <f>'6'!I32</f>
        <v>0</v>
      </c>
      <c r="I42" s="543"/>
      <c r="J42" s="582">
        <f>'6'!K32</f>
        <v>0</v>
      </c>
      <c r="K42" s="582">
        <f>'6'!L32</f>
        <v>0</v>
      </c>
      <c r="M42" s="11">
        <f>SUM(J42:J43)</f>
        <v>0</v>
      </c>
    </row>
    <row r="43" spans="1:13" ht="18.75" customHeight="1">
      <c r="A43" s="525"/>
      <c r="B43" s="571"/>
      <c r="C43" s="543"/>
      <c r="D43" s="543">
        <f>'6'!E33</f>
        <v>0</v>
      </c>
      <c r="E43" s="575" t="str">
        <f>'6'!F33</f>
        <v>c</v>
      </c>
      <c r="F43" s="543">
        <f>'6'!G33</f>
        <v>0</v>
      </c>
      <c r="G43" s="543">
        <f>'6'!H33</f>
        <v>0</v>
      </c>
      <c r="H43" s="543">
        <f>'6'!I33</f>
        <v>0</v>
      </c>
      <c r="I43" s="543"/>
      <c r="J43" s="582">
        <f>'6'!K33</f>
        <v>0</v>
      </c>
      <c r="K43" s="582">
        <f>'6'!L33</f>
        <v>0</v>
      </c>
      <c r="M43" s="11">
        <f>SUM(K42:K43)</f>
        <v>0</v>
      </c>
    </row>
    <row r="44" spans="1:13" ht="15.75" thickBot="1">
      <c r="A44" s="525"/>
      <c r="B44" s="552"/>
      <c r="C44" s="553" t="str">
        <f>'6'!C34</f>
        <v>a</v>
      </c>
      <c r="D44" s="553"/>
      <c r="E44" s="553"/>
      <c r="F44" s="553"/>
      <c r="G44" s="553"/>
      <c r="H44" s="553"/>
      <c r="I44" s="553"/>
      <c r="J44" s="580"/>
      <c r="K44" s="603"/>
      <c r="L44" s="605" t="str">
        <f>IF(M42-M43=0,$M$1,$M$2)</f>
        <v>√</v>
      </c>
    </row>
    <row r="45" spans="1:13" ht="15.75" thickBot="1">
      <c r="A45" s="393"/>
      <c r="B45" s="541"/>
      <c r="C45" s="454"/>
      <c r="D45" s="445"/>
      <c r="E45" s="445"/>
      <c r="F45" s="459"/>
      <c r="G45" s="458"/>
      <c r="H45" s="393"/>
      <c r="I45" s="5"/>
      <c r="J45" s="581"/>
      <c r="K45" s="581"/>
    </row>
    <row r="46" spans="1:13">
      <c r="A46" s="525"/>
      <c r="B46" s="556" t="s">
        <v>1477</v>
      </c>
      <c r="C46" s="557" t="s">
        <v>1478</v>
      </c>
      <c r="D46" s="557" t="s">
        <v>6</v>
      </c>
      <c r="E46" s="1891" t="s">
        <v>1356</v>
      </c>
      <c r="F46" s="1891"/>
      <c r="G46" s="1891"/>
      <c r="H46" s="1891"/>
      <c r="I46" s="1891"/>
      <c r="J46" s="578" t="s">
        <v>1357</v>
      </c>
      <c r="K46" s="601" t="s">
        <v>1358</v>
      </c>
    </row>
    <row r="47" spans="1:13">
      <c r="A47" s="525"/>
      <c r="B47" s="564"/>
      <c r="C47" s="565"/>
      <c r="D47" s="565"/>
      <c r="E47" s="565"/>
      <c r="F47" s="566"/>
      <c r="G47" s="566"/>
      <c r="H47" s="567"/>
      <c r="I47" s="567"/>
      <c r="J47" s="579"/>
      <c r="K47" s="602"/>
    </row>
    <row r="48" spans="1:13" ht="18.75" customHeight="1">
      <c r="A48" s="525"/>
      <c r="B48" s="562">
        <v>7</v>
      </c>
      <c r="C48" s="543" t="str">
        <f>'7'!D32</f>
        <v>D-2</v>
      </c>
      <c r="D48" s="543">
        <f>'7'!E32</f>
        <v>0</v>
      </c>
      <c r="E48" s="575" t="str">
        <f>'7'!F32</f>
        <v>c</v>
      </c>
      <c r="F48" s="543">
        <f>'7'!G32</f>
        <v>0</v>
      </c>
      <c r="G48" s="543">
        <f>'7'!H32</f>
        <v>0</v>
      </c>
      <c r="H48" s="543">
        <f>'7'!I32</f>
        <v>0</v>
      </c>
      <c r="I48" s="543"/>
      <c r="J48" s="582">
        <f>'7'!K32</f>
        <v>0</v>
      </c>
      <c r="K48" s="582">
        <f>'7'!L32</f>
        <v>0</v>
      </c>
      <c r="M48" s="11">
        <f>SUM(J48:J49)</f>
        <v>0</v>
      </c>
    </row>
    <row r="49" spans="1:13" ht="18.75" customHeight="1">
      <c r="A49" s="525"/>
      <c r="B49" s="571"/>
      <c r="C49" s="543"/>
      <c r="D49" s="543">
        <f>'7'!E33</f>
        <v>0</v>
      </c>
      <c r="E49" s="575" t="str">
        <f>'7'!F33</f>
        <v>c</v>
      </c>
      <c r="F49" s="543">
        <f>'7'!G33</f>
        <v>0</v>
      </c>
      <c r="G49" s="543">
        <f>'7'!H33</f>
        <v>0</v>
      </c>
      <c r="H49" s="543">
        <f>'7'!I33</f>
        <v>0</v>
      </c>
      <c r="I49" s="543"/>
      <c r="J49" s="582">
        <f>'7'!K33</f>
        <v>0</v>
      </c>
      <c r="K49" s="582">
        <f>'7'!L33</f>
        <v>0</v>
      </c>
      <c r="M49" s="11">
        <f>SUM(K48:K49)</f>
        <v>0</v>
      </c>
    </row>
    <row r="50" spans="1:13" ht="15.75" thickBot="1">
      <c r="A50" s="525"/>
      <c r="B50" s="552"/>
      <c r="C50" s="553" t="str">
        <f>'7'!C34</f>
        <v>a</v>
      </c>
      <c r="D50" s="553"/>
      <c r="E50" s="553"/>
      <c r="F50" s="553"/>
      <c r="G50" s="553"/>
      <c r="H50" s="553"/>
      <c r="I50" s="553"/>
      <c r="J50" s="580"/>
      <c r="K50" s="603"/>
      <c r="L50" s="605" t="str">
        <f>IF(M48-M49=0,$M$1,$M$2)</f>
        <v>√</v>
      </c>
    </row>
    <row r="51" spans="1:13" ht="15.75" thickBot="1">
      <c r="A51" s="393"/>
      <c r="B51" s="541"/>
      <c r="C51" s="454"/>
      <c r="D51" s="445"/>
      <c r="E51" s="445"/>
      <c r="F51" s="459"/>
      <c r="G51" s="458"/>
      <c r="H51" s="393"/>
      <c r="I51" s="5"/>
      <c r="J51" s="581"/>
      <c r="K51" s="581"/>
    </row>
    <row r="52" spans="1:13">
      <c r="A52" s="525"/>
      <c r="B52" s="556" t="s">
        <v>1477</v>
      </c>
      <c r="C52" s="557" t="s">
        <v>1478</v>
      </c>
      <c r="D52" s="557" t="s">
        <v>6</v>
      </c>
      <c r="E52" s="1891" t="s">
        <v>1356</v>
      </c>
      <c r="F52" s="1891"/>
      <c r="G52" s="1891"/>
      <c r="H52" s="1891"/>
      <c r="I52" s="1891"/>
      <c r="J52" s="578" t="s">
        <v>1357</v>
      </c>
      <c r="K52" s="601" t="s">
        <v>1358</v>
      </c>
    </row>
    <row r="53" spans="1:13">
      <c r="A53" s="525"/>
      <c r="B53" s="564"/>
      <c r="C53" s="565"/>
      <c r="D53" s="565"/>
      <c r="E53" s="565"/>
      <c r="F53" s="566"/>
      <c r="G53" s="566"/>
      <c r="H53" s="567"/>
      <c r="I53" s="567"/>
      <c r="J53" s="579"/>
      <c r="K53" s="602"/>
    </row>
    <row r="54" spans="1:13" ht="18.75" customHeight="1">
      <c r="A54" s="525"/>
      <c r="B54" s="562">
        <v>8</v>
      </c>
      <c r="C54" s="543" t="str">
        <f>'8'!D44</f>
        <v>E</v>
      </c>
      <c r="D54" s="543">
        <f>'8'!E44</f>
        <v>0</v>
      </c>
      <c r="E54" s="575" t="str">
        <f>'8'!F44</f>
        <v>c</v>
      </c>
      <c r="F54" s="543">
        <f>'8'!G44</f>
        <v>0</v>
      </c>
      <c r="G54" s="543">
        <f>'8'!H44</f>
        <v>0</v>
      </c>
      <c r="H54" s="543">
        <f>'8'!I44</f>
        <v>0</v>
      </c>
      <c r="I54" s="543"/>
      <c r="J54" s="582">
        <f>'8'!K44</f>
        <v>0</v>
      </c>
      <c r="K54" s="582">
        <f>'8'!L44</f>
        <v>0</v>
      </c>
      <c r="M54" s="11">
        <f>SUM(J54:J55)</f>
        <v>0</v>
      </c>
    </row>
    <row r="55" spans="1:13" ht="18.75" customHeight="1">
      <c r="A55" s="525"/>
      <c r="B55" s="571"/>
      <c r="C55" s="543">
        <f>'8'!D45</f>
        <v>0</v>
      </c>
      <c r="D55" s="543">
        <f>'8'!E45</f>
        <v>0</v>
      </c>
      <c r="E55" s="575" t="str">
        <f>'8'!F45</f>
        <v>c</v>
      </c>
      <c r="F55" s="543">
        <f>'8'!G45</f>
        <v>0</v>
      </c>
      <c r="G55" s="543">
        <f>'8'!H45</f>
        <v>0</v>
      </c>
      <c r="H55" s="543">
        <f>'8'!I45</f>
        <v>0</v>
      </c>
      <c r="I55" s="543"/>
      <c r="J55" s="582">
        <f>'8'!K45</f>
        <v>0</v>
      </c>
      <c r="K55" s="582">
        <f>'8'!L45</f>
        <v>0</v>
      </c>
      <c r="M55" s="11">
        <f>SUM(K54:K55)</f>
        <v>0</v>
      </c>
    </row>
    <row r="56" spans="1:13" ht="15.75" thickBot="1">
      <c r="A56" s="525"/>
      <c r="B56" s="552"/>
      <c r="C56" s="553" t="str">
        <f>'8'!C46</f>
        <v>a</v>
      </c>
      <c r="D56" s="553"/>
      <c r="E56" s="553"/>
      <c r="F56" s="553"/>
      <c r="G56" s="553"/>
      <c r="H56" s="553"/>
      <c r="I56" s="553"/>
      <c r="J56" s="580"/>
      <c r="K56" s="603"/>
      <c r="L56" s="605" t="str">
        <f>IF(M54-M55=0,$M$1,$M$2)</f>
        <v>√</v>
      </c>
    </row>
    <row r="57" spans="1:13" ht="15.75" thickBot="1">
      <c r="A57" s="393"/>
      <c r="B57" s="541"/>
      <c r="C57" s="454"/>
      <c r="D57" s="445"/>
      <c r="E57" s="445"/>
      <c r="F57" s="459"/>
      <c r="G57" s="458"/>
      <c r="H57" s="393"/>
      <c r="I57" s="5"/>
      <c r="J57" s="581"/>
      <c r="K57" s="581"/>
    </row>
    <row r="58" spans="1:13">
      <c r="A58" s="525"/>
      <c r="B58" s="556" t="s">
        <v>1477</v>
      </c>
      <c r="C58" s="557" t="s">
        <v>1478</v>
      </c>
      <c r="D58" s="557" t="s">
        <v>6</v>
      </c>
      <c r="E58" s="1891" t="s">
        <v>1356</v>
      </c>
      <c r="F58" s="1891"/>
      <c r="G58" s="1891"/>
      <c r="H58" s="1891"/>
      <c r="I58" s="1891"/>
      <c r="J58" s="578" t="s">
        <v>1357</v>
      </c>
      <c r="K58" s="601" t="s">
        <v>1358</v>
      </c>
    </row>
    <row r="59" spans="1:13">
      <c r="A59" s="525"/>
      <c r="B59" s="564"/>
      <c r="C59" s="565"/>
      <c r="D59" s="565"/>
      <c r="E59" s="565"/>
      <c r="F59" s="566"/>
      <c r="G59" s="566"/>
      <c r="H59" s="567"/>
      <c r="I59" s="567"/>
      <c r="J59" s="579"/>
      <c r="K59" s="602"/>
    </row>
    <row r="60" spans="1:13" ht="18.75" customHeight="1">
      <c r="A60" s="525"/>
      <c r="B60" s="562">
        <v>10</v>
      </c>
      <c r="C60" s="543" t="str">
        <f>'10'!D45</f>
        <v>AA</v>
      </c>
      <c r="D60" s="543">
        <f>'10'!E45</f>
        <v>0</v>
      </c>
      <c r="E60" s="575" t="str">
        <f>'10'!F45</f>
        <v>c</v>
      </c>
      <c r="F60" s="543">
        <f>'10'!G45</f>
        <v>0</v>
      </c>
      <c r="G60" s="543">
        <f>'10'!H45</f>
        <v>0</v>
      </c>
      <c r="H60" s="543">
        <f>'10'!I45</f>
        <v>0</v>
      </c>
      <c r="I60" s="543"/>
      <c r="J60" s="582">
        <f>'10'!K45</f>
        <v>0</v>
      </c>
      <c r="K60" s="582">
        <f>'10'!L45</f>
        <v>0</v>
      </c>
      <c r="M60" s="11">
        <f>SUM(J60:J61)</f>
        <v>0</v>
      </c>
    </row>
    <row r="61" spans="1:13" ht="18.75" customHeight="1">
      <c r="A61" s="525"/>
      <c r="B61" s="571"/>
      <c r="C61" s="543">
        <f>'10'!D46</f>
        <v>0</v>
      </c>
      <c r="D61" s="543">
        <f>'10'!E46</f>
        <v>0</v>
      </c>
      <c r="E61" s="575" t="str">
        <f>'10'!F46</f>
        <v>c</v>
      </c>
      <c r="F61" s="543">
        <f>'10'!G46</f>
        <v>0</v>
      </c>
      <c r="G61" s="543">
        <f>'10'!H46</f>
        <v>0</v>
      </c>
      <c r="H61" s="543">
        <f>'10'!I46</f>
        <v>0</v>
      </c>
      <c r="I61" s="543"/>
      <c r="J61" s="582">
        <f>'10'!K46</f>
        <v>0</v>
      </c>
      <c r="K61" s="582">
        <f>'10'!L46</f>
        <v>0</v>
      </c>
      <c r="M61" s="11">
        <f>SUM(K60:K61)</f>
        <v>0</v>
      </c>
    </row>
    <row r="62" spans="1:13" ht="15.75" thickBot="1">
      <c r="A62" s="525"/>
      <c r="B62" s="552"/>
      <c r="C62" s="553" t="str">
        <f>'10'!C47</f>
        <v>a</v>
      </c>
      <c r="D62" s="553"/>
      <c r="E62" s="553"/>
      <c r="F62" s="553"/>
      <c r="G62" s="553"/>
      <c r="H62" s="553"/>
      <c r="I62" s="553"/>
      <c r="J62" s="580"/>
      <c r="K62" s="603"/>
      <c r="L62" s="605" t="str">
        <f>IF(M60-M61=0,$M$1,$M$2)</f>
        <v>√</v>
      </c>
    </row>
    <row r="63" spans="1:13" ht="15.75" thickBot="1">
      <c r="A63" s="393"/>
      <c r="B63" s="541"/>
      <c r="C63" s="454"/>
      <c r="D63" s="445"/>
      <c r="E63" s="445"/>
      <c r="F63" s="459"/>
      <c r="G63" s="458"/>
      <c r="H63" s="393"/>
      <c r="I63" s="5"/>
      <c r="J63" s="581"/>
      <c r="K63" s="581"/>
    </row>
    <row r="64" spans="1:13">
      <c r="A64" s="525"/>
      <c r="B64" s="556" t="s">
        <v>1477</v>
      </c>
      <c r="C64" s="557" t="s">
        <v>1478</v>
      </c>
      <c r="D64" s="557" t="s">
        <v>6</v>
      </c>
      <c r="E64" s="1891" t="s">
        <v>1356</v>
      </c>
      <c r="F64" s="1891"/>
      <c r="G64" s="1891"/>
      <c r="H64" s="1891"/>
      <c r="I64" s="1891"/>
      <c r="J64" s="578" t="s">
        <v>1357</v>
      </c>
      <c r="K64" s="601" t="s">
        <v>1358</v>
      </c>
    </row>
    <row r="65" spans="1:13">
      <c r="A65" s="525"/>
      <c r="B65" s="564"/>
      <c r="C65" s="565"/>
      <c r="D65" s="565"/>
      <c r="E65" s="565"/>
      <c r="F65" s="566"/>
      <c r="G65" s="566"/>
      <c r="H65" s="567"/>
      <c r="I65" s="567"/>
      <c r="J65" s="579"/>
      <c r="K65" s="602"/>
    </row>
    <row r="66" spans="1:13" ht="18.75" customHeight="1">
      <c r="A66" s="525"/>
      <c r="B66" s="562">
        <v>11</v>
      </c>
      <c r="C66" s="543" t="str">
        <f>'11'!D42</f>
        <v>AA-1</v>
      </c>
      <c r="D66" s="543">
        <f>'11'!E42</f>
        <v>0</v>
      </c>
      <c r="E66" s="575" t="str">
        <f>'11'!F42</f>
        <v>c</v>
      </c>
      <c r="F66" s="543">
        <f>'11'!G42</f>
        <v>0</v>
      </c>
      <c r="G66" s="543">
        <f>'11'!H42</f>
        <v>0</v>
      </c>
      <c r="H66" s="543">
        <f>'11'!I42</f>
        <v>0</v>
      </c>
      <c r="I66" s="543"/>
      <c r="J66" s="582">
        <f>'11'!K42</f>
        <v>0</v>
      </c>
      <c r="K66" s="582">
        <f>'11'!L42</f>
        <v>0</v>
      </c>
      <c r="M66" s="11">
        <f>SUM(J66:J67)</f>
        <v>0</v>
      </c>
    </row>
    <row r="67" spans="1:13" ht="18.75" customHeight="1">
      <c r="A67" s="525"/>
      <c r="B67" s="571"/>
      <c r="C67" s="543">
        <f>'11'!D43</f>
        <v>0</v>
      </c>
      <c r="D67" s="543">
        <f>'11'!E43</f>
        <v>0</v>
      </c>
      <c r="E67" s="575" t="str">
        <f>'11'!F43</f>
        <v>c</v>
      </c>
      <c r="F67" s="543">
        <f>'11'!G43</f>
        <v>0</v>
      </c>
      <c r="G67" s="543">
        <f>'11'!H43</f>
        <v>0</v>
      </c>
      <c r="H67" s="543">
        <f>'11'!I43</f>
        <v>0</v>
      </c>
      <c r="I67" s="543"/>
      <c r="J67" s="582">
        <f>'11'!K43</f>
        <v>0</v>
      </c>
      <c r="K67" s="582">
        <f>'11'!L43</f>
        <v>0</v>
      </c>
      <c r="M67" s="11">
        <f>SUM(K66:K67)</f>
        <v>0</v>
      </c>
    </row>
    <row r="68" spans="1:13" ht="15.75" thickBot="1">
      <c r="A68" s="525"/>
      <c r="B68" s="552"/>
      <c r="C68" s="553" t="str">
        <f>'11'!C44</f>
        <v>a</v>
      </c>
      <c r="D68" s="553"/>
      <c r="E68" s="553"/>
      <c r="F68" s="553"/>
      <c r="G68" s="553"/>
      <c r="H68" s="553"/>
      <c r="I68" s="553"/>
      <c r="J68" s="580"/>
      <c r="K68" s="603"/>
      <c r="L68" s="605" t="str">
        <f>IF(M66-M67=0,$M$1,$M$2)</f>
        <v>√</v>
      </c>
    </row>
    <row r="69" spans="1:13" ht="15.75" thickBot="1">
      <c r="A69" s="393"/>
      <c r="B69" s="541"/>
      <c r="C69" s="454"/>
      <c r="D69" s="445"/>
      <c r="E69" s="445"/>
      <c r="F69" s="459"/>
      <c r="G69" s="458"/>
      <c r="H69" s="393"/>
      <c r="I69" s="5"/>
      <c r="J69" s="581"/>
      <c r="K69" s="581"/>
    </row>
    <row r="70" spans="1:13">
      <c r="A70" s="525"/>
      <c r="B70" s="556" t="s">
        <v>1477</v>
      </c>
      <c r="C70" s="557" t="s">
        <v>1478</v>
      </c>
      <c r="D70" s="557" t="s">
        <v>6</v>
      </c>
      <c r="E70" s="1891" t="s">
        <v>1356</v>
      </c>
      <c r="F70" s="1891"/>
      <c r="G70" s="1891"/>
      <c r="H70" s="1891"/>
      <c r="I70" s="1891"/>
      <c r="J70" s="578" t="s">
        <v>1357</v>
      </c>
      <c r="K70" s="601" t="s">
        <v>1358</v>
      </c>
    </row>
    <row r="71" spans="1:13">
      <c r="A71" s="525"/>
      <c r="B71" s="564"/>
      <c r="C71" s="565"/>
      <c r="D71" s="565"/>
      <c r="E71" s="565"/>
      <c r="F71" s="566"/>
      <c r="G71" s="566"/>
      <c r="H71" s="567"/>
      <c r="I71" s="567"/>
      <c r="J71" s="579"/>
      <c r="K71" s="602"/>
    </row>
    <row r="72" spans="1:13" ht="18.75" customHeight="1">
      <c r="A72" s="525"/>
      <c r="B72" s="562">
        <v>12</v>
      </c>
      <c r="C72" s="543" t="str">
        <f>'12'!D35</f>
        <v>AA-2</v>
      </c>
      <c r="D72" s="543">
        <f>'12'!E35</f>
        <v>0</v>
      </c>
      <c r="E72" s="575" t="str">
        <f>'12'!F35</f>
        <v>c</v>
      </c>
      <c r="F72" s="543">
        <f>'12'!G35</f>
        <v>0</v>
      </c>
      <c r="G72" s="543">
        <f>'12'!H35</f>
        <v>0</v>
      </c>
      <c r="H72" s="543">
        <f>'12'!I35</f>
        <v>0</v>
      </c>
      <c r="I72" s="543"/>
      <c r="J72" s="582">
        <f>'12'!K35</f>
        <v>0</v>
      </c>
      <c r="K72" s="582">
        <f>'12'!L35</f>
        <v>0</v>
      </c>
      <c r="M72" s="11">
        <f>SUM(J72:J73)</f>
        <v>0</v>
      </c>
    </row>
    <row r="73" spans="1:13" ht="18.75" customHeight="1">
      <c r="A73" s="525"/>
      <c r="B73" s="571"/>
      <c r="C73" s="543">
        <f>'12'!D36</f>
        <v>0</v>
      </c>
      <c r="D73" s="543">
        <f>'12'!E36</f>
        <v>0</v>
      </c>
      <c r="E73" s="575" t="str">
        <f>'12'!F36</f>
        <v>c</v>
      </c>
      <c r="F73" s="543">
        <f>'12'!G36</f>
        <v>0</v>
      </c>
      <c r="G73" s="543">
        <f>'12'!H36</f>
        <v>0</v>
      </c>
      <c r="H73" s="543">
        <f>'12'!I36</f>
        <v>0</v>
      </c>
      <c r="I73" s="543"/>
      <c r="J73" s="582">
        <f>'12'!K36</f>
        <v>0</v>
      </c>
      <c r="K73" s="582">
        <f>'12'!L36</f>
        <v>0</v>
      </c>
      <c r="M73" s="11">
        <f>SUM(K72:K73)</f>
        <v>0</v>
      </c>
    </row>
    <row r="74" spans="1:13" ht="15.75" thickBot="1">
      <c r="A74" s="525"/>
      <c r="B74" s="552"/>
      <c r="C74" s="553" t="str">
        <f>'12'!C37</f>
        <v>a</v>
      </c>
      <c r="D74" s="553"/>
      <c r="E74" s="553"/>
      <c r="F74" s="553"/>
      <c r="G74" s="553"/>
      <c r="H74" s="553"/>
      <c r="I74" s="553"/>
      <c r="J74" s="580"/>
      <c r="K74" s="603"/>
      <c r="L74" s="605" t="str">
        <f>IF(M72-M73=0,$M$1,$M$2)</f>
        <v>√</v>
      </c>
    </row>
    <row r="75" spans="1:13" ht="15.75" thickBot="1">
      <c r="A75" s="393"/>
      <c r="B75" s="541"/>
      <c r="C75" s="454"/>
      <c r="D75" s="445"/>
      <c r="E75" s="445"/>
      <c r="F75" s="459"/>
      <c r="G75" s="458"/>
      <c r="H75" s="393"/>
      <c r="I75" s="5"/>
      <c r="J75" s="581"/>
      <c r="K75" s="581"/>
    </row>
    <row r="76" spans="1:13">
      <c r="A76" s="525"/>
      <c r="B76" s="556" t="s">
        <v>1477</v>
      </c>
      <c r="C76" s="557" t="s">
        <v>1478</v>
      </c>
      <c r="D76" s="557" t="s">
        <v>6</v>
      </c>
      <c r="E76" s="1891" t="s">
        <v>1356</v>
      </c>
      <c r="F76" s="1891"/>
      <c r="G76" s="1891"/>
      <c r="H76" s="1891"/>
      <c r="I76" s="1891"/>
      <c r="J76" s="578" t="s">
        <v>1357</v>
      </c>
      <c r="K76" s="601" t="s">
        <v>1358</v>
      </c>
    </row>
    <row r="77" spans="1:13">
      <c r="A77" s="525"/>
      <c r="B77" s="564"/>
      <c r="C77" s="565"/>
      <c r="D77" s="565"/>
      <c r="E77" s="565"/>
      <c r="F77" s="566"/>
      <c r="G77" s="566"/>
      <c r="H77" s="567"/>
      <c r="I77" s="567"/>
      <c r="J77" s="579"/>
      <c r="K77" s="602"/>
    </row>
    <row r="78" spans="1:13" ht="18.75" customHeight="1">
      <c r="A78" s="525"/>
      <c r="B78" s="562">
        <v>14</v>
      </c>
      <c r="C78" s="543" t="str">
        <f>'14'!D46</f>
        <v>AA-4</v>
      </c>
      <c r="D78" s="543">
        <f>'14'!E46</f>
        <v>0</v>
      </c>
      <c r="E78" s="575" t="str">
        <f>'14'!F46</f>
        <v>c</v>
      </c>
      <c r="F78" s="543">
        <f>'14'!G46</f>
        <v>0</v>
      </c>
      <c r="G78" s="543">
        <f>'14'!H46</f>
        <v>0</v>
      </c>
      <c r="H78" s="543">
        <f>'14'!I46</f>
        <v>0</v>
      </c>
      <c r="I78" s="543"/>
      <c r="J78" s="582">
        <f>'14'!K46</f>
        <v>0</v>
      </c>
      <c r="K78" s="582">
        <f>'14'!L46</f>
        <v>0</v>
      </c>
      <c r="M78" s="11">
        <f>SUM(J78:J79)</f>
        <v>0</v>
      </c>
    </row>
    <row r="79" spans="1:13" ht="18.75" customHeight="1">
      <c r="A79" s="525"/>
      <c r="B79" s="571"/>
      <c r="C79" s="543">
        <f>'14'!D47</f>
        <v>0</v>
      </c>
      <c r="D79" s="543">
        <f>'14'!E47</f>
        <v>0</v>
      </c>
      <c r="E79" s="575" t="str">
        <f>'14'!F47</f>
        <v>c</v>
      </c>
      <c r="F79" s="543">
        <f>'14'!G47</f>
        <v>0</v>
      </c>
      <c r="G79" s="543">
        <f>'14'!H47</f>
        <v>0</v>
      </c>
      <c r="H79" s="543">
        <f>'14'!I47</f>
        <v>0</v>
      </c>
      <c r="I79" s="543"/>
      <c r="J79" s="582">
        <f>'14'!K47</f>
        <v>0</v>
      </c>
      <c r="K79" s="582">
        <f>'14'!L47</f>
        <v>0</v>
      </c>
      <c r="M79" s="11">
        <f>SUM(K78:K79)</f>
        <v>0</v>
      </c>
    </row>
    <row r="80" spans="1:13" ht="15.75" thickBot="1">
      <c r="A80" s="525"/>
      <c r="B80" s="552"/>
      <c r="C80" s="553" t="str">
        <f>'14'!C48</f>
        <v>a</v>
      </c>
      <c r="D80" s="553"/>
      <c r="E80" s="553"/>
      <c r="F80" s="553"/>
      <c r="G80" s="553"/>
      <c r="H80" s="553"/>
      <c r="I80" s="553"/>
      <c r="J80" s="580"/>
      <c r="K80" s="603"/>
      <c r="L80" s="605" t="str">
        <f>IF(M78-M79=0,$M$1,$M$2)</f>
        <v>√</v>
      </c>
    </row>
    <row r="81" spans="1:13" ht="15.75" thickBot="1">
      <c r="A81" s="393"/>
      <c r="B81" s="541"/>
      <c r="C81" s="454"/>
      <c r="D81" s="445"/>
      <c r="E81" s="445"/>
      <c r="F81" s="459"/>
      <c r="G81" s="458"/>
      <c r="H81" s="393"/>
      <c r="I81" s="5"/>
      <c r="J81" s="581"/>
      <c r="K81" s="581"/>
    </row>
    <row r="82" spans="1:13">
      <c r="A82" s="525"/>
      <c r="B82" s="556" t="s">
        <v>1477</v>
      </c>
      <c r="C82" s="557" t="s">
        <v>1478</v>
      </c>
      <c r="D82" s="557" t="s">
        <v>6</v>
      </c>
      <c r="E82" s="1891" t="s">
        <v>1356</v>
      </c>
      <c r="F82" s="1891"/>
      <c r="G82" s="1891"/>
      <c r="H82" s="1891"/>
      <c r="I82" s="1891"/>
      <c r="J82" s="578" t="s">
        <v>1357</v>
      </c>
      <c r="K82" s="601" t="s">
        <v>1358</v>
      </c>
    </row>
    <row r="83" spans="1:13">
      <c r="A83" s="525"/>
      <c r="B83" s="564"/>
      <c r="C83" s="565"/>
      <c r="D83" s="565"/>
      <c r="E83" s="565"/>
      <c r="F83" s="566"/>
      <c r="G83" s="566"/>
      <c r="H83" s="567"/>
      <c r="I83" s="567"/>
      <c r="J83" s="579"/>
      <c r="K83" s="602"/>
    </row>
    <row r="84" spans="1:13" ht="18.75" customHeight="1">
      <c r="A84" s="525"/>
      <c r="B84" s="562">
        <v>16</v>
      </c>
      <c r="C84" s="543" t="str">
        <f>'16'!D39</f>
        <v>CC</v>
      </c>
      <c r="D84" s="543">
        <f>'16'!E39</f>
        <v>0</v>
      </c>
      <c r="E84" s="575" t="str">
        <f>'16'!F39</f>
        <v>c</v>
      </c>
      <c r="F84" s="543">
        <f>'16'!G39</f>
        <v>0</v>
      </c>
      <c r="G84" s="543">
        <f>'16'!H39</f>
        <v>0</v>
      </c>
      <c r="H84" s="543">
        <f>'16'!I39</f>
        <v>0</v>
      </c>
      <c r="I84" s="543"/>
      <c r="J84" s="582">
        <f>'16'!K39</f>
        <v>0</v>
      </c>
      <c r="K84" s="582">
        <f>'16'!L39</f>
        <v>0</v>
      </c>
      <c r="M84" s="11">
        <f>SUM(J84:J85)</f>
        <v>0</v>
      </c>
    </row>
    <row r="85" spans="1:13" ht="18.75" customHeight="1">
      <c r="A85" s="525"/>
      <c r="B85" s="571"/>
      <c r="C85" s="543">
        <f>'16'!D40</f>
        <v>0</v>
      </c>
      <c r="D85" s="543">
        <f>'16'!E40</f>
        <v>0</v>
      </c>
      <c r="E85" s="575" t="str">
        <f>'16'!F40</f>
        <v>c</v>
      </c>
      <c r="F85" s="543">
        <f>'16'!G40</f>
        <v>0</v>
      </c>
      <c r="G85" s="543">
        <f>'16'!H40</f>
        <v>0</v>
      </c>
      <c r="H85" s="543">
        <f>'16'!I40</f>
        <v>0</v>
      </c>
      <c r="I85" s="543"/>
      <c r="J85" s="582">
        <f>'16'!K40</f>
        <v>0</v>
      </c>
      <c r="K85" s="582">
        <f>'16'!L40</f>
        <v>0</v>
      </c>
      <c r="M85" s="11">
        <f>SUM(K84:K85)</f>
        <v>0</v>
      </c>
    </row>
    <row r="86" spans="1:13" ht="15.75" thickBot="1">
      <c r="A86" s="525"/>
      <c r="B86" s="552"/>
      <c r="C86" s="553" t="str">
        <f>'16'!C41</f>
        <v>a</v>
      </c>
      <c r="D86" s="553"/>
      <c r="E86" s="553"/>
      <c r="F86" s="553"/>
      <c r="G86" s="553"/>
      <c r="H86" s="553"/>
      <c r="I86" s="553"/>
      <c r="J86" s="580"/>
      <c r="K86" s="603"/>
      <c r="L86" s="605" t="str">
        <f>IF(M84-M85=0,$M$1,$M$2)</f>
        <v>√</v>
      </c>
    </row>
    <row r="87" spans="1:13" ht="15.75" thickBot="1">
      <c r="A87" s="393"/>
      <c r="B87" s="541"/>
      <c r="C87" s="454"/>
      <c r="D87" s="445"/>
      <c r="E87" s="445"/>
      <c r="F87" s="459"/>
      <c r="G87" s="458"/>
      <c r="H87" s="393"/>
      <c r="I87" s="5"/>
      <c r="J87" s="581"/>
      <c r="K87" s="581"/>
    </row>
    <row r="88" spans="1:13">
      <c r="A88" s="525"/>
      <c r="B88" s="556" t="s">
        <v>1477</v>
      </c>
      <c r="C88" s="557" t="s">
        <v>1478</v>
      </c>
      <c r="D88" s="557" t="s">
        <v>6</v>
      </c>
      <c r="E88" s="1891" t="s">
        <v>1356</v>
      </c>
      <c r="F88" s="1891"/>
      <c r="G88" s="1891"/>
      <c r="H88" s="1891"/>
      <c r="I88" s="1891"/>
      <c r="J88" s="578" t="s">
        <v>1357</v>
      </c>
      <c r="K88" s="601" t="s">
        <v>1358</v>
      </c>
    </row>
    <row r="89" spans="1:13">
      <c r="A89" s="525"/>
      <c r="B89" s="564"/>
      <c r="C89" s="565"/>
      <c r="D89" s="565"/>
      <c r="E89" s="565"/>
      <c r="F89" s="566"/>
      <c r="G89" s="566"/>
      <c r="H89" s="567"/>
      <c r="I89" s="567"/>
      <c r="J89" s="579"/>
      <c r="K89" s="602"/>
    </row>
    <row r="90" spans="1:13" ht="18.75" customHeight="1">
      <c r="A90" s="525"/>
      <c r="B90" s="562">
        <v>17</v>
      </c>
      <c r="C90" s="543" t="str">
        <f>'17'!D37</f>
        <v>RR</v>
      </c>
      <c r="D90" s="543">
        <f>'17'!E37</f>
        <v>0</v>
      </c>
      <c r="E90" s="575" t="str">
        <f>'17'!F37</f>
        <v>c</v>
      </c>
      <c r="F90" s="543">
        <f>'17'!G37</f>
        <v>0</v>
      </c>
      <c r="G90" s="543">
        <f>'17'!H37</f>
        <v>0</v>
      </c>
      <c r="H90" s="543">
        <f>'17'!I37</f>
        <v>0</v>
      </c>
      <c r="I90" s="543"/>
      <c r="J90" s="582">
        <f>'17'!K37</f>
        <v>0</v>
      </c>
      <c r="K90" s="582">
        <f>'17'!L37</f>
        <v>0</v>
      </c>
      <c r="M90" s="11">
        <f>SUM(J90:J91)</f>
        <v>0</v>
      </c>
    </row>
    <row r="91" spans="1:13" ht="18.75" customHeight="1">
      <c r="A91" s="525"/>
      <c r="B91" s="571"/>
      <c r="C91" s="543">
        <f>'17'!D38</f>
        <v>0</v>
      </c>
      <c r="D91" s="543">
        <f>'17'!E38</f>
        <v>0</v>
      </c>
      <c r="E91" s="575" t="str">
        <f>'17'!F38</f>
        <v>c</v>
      </c>
      <c r="F91" s="543">
        <f>'17'!G38</f>
        <v>0</v>
      </c>
      <c r="G91" s="543">
        <f>'17'!H38</f>
        <v>0</v>
      </c>
      <c r="H91" s="543">
        <f>'17'!I38</f>
        <v>0</v>
      </c>
      <c r="I91" s="543"/>
      <c r="J91" s="582">
        <f>'17'!K38</f>
        <v>0</v>
      </c>
      <c r="K91" s="582">
        <f>'17'!L38</f>
        <v>0</v>
      </c>
      <c r="M91" s="11">
        <f>SUM(K90:K91)</f>
        <v>0</v>
      </c>
    </row>
    <row r="92" spans="1:13" ht="15.75" thickBot="1">
      <c r="A92" s="525"/>
      <c r="B92" s="552"/>
      <c r="C92" s="553" t="str">
        <f>'17'!C39</f>
        <v>a</v>
      </c>
      <c r="D92" s="553"/>
      <c r="E92" s="553"/>
      <c r="F92" s="553"/>
      <c r="G92" s="553"/>
      <c r="H92" s="553"/>
      <c r="I92" s="553"/>
      <c r="J92" s="580"/>
      <c r="K92" s="603"/>
      <c r="L92" s="605" t="str">
        <f>IF(M90-M91=0,$M$1,$M$2)</f>
        <v>√</v>
      </c>
    </row>
    <row r="93" spans="1:13" ht="15.75" thickBot="1">
      <c r="A93" s="393"/>
      <c r="B93" s="541"/>
      <c r="C93" s="454"/>
      <c r="D93" s="445"/>
      <c r="E93" s="445"/>
      <c r="F93" s="459"/>
      <c r="G93" s="458"/>
      <c r="H93" s="393"/>
      <c r="I93" s="5"/>
      <c r="J93" s="581"/>
      <c r="K93" s="581"/>
    </row>
    <row r="94" spans="1:13">
      <c r="A94" s="525"/>
      <c r="B94" s="556" t="s">
        <v>1477</v>
      </c>
      <c r="C94" s="557" t="s">
        <v>1478</v>
      </c>
      <c r="D94" s="557" t="s">
        <v>6</v>
      </c>
      <c r="E94" s="1891" t="s">
        <v>1356</v>
      </c>
      <c r="F94" s="1891"/>
      <c r="G94" s="1891"/>
      <c r="H94" s="1891"/>
      <c r="I94" s="1891"/>
      <c r="J94" s="578" t="s">
        <v>1357</v>
      </c>
      <c r="K94" s="601" t="s">
        <v>1358</v>
      </c>
    </row>
    <row r="95" spans="1:13">
      <c r="A95" s="525"/>
      <c r="B95" s="564"/>
      <c r="C95" s="565"/>
      <c r="D95" s="565"/>
      <c r="E95" s="565"/>
      <c r="F95" s="566"/>
      <c r="G95" s="566"/>
      <c r="H95" s="567"/>
      <c r="I95" s="567"/>
      <c r="J95" s="579"/>
      <c r="K95" s="602"/>
    </row>
    <row r="96" spans="1:13" ht="18.75" customHeight="1">
      <c r="A96" s="525"/>
      <c r="B96" s="562">
        <v>19</v>
      </c>
      <c r="C96" s="543" t="str">
        <f>'19'!D38</f>
        <v>AA-10</v>
      </c>
      <c r="D96" s="543">
        <f>'19'!E38</f>
        <v>0</v>
      </c>
      <c r="E96" s="575" t="str">
        <f>'19'!F38</f>
        <v>c</v>
      </c>
      <c r="F96" s="543">
        <f>'19'!G38</f>
        <v>0</v>
      </c>
      <c r="G96" s="543">
        <f>'19'!H38</f>
        <v>0</v>
      </c>
      <c r="H96" s="543">
        <f>'19'!I38</f>
        <v>0</v>
      </c>
      <c r="I96" s="543"/>
      <c r="J96" s="582">
        <f>'19'!K38</f>
        <v>0</v>
      </c>
      <c r="K96" s="582">
        <f>'19'!L38</f>
        <v>0</v>
      </c>
      <c r="M96" s="11">
        <f>SUM(J96:J97)</f>
        <v>0</v>
      </c>
    </row>
    <row r="97" spans="1:13" ht="18.75" customHeight="1">
      <c r="A97" s="525"/>
      <c r="B97" s="571"/>
      <c r="C97" s="543">
        <f>'19'!D39</f>
        <v>0</v>
      </c>
      <c r="D97" s="543">
        <f>'19'!E39</f>
        <v>0</v>
      </c>
      <c r="E97" s="575" t="str">
        <f>'19'!F39</f>
        <v>c</v>
      </c>
      <c r="F97" s="543">
        <f>'19'!G39</f>
        <v>0</v>
      </c>
      <c r="G97" s="543">
        <f>'19'!H39</f>
        <v>0</v>
      </c>
      <c r="H97" s="543">
        <f>'19'!I39</f>
        <v>0</v>
      </c>
      <c r="I97" s="543"/>
      <c r="J97" s="582">
        <f>'19'!K39</f>
        <v>0</v>
      </c>
      <c r="K97" s="582">
        <f>'19'!L39</f>
        <v>0</v>
      </c>
      <c r="M97" s="11">
        <f>SUM(K96:K97)</f>
        <v>0</v>
      </c>
    </row>
    <row r="98" spans="1:13" ht="15.75" thickBot="1">
      <c r="A98" s="525"/>
      <c r="B98" s="552"/>
      <c r="C98" s="553" t="str">
        <f>'19'!C40</f>
        <v>a</v>
      </c>
      <c r="D98" s="553"/>
      <c r="E98" s="553"/>
      <c r="F98" s="553"/>
      <c r="G98" s="553"/>
      <c r="H98" s="553"/>
      <c r="I98" s="553"/>
      <c r="J98" s="580"/>
      <c r="K98" s="603"/>
      <c r="L98" s="605" t="str">
        <f>IF(M96-M97=0,$M$1,$M$2)</f>
        <v>√</v>
      </c>
    </row>
    <row r="99" spans="1:13" ht="15.75" thickBot="1">
      <c r="A99" s="393"/>
      <c r="B99" s="541"/>
      <c r="C99" s="454"/>
      <c r="D99" s="445"/>
      <c r="E99" s="445"/>
      <c r="F99" s="459"/>
      <c r="G99" s="458"/>
      <c r="H99" s="393"/>
      <c r="I99" s="5"/>
      <c r="J99" s="581"/>
      <c r="K99" s="581"/>
    </row>
    <row r="100" spans="1:13">
      <c r="A100" s="525"/>
      <c r="B100" s="556" t="s">
        <v>1477</v>
      </c>
      <c r="C100" s="557" t="s">
        <v>1478</v>
      </c>
      <c r="D100" s="557" t="s">
        <v>6</v>
      </c>
      <c r="E100" s="1891" t="s">
        <v>1356</v>
      </c>
      <c r="F100" s="1891"/>
      <c r="G100" s="1891"/>
      <c r="H100" s="1891"/>
      <c r="I100" s="1891"/>
      <c r="J100" s="578" t="s">
        <v>1357</v>
      </c>
      <c r="K100" s="601" t="s">
        <v>1358</v>
      </c>
    </row>
    <row r="101" spans="1:13">
      <c r="A101" s="525"/>
      <c r="B101" s="564"/>
      <c r="C101" s="565"/>
      <c r="D101" s="565"/>
      <c r="E101" s="565"/>
      <c r="F101" s="566"/>
      <c r="G101" s="566"/>
      <c r="H101" s="567"/>
      <c r="I101" s="567"/>
      <c r="J101" s="579"/>
      <c r="K101" s="602"/>
    </row>
    <row r="102" spans="1:13" ht="18.75" customHeight="1">
      <c r="A102" s="525"/>
      <c r="B102" s="562">
        <v>20</v>
      </c>
      <c r="C102" s="543" t="str">
        <f>'20'!D46</f>
        <v>AA-20</v>
      </c>
      <c r="D102" s="543">
        <f>'20'!E46</f>
        <v>0</v>
      </c>
      <c r="E102" s="575" t="str">
        <f>'20'!F46</f>
        <v>c</v>
      </c>
      <c r="F102" s="543">
        <f>'20'!G46</f>
        <v>0</v>
      </c>
      <c r="G102" s="543">
        <f>'20'!H46</f>
        <v>0</v>
      </c>
      <c r="H102" s="543">
        <f>'20'!I46</f>
        <v>0</v>
      </c>
      <c r="I102" s="543"/>
      <c r="J102" s="582">
        <f>'20'!K46</f>
        <v>0</v>
      </c>
      <c r="K102" s="582">
        <f>'20'!L46</f>
        <v>0</v>
      </c>
      <c r="M102" s="11">
        <f>SUM(J102:J103)</f>
        <v>0</v>
      </c>
    </row>
    <row r="103" spans="1:13" ht="18.75" customHeight="1">
      <c r="A103" s="525"/>
      <c r="B103" s="571"/>
      <c r="C103" s="543">
        <f>'20'!D47</f>
        <v>0</v>
      </c>
      <c r="D103" s="543">
        <f>'20'!E47</f>
        <v>0</v>
      </c>
      <c r="E103" s="575" t="str">
        <f>'20'!F47</f>
        <v>c</v>
      </c>
      <c r="F103" s="543">
        <f>'20'!G47</f>
        <v>0</v>
      </c>
      <c r="G103" s="543">
        <f>'20'!H47</f>
        <v>0</v>
      </c>
      <c r="H103" s="543">
        <f>'20'!I47</f>
        <v>0</v>
      </c>
      <c r="I103" s="543"/>
      <c r="J103" s="582">
        <f>'20'!K47</f>
        <v>0</v>
      </c>
      <c r="K103" s="582">
        <f>'20'!L47</f>
        <v>0</v>
      </c>
      <c r="M103" s="11">
        <f>SUM(K102:K103)</f>
        <v>0</v>
      </c>
    </row>
    <row r="104" spans="1:13" ht="15.75" thickBot="1">
      <c r="A104" s="525"/>
      <c r="B104" s="552"/>
      <c r="C104" s="553" t="str">
        <f>'20'!C48</f>
        <v>a</v>
      </c>
      <c r="D104" s="553"/>
      <c r="E104" s="553"/>
      <c r="F104" s="553"/>
      <c r="G104" s="553"/>
      <c r="H104" s="553"/>
      <c r="I104" s="553"/>
      <c r="J104" s="580"/>
      <c r="K104" s="603"/>
      <c r="L104" s="605" t="str">
        <f>IF(M102-M103=0,$M$1,$M$2)</f>
        <v>√</v>
      </c>
    </row>
    <row r="105" spans="1:13" ht="15.75" thickBot="1">
      <c r="A105" s="393"/>
      <c r="B105" s="541"/>
      <c r="C105" s="454"/>
      <c r="D105" s="445"/>
      <c r="E105" s="445"/>
      <c r="F105" s="459"/>
      <c r="G105" s="458"/>
      <c r="H105" s="393"/>
      <c r="I105" s="5"/>
      <c r="J105" s="581"/>
      <c r="K105" s="581"/>
    </row>
    <row r="106" spans="1:13">
      <c r="A106" s="525"/>
      <c r="B106" s="556" t="s">
        <v>1477</v>
      </c>
      <c r="C106" s="557" t="s">
        <v>1478</v>
      </c>
      <c r="D106" s="557" t="s">
        <v>6</v>
      </c>
      <c r="E106" s="1891" t="s">
        <v>1356</v>
      </c>
      <c r="F106" s="1891"/>
      <c r="G106" s="1891"/>
      <c r="H106" s="1891"/>
      <c r="I106" s="1891"/>
      <c r="J106" s="578" t="s">
        <v>1357</v>
      </c>
      <c r="K106" s="601" t="s">
        <v>1358</v>
      </c>
    </row>
    <row r="107" spans="1:13">
      <c r="A107" s="525"/>
      <c r="B107" s="564"/>
      <c r="C107" s="565"/>
      <c r="D107" s="565"/>
      <c r="E107" s="565"/>
      <c r="F107" s="566"/>
      <c r="G107" s="566"/>
      <c r="H107" s="567"/>
      <c r="I107" s="567"/>
      <c r="J107" s="579"/>
      <c r="K107" s="602"/>
    </row>
    <row r="108" spans="1:13" ht="18.75" customHeight="1">
      <c r="A108" s="525"/>
      <c r="B108" s="562">
        <v>21</v>
      </c>
      <c r="C108" s="543" t="str">
        <f>'21'!D44</f>
        <v>AA-30</v>
      </c>
      <c r="D108" s="543">
        <f>'21'!E44</f>
        <v>0</v>
      </c>
      <c r="E108" s="575" t="str">
        <f>'21'!F44</f>
        <v>c</v>
      </c>
      <c r="F108" s="543">
        <f>'21'!G44</f>
        <v>0</v>
      </c>
      <c r="G108" s="543">
        <f>'21'!H44</f>
        <v>0</v>
      </c>
      <c r="H108" s="543">
        <f>'21'!I44</f>
        <v>0</v>
      </c>
      <c r="I108" s="543"/>
      <c r="J108" s="582">
        <f>'21'!K44</f>
        <v>0</v>
      </c>
      <c r="K108" s="582">
        <f>'21'!L44</f>
        <v>0</v>
      </c>
      <c r="M108" s="11">
        <f>SUM(J108:J109)</f>
        <v>0</v>
      </c>
    </row>
    <row r="109" spans="1:13" ht="18.75" customHeight="1">
      <c r="A109" s="525"/>
      <c r="B109" s="571"/>
      <c r="C109" s="543">
        <f>'21'!D45</f>
        <v>0</v>
      </c>
      <c r="D109" s="543">
        <f>'21'!E45</f>
        <v>0</v>
      </c>
      <c r="E109" s="575" t="str">
        <f>'21'!F45</f>
        <v>c</v>
      </c>
      <c r="F109" s="543">
        <f>'21'!G45</f>
        <v>0</v>
      </c>
      <c r="G109" s="543">
        <f>'21'!H45</f>
        <v>0</v>
      </c>
      <c r="H109" s="543">
        <f>'21'!I45</f>
        <v>0</v>
      </c>
      <c r="I109" s="543"/>
      <c r="J109" s="582">
        <f>'21'!K45</f>
        <v>0</v>
      </c>
      <c r="K109" s="582">
        <f>'21'!L45</f>
        <v>0</v>
      </c>
      <c r="M109" s="11">
        <f>SUM(K108:K109)</f>
        <v>0</v>
      </c>
    </row>
    <row r="110" spans="1:13" ht="15.75" thickBot="1">
      <c r="A110" s="525"/>
      <c r="B110" s="552"/>
      <c r="C110" s="553" t="str">
        <f>'21'!C46</f>
        <v>a</v>
      </c>
      <c r="D110" s="553"/>
      <c r="E110" s="553"/>
      <c r="F110" s="553"/>
      <c r="G110" s="553"/>
      <c r="H110" s="553"/>
      <c r="I110" s="553"/>
      <c r="J110" s="580"/>
      <c r="K110" s="603"/>
      <c r="L110" s="605" t="str">
        <f>IF(M108-M109=0,$M$1,$M$2)</f>
        <v>√</v>
      </c>
    </row>
    <row r="111" spans="1:13" ht="15.75" thickBot="1">
      <c r="A111" s="393"/>
      <c r="B111" s="541"/>
      <c r="C111" s="454"/>
      <c r="D111" s="445"/>
      <c r="E111" s="445"/>
      <c r="F111" s="459"/>
      <c r="G111" s="458"/>
      <c r="H111" s="393"/>
      <c r="I111" s="5"/>
      <c r="J111" s="581"/>
      <c r="K111" s="581"/>
    </row>
    <row r="112" spans="1:13">
      <c r="A112" s="525"/>
      <c r="B112" s="556" t="s">
        <v>1477</v>
      </c>
      <c r="C112" s="557" t="s">
        <v>1478</v>
      </c>
      <c r="D112" s="557" t="s">
        <v>6</v>
      </c>
      <c r="E112" s="1891" t="s">
        <v>1356</v>
      </c>
      <c r="F112" s="1891"/>
      <c r="G112" s="1891"/>
      <c r="H112" s="1891"/>
      <c r="I112" s="1891"/>
      <c r="J112" s="578" t="s">
        <v>1357</v>
      </c>
      <c r="K112" s="601" t="s">
        <v>1358</v>
      </c>
    </row>
    <row r="113" spans="1:13">
      <c r="A113" s="525"/>
      <c r="B113" s="564"/>
      <c r="C113" s="565"/>
      <c r="D113" s="565"/>
      <c r="E113" s="565"/>
      <c r="F113" s="566"/>
      <c r="G113" s="566"/>
      <c r="H113" s="567"/>
      <c r="I113" s="567"/>
      <c r="J113" s="579"/>
      <c r="K113" s="602"/>
    </row>
    <row r="114" spans="1:13" ht="18.75" customHeight="1">
      <c r="A114" s="525"/>
      <c r="B114" s="562">
        <v>22</v>
      </c>
      <c r="C114" s="543" t="str">
        <f>'22'!D44</f>
        <v>AA-40</v>
      </c>
      <c r="D114" s="543">
        <f>'22'!E44</f>
        <v>0</v>
      </c>
      <c r="E114" s="575" t="str">
        <f>'22'!F44</f>
        <v>c</v>
      </c>
      <c r="F114" s="543">
        <f>'22'!G44</f>
        <v>0</v>
      </c>
      <c r="G114" s="543">
        <f>'22'!H44</f>
        <v>0</v>
      </c>
      <c r="H114" s="543">
        <f>'22'!I44</f>
        <v>0</v>
      </c>
      <c r="I114" s="543"/>
      <c r="J114" s="582">
        <f>'22'!K44</f>
        <v>0</v>
      </c>
      <c r="K114" s="582">
        <f>'22'!L44</f>
        <v>0</v>
      </c>
      <c r="M114" s="11">
        <f>SUM(J114:J115)</f>
        <v>0</v>
      </c>
    </row>
    <row r="115" spans="1:13" ht="18.75" customHeight="1">
      <c r="A115" s="525"/>
      <c r="B115" s="571"/>
      <c r="C115" s="543">
        <f>'22'!D45</f>
        <v>0</v>
      </c>
      <c r="D115" s="543">
        <f>'22'!E45</f>
        <v>0</v>
      </c>
      <c r="E115" s="575" t="str">
        <f>'22'!F45</f>
        <v>c</v>
      </c>
      <c r="F115" s="543">
        <f>'22'!G45</f>
        <v>0</v>
      </c>
      <c r="G115" s="543">
        <f>'22'!H45</f>
        <v>0</v>
      </c>
      <c r="H115" s="543">
        <f>'22'!I45</f>
        <v>0</v>
      </c>
      <c r="I115" s="543"/>
      <c r="J115" s="582">
        <f>'22'!K45</f>
        <v>0</v>
      </c>
      <c r="K115" s="582">
        <f>'22'!L45</f>
        <v>0</v>
      </c>
      <c r="M115" s="11">
        <f>SUM(K114:K115)</f>
        <v>0</v>
      </c>
    </row>
    <row r="116" spans="1:13" ht="15.75" thickBot="1">
      <c r="A116" s="525"/>
      <c r="B116" s="552"/>
      <c r="C116" s="553" t="str">
        <f>'22'!C46</f>
        <v>a</v>
      </c>
      <c r="D116" s="553"/>
      <c r="E116" s="553"/>
      <c r="F116" s="553"/>
      <c r="G116" s="553"/>
      <c r="H116" s="553"/>
      <c r="I116" s="553"/>
      <c r="J116" s="580"/>
      <c r="K116" s="603"/>
      <c r="L116" s="605" t="str">
        <f>IF(M114-M115=0,$M$1,$M$2)</f>
        <v>√</v>
      </c>
    </row>
    <row r="117" spans="1:13" ht="15.75" thickBot="1">
      <c r="A117" s="393"/>
      <c r="B117" s="541"/>
      <c r="C117" s="454"/>
      <c r="D117" s="445"/>
      <c r="E117" s="445"/>
      <c r="F117" s="459"/>
      <c r="G117" s="458"/>
      <c r="H117" s="393"/>
      <c r="I117" s="5"/>
      <c r="J117" s="581"/>
      <c r="K117" s="581"/>
    </row>
    <row r="118" spans="1:13">
      <c r="A118" s="525"/>
      <c r="B118" s="556" t="s">
        <v>1477</v>
      </c>
      <c r="C118" s="557" t="s">
        <v>1478</v>
      </c>
      <c r="D118" s="557" t="s">
        <v>6</v>
      </c>
      <c r="E118" s="1891" t="s">
        <v>1356</v>
      </c>
      <c r="F118" s="1891"/>
      <c r="G118" s="1891"/>
      <c r="H118" s="1891"/>
      <c r="I118" s="1891"/>
      <c r="J118" s="578" t="s">
        <v>1357</v>
      </c>
      <c r="K118" s="601" t="s">
        <v>1358</v>
      </c>
      <c r="M118" s="11"/>
    </row>
    <row r="119" spans="1:13">
      <c r="A119" s="525"/>
      <c r="B119" s="564"/>
      <c r="C119" s="565"/>
      <c r="D119" s="565"/>
      <c r="E119" s="565"/>
      <c r="F119" s="566"/>
      <c r="G119" s="566"/>
      <c r="H119" s="567"/>
      <c r="I119" s="567"/>
      <c r="J119" s="579"/>
      <c r="K119" s="602"/>
      <c r="M119" s="11"/>
    </row>
    <row r="120" spans="1:13" ht="18.75" customHeight="1">
      <c r="A120" s="525"/>
      <c r="B120" s="562">
        <v>23</v>
      </c>
      <c r="C120" s="543" t="str">
        <f>'23'!D30</f>
        <v>AA-50</v>
      </c>
      <c r="D120" s="543">
        <f>'23'!E30</f>
        <v>0</v>
      </c>
      <c r="E120" s="575" t="str">
        <f>'23'!F30</f>
        <v>c</v>
      </c>
      <c r="F120" s="543">
        <f>'23'!G30</f>
        <v>0</v>
      </c>
      <c r="G120" s="543">
        <f>'23'!H30</f>
        <v>0</v>
      </c>
      <c r="H120" s="543">
        <f>'23'!I30</f>
        <v>0</v>
      </c>
      <c r="I120" s="543"/>
      <c r="J120" s="582">
        <f>'23'!K30</f>
        <v>0</v>
      </c>
      <c r="K120" s="582">
        <f>'23'!L30</f>
        <v>0</v>
      </c>
      <c r="M120" s="11">
        <f>SUM(J120:J121)</f>
        <v>0</v>
      </c>
    </row>
    <row r="121" spans="1:13" ht="18.75" customHeight="1">
      <c r="A121" s="525"/>
      <c r="B121" s="571"/>
      <c r="C121" s="543">
        <f>'23'!D31</f>
        <v>0</v>
      </c>
      <c r="D121" s="543">
        <f>'23'!E31</f>
        <v>0</v>
      </c>
      <c r="E121" s="575" t="str">
        <f>'23'!F31</f>
        <v>c</v>
      </c>
      <c r="F121" s="543">
        <f>'23'!G31</f>
        <v>0</v>
      </c>
      <c r="G121" s="543">
        <f>'23'!H31</f>
        <v>0</v>
      </c>
      <c r="H121" s="543">
        <f>'23'!I31</f>
        <v>0</v>
      </c>
      <c r="I121" s="543"/>
      <c r="J121" s="582">
        <f>'23'!K31</f>
        <v>0</v>
      </c>
      <c r="K121" s="582">
        <f>'23'!L31</f>
        <v>0</v>
      </c>
      <c r="M121" s="11">
        <f>SUM(K120:K121)</f>
        <v>0</v>
      </c>
    </row>
    <row r="122" spans="1:13" ht="15.75" thickBot="1">
      <c r="A122" s="525"/>
      <c r="B122" s="552"/>
      <c r="C122" s="553" t="str">
        <f>'23'!C40</f>
        <v>b</v>
      </c>
      <c r="D122" s="553"/>
      <c r="E122" s="553"/>
      <c r="F122" s="553"/>
      <c r="G122" s="553"/>
      <c r="H122" s="553"/>
      <c r="I122" s="553"/>
      <c r="J122" s="580"/>
      <c r="K122" s="603"/>
      <c r="L122" s="605" t="str">
        <f>IF(M120-M121=0,$M$1,$M$2)</f>
        <v>√</v>
      </c>
    </row>
    <row r="123" spans="1:13">
      <c r="A123" s="393"/>
      <c r="B123" s="541"/>
      <c r="C123" s="454"/>
      <c r="D123" s="445"/>
      <c r="E123" s="445"/>
      <c r="F123" s="459"/>
      <c r="G123" s="458"/>
      <c r="H123" s="393"/>
      <c r="I123" s="5"/>
      <c r="J123" s="581"/>
      <c r="K123" s="581"/>
    </row>
  </sheetData>
  <mergeCells count="21">
    <mergeCell ref="E22:I22"/>
    <mergeCell ref="E28:I28"/>
    <mergeCell ref="E7:F7"/>
    <mergeCell ref="E10:I10"/>
    <mergeCell ref="E16:I16"/>
    <mergeCell ref="B1:K1"/>
    <mergeCell ref="B2:K2"/>
    <mergeCell ref="E58:I58"/>
    <mergeCell ref="E64:I64"/>
    <mergeCell ref="E70:I70"/>
    <mergeCell ref="E40:I40"/>
    <mergeCell ref="E46:I46"/>
    <mergeCell ref="E52:I52"/>
    <mergeCell ref="E112:I112"/>
    <mergeCell ref="E118:I118"/>
    <mergeCell ref="E94:I94"/>
    <mergeCell ref="E100:I100"/>
    <mergeCell ref="E106:I106"/>
    <mergeCell ref="E76:I76"/>
    <mergeCell ref="E82:I82"/>
    <mergeCell ref="E88:I88"/>
  </mergeCells>
  <dataValidations count="1">
    <dataValidation type="list" allowBlank="1" showInputMessage="1" showErrorMessage="1" sqref="K8">
      <formula1>$G$3:$G$5</formula1>
    </dataValidation>
  </dataValidations>
  <hyperlinks>
    <hyperlink ref="I8" location="IPT!A1" display="INDICE"/>
  </hyperlinks>
  <pageMargins left="0.7" right="0.7" top="0.75" bottom="0.75" header="0.3" footer="0.3"/>
  <pageSetup orientation="portrait" horizontalDpi="4294967293" verticalDpi="4294967293"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123"/>
  <sheetViews>
    <sheetView workbookViewId="0">
      <selection activeCell="N79" sqref="N79"/>
    </sheetView>
  </sheetViews>
  <sheetFormatPr baseColWidth="10" defaultColWidth="9.140625" defaultRowHeight="15"/>
  <cols>
    <col min="1" max="1" width="4.140625" customWidth="1"/>
    <col min="2" max="2" width="6.7109375" customWidth="1"/>
    <col min="3" max="3" width="13.5703125" customWidth="1"/>
    <col min="4" max="4" width="11.42578125" customWidth="1"/>
    <col min="5" max="5" width="35.5703125" customWidth="1"/>
    <col min="6" max="6" width="3" style="460" hidden="1" customWidth="1"/>
    <col min="7" max="7" width="5.5703125" style="460" hidden="1" customWidth="1"/>
    <col min="8" max="8" width="5.5703125" hidden="1" customWidth="1"/>
    <col min="9" max="9" width="11.42578125" customWidth="1"/>
    <col min="10" max="11" width="15.28515625" style="607" customWidth="1"/>
    <col min="12" max="12" width="8" customWidth="1"/>
    <col min="13" max="13" width="11.42578125" hidden="1" customWidth="1"/>
  </cols>
  <sheetData>
    <row r="1" spans="1:14">
      <c r="B1" s="2073" t="str">
        <f>BALANZA!B1</f>
        <v>CORPORACION DEL ACUEDUCTO Y ALCANTARILLADO DE MOCA</v>
      </c>
      <c r="C1" s="2073"/>
      <c r="D1" s="2073"/>
      <c r="E1" s="2073"/>
      <c r="F1" s="2073"/>
      <c r="G1" s="2073"/>
      <c r="H1" s="2073"/>
      <c r="I1" s="2073"/>
      <c r="J1" s="2073"/>
      <c r="K1" s="2073"/>
      <c r="M1" s="604" t="s">
        <v>1566</v>
      </c>
    </row>
    <row r="2" spans="1:14">
      <c r="B2" s="2074" t="str">
        <f>BALANZA!B2</f>
        <v>Del Ejercicio terminado el  31 de marzo de 2026  y  2025</v>
      </c>
      <c r="C2" s="2074"/>
      <c r="D2" s="2074"/>
      <c r="E2" s="2074"/>
      <c r="F2" s="2074"/>
      <c r="G2" s="2074"/>
      <c r="H2" s="2074"/>
      <c r="I2" s="2074"/>
      <c r="J2" s="2074"/>
      <c r="K2" s="2074"/>
      <c r="M2" t="s">
        <v>1567</v>
      </c>
    </row>
    <row r="3" spans="1:14" hidden="1">
      <c r="B3" s="522"/>
      <c r="G3" s="535" t="s">
        <v>1532</v>
      </c>
    </row>
    <row r="4" spans="1:14" hidden="1">
      <c r="G4" s="535" t="s">
        <v>1533</v>
      </c>
    </row>
    <row r="5" spans="1:14" hidden="1">
      <c r="G5" s="535" t="s">
        <v>1531</v>
      </c>
    </row>
    <row r="6" spans="1:14">
      <c r="N6" s="614"/>
    </row>
    <row r="7" spans="1:14">
      <c r="A7" s="535"/>
      <c r="B7" s="535"/>
      <c r="C7" s="535"/>
      <c r="D7" s="535"/>
      <c r="E7" s="1950" t="s">
        <v>1568</v>
      </c>
      <c r="F7" s="1950"/>
      <c r="G7" s="455"/>
      <c r="H7" s="392"/>
    </row>
    <row r="8" spans="1:14">
      <c r="A8" s="535"/>
      <c r="B8" s="402"/>
      <c r="C8" s="402"/>
      <c r="D8" s="402"/>
      <c r="H8" s="535"/>
      <c r="I8" s="539" t="s">
        <v>1355</v>
      </c>
      <c r="J8" s="577" t="str">
        <f>IPT!C42</f>
        <v>A/A</v>
      </c>
      <c r="K8" s="613" t="s">
        <v>1533</v>
      </c>
    </row>
    <row r="9" spans="1:14" ht="15.75" thickBot="1">
      <c r="A9" s="374"/>
      <c r="B9" s="451"/>
      <c r="C9" s="452"/>
      <c r="D9" s="452"/>
      <c r="E9" s="452"/>
      <c r="F9" s="456"/>
      <c r="G9" s="457"/>
      <c r="H9" s="374"/>
      <c r="J9" s="599"/>
      <c r="K9" s="599"/>
    </row>
    <row r="10" spans="1:14">
      <c r="A10" s="535"/>
      <c r="B10" s="556" t="s">
        <v>1477</v>
      </c>
      <c r="C10" s="558" t="s">
        <v>1478</v>
      </c>
      <c r="D10" s="558" t="s">
        <v>6</v>
      </c>
      <c r="E10" s="1891" t="s">
        <v>1356</v>
      </c>
      <c r="F10" s="1891"/>
      <c r="G10" s="1891"/>
      <c r="H10" s="1891"/>
      <c r="I10" s="1891"/>
      <c r="J10" s="578" t="s">
        <v>1357</v>
      </c>
      <c r="K10" s="601" t="s">
        <v>1358</v>
      </c>
    </row>
    <row r="11" spans="1:14">
      <c r="A11" s="535"/>
      <c r="B11" s="564"/>
      <c r="C11" s="565"/>
      <c r="D11" s="565"/>
      <c r="E11" s="565"/>
      <c r="F11" s="566"/>
      <c r="G11" s="566"/>
      <c r="H11" s="567"/>
      <c r="I11" s="567"/>
      <c r="J11" s="608"/>
      <c r="K11" s="609"/>
    </row>
    <row r="12" spans="1:14" ht="18.75" customHeight="1">
      <c r="A12" s="535"/>
      <c r="B12" s="562">
        <v>1</v>
      </c>
      <c r="C12" s="543" t="str">
        <f>'1'!D54</f>
        <v>A</v>
      </c>
      <c r="D12" s="543">
        <f>'1'!E54</f>
        <v>0</v>
      </c>
      <c r="E12" s="575" t="str">
        <f>'1'!F54</f>
        <v>caja</v>
      </c>
      <c r="F12" s="543">
        <f>'1'!G54</f>
        <v>0</v>
      </c>
      <c r="G12" s="543">
        <f>'1'!H54</f>
        <v>0</v>
      </c>
      <c r="H12" s="543">
        <f>'1'!I54</f>
        <v>0</v>
      </c>
      <c r="I12" s="543"/>
      <c r="J12" s="582">
        <f>'1'!K54</f>
        <v>0</v>
      </c>
      <c r="K12" s="582">
        <f>'1'!L54</f>
        <v>0</v>
      </c>
      <c r="M12" s="11">
        <f>SUM(J12:J13)</f>
        <v>0</v>
      </c>
    </row>
    <row r="13" spans="1:14" ht="18.75" customHeight="1">
      <c r="A13" s="535"/>
      <c r="B13" s="571"/>
      <c r="C13" s="543">
        <f>'1'!D55</f>
        <v>0</v>
      </c>
      <c r="D13" s="543">
        <f>'1'!E55</f>
        <v>0</v>
      </c>
      <c r="E13" s="575" t="str">
        <f>'1'!F55</f>
        <v>caja</v>
      </c>
      <c r="F13" s="543">
        <f>'1'!G55</f>
        <v>0</v>
      </c>
      <c r="G13" s="543">
        <f>'1'!H55</f>
        <v>0</v>
      </c>
      <c r="H13" s="543">
        <f>'1'!I55</f>
        <v>0</v>
      </c>
      <c r="I13" s="543"/>
      <c r="J13" s="582">
        <f>'1'!K55</f>
        <v>0</v>
      </c>
      <c r="K13" s="582">
        <f>'1'!L55</f>
        <v>0</v>
      </c>
      <c r="M13" s="11">
        <f>SUM(K12:K13)</f>
        <v>0</v>
      </c>
    </row>
    <row r="14" spans="1:14" ht="15.75" thickBot="1">
      <c r="A14" s="535"/>
      <c r="B14" s="552"/>
      <c r="C14" s="606" t="str">
        <f>'1'!C56</f>
        <v>b</v>
      </c>
      <c r="D14" s="553"/>
      <c r="E14" s="553"/>
      <c r="F14" s="553"/>
      <c r="G14" s="553"/>
      <c r="H14" s="553"/>
      <c r="I14" s="553"/>
      <c r="J14" s="610"/>
      <c r="K14" s="611"/>
      <c r="L14" s="605" t="str">
        <f>IF(M12-M13=0,$M$1,$M$2)</f>
        <v>√</v>
      </c>
    </row>
    <row r="15" spans="1:14" ht="15.75" thickBot="1">
      <c r="A15" s="393"/>
      <c r="B15" s="541"/>
      <c r="C15" s="454"/>
      <c r="D15" s="445"/>
      <c r="E15" s="445"/>
      <c r="F15" s="459"/>
      <c r="G15" s="458"/>
      <c r="H15" s="393"/>
      <c r="I15" s="5"/>
      <c r="J15" s="612"/>
      <c r="K15" s="612"/>
    </row>
    <row r="16" spans="1:14">
      <c r="A16" s="535"/>
      <c r="B16" s="556" t="s">
        <v>1477</v>
      </c>
      <c r="C16" s="558" t="s">
        <v>1478</v>
      </c>
      <c r="D16" s="558" t="s">
        <v>6</v>
      </c>
      <c r="E16" s="1891" t="s">
        <v>1356</v>
      </c>
      <c r="F16" s="1891"/>
      <c r="G16" s="1891"/>
      <c r="H16" s="1891"/>
      <c r="I16" s="1891"/>
      <c r="J16" s="578" t="s">
        <v>1357</v>
      </c>
      <c r="K16" s="601" t="s">
        <v>1358</v>
      </c>
    </row>
    <row r="17" spans="1:13">
      <c r="A17" s="535"/>
      <c r="B17" s="564"/>
      <c r="C17" s="565"/>
      <c r="D17" s="565"/>
      <c r="E17" s="565"/>
      <c r="F17" s="566"/>
      <c r="G17" s="566"/>
      <c r="H17" s="567"/>
      <c r="I17" s="567"/>
      <c r="J17" s="608"/>
      <c r="K17" s="609"/>
    </row>
    <row r="18" spans="1:13" ht="18.75" customHeight="1">
      <c r="A18" s="535"/>
      <c r="B18" s="562">
        <v>2</v>
      </c>
      <c r="C18" s="543" t="str">
        <f>'2'!D45</f>
        <v>B</v>
      </c>
      <c r="D18" s="543">
        <f>'2'!E45</f>
        <v>0</v>
      </c>
      <c r="E18" s="575" t="str">
        <f>'2'!F45</f>
        <v>c</v>
      </c>
      <c r="F18" s="543">
        <f>'2'!G45</f>
        <v>0</v>
      </c>
      <c r="G18" s="543">
        <f>'2'!H45</f>
        <v>0</v>
      </c>
      <c r="H18" s="543">
        <f>'2'!I45</f>
        <v>0</v>
      </c>
      <c r="I18" s="543"/>
      <c r="J18" s="582">
        <f>'2'!K45</f>
        <v>5</v>
      </c>
      <c r="K18" s="582">
        <f>'2'!L45</f>
        <v>0</v>
      </c>
      <c r="M18" s="11">
        <f>SUM(J18:J19)</f>
        <v>5</v>
      </c>
    </row>
    <row r="19" spans="1:13" ht="18.75" customHeight="1">
      <c r="A19" s="535"/>
      <c r="B19" s="571"/>
      <c r="C19" s="543">
        <f>'2'!D46</f>
        <v>0</v>
      </c>
      <c r="D19" s="543">
        <f>'2'!E46</f>
        <v>0</v>
      </c>
      <c r="E19" s="575" t="str">
        <f>'2'!F46</f>
        <v>c</v>
      </c>
      <c r="F19" s="543">
        <f>'2'!G46</f>
        <v>0</v>
      </c>
      <c r="G19" s="543">
        <f>'2'!H46</f>
        <v>0</v>
      </c>
      <c r="H19" s="543">
        <f>'2'!I46</f>
        <v>0</v>
      </c>
      <c r="I19" s="543"/>
      <c r="J19" s="582">
        <f>'2'!K46</f>
        <v>0</v>
      </c>
      <c r="K19" s="582">
        <f>'2'!L46</f>
        <v>5</v>
      </c>
      <c r="M19" s="11">
        <f>SUM(K18:K19)</f>
        <v>5</v>
      </c>
    </row>
    <row r="20" spans="1:13" ht="15.75" thickBot="1">
      <c r="A20" s="535"/>
      <c r="B20" s="552"/>
      <c r="C20" s="606" t="str">
        <f>'2'!C47</f>
        <v>b</v>
      </c>
      <c r="D20" s="553"/>
      <c r="E20" s="553"/>
      <c r="F20" s="553"/>
      <c r="G20" s="553"/>
      <c r="H20" s="553"/>
      <c r="I20" s="553"/>
      <c r="J20" s="610"/>
      <c r="K20" s="611"/>
      <c r="L20" s="605" t="str">
        <f>IF(M18-M19=0,$M$1,$M$2)</f>
        <v>√</v>
      </c>
    </row>
    <row r="21" spans="1:13" ht="15.75" thickBot="1">
      <c r="A21" s="393"/>
      <c r="B21" s="541"/>
      <c r="C21" s="454"/>
      <c r="D21" s="445"/>
      <c r="E21" s="445"/>
      <c r="F21" s="459"/>
      <c r="G21" s="458"/>
      <c r="H21" s="393"/>
      <c r="I21" s="5"/>
      <c r="J21" s="612"/>
      <c r="K21" s="612"/>
    </row>
    <row r="22" spans="1:13">
      <c r="A22" s="535"/>
      <c r="B22" s="556" t="s">
        <v>1477</v>
      </c>
      <c r="C22" s="558" t="s">
        <v>1478</v>
      </c>
      <c r="D22" s="558" t="s">
        <v>6</v>
      </c>
      <c r="E22" s="1891" t="s">
        <v>1356</v>
      </c>
      <c r="F22" s="1891"/>
      <c r="G22" s="1891"/>
      <c r="H22" s="1891"/>
      <c r="I22" s="1891"/>
      <c r="J22" s="578" t="s">
        <v>1357</v>
      </c>
      <c r="K22" s="601" t="s">
        <v>1358</v>
      </c>
    </row>
    <row r="23" spans="1:13">
      <c r="A23" s="535"/>
      <c r="B23" s="564"/>
      <c r="C23" s="565"/>
      <c r="D23" s="565"/>
      <c r="E23" s="565"/>
      <c r="F23" s="566"/>
      <c r="G23" s="566"/>
      <c r="H23" s="567"/>
      <c r="I23" s="567"/>
      <c r="J23" s="608"/>
      <c r="K23" s="609"/>
    </row>
    <row r="24" spans="1:13" ht="18.75" customHeight="1">
      <c r="A24" s="535"/>
      <c r="B24" s="562">
        <v>3</v>
      </c>
      <c r="C24" s="543" t="str">
        <f>'3'!D45</f>
        <v>B-1</v>
      </c>
      <c r="D24" s="543">
        <f>'3'!E45</f>
        <v>0</v>
      </c>
      <c r="E24" s="575" t="str">
        <f>'3'!F45</f>
        <v>c</v>
      </c>
      <c r="F24" s="543">
        <f>'3'!G45</f>
        <v>0</v>
      </c>
      <c r="G24" s="543">
        <f>'3'!H45</f>
        <v>0</v>
      </c>
      <c r="H24" s="543">
        <f>'3'!I45</f>
        <v>0</v>
      </c>
      <c r="I24" s="543"/>
      <c r="J24" s="582">
        <f>'3'!K45</f>
        <v>0</v>
      </c>
      <c r="K24" s="582">
        <f>'3'!L45</f>
        <v>0</v>
      </c>
      <c r="M24" s="11">
        <f>SUM(J24:J25)</f>
        <v>0</v>
      </c>
    </row>
    <row r="25" spans="1:13" ht="18.75" customHeight="1">
      <c r="A25" s="535"/>
      <c r="B25" s="571"/>
      <c r="C25" s="543">
        <f>'3'!D46</f>
        <v>0</v>
      </c>
      <c r="D25" s="543">
        <f>'3'!E46</f>
        <v>0</v>
      </c>
      <c r="E25" s="575" t="str">
        <f>'3'!F46</f>
        <v>c</v>
      </c>
      <c r="F25" s="543">
        <f>'3'!G46</f>
        <v>0</v>
      </c>
      <c r="G25" s="543">
        <f>'3'!H46</f>
        <v>0</v>
      </c>
      <c r="H25" s="543">
        <f>'3'!I46</f>
        <v>0</v>
      </c>
      <c r="I25" s="543"/>
      <c r="J25" s="582">
        <f>'3'!K46</f>
        <v>0</v>
      </c>
      <c r="K25" s="582">
        <f>'3'!L46</f>
        <v>0</v>
      </c>
      <c r="M25" s="11">
        <f>SUM(K24:K25)</f>
        <v>0</v>
      </c>
    </row>
    <row r="26" spans="1:13" ht="15.75" thickBot="1">
      <c r="A26" s="535"/>
      <c r="B26" s="552"/>
      <c r="C26" s="606" t="str">
        <f>'3'!C47</f>
        <v>b</v>
      </c>
      <c r="D26" s="553"/>
      <c r="E26" s="553"/>
      <c r="F26" s="553"/>
      <c r="G26" s="553"/>
      <c r="H26" s="553"/>
      <c r="I26" s="553"/>
      <c r="J26" s="610"/>
      <c r="K26" s="611"/>
      <c r="L26" s="605" t="str">
        <f>IF(M24-M25=0,$M$1,$M$2)</f>
        <v>√</v>
      </c>
    </row>
    <row r="27" spans="1:13" ht="15.75" thickBot="1">
      <c r="A27" s="393"/>
      <c r="B27" s="541"/>
      <c r="C27" s="454"/>
      <c r="D27" s="445"/>
      <c r="E27" s="445"/>
      <c r="F27" s="459"/>
      <c r="G27" s="458"/>
      <c r="H27" s="393"/>
      <c r="I27" s="5"/>
      <c r="J27" s="612"/>
      <c r="K27" s="612"/>
    </row>
    <row r="28" spans="1:13">
      <c r="A28" s="535"/>
      <c r="B28" s="556" t="s">
        <v>1477</v>
      </c>
      <c r="C28" s="558" t="s">
        <v>1478</v>
      </c>
      <c r="D28" s="558" t="s">
        <v>6</v>
      </c>
      <c r="E28" s="1891" t="s">
        <v>1356</v>
      </c>
      <c r="F28" s="1891"/>
      <c r="G28" s="1891"/>
      <c r="H28" s="1891"/>
      <c r="I28" s="1891"/>
      <c r="J28" s="578" t="s">
        <v>1357</v>
      </c>
      <c r="K28" s="601" t="s">
        <v>1358</v>
      </c>
    </row>
    <row r="29" spans="1:13">
      <c r="A29" s="535"/>
      <c r="B29" s="564"/>
      <c r="C29" s="565"/>
      <c r="D29" s="565"/>
      <c r="E29" s="565"/>
      <c r="F29" s="566"/>
      <c r="G29" s="566"/>
      <c r="H29" s="567"/>
      <c r="I29" s="567"/>
      <c r="J29" s="608"/>
      <c r="K29" s="609"/>
    </row>
    <row r="30" spans="1:13" ht="18.75" customHeight="1">
      <c r="A30" s="535"/>
      <c r="B30" s="562">
        <v>4</v>
      </c>
      <c r="C30" s="543" t="str">
        <f>'4'!D44</f>
        <v>C</v>
      </c>
      <c r="D30" s="543">
        <f>'4'!E44</f>
        <v>0</v>
      </c>
      <c r="E30" s="575" t="str">
        <f>'4'!F44</f>
        <v>c</v>
      </c>
      <c r="F30" s="543">
        <f>'4'!G44</f>
        <v>0</v>
      </c>
      <c r="G30" s="543">
        <f>'4'!H44</f>
        <v>0</v>
      </c>
      <c r="H30" s="543">
        <f>'4'!I44</f>
        <v>0</v>
      </c>
      <c r="I30" s="543"/>
      <c r="J30" s="582">
        <f>'4'!K44</f>
        <v>0</v>
      </c>
      <c r="K30" s="582">
        <f>'4'!L44</f>
        <v>0</v>
      </c>
      <c r="M30" s="11">
        <f>SUM(J30:J31)</f>
        <v>0</v>
      </c>
    </row>
    <row r="31" spans="1:13" ht="18.75" customHeight="1">
      <c r="A31" s="535"/>
      <c r="B31" s="571"/>
      <c r="C31" s="543">
        <f>'4'!D45</f>
        <v>0</v>
      </c>
      <c r="D31" s="543">
        <f>'4'!E45</f>
        <v>0</v>
      </c>
      <c r="E31" s="575" t="str">
        <f>'4'!F45</f>
        <v>c</v>
      </c>
      <c r="F31" s="543">
        <f>'4'!G45</f>
        <v>0</v>
      </c>
      <c r="G31" s="543">
        <f>'4'!H45</f>
        <v>0</v>
      </c>
      <c r="H31" s="543">
        <f>'4'!I45</f>
        <v>0</v>
      </c>
      <c r="I31" s="543"/>
      <c r="J31" s="582">
        <f>'4'!K45</f>
        <v>0</v>
      </c>
      <c r="K31" s="582">
        <f>'4'!L45</f>
        <v>0</v>
      </c>
      <c r="M31" s="11">
        <f>SUM(K30:K31)</f>
        <v>0</v>
      </c>
    </row>
    <row r="32" spans="1:13" ht="15.75" thickBot="1">
      <c r="A32" s="535"/>
      <c r="B32" s="552"/>
      <c r="C32" s="572" t="str">
        <f>'4'!C46</f>
        <v>b</v>
      </c>
      <c r="D32" s="572"/>
      <c r="E32" s="553"/>
      <c r="F32" s="553"/>
      <c r="G32" s="553"/>
      <c r="H32" s="553"/>
      <c r="I32" s="553"/>
      <c r="J32" s="610"/>
      <c r="K32" s="611"/>
      <c r="L32" s="605" t="str">
        <f>IF(M30-M31=0,$M$1,$M$2)</f>
        <v>√</v>
      </c>
    </row>
    <row r="33" spans="1:13" ht="15.75" thickBot="1">
      <c r="A33" s="393"/>
      <c r="B33" s="541"/>
      <c r="C33" s="454"/>
      <c r="D33" s="445"/>
      <c r="E33" s="445"/>
      <c r="F33" s="459"/>
      <c r="G33" s="458"/>
      <c r="H33" s="393"/>
      <c r="I33" s="5"/>
      <c r="J33" s="612"/>
      <c r="K33" s="612"/>
    </row>
    <row r="34" spans="1:13">
      <c r="A34" s="535"/>
      <c r="B34" s="556" t="s">
        <v>1477</v>
      </c>
      <c r="C34" s="558" t="s">
        <v>1478</v>
      </c>
      <c r="D34" s="558" t="s">
        <v>6</v>
      </c>
      <c r="E34" s="568" t="s">
        <v>1356</v>
      </c>
      <c r="F34" s="569"/>
      <c r="G34" s="569"/>
      <c r="H34" s="569"/>
      <c r="I34" s="570"/>
      <c r="J34" s="578" t="s">
        <v>1357</v>
      </c>
      <c r="K34" s="601" t="s">
        <v>1358</v>
      </c>
    </row>
    <row r="35" spans="1:13">
      <c r="A35" s="535"/>
      <c r="B35" s="564"/>
      <c r="C35" s="565"/>
      <c r="D35" s="565"/>
      <c r="E35" s="565"/>
      <c r="F35" s="566"/>
      <c r="G35" s="566"/>
      <c r="H35" s="567"/>
      <c r="I35" s="567"/>
      <c r="J35" s="608"/>
      <c r="K35" s="609"/>
    </row>
    <row r="36" spans="1:13" ht="18.75" customHeight="1">
      <c r="A36" s="535"/>
      <c r="B36" s="562">
        <v>5</v>
      </c>
      <c r="C36" s="543" t="str">
        <f>'5'!D61</f>
        <v>D</v>
      </c>
      <c r="D36" s="543">
        <f>'5'!E61</f>
        <v>0</v>
      </c>
      <c r="E36" s="575" t="str">
        <f>'5'!F61</f>
        <v>Retencion isr</v>
      </c>
      <c r="F36" s="543">
        <f>'5'!G61</f>
        <v>0</v>
      </c>
      <c r="G36" s="543">
        <f>'5'!H61</f>
        <v>0</v>
      </c>
      <c r="H36" s="543">
        <f>'5'!I61</f>
        <v>0</v>
      </c>
      <c r="I36" s="543"/>
      <c r="J36" s="582">
        <f>'5'!K61</f>
        <v>0</v>
      </c>
      <c r="K36" s="582">
        <f>'5'!L61</f>
        <v>0</v>
      </c>
      <c r="M36" s="11">
        <f>SUM(J36:J37)</f>
        <v>0</v>
      </c>
    </row>
    <row r="37" spans="1:13" ht="18.75" customHeight="1">
      <c r="A37" s="535"/>
      <c r="B37" s="571"/>
      <c r="C37" s="543">
        <f>'5'!D62</f>
        <v>0</v>
      </c>
      <c r="D37" s="543">
        <f>'5'!E62</f>
        <v>0</v>
      </c>
      <c r="E37" s="575" t="str">
        <f>'5'!F62</f>
        <v>Maq. Y Equipos</v>
      </c>
      <c r="F37" s="543">
        <f>'5'!G62</f>
        <v>0</v>
      </c>
      <c r="G37" s="543">
        <f>'5'!H62</f>
        <v>0</v>
      </c>
      <c r="H37" s="543">
        <f>'5'!I62</f>
        <v>0</v>
      </c>
      <c r="I37" s="543"/>
      <c r="J37" s="582">
        <f>'5'!K62</f>
        <v>0</v>
      </c>
      <c r="K37" s="582">
        <f>'5'!L62</f>
        <v>0</v>
      </c>
      <c r="M37" s="11">
        <f>SUM(K36:K37)</f>
        <v>0</v>
      </c>
    </row>
    <row r="38" spans="1:13" ht="15.75" thickBot="1">
      <c r="A38" s="535"/>
      <c r="B38" s="552"/>
      <c r="C38" s="553" t="str">
        <f>'5'!C63</f>
        <v>b</v>
      </c>
      <c r="D38" s="553"/>
      <c r="E38" s="553"/>
      <c r="F38" s="553"/>
      <c r="G38" s="553"/>
      <c r="H38" s="553"/>
      <c r="I38" s="553"/>
      <c r="J38" s="610"/>
      <c r="K38" s="611"/>
      <c r="L38" s="605" t="str">
        <f>IF(M36-M37=0,$M$1,$M$2)</f>
        <v>√</v>
      </c>
    </row>
    <row r="39" spans="1:13" ht="15.75" thickBot="1">
      <c r="A39" s="393"/>
      <c r="B39" s="541"/>
      <c r="C39" s="454"/>
      <c r="D39" s="445"/>
      <c r="E39" s="445"/>
      <c r="F39" s="459"/>
      <c r="G39" s="458"/>
      <c r="H39" s="393"/>
      <c r="I39" s="5"/>
      <c r="J39" s="612"/>
      <c r="K39" s="612"/>
    </row>
    <row r="40" spans="1:13">
      <c r="A40" s="535"/>
      <c r="B40" s="556" t="s">
        <v>1477</v>
      </c>
      <c r="C40" s="558" t="s">
        <v>1478</v>
      </c>
      <c r="D40" s="558" t="s">
        <v>6</v>
      </c>
      <c r="E40" s="1891" t="s">
        <v>1356</v>
      </c>
      <c r="F40" s="1891"/>
      <c r="G40" s="1891"/>
      <c r="H40" s="1891"/>
      <c r="I40" s="1891"/>
      <c r="J40" s="578" t="s">
        <v>1357</v>
      </c>
      <c r="K40" s="601" t="s">
        <v>1358</v>
      </c>
    </row>
    <row r="41" spans="1:13">
      <c r="A41" s="535"/>
      <c r="B41" s="564"/>
      <c r="C41" s="565"/>
      <c r="D41" s="565"/>
      <c r="E41" s="565"/>
      <c r="F41" s="566"/>
      <c r="G41" s="566"/>
      <c r="H41" s="567"/>
      <c r="I41" s="567"/>
      <c r="J41" s="608"/>
      <c r="K41" s="609"/>
    </row>
    <row r="42" spans="1:13" ht="18.75" customHeight="1">
      <c r="A42" s="535"/>
      <c r="B42" s="562">
        <v>6</v>
      </c>
      <c r="C42" s="543" t="str">
        <f>'6'!D40</f>
        <v>D-1</v>
      </c>
      <c r="D42" s="543">
        <f>'6'!E40</f>
        <v>0</v>
      </c>
      <c r="E42" s="575" t="str">
        <f>'6'!F40</f>
        <v>c</v>
      </c>
      <c r="F42" s="543">
        <f>'6'!G40</f>
        <v>0</v>
      </c>
      <c r="G42" s="543">
        <f>'6'!H40</f>
        <v>0</v>
      </c>
      <c r="H42" s="543">
        <f>'6'!I40</f>
        <v>0</v>
      </c>
      <c r="I42" s="543"/>
      <c r="J42" s="582">
        <f>'6'!K40</f>
        <v>0</v>
      </c>
      <c r="K42" s="582">
        <f>'6'!L40</f>
        <v>0</v>
      </c>
      <c r="M42" s="11">
        <f>SUM(J42:J43)</f>
        <v>0</v>
      </c>
    </row>
    <row r="43" spans="1:13" ht="18.75" customHeight="1">
      <c r="A43" s="535"/>
      <c r="B43" s="571"/>
      <c r="C43" s="543">
        <f>'6'!D41</f>
        <v>0</v>
      </c>
      <c r="D43" s="543">
        <f>'6'!E41</f>
        <v>0</v>
      </c>
      <c r="E43" s="575" t="str">
        <f>'6'!F41</f>
        <v>c</v>
      </c>
      <c r="F43" s="543">
        <f>'6'!G41</f>
        <v>0</v>
      </c>
      <c r="G43" s="543">
        <f>'6'!H41</f>
        <v>0</v>
      </c>
      <c r="H43" s="543">
        <f>'6'!I41</f>
        <v>0</v>
      </c>
      <c r="I43" s="543"/>
      <c r="J43" s="582">
        <f>'6'!K41</f>
        <v>0</v>
      </c>
      <c r="K43" s="582">
        <f>'6'!L41</f>
        <v>0</v>
      </c>
      <c r="M43" s="11">
        <f>SUM(K42:K43)</f>
        <v>0</v>
      </c>
    </row>
    <row r="44" spans="1:13" ht="15.75" thickBot="1">
      <c r="A44" s="535"/>
      <c r="B44" s="552"/>
      <c r="C44" s="553" t="str">
        <f>'6'!C42</f>
        <v>b</v>
      </c>
      <c r="D44" s="553"/>
      <c r="E44" s="553"/>
      <c r="F44" s="553"/>
      <c r="G44" s="553"/>
      <c r="H44" s="553"/>
      <c r="I44" s="553"/>
      <c r="J44" s="610"/>
      <c r="K44" s="611"/>
      <c r="L44" s="605" t="str">
        <f>IF(M42-M43=0,$M$1,$M$2)</f>
        <v>√</v>
      </c>
    </row>
    <row r="45" spans="1:13" ht="15.75" thickBot="1">
      <c r="A45" s="393"/>
      <c r="B45" s="541"/>
      <c r="C45" s="454"/>
      <c r="D45" s="445"/>
      <c r="E45" s="445"/>
      <c r="F45" s="459"/>
      <c r="G45" s="458"/>
      <c r="H45" s="393"/>
      <c r="I45" s="5"/>
      <c r="J45" s="612"/>
      <c r="K45" s="612"/>
    </row>
    <row r="46" spans="1:13">
      <c r="A46" s="535"/>
      <c r="B46" s="556" t="s">
        <v>1477</v>
      </c>
      <c r="C46" s="558" t="s">
        <v>1478</v>
      </c>
      <c r="D46" s="558" t="s">
        <v>6</v>
      </c>
      <c r="E46" s="1891" t="s">
        <v>1356</v>
      </c>
      <c r="F46" s="1891"/>
      <c r="G46" s="1891"/>
      <c r="H46" s="1891"/>
      <c r="I46" s="1891"/>
      <c r="J46" s="578" t="s">
        <v>1357</v>
      </c>
      <c r="K46" s="601" t="s">
        <v>1358</v>
      </c>
    </row>
    <row r="47" spans="1:13">
      <c r="A47" s="535"/>
      <c r="B47" s="564"/>
      <c r="C47" s="565"/>
      <c r="D47" s="565"/>
      <c r="E47" s="565"/>
      <c r="F47" s="566"/>
      <c r="G47" s="566"/>
      <c r="H47" s="567"/>
      <c r="I47" s="567"/>
      <c r="J47" s="608"/>
      <c r="K47" s="609"/>
    </row>
    <row r="48" spans="1:13" ht="18.75" customHeight="1">
      <c r="A48" s="535"/>
      <c r="B48" s="562">
        <v>7</v>
      </c>
      <c r="C48" s="543" t="str">
        <f>'7'!D40</f>
        <v>D-2</v>
      </c>
      <c r="D48" s="543">
        <f>'7'!E40</f>
        <v>0</v>
      </c>
      <c r="E48" s="575" t="str">
        <f>'7'!F40</f>
        <v>c</v>
      </c>
      <c r="F48" s="543">
        <f>'7'!G40</f>
        <v>0</v>
      </c>
      <c r="G48" s="543">
        <f>'7'!H40</f>
        <v>0</v>
      </c>
      <c r="H48" s="543">
        <f>'7'!I40</f>
        <v>0</v>
      </c>
      <c r="I48" s="543"/>
      <c r="J48" s="582">
        <f>'7'!K40</f>
        <v>0</v>
      </c>
      <c r="K48" s="582">
        <f>'7'!L40</f>
        <v>0</v>
      </c>
      <c r="M48" s="11">
        <f>SUM(J48:J49)</f>
        <v>0</v>
      </c>
    </row>
    <row r="49" spans="1:13" ht="18.75" customHeight="1">
      <c r="A49" s="535"/>
      <c r="B49" s="571"/>
      <c r="C49" s="543">
        <f>'7'!D41</f>
        <v>0</v>
      </c>
      <c r="D49" s="543">
        <f>'7'!E41</f>
        <v>0</v>
      </c>
      <c r="E49" s="575" t="str">
        <f>'7'!F41</f>
        <v>c</v>
      </c>
      <c r="F49" s="543">
        <f>'7'!G41</f>
        <v>0</v>
      </c>
      <c r="G49" s="543">
        <f>'7'!H41</f>
        <v>0</v>
      </c>
      <c r="H49" s="543">
        <f>'7'!I41</f>
        <v>0</v>
      </c>
      <c r="I49" s="543"/>
      <c r="J49" s="582">
        <f>'7'!K41</f>
        <v>0</v>
      </c>
      <c r="K49" s="582">
        <f>'7'!L41</f>
        <v>0</v>
      </c>
      <c r="M49" s="11">
        <f>SUM(K48:K49)</f>
        <v>0</v>
      </c>
    </row>
    <row r="50" spans="1:13" ht="15.75" thickBot="1">
      <c r="A50" s="535"/>
      <c r="B50" s="552"/>
      <c r="C50" s="553" t="str">
        <f>'7'!C42</f>
        <v>b</v>
      </c>
      <c r="D50" s="553"/>
      <c r="E50" s="553"/>
      <c r="F50" s="553"/>
      <c r="G50" s="553"/>
      <c r="H50" s="553"/>
      <c r="I50" s="553"/>
      <c r="J50" s="610"/>
      <c r="K50" s="611"/>
      <c r="L50" s="605" t="str">
        <f>IF(M48-M49=0,$M$1,$M$2)</f>
        <v>√</v>
      </c>
    </row>
    <row r="51" spans="1:13" ht="15.75" thickBot="1">
      <c r="A51" s="393"/>
      <c r="B51" s="541"/>
      <c r="C51" s="454"/>
      <c r="D51" s="445"/>
      <c r="E51" s="445"/>
      <c r="F51" s="459"/>
      <c r="G51" s="458"/>
      <c r="H51" s="393"/>
      <c r="I51" s="5"/>
      <c r="J51" s="612"/>
      <c r="K51" s="612"/>
    </row>
    <row r="52" spans="1:13">
      <c r="A52" s="535"/>
      <c r="B52" s="556" t="s">
        <v>1477</v>
      </c>
      <c r="C52" s="558" t="s">
        <v>1478</v>
      </c>
      <c r="D52" s="558" t="s">
        <v>6</v>
      </c>
      <c r="E52" s="1891" t="s">
        <v>1356</v>
      </c>
      <c r="F52" s="1891"/>
      <c r="G52" s="1891"/>
      <c r="H52" s="1891"/>
      <c r="I52" s="1891"/>
      <c r="J52" s="578" t="s">
        <v>1357</v>
      </c>
      <c r="K52" s="601" t="s">
        <v>1358</v>
      </c>
    </row>
    <row r="53" spans="1:13">
      <c r="A53" s="535"/>
      <c r="B53" s="564"/>
      <c r="C53" s="565"/>
      <c r="D53" s="565"/>
      <c r="E53" s="565"/>
      <c r="F53" s="566"/>
      <c r="G53" s="566"/>
      <c r="H53" s="567"/>
      <c r="I53" s="567"/>
      <c r="J53" s="608"/>
      <c r="K53" s="609"/>
    </row>
    <row r="54" spans="1:13" ht="18.75" customHeight="1">
      <c r="A54" s="535"/>
      <c r="B54" s="562">
        <v>8</v>
      </c>
      <c r="C54" s="543" t="str">
        <f>'8'!D52</f>
        <v>E</v>
      </c>
      <c r="D54" s="543">
        <f>'8'!E52</f>
        <v>0</v>
      </c>
      <c r="E54" s="575" t="str">
        <f>'8'!F52</f>
        <v>c</v>
      </c>
      <c r="F54" s="543">
        <f>'8'!G52</f>
        <v>0</v>
      </c>
      <c r="G54" s="543">
        <f>'8'!H52</f>
        <v>0</v>
      </c>
      <c r="H54" s="543">
        <f>'8'!I52</f>
        <v>0</v>
      </c>
      <c r="I54" s="543"/>
      <c r="J54" s="582">
        <f>'8'!K52</f>
        <v>0</v>
      </c>
      <c r="K54" s="582">
        <f>'8'!L52</f>
        <v>0</v>
      </c>
      <c r="M54" s="11">
        <f>SUM(J54:J55)</f>
        <v>0</v>
      </c>
    </row>
    <row r="55" spans="1:13" ht="18.75" customHeight="1">
      <c r="A55" s="535"/>
      <c r="B55" s="571"/>
      <c r="C55" s="543">
        <f>'8'!D53</f>
        <v>0</v>
      </c>
      <c r="D55" s="543">
        <f>'8'!E53</f>
        <v>0</v>
      </c>
      <c r="E55" s="575" t="str">
        <f>'8'!F53</f>
        <v>c</v>
      </c>
      <c r="F55" s="543">
        <f>'8'!G53</f>
        <v>0</v>
      </c>
      <c r="G55" s="543">
        <f>'8'!H53</f>
        <v>0</v>
      </c>
      <c r="H55" s="543">
        <f>'8'!I53</f>
        <v>0</v>
      </c>
      <c r="I55" s="543"/>
      <c r="J55" s="582">
        <f>'8'!K53</f>
        <v>0</v>
      </c>
      <c r="K55" s="582">
        <f>'8'!L53</f>
        <v>0</v>
      </c>
      <c r="M55" s="11">
        <f>SUM(K54:K55)</f>
        <v>0</v>
      </c>
    </row>
    <row r="56" spans="1:13" ht="15.75" thickBot="1">
      <c r="A56" s="535"/>
      <c r="B56" s="552"/>
      <c r="C56" s="553" t="str">
        <f>'8'!C54</f>
        <v>b</v>
      </c>
      <c r="D56" s="553"/>
      <c r="E56" s="553"/>
      <c r="F56" s="553"/>
      <c r="G56" s="553"/>
      <c r="H56" s="553"/>
      <c r="I56" s="553"/>
      <c r="J56" s="610"/>
      <c r="K56" s="611"/>
      <c r="L56" s="605" t="str">
        <f>IF(M54-M55=0,$M$1,$M$2)</f>
        <v>√</v>
      </c>
    </row>
    <row r="57" spans="1:13" ht="15.75" thickBot="1">
      <c r="A57" s="393"/>
      <c r="B57" s="541"/>
      <c r="C57" s="454"/>
      <c r="D57" s="445"/>
      <c r="E57" s="445"/>
      <c r="F57" s="459"/>
      <c r="G57" s="458"/>
      <c r="H57" s="393"/>
      <c r="I57" s="5"/>
      <c r="J57" s="612"/>
      <c r="K57" s="612"/>
    </row>
    <row r="58" spans="1:13">
      <c r="A58" s="535"/>
      <c r="B58" s="556" t="s">
        <v>1477</v>
      </c>
      <c r="C58" s="558" t="s">
        <v>1478</v>
      </c>
      <c r="D58" s="558" t="s">
        <v>6</v>
      </c>
      <c r="E58" s="1891" t="s">
        <v>1356</v>
      </c>
      <c r="F58" s="1891"/>
      <c r="G58" s="1891"/>
      <c r="H58" s="1891"/>
      <c r="I58" s="1891"/>
      <c r="J58" s="578" t="s">
        <v>1357</v>
      </c>
      <c r="K58" s="601" t="s">
        <v>1358</v>
      </c>
    </row>
    <row r="59" spans="1:13">
      <c r="A59" s="535"/>
      <c r="B59" s="564"/>
      <c r="C59" s="565"/>
      <c r="D59" s="565"/>
      <c r="E59" s="565"/>
      <c r="F59" s="566"/>
      <c r="G59" s="566"/>
      <c r="H59" s="567"/>
      <c r="I59" s="567"/>
      <c r="J59" s="608"/>
      <c r="K59" s="609"/>
    </row>
    <row r="60" spans="1:13" ht="18.75" customHeight="1">
      <c r="A60" s="535"/>
      <c r="B60" s="562">
        <v>10</v>
      </c>
      <c r="C60" s="543" t="str">
        <f>'10'!D53</f>
        <v>AA</v>
      </c>
      <c r="D60" s="543">
        <f>'10'!E53</f>
        <v>0</v>
      </c>
      <c r="E60" s="575" t="str">
        <f>'10'!F53</f>
        <v>c</v>
      </c>
      <c r="F60" s="543">
        <f>'10'!G53</f>
        <v>0</v>
      </c>
      <c r="G60" s="543">
        <f>'10'!H53</f>
        <v>0</v>
      </c>
      <c r="H60" s="543">
        <f>'10'!I53</f>
        <v>0</v>
      </c>
      <c r="I60" s="543"/>
      <c r="J60" s="582">
        <f>'10'!K53</f>
        <v>0</v>
      </c>
      <c r="K60" s="582">
        <f>'10'!L53</f>
        <v>0</v>
      </c>
      <c r="M60" s="11">
        <f>SUM(J60:J61)</f>
        <v>0</v>
      </c>
    </row>
    <row r="61" spans="1:13" ht="18.75" customHeight="1">
      <c r="A61" s="535"/>
      <c r="B61" s="571"/>
      <c r="C61" s="543">
        <f>'10'!D54</f>
        <v>0</v>
      </c>
      <c r="D61" s="543">
        <f>'10'!E54</f>
        <v>0</v>
      </c>
      <c r="E61" s="575" t="str">
        <f>'10'!F54</f>
        <v>c</v>
      </c>
      <c r="F61" s="543">
        <f>'10'!G54</f>
        <v>0</v>
      </c>
      <c r="G61" s="543">
        <f>'10'!H54</f>
        <v>0</v>
      </c>
      <c r="H61" s="543">
        <f>'10'!I54</f>
        <v>0</v>
      </c>
      <c r="I61" s="543"/>
      <c r="J61" s="582">
        <f>'10'!K54</f>
        <v>0</v>
      </c>
      <c r="K61" s="582">
        <f>'10'!L54</f>
        <v>0</v>
      </c>
      <c r="M61" s="11">
        <f>SUM(K60:K61)</f>
        <v>0</v>
      </c>
    </row>
    <row r="62" spans="1:13" ht="15.75" thickBot="1">
      <c r="A62" s="535"/>
      <c r="B62" s="552"/>
      <c r="C62" s="553" t="str">
        <f>'10'!C55</f>
        <v>b</v>
      </c>
      <c r="D62" s="553"/>
      <c r="E62" s="553"/>
      <c r="F62" s="553"/>
      <c r="G62" s="553"/>
      <c r="H62" s="553"/>
      <c r="I62" s="553"/>
      <c r="J62" s="610"/>
      <c r="K62" s="611"/>
      <c r="L62" s="605" t="str">
        <f>IF(M60-M61=0,$M$1,$M$2)</f>
        <v>√</v>
      </c>
    </row>
    <row r="63" spans="1:13" ht="15.75" thickBot="1">
      <c r="A63" s="393"/>
      <c r="B63" s="541"/>
      <c r="C63" s="454"/>
      <c r="D63" s="445"/>
      <c r="E63" s="445"/>
      <c r="F63" s="459"/>
      <c r="G63" s="458"/>
      <c r="H63" s="393"/>
      <c r="I63" s="5"/>
      <c r="J63" s="612"/>
      <c r="K63" s="612"/>
    </row>
    <row r="64" spans="1:13">
      <c r="A64" s="535"/>
      <c r="B64" s="556" t="s">
        <v>1477</v>
      </c>
      <c r="C64" s="558" t="s">
        <v>1478</v>
      </c>
      <c r="D64" s="558" t="s">
        <v>6</v>
      </c>
      <c r="E64" s="1891" t="s">
        <v>1356</v>
      </c>
      <c r="F64" s="1891"/>
      <c r="G64" s="1891"/>
      <c r="H64" s="1891"/>
      <c r="I64" s="1891"/>
      <c r="J64" s="578" t="s">
        <v>1357</v>
      </c>
      <c r="K64" s="601" t="s">
        <v>1358</v>
      </c>
    </row>
    <row r="65" spans="1:13">
      <c r="A65" s="535"/>
      <c r="B65" s="564"/>
      <c r="C65" s="565"/>
      <c r="D65" s="565"/>
      <c r="E65" s="565"/>
      <c r="F65" s="566"/>
      <c r="G65" s="566"/>
      <c r="H65" s="567"/>
      <c r="I65" s="567"/>
      <c r="J65" s="608"/>
      <c r="K65" s="609"/>
    </row>
    <row r="66" spans="1:13" ht="18.75" customHeight="1">
      <c r="A66" s="535"/>
      <c r="B66" s="562">
        <v>11</v>
      </c>
      <c r="C66" s="543" t="str">
        <f>'11'!D50</f>
        <v>AA-1</v>
      </c>
      <c r="D66" s="543">
        <f>'11'!E50</f>
        <v>0</v>
      </c>
      <c r="E66" s="575" t="str">
        <f>'11'!F50</f>
        <v>c</v>
      </c>
      <c r="F66" s="543">
        <f>'11'!G50</f>
        <v>0</v>
      </c>
      <c r="G66" s="543">
        <f>'11'!H50</f>
        <v>0</v>
      </c>
      <c r="H66" s="543">
        <f>'11'!I50</f>
        <v>0</v>
      </c>
      <c r="I66" s="543"/>
      <c r="J66" s="582">
        <f>'11'!K50</f>
        <v>0</v>
      </c>
      <c r="K66" s="582">
        <f>'11'!L50</f>
        <v>0</v>
      </c>
      <c r="M66" s="11">
        <f>SUM(J66:J67)</f>
        <v>0</v>
      </c>
    </row>
    <row r="67" spans="1:13" ht="18.75" customHeight="1">
      <c r="A67" s="535"/>
      <c r="B67" s="571"/>
      <c r="C67" s="543">
        <f>'11'!D51</f>
        <v>0</v>
      </c>
      <c r="D67" s="543">
        <f>'11'!E51</f>
        <v>0</v>
      </c>
      <c r="E67" s="575" t="str">
        <f>'11'!F51</f>
        <v>c</v>
      </c>
      <c r="F67" s="543">
        <f>'11'!G51</f>
        <v>0</v>
      </c>
      <c r="G67" s="543">
        <f>'11'!H51</f>
        <v>0</v>
      </c>
      <c r="H67" s="543">
        <f>'11'!I51</f>
        <v>0</v>
      </c>
      <c r="I67" s="543"/>
      <c r="J67" s="582">
        <f>'11'!K51</f>
        <v>0</v>
      </c>
      <c r="K67" s="582">
        <f>'11'!L51</f>
        <v>0</v>
      </c>
      <c r="M67" s="11">
        <f>SUM(K66:K67)</f>
        <v>0</v>
      </c>
    </row>
    <row r="68" spans="1:13" ht="15.75" thickBot="1">
      <c r="A68" s="535"/>
      <c r="B68" s="552"/>
      <c r="C68" s="553" t="str">
        <f>'11'!C52</f>
        <v>b</v>
      </c>
      <c r="D68" s="553"/>
      <c r="E68" s="553"/>
      <c r="F68" s="553"/>
      <c r="G68" s="553"/>
      <c r="H68" s="553"/>
      <c r="I68" s="553"/>
      <c r="J68" s="610"/>
      <c r="K68" s="611"/>
      <c r="L68" s="605" t="str">
        <f>IF(M66-M67=0,$M$1,$M$2)</f>
        <v>√</v>
      </c>
    </row>
    <row r="69" spans="1:13" ht="15.75" thickBot="1">
      <c r="A69" s="393"/>
      <c r="B69" s="541"/>
      <c r="C69" s="454"/>
      <c r="D69" s="445"/>
      <c r="E69" s="445"/>
      <c r="F69" s="459"/>
      <c r="G69" s="458"/>
      <c r="H69" s="393"/>
      <c r="I69" s="5"/>
      <c r="J69" s="612"/>
      <c r="K69" s="612"/>
    </row>
    <row r="70" spans="1:13">
      <c r="A70" s="535"/>
      <c r="B70" s="556" t="s">
        <v>1477</v>
      </c>
      <c r="C70" s="558" t="s">
        <v>1478</v>
      </c>
      <c r="D70" s="558" t="s">
        <v>6</v>
      </c>
      <c r="E70" s="1891" t="s">
        <v>1356</v>
      </c>
      <c r="F70" s="1891"/>
      <c r="G70" s="1891"/>
      <c r="H70" s="1891"/>
      <c r="I70" s="1891"/>
      <c r="J70" s="578" t="s">
        <v>1357</v>
      </c>
      <c r="K70" s="601" t="s">
        <v>1358</v>
      </c>
    </row>
    <row r="71" spans="1:13">
      <c r="A71" s="535"/>
      <c r="B71" s="564"/>
      <c r="C71" s="565"/>
      <c r="D71" s="565"/>
      <c r="E71" s="565"/>
      <c r="F71" s="566"/>
      <c r="G71" s="566"/>
      <c r="H71" s="567"/>
      <c r="I71" s="567"/>
      <c r="J71" s="608"/>
      <c r="K71" s="609"/>
    </row>
    <row r="72" spans="1:13" ht="18.75" customHeight="1">
      <c r="A72" s="535"/>
      <c r="B72" s="562">
        <v>12</v>
      </c>
      <c r="C72" s="543" t="str">
        <f>'12'!D43</f>
        <v>AA-2</v>
      </c>
      <c r="D72" s="543">
        <f>'12'!E43</f>
        <v>0</v>
      </c>
      <c r="E72" s="575" t="str">
        <f>'12'!F43</f>
        <v>c</v>
      </c>
      <c r="F72" s="543">
        <f>'12'!G43</f>
        <v>0</v>
      </c>
      <c r="G72" s="543">
        <f>'12'!H43</f>
        <v>0</v>
      </c>
      <c r="H72" s="543">
        <f>'12'!I43</f>
        <v>0</v>
      </c>
      <c r="I72" s="543"/>
      <c r="J72" s="582">
        <f>'12'!K43</f>
        <v>0</v>
      </c>
      <c r="K72" s="582">
        <f>'12'!L43</f>
        <v>0</v>
      </c>
      <c r="M72" s="11">
        <f>SUM(J72:J73)</f>
        <v>0</v>
      </c>
    </row>
    <row r="73" spans="1:13" ht="18.75" customHeight="1">
      <c r="A73" s="535"/>
      <c r="B73" s="571"/>
      <c r="C73" s="543">
        <f>'12'!D44</f>
        <v>0</v>
      </c>
      <c r="D73" s="543">
        <f>'12'!E44</f>
        <v>0</v>
      </c>
      <c r="E73" s="575" t="str">
        <f>'12'!F44</f>
        <v>c</v>
      </c>
      <c r="F73" s="543">
        <f>'12'!G44</f>
        <v>0</v>
      </c>
      <c r="G73" s="543">
        <f>'12'!H44</f>
        <v>0</v>
      </c>
      <c r="H73" s="543">
        <f>'12'!I44</f>
        <v>0</v>
      </c>
      <c r="I73" s="543"/>
      <c r="J73" s="582">
        <f>'12'!K44</f>
        <v>0</v>
      </c>
      <c r="K73" s="582">
        <f>'12'!L44</f>
        <v>0</v>
      </c>
      <c r="M73" s="11">
        <f>SUM(K72:K73)</f>
        <v>0</v>
      </c>
    </row>
    <row r="74" spans="1:13" ht="15.75" thickBot="1">
      <c r="A74" s="535"/>
      <c r="B74" s="552"/>
      <c r="C74" s="553" t="str">
        <f>'12'!C45</f>
        <v>b</v>
      </c>
      <c r="D74" s="553"/>
      <c r="E74" s="553"/>
      <c r="F74" s="553"/>
      <c r="G74" s="553"/>
      <c r="H74" s="553"/>
      <c r="I74" s="553"/>
      <c r="J74" s="610"/>
      <c r="K74" s="611"/>
      <c r="L74" s="605" t="str">
        <f>IF(M72-M73=0,$M$1,$M$2)</f>
        <v>√</v>
      </c>
    </row>
    <row r="75" spans="1:13" ht="15.75" thickBot="1">
      <c r="A75" s="393"/>
      <c r="B75" s="541"/>
      <c r="C75" s="454"/>
      <c r="D75" s="445"/>
      <c r="E75" s="445"/>
      <c r="F75" s="459"/>
      <c r="G75" s="458"/>
      <c r="H75" s="393"/>
      <c r="I75" s="5"/>
      <c r="J75" s="612"/>
      <c r="K75" s="612"/>
    </row>
    <row r="76" spans="1:13">
      <c r="A76" s="535"/>
      <c r="B76" s="556" t="s">
        <v>1477</v>
      </c>
      <c r="C76" s="558" t="s">
        <v>1478</v>
      </c>
      <c r="D76" s="558" t="s">
        <v>6</v>
      </c>
      <c r="E76" s="1891" t="s">
        <v>1356</v>
      </c>
      <c r="F76" s="1891"/>
      <c r="G76" s="1891"/>
      <c r="H76" s="1891"/>
      <c r="I76" s="1891"/>
      <c r="J76" s="578" t="s">
        <v>1357</v>
      </c>
      <c r="K76" s="601" t="s">
        <v>1358</v>
      </c>
    </row>
    <row r="77" spans="1:13">
      <c r="A77" s="535"/>
      <c r="B77" s="564"/>
      <c r="C77" s="565"/>
      <c r="D77" s="565"/>
      <c r="E77" s="565"/>
      <c r="F77" s="566"/>
      <c r="G77" s="566"/>
      <c r="H77" s="567"/>
      <c r="I77" s="567"/>
      <c r="J77" s="608"/>
      <c r="K77" s="609"/>
    </row>
    <row r="78" spans="1:13" ht="18.75" customHeight="1">
      <c r="A78" s="535"/>
      <c r="B78" s="562">
        <v>14</v>
      </c>
      <c r="C78" s="543" t="str">
        <f>'14'!D54</f>
        <v>AA-4</v>
      </c>
      <c r="D78" s="543">
        <f>'14'!E54</f>
        <v>0</v>
      </c>
      <c r="E78" s="575" t="str">
        <f>'14'!F54</f>
        <v>c</v>
      </c>
      <c r="F78" s="543">
        <f>'14'!G54</f>
        <v>0</v>
      </c>
      <c r="G78" s="543">
        <f>'14'!H54</f>
        <v>0</v>
      </c>
      <c r="H78" s="543">
        <f>'14'!I54</f>
        <v>0</v>
      </c>
      <c r="I78" s="543"/>
      <c r="J78" s="582">
        <f>'14'!K54</f>
        <v>0</v>
      </c>
      <c r="K78" s="582">
        <f>'14'!L54</f>
        <v>0</v>
      </c>
      <c r="M78" s="11">
        <f>SUM(J78:J79)</f>
        <v>0</v>
      </c>
    </row>
    <row r="79" spans="1:13" ht="18.75" customHeight="1">
      <c r="A79" s="535"/>
      <c r="B79" s="571"/>
      <c r="C79" s="543">
        <f>'14'!D55</f>
        <v>0</v>
      </c>
      <c r="D79" s="543">
        <f>'14'!E55</f>
        <v>0</v>
      </c>
      <c r="E79" s="575" t="str">
        <f>'14'!F55</f>
        <v>c</v>
      </c>
      <c r="F79" s="543">
        <f>'14'!G55</f>
        <v>0</v>
      </c>
      <c r="G79" s="543">
        <f>'14'!H55</f>
        <v>0</v>
      </c>
      <c r="H79" s="543">
        <f>'14'!I55</f>
        <v>0</v>
      </c>
      <c r="I79" s="543"/>
      <c r="J79" s="582">
        <f>'14'!K55</f>
        <v>0</v>
      </c>
      <c r="K79" s="582">
        <f>'14'!L55</f>
        <v>0</v>
      </c>
      <c r="M79" s="11">
        <f>SUM(K78:K79)</f>
        <v>0</v>
      </c>
    </row>
    <row r="80" spans="1:13" ht="15.75" thickBot="1">
      <c r="A80" s="535"/>
      <c r="B80" s="552"/>
      <c r="C80" s="553" t="str">
        <f>'14'!C56</f>
        <v>b</v>
      </c>
      <c r="D80" s="553"/>
      <c r="E80" s="553"/>
      <c r="F80" s="553"/>
      <c r="G80" s="553"/>
      <c r="H80" s="553"/>
      <c r="I80" s="553"/>
      <c r="J80" s="610"/>
      <c r="K80" s="611"/>
      <c r="L80" s="605" t="str">
        <f>IF(M78-M79=0,$M$1,$M$2)</f>
        <v>√</v>
      </c>
    </row>
    <row r="81" spans="1:13" ht="15.75" thickBot="1">
      <c r="A81" s="393"/>
      <c r="B81" s="541"/>
      <c r="C81" s="454"/>
      <c r="D81" s="445"/>
      <c r="E81" s="445"/>
      <c r="F81" s="459"/>
      <c r="G81" s="458"/>
      <c r="H81" s="393"/>
      <c r="I81" s="5"/>
      <c r="J81" s="612"/>
      <c r="K81" s="612"/>
    </row>
    <row r="82" spans="1:13">
      <c r="A82" s="535"/>
      <c r="B82" s="556" t="s">
        <v>1477</v>
      </c>
      <c r="C82" s="558" t="s">
        <v>1478</v>
      </c>
      <c r="D82" s="558" t="s">
        <v>6</v>
      </c>
      <c r="E82" s="1891" t="s">
        <v>1356</v>
      </c>
      <c r="F82" s="1891"/>
      <c r="G82" s="1891"/>
      <c r="H82" s="1891"/>
      <c r="I82" s="1891"/>
      <c r="J82" s="578" t="s">
        <v>1357</v>
      </c>
      <c r="K82" s="601" t="s">
        <v>1358</v>
      </c>
    </row>
    <row r="83" spans="1:13">
      <c r="A83" s="535"/>
      <c r="B83" s="564"/>
      <c r="C83" s="565"/>
      <c r="D83" s="565"/>
      <c r="E83" s="565"/>
      <c r="F83" s="566"/>
      <c r="G83" s="566"/>
      <c r="H83" s="567"/>
      <c r="I83" s="567"/>
      <c r="J83" s="608"/>
      <c r="K83" s="609"/>
    </row>
    <row r="84" spans="1:13" ht="18.75" customHeight="1">
      <c r="A84" s="535"/>
      <c r="B84" s="562">
        <v>16</v>
      </c>
      <c r="C84" s="543" t="str">
        <f>'16'!D47</f>
        <v>CC</v>
      </c>
      <c r="D84" s="543">
        <f>'16'!E47</f>
        <v>0</v>
      </c>
      <c r="E84" s="575" t="str">
        <f>'16'!F47</f>
        <v>c</v>
      </c>
      <c r="F84" s="543">
        <f>'16'!G47</f>
        <v>0</v>
      </c>
      <c r="G84" s="543">
        <f>'16'!H47</f>
        <v>0</v>
      </c>
      <c r="H84" s="543">
        <f>'16'!I47</f>
        <v>0</v>
      </c>
      <c r="I84" s="543"/>
      <c r="J84" s="582">
        <f>'16'!K47</f>
        <v>0</v>
      </c>
      <c r="K84" s="582">
        <f>'16'!L47</f>
        <v>0</v>
      </c>
      <c r="M84" s="11">
        <f>SUM(J84:J85)</f>
        <v>0</v>
      </c>
    </row>
    <row r="85" spans="1:13" ht="18.75" customHeight="1">
      <c r="A85" s="535"/>
      <c r="B85" s="571"/>
      <c r="C85" s="543">
        <f>'16'!D48</f>
        <v>0</v>
      </c>
      <c r="D85" s="543">
        <f>'16'!E48</f>
        <v>0</v>
      </c>
      <c r="E85" s="575" t="str">
        <f>'16'!F48</f>
        <v>c</v>
      </c>
      <c r="F85" s="543">
        <f>'16'!G48</f>
        <v>0</v>
      </c>
      <c r="G85" s="543">
        <f>'16'!H48</f>
        <v>0</v>
      </c>
      <c r="H85" s="543">
        <f>'16'!I48</f>
        <v>0</v>
      </c>
      <c r="I85" s="543"/>
      <c r="J85" s="582">
        <f>'16'!K48</f>
        <v>0</v>
      </c>
      <c r="K85" s="582">
        <f>'16'!L48</f>
        <v>0</v>
      </c>
      <c r="M85" s="11">
        <f>SUM(K84:K85)</f>
        <v>0</v>
      </c>
    </row>
    <row r="86" spans="1:13" ht="15.75" thickBot="1">
      <c r="A86" s="535"/>
      <c r="B86" s="552"/>
      <c r="C86" s="553" t="str">
        <f>'16'!C49</f>
        <v>b</v>
      </c>
      <c r="D86" s="553"/>
      <c r="E86" s="553"/>
      <c r="F86" s="553"/>
      <c r="G86" s="553"/>
      <c r="H86" s="553"/>
      <c r="I86" s="553"/>
      <c r="J86" s="610"/>
      <c r="K86" s="611"/>
      <c r="L86" s="605" t="str">
        <f>IF(M84-M85=0,$M$1,$M$2)</f>
        <v>√</v>
      </c>
    </row>
    <row r="87" spans="1:13" ht="15.75" thickBot="1">
      <c r="A87" s="393"/>
      <c r="B87" s="541"/>
      <c r="C87" s="454"/>
      <c r="D87" s="445"/>
      <c r="E87" s="445"/>
      <c r="F87" s="459"/>
      <c r="G87" s="458"/>
      <c r="H87" s="393"/>
      <c r="I87" s="5"/>
      <c r="J87" s="612"/>
      <c r="K87" s="612"/>
    </row>
    <row r="88" spans="1:13">
      <c r="A88" s="535"/>
      <c r="B88" s="556" t="s">
        <v>1477</v>
      </c>
      <c r="C88" s="558" t="s">
        <v>1478</v>
      </c>
      <c r="D88" s="558" t="s">
        <v>6</v>
      </c>
      <c r="E88" s="1891" t="s">
        <v>1356</v>
      </c>
      <c r="F88" s="1891"/>
      <c r="G88" s="1891"/>
      <c r="H88" s="1891"/>
      <c r="I88" s="1891"/>
      <c r="J88" s="578" t="s">
        <v>1357</v>
      </c>
      <c r="K88" s="601" t="s">
        <v>1358</v>
      </c>
    </row>
    <row r="89" spans="1:13">
      <c r="A89" s="535"/>
      <c r="B89" s="564"/>
      <c r="C89" s="565"/>
      <c r="D89" s="565"/>
      <c r="E89" s="565"/>
      <c r="F89" s="566"/>
      <c r="G89" s="566"/>
      <c r="H89" s="567"/>
      <c r="I89" s="567"/>
      <c r="J89" s="608"/>
      <c r="K89" s="609"/>
    </row>
    <row r="90" spans="1:13" ht="18.75" customHeight="1">
      <c r="A90" s="535"/>
      <c r="B90" s="562">
        <v>17</v>
      </c>
      <c r="C90" s="543" t="str">
        <f>'17'!D45</f>
        <v>RR</v>
      </c>
      <c r="D90" s="543">
        <f>'17'!E45</f>
        <v>0</v>
      </c>
      <c r="E90" s="575" t="str">
        <f>'17'!F45</f>
        <v>c</v>
      </c>
      <c r="F90" s="543">
        <f>'17'!G45</f>
        <v>0</v>
      </c>
      <c r="G90" s="543">
        <f>'17'!H45</f>
        <v>0</v>
      </c>
      <c r="H90" s="543">
        <f>'17'!I45</f>
        <v>0</v>
      </c>
      <c r="I90" s="543"/>
      <c r="J90" s="582">
        <f>'17'!K45</f>
        <v>0</v>
      </c>
      <c r="K90" s="582">
        <f>'17'!L45</f>
        <v>0</v>
      </c>
      <c r="M90" s="11">
        <f>SUM(J90:J91)</f>
        <v>0</v>
      </c>
    </row>
    <row r="91" spans="1:13" ht="18.75" customHeight="1">
      <c r="A91" s="535"/>
      <c r="B91" s="571"/>
      <c r="C91" s="543">
        <f>'17'!D46</f>
        <v>0</v>
      </c>
      <c r="D91" s="543">
        <f>'17'!E46</f>
        <v>0</v>
      </c>
      <c r="E91" s="575" t="str">
        <f>'17'!F46</f>
        <v>c</v>
      </c>
      <c r="F91" s="543">
        <f>'17'!G46</f>
        <v>0</v>
      </c>
      <c r="G91" s="543">
        <f>'17'!H46</f>
        <v>0</v>
      </c>
      <c r="H91" s="543">
        <f>'17'!I46</f>
        <v>0</v>
      </c>
      <c r="I91" s="543"/>
      <c r="J91" s="582">
        <f>'17'!K46</f>
        <v>0</v>
      </c>
      <c r="K91" s="582">
        <f>'17'!L46</f>
        <v>0</v>
      </c>
      <c r="M91" s="11">
        <f>SUM(K90:K91)</f>
        <v>0</v>
      </c>
    </row>
    <row r="92" spans="1:13" ht="15.75" thickBot="1">
      <c r="A92" s="535"/>
      <c r="B92" s="552"/>
      <c r="C92" s="553" t="str">
        <f>'17'!C47</f>
        <v>b</v>
      </c>
      <c r="D92" s="553"/>
      <c r="E92" s="553"/>
      <c r="F92" s="553"/>
      <c r="G92" s="553"/>
      <c r="H92" s="553"/>
      <c r="I92" s="553"/>
      <c r="J92" s="610"/>
      <c r="K92" s="611"/>
      <c r="L92" s="605" t="str">
        <f>IF(M90-M91=0,$M$1,$M$2)</f>
        <v>√</v>
      </c>
    </row>
    <row r="93" spans="1:13" ht="15.75" thickBot="1">
      <c r="A93" s="393"/>
      <c r="B93" s="541"/>
      <c r="C93" s="454"/>
      <c r="D93" s="445"/>
      <c r="E93" s="445"/>
      <c r="F93" s="459"/>
      <c r="G93" s="458"/>
      <c r="H93" s="393"/>
      <c r="I93" s="5"/>
      <c r="J93" s="612"/>
      <c r="K93" s="612"/>
    </row>
    <row r="94" spans="1:13">
      <c r="A94" s="535"/>
      <c r="B94" s="556" t="s">
        <v>1477</v>
      </c>
      <c r="C94" s="558" t="s">
        <v>1478</v>
      </c>
      <c r="D94" s="558" t="s">
        <v>6</v>
      </c>
      <c r="E94" s="1891" t="s">
        <v>1356</v>
      </c>
      <c r="F94" s="1891"/>
      <c r="G94" s="1891"/>
      <c r="H94" s="1891"/>
      <c r="I94" s="1891"/>
      <c r="J94" s="578" t="s">
        <v>1357</v>
      </c>
      <c r="K94" s="601" t="s">
        <v>1358</v>
      </c>
    </row>
    <row r="95" spans="1:13">
      <c r="A95" s="535"/>
      <c r="B95" s="564"/>
      <c r="C95" s="565"/>
      <c r="D95" s="565"/>
      <c r="E95" s="565"/>
      <c r="F95" s="566"/>
      <c r="G95" s="566"/>
      <c r="H95" s="567"/>
      <c r="I95" s="567"/>
      <c r="J95" s="608"/>
      <c r="K95" s="609"/>
    </row>
    <row r="96" spans="1:13" ht="18.75" customHeight="1">
      <c r="A96" s="535"/>
      <c r="B96" s="562">
        <v>19</v>
      </c>
      <c r="C96" s="543" t="str">
        <f>'19'!D46</f>
        <v>AA-10</v>
      </c>
      <c r="D96" s="543">
        <f>'19'!E46</f>
        <v>0</v>
      </c>
      <c r="E96" s="575" t="str">
        <f>'19'!F46</f>
        <v>c</v>
      </c>
      <c r="F96" s="543">
        <f>'19'!G46</f>
        <v>0</v>
      </c>
      <c r="G96" s="543">
        <f>'19'!H46</f>
        <v>0</v>
      </c>
      <c r="H96" s="543">
        <f>'19'!I46</f>
        <v>0</v>
      </c>
      <c r="I96" s="543"/>
      <c r="J96" s="582">
        <f>'19'!K46</f>
        <v>0</v>
      </c>
      <c r="K96" s="582">
        <f>'19'!L46</f>
        <v>0</v>
      </c>
      <c r="M96" s="11">
        <f>SUM(J96:J97)</f>
        <v>0</v>
      </c>
    </row>
    <row r="97" spans="1:13" ht="18.75" customHeight="1">
      <c r="A97" s="535"/>
      <c r="B97" s="571"/>
      <c r="C97" s="543">
        <f>'19'!D47</f>
        <v>0</v>
      </c>
      <c r="D97" s="543">
        <f>'19'!E47</f>
        <v>0</v>
      </c>
      <c r="E97" s="575" t="str">
        <f>'19'!F47</f>
        <v>c</v>
      </c>
      <c r="F97" s="543">
        <f>'19'!G47</f>
        <v>0</v>
      </c>
      <c r="G97" s="543">
        <f>'19'!H47</f>
        <v>0</v>
      </c>
      <c r="H97" s="543">
        <f>'19'!I47</f>
        <v>0</v>
      </c>
      <c r="I97" s="543"/>
      <c r="J97" s="582">
        <f>'19'!K47</f>
        <v>0</v>
      </c>
      <c r="K97" s="582">
        <f>'19'!L47</f>
        <v>0</v>
      </c>
      <c r="M97" s="11">
        <f>SUM(K96:K97)</f>
        <v>0</v>
      </c>
    </row>
    <row r="98" spans="1:13" ht="15.75" thickBot="1">
      <c r="A98" s="535"/>
      <c r="B98" s="552"/>
      <c r="C98" s="553" t="str">
        <f>'19'!C48</f>
        <v>b</v>
      </c>
      <c r="D98" s="553"/>
      <c r="E98" s="553"/>
      <c r="F98" s="553"/>
      <c r="G98" s="553"/>
      <c r="H98" s="553"/>
      <c r="I98" s="553"/>
      <c r="J98" s="610"/>
      <c r="K98" s="611"/>
      <c r="L98" s="605" t="str">
        <f>IF(M96-M97=0,$M$1,$M$2)</f>
        <v>√</v>
      </c>
    </row>
    <row r="99" spans="1:13" ht="15.75" thickBot="1">
      <c r="A99" s="393"/>
      <c r="B99" s="541"/>
      <c r="C99" s="454"/>
      <c r="D99" s="445"/>
      <c r="E99" s="445"/>
      <c r="F99" s="459"/>
      <c r="G99" s="458"/>
      <c r="H99" s="393"/>
      <c r="I99" s="5"/>
      <c r="J99" s="612"/>
      <c r="K99" s="612"/>
    </row>
    <row r="100" spans="1:13">
      <c r="A100" s="535"/>
      <c r="B100" s="556" t="s">
        <v>1477</v>
      </c>
      <c r="C100" s="558" t="s">
        <v>1478</v>
      </c>
      <c r="D100" s="558" t="s">
        <v>6</v>
      </c>
      <c r="E100" s="1891" t="s">
        <v>1356</v>
      </c>
      <c r="F100" s="1891"/>
      <c r="G100" s="1891"/>
      <c r="H100" s="1891"/>
      <c r="I100" s="1891"/>
      <c r="J100" s="578" t="s">
        <v>1357</v>
      </c>
      <c r="K100" s="601" t="s">
        <v>1358</v>
      </c>
    </row>
    <row r="101" spans="1:13">
      <c r="A101" s="535"/>
      <c r="B101" s="564"/>
      <c r="C101" s="565"/>
      <c r="D101" s="565"/>
      <c r="E101" s="565"/>
      <c r="F101" s="566"/>
      <c r="G101" s="566"/>
      <c r="H101" s="567"/>
      <c r="I101" s="567"/>
      <c r="J101" s="608"/>
      <c r="K101" s="609"/>
    </row>
    <row r="102" spans="1:13" ht="18.75" customHeight="1">
      <c r="A102" s="535"/>
      <c r="B102" s="562">
        <v>20</v>
      </c>
      <c r="C102" s="543" t="str">
        <f>'20'!D54</f>
        <v>AA-20</v>
      </c>
      <c r="D102" s="543">
        <f>'20'!E54</f>
        <v>0</v>
      </c>
      <c r="E102" s="575" t="str">
        <f>'20'!F54</f>
        <v>c</v>
      </c>
      <c r="F102" s="543">
        <f>'20'!G54</f>
        <v>0</v>
      </c>
      <c r="G102" s="543">
        <f>'20'!H54</f>
        <v>0</v>
      </c>
      <c r="H102" s="543">
        <f>'20'!I54</f>
        <v>0</v>
      </c>
      <c r="I102" s="543"/>
      <c r="J102" s="582">
        <f>'20'!K54</f>
        <v>0</v>
      </c>
      <c r="K102" s="582">
        <f>'20'!L54</f>
        <v>0</v>
      </c>
      <c r="M102" s="11">
        <f>SUM(J102:J103)</f>
        <v>0</v>
      </c>
    </row>
    <row r="103" spans="1:13" ht="18.75" customHeight="1">
      <c r="A103" s="535"/>
      <c r="B103" s="571"/>
      <c r="C103" s="543">
        <f>'20'!D55</f>
        <v>0</v>
      </c>
      <c r="D103" s="543">
        <f>'20'!E55</f>
        <v>0</v>
      </c>
      <c r="E103" s="575" t="str">
        <f>'20'!F55</f>
        <v>c</v>
      </c>
      <c r="F103" s="543">
        <f>'20'!G55</f>
        <v>0</v>
      </c>
      <c r="G103" s="543">
        <f>'20'!H55</f>
        <v>0</v>
      </c>
      <c r="H103" s="543">
        <f>'20'!I55</f>
        <v>0</v>
      </c>
      <c r="I103" s="543"/>
      <c r="J103" s="582">
        <f>'20'!K55</f>
        <v>0</v>
      </c>
      <c r="K103" s="582">
        <f>'20'!L55</f>
        <v>0</v>
      </c>
      <c r="M103" s="11">
        <f>SUM(K102:K103)</f>
        <v>0</v>
      </c>
    </row>
    <row r="104" spans="1:13" ht="15.75" thickBot="1">
      <c r="A104" s="535"/>
      <c r="B104" s="552"/>
      <c r="C104" s="553" t="str">
        <f>'20'!C56</f>
        <v>b</v>
      </c>
      <c r="D104" s="553"/>
      <c r="E104" s="553"/>
      <c r="F104" s="553"/>
      <c r="G104" s="553"/>
      <c r="H104" s="553"/>
      <c r="I104" s="553"/>
      <c r="J104" s="610"/>
      <c r="K104" s="611"/>
      <c r="L104" s="605" t="str">
        <f>IF(M102-M103=0,$M$1,$M$2)</f>
        <v>√</v>
      </c>
    </row>
    <row r="105" spans="1:13" ht="15.75" thickBot="1">
      <c r="A105" s="393"/>
      <c r="B105" s="541"/>
      <c r="C105" s="454"/>
      <c r="D105" s="445"/>
      <c r="E105" s="445"/>
      <c r="F105" s="459"/>
      <c r="G105" s="458"/>
      <c r="H105" s="393"/>
      <c r="I105" s="5"/>
      <c r="J105" s="612"/>
      <c r="K105" s="612"/>
    </row>
    <row r="106" spans="1:13">
      <c r="A106" s="535"/>
      <c r="B106" s="556" t="s">
        <v>1477</v>
      </c>
      <c r="C106" s="558" t="s">
        <v>1478</v>
      </c>
      <c r="D106" s="558" t="s">
        <v>6</v>
      </c>
      <c r="E106" s="1891" t="s">
        <v>1356</v>
      </c>
      <c r="F106" s="1891"/>
      <c r="G106" s="1891"/>
      <c r="H106" s="1891"/>
      <c r="I106" s="1891"/>
      <c r="J106" s="578" t="s">
        <v>1357</v>
      </c>
      <c r="K106" s="601" t="s">
        <v>1358</v>
      </c>
    </row>
    <row r="107" spans="1:13">
      <c r="A107" s="535"/>
      <c r="B107" s="564"/>
      <c r="C107" s="565"/>
      <c r="D107" s="565"/>
      <c r="E107" s="565"/>
      <c r="F107" s="566"/>
      <c r="G107" s="566"/>
      <c r="H107" s="567"/>
      <c r="I107" s="567"/>
      <c r="J107" s="608"/>
      <c r="K107" s="609"/>
    </row>
    <row r="108" spans="1:13" ht="18.75" customHeight="1">
      <c r="A108" s="535"/>
      <c r="B108" s="562">
        <v>21</v>
      </c>
      <c r="C108" s="543" t="str">
        <f>'21'!D52</f>
        <v>AA-30</v>
      </c>
      <c r="D108" s="543">
        <f>'21'!E52</f>
        <v>0</v>
      </c>
      <c r="E108" s="575" t="str">
        <f>'21'!F52</f>
        <v>c</v>
      </c>
      <c r="F108" s="543">
        <f>'21'!G52</f>
        <v>0</v>
      </c>
      <c r="G108" s="543">
        <f>'21'!H52</f>
        <v>0</v>
      </c>
      <c r="H108" s="543">
        <f>'21'!I52</f>
        <v>0</v>
      </c>
      <c r="I108" s="543"/>
      <c r="J108" s="582">
        <f>'21'!K52</f>
        <v>0</v>
      </c>
      <c r="K108" s="582">
        <f>'21'!L52</f>
        <v>0</v>
      </c>
      <c r="M108" s="11">
        <f>SUM(J108:J109)</f>
        <v>0</v>
      </c>
    </row>
    <row r="109" spans="1:13" ht="18.75" customHeight="1">
      <c r="A109" s="535"/>
      <c r="B109" s="571"/>
      <c r="C109" s="543">
        <f>'21'!D53</f>
        <v>0</v>
      </c>
      <c r="D109" s="543">
        <f>'21'!E53</f>
        <v>0</v>
      </c>
      <c r="E109" s="575" t="str">
        <f>'21'!F53</f>
        <v>c</v>
      </c>
      <c r="F109" s="543">
        <f>'21'!G53</f>
        <v>0</v>
      </c>
      <c r="G109" s="543">
        <f>'21'!H53</f>
        <v>0</v>
      </c>
      <c r="H109" s="543">
        <f>'21'!I53</f>
        <v>0</v>
      </c>
      <c r="I109" s="543"/>
      <c r="J109" s="582">
        <f>'21'!K53</f>
        <v>0</v>
      </c>
      <c r="K109" s="582">
        <f>'21'!L53</f>
        <v>0</v>
      </c>
      <c r="M109" s="11">
        <f>SUM(K108:K109)</f>
        <v>0</v>
      </c>
    </row>
    <row r="110" spans="1:13" ht="15.75" thickBot="1">
      <c r="A110" s="535"/>
      <c r="B110" s="552"/>
      <c r="C110" s="553" t="str">
        <f>'21'!C54</f>
        <v>b</v>
      </c>
      <c r="D110" s="553"/>
      <c r="E110" s="553"/>
      <c r="F110" s="553"/>
      <c r="G110" s="553"/>
      <c r="H110" s="553"/>
      <c r="I110" s="553"/>
      <c r="J110" s="610"/>
      <c r="K110" s="611"/>
      <c r="L110" s="605" t="str">
        <f>IF(M108-M109=0,$M$1,$M$2)</f>
        <v>√</v>
      </c>
    </row>
    <row r="111" spans="1:13" ht="15.75" thickBot="1">
      <c r="A111" s="393"/>
      <c r="B111" s="541"/>
      <c r="C111" s="454"/>
      <c r="D111" s="445"/>
      <c r="E111" s="445"/>
      <c r="F111" s="459"/>
      <c r="G111" s="458"/>
      <c r="H111" s="393"/>
      <c r="I111" s="5"/>
      <c r="J111" s="612"/>
      <c r="K111" s="612"/>
    </row>
    <row r="112" spans="1:13">
      <c r="A112" s="535"/>
      <c r="B112" s="556" t="s">
        <v>1477</v>
      </c>
      <c r="C112" s="558" t="s">
        <v>1478</v>
      </c>
      <c r="D112" s="558" t="s">
        <v>6</v>
      </c>
      <c r="E112" s="1891" t="s">
        <v>1356</v>
      </c>
      <c r="F112" s="1891"/>
      <c r="G112" s="1891"/>
      <c r="H112" s="1891"/>
      <c r="I112" s="1891"/>
      <c r="J112" s="578" t="s">
        <v>1357</v>
      </c>
      <c r="K112" s="601" t="s">
        <v>1358</v>
      </c>
    </row>
    <row r="113" spans="1:13">
      <c r="A113" s="535"/>
      <c r="B113" s="564"/>
      <c r="C113" s="565"/>
      <c r="D113" s="565"/>
      <c r="E113" s="565"/>
      <c r="F113" s="566"/>
      <c r="G113" s="566"/>
      <c r="H113" s="567"/>
      <c r="I113" s="567"/>
      <c r="J113" s="608"/>
      <c r="K113" s="609"/>
    </row>
    <row r="114" spans="1:13" ht="18.75" customHeight="1">
      <c r="A114" s="535"/>
      <c r="B114" s="562">
        <v>22</v>
      </c>
      <c r="C114" s="543" t="str">
        <f>'22'!D52</f>
        <v>AA-40</v>
      </c>
      <c r="D114" s="543">
        <f>'22'!E52</f>
        <v>0</v>
      </c>
      <c r="E114" s="575" t="str">
        <f>'22'!F52</f>
        <v>c</v>
      </c>
      <c r="F114" s="543">
        <f>'22'!G52</f>
        <v>0</v>
      </c>
      <c r="G114" s="543">
        <f>'22'!H52</f>
        <v>0</v>
      </c>
      <c r="H114" s="543">
        <f>'22'!I52</f>
        <v>0</v>
      </c>
      <c r="I114" s="543"/>
      <c r="J114" s="582">
        <f>'22'!K52</f>
        <v>0</v>
      </c>
      <c r="K114" s="582">
        <f>'22'!L52</f>
        <v>0</v>
      </c>
      <c r="M114" s="11">
        <f>SUM(J114:J115)</f>
        <v>0</v>
      </c>
    </row>
    <row r="115" spans="1:13" ht="18.75" customHeight="1">
      <c r="A115" s="535"/>
      <c r="B115" s="571"/>
      <c r="C115" s="543">
        <f>'22'!D53</f>
        <v>0</v>
      </c>
      <c r="D115" s="543">
        <f>'22'!E53</f>
        <v>0</v>
      </c>
      <c r="E115" s="575" t="str">
        <f>'22'!F53</f>
        <v>c</v>
      </c>
      <c r="F115" s="543">
        <f>'22'!G53</f>
        <v>0</v>
      </c>
      <c r="G115" s="543">
        <f>'22'!H53</f>
        <v>0</v>
      </c>
      <c r="H115" s="543">
        <f>'22'!I53</f>
        <v>0</v>
      </c>
      <c r="I115" s="543"/>
      <c r="J115" s="582">
        <f>'22'!K53</f>
        <v>0</v>
      </c>
      <c r="K115" s="582">
        <f>'22'!L53</f>
        <v>0</v>
      </c>
      <c r="M115" s="11">
        <f>SUM(K114:K115)</f>
        <v>0</v>
      </c>
    </row>
    <row r="116" spans="1:13" ht="15.75" thickBot="1">
      <c r="A116" s="535"/>
      <c r="B116" s="552"/>
      <c r="C116" s="553" t="str">
        <f>'22'!C54</f>
        <v>b</v>
      </c>
      <c r="D116" s="553"/>
      <c r="E116" s="553"/>
      <c r="F116" s="553"/>
      <c r="G116" s="553"/>
      <c r="H116" s="553"/>
      <c r="I116" s="553"/>
      <c r="J116" s="610"/>
      <c r="K116" s="611"/>
      <c r="L116" s="605" t="str">
        <f>IF(M114-M115=0,$M$1,$M$2)</f>
        <v>√</v>
      </c>
    </row>
    <row r="117" spans="1:13" ht="15.75" thickBot="1">
      <c r="A117" s="393"/>
      <c r="B117" s="541"/>
      <c r="C117" s="454"/>
      <c r="D117" s="445"/>
      <c r="E117" s="445"/>
      <c r="F117" s="459"/>
      <c r="G117" s="458"/>
      <c r="H117" s="393"/>
      <c r="I117" s="5"/>
      <c r="J117" s="612"/>
      <c r="K117" s="612"/>
    </row>
    <row r="118" spans="1:13">
      <c r="A118" s="535"/>
      <c r="B118" s="556" t="s">
        <v>1477</v>
      </c>
      <c r="C118" s="558" t="s">
        <v>1478</v>
      </c>
      <c r="D118" s="558" t="s">
        <v>6</v>
      </c>
      <c r="E118" s="1891" t="s">
        <v>1356</v>
      </c>
      <c r="F118" s="1891"/>
      <c r="G118" s="1891"/>
      <c r="H118" s="1891"/>
      <c r="I118" s="1891"/>
      <c r="J118" s="578" t="s">
        <v>1357</v>
      </c>
      <c r="K118" s="601" t="s">
        <v>1358</v>
      </c>
      <c r="M118" s="11">
        <f>SUM(J118:J119)</f>
        <v>0</v>
      </c>
    </row>
    <row r="119" spans="1:13">
      <c r="A119" s="535"/>
      <c r="B119" s="564"/>
      <c r="C119" s="565"/>
      <c r="D119" s="565"/>
      <c r="E119" s="565"/>
      <c r="F119" s="566"/>
      <c r="G119" s="566"/>
      <c r="H119" s="567"/>
      <c r="I119" s="567"/>
      <c r="J119" s="608"/>
      <c r="K119" s="609"/>
      <c r="M119" s="11">
        <f>SUM(K118:K119)</f>
        <v>0</v>
      </c>
    </row>
    <row r="120" spans="1:13" ht="18.75" customHeight="1">
      <c r="A120" s="535"/>
      <c r="B120" s="562">
        <v>23</v>
      </c>
      <c r="C120" s="543" t="str">
        <f>'23'!D38</f>
        <v>AA-50</v>
      </c>
      <c r="D120" s="543">
        <f>'23'!E38</f>
        <v>0</v>
      </c>
      <c r="E120" s="575" t="str">
        <f>'23'!F38</f>
        <v>c</v>
      </c>
      <c r="F120" s="543">
        <f>'23'!G38</f>
        <v>0</v>
      </c>
      <c r="G120" s="543">
        <f>'23'!H38</f>
        <v>0</v>
      </c>
      <c r="H120" s="543">
        <f>'23'!I38</f>
        <v>0</v>
      </c>
      <c r="I120" s="543"/>
      <c r="J120" s="582">
        <f>'23'!K38</f>
        <v>0</v>
      </c>
      <c r="K120" s="582">
        <f>'23'!L38</f>
        <v>0</v>
      </c>
      <c r="M120" s="11">
        <f>SUM(J120:J121)</f>
        <v>0</v>
      </c>
    </row>
    <row r="121" spans="1:13" ht="18.75" customHeight="1">
      <c r="A121" s="535"/>
      <c r="B121" s="571"/>
      <c r="C121" s="543">
        <f>'23'!D39</f>
        <v>0</v>
      </c>
      <c r="D121" s="543">
        <f>'23'!E39</f>
        <v>0</v>
      </c>
      <c r="E121" s="575" t="str">
        <f>'23'!F39</f>
        <v>c</v>
      </c>
      <c r="F121" s="543">
        <f>'23'!G39</f>
        <v>0</v>
      </c>
      <c r="G121" s="543">
        <f>'23'!H39</f>
        <v>0</v>
      </c>
      <c r="H121" s="543">
        <f>'23'!I39</f>
        <v>0</v>
      </c>
      <c r="I121" s="543"/>
      <c r="J121" s="582">
        <f>'23'!K39</f>
        <v>0</v>
      </c>
      <c r="K121" s="582">
        <f>'23'!L39</f>
        <v>0</v>
      </c>
      <c r="M121" s="11">
        <f>SUM(K120:K121)</f>
        <v>0</v>
      </c>
    </row>
    <row r="122" spans="1:13" ht="15.75" thickBot="1">
      <c r="A122" s="535"/>
      <c r="B122" s="552"/>
      <c r="C122" s="553" t="str">
        <f>'23'!C40</f>
        <v>b</v>
      </c>
      <c r="D122" s="553"/>
      <c r="E122" s="553"/>
      <c r="F122" s="553"/>
      <c r="G122" s="553"/>
      <c r="H122" s="553"/>
      <c r="I122" s="553"/>
      <c r="J122" s="610"/>
      <c r="K122" s="611"/>
      <c r="L122" s="605" t="str">
        <f>IF(M120-M121=0,$M$1,$M$2)</f>
        <v>√</v>
      </c>
    </row>
    <row r="123" spans="1:13">
      <c r="A123" s="393"/>
      <c r="B123" s="541"/>
      <c r="C123" s="454"/>
      <c r="D123" s="445"/>
      <c r="E123" s="445"/>
      <c r="F123" s="459"/>
      <c r="G123" s="458"/>
      <c r="H123" s="393"/>
      <c r="I123" s="5"/>
      <c r="J123" s="612"/>
      <c r="K123" s="612"/>
    </row>
  </sheetData>
  <mergeCells count="21">
    <mergeCell ref="E118:I118"/>
    <mergeCell ref="E76:I76"/>
    <mergeCell ref="E82:I82"/>
    <mergeCell ref="E88:I88"/>
    <mergeCell ref="E94:I94"/>
    <mergeCell ref="E112:I112"/>
    <mergeCell ref="E106:I106"/>
    <mergeCell ref="E100:I100"/>
    <mergeCell ref="E70:I70"/>
    <mergeCell ref="E22:I22"/>
    <mergeCell ref="E40:I40"/>
    <mergeCell ref="E46:I46"/>
    <mergeCell ref="E52:I52"/>
    <mergeCell ref="E64:I64"/>
    <mergeCell ref="B1:K1"/>
    <mergeCell ref="B2:K2"/>
    <mergeCell ref="E7:F7"/>
    <mergeCell ref="E10:I10"/>
    <mergeCell ref="E16:I16"/>
    <mergeCell ref="E58:I58"/>
    <mergeCell ref="E28:I28"/>
  </mergeCells>
  <dataValidations count="1">
    <dataValidation type="list" allowBlank="1" showInputMessage="1" showErrorMessage="1" sqref="K8">
      <formula1>$G$3:$G$5</formula1>
    </dataValidation>
  </dataValidations>
  <hyperlinks>
    <hyperlink ref="I8" location="IPT!A1" display="INDICE"/>
  </hyperlinks>
  <pageMargins left="0.70866141732283472" right="0.70866141732283472" top="0.74803149606299213" bottom="0.74803149606299213" header="0.31496062992125984" footer="0.31496062992125984"/>
  <pageSetup scale="7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K39"/>
  <sheetViews>
    <sheetView topLeftCell="B8" workbookViewId="0">
      <selection activeCell="J30" sqref="J30"/>
    </sheetView>
  </sheetViews>
  <sheetFormatPr baseColWidth="10" defaultColWidth="9.140625" defaultRowHeight="15"/>
  <cols>
    <col min="1" max="1" width="11.42578125" customWidth="1"/>
    <col min="2" max="2" width="4.42578125" bestFit="1" customWidth="1"/>
    <col min="3" max="5" width="11.42578125" customWidth="1"/>
    <col min="6" max="6" width="25" bestFit="1" customWidth="1"/>
    <col min="7" max="7" width="34.140625" bestFit="1" customWidth="1"/>
    <col min="8" max="8" width="26" bestFit="1" customWidth="1"/>
    <col min="9" max="9" width="14.42578125" customWidth="1"/>
    <col min="10" max="10" width="11.42578125" customWidth="1"/>
    <col min="11" max="11" width="14.28515625" bestFit="1" customWidth="1"/>
  </cols>
  <sheetData>
    <row r="1" spans="1:11" ht="19.5" customHeight="1">
      <c r="B1" s="2073" t="str">
        <f>BALANZA!B1</f>
        <v>CORPORACION DEL ACUEDUCTO Y ALCANTARILLADO DE MOCA</v>
      </c>
      <c r="C1" s="2073"/>
      <c r="D1" s="2073"/>
      <c r="E1" s="2073"/>
      <c r="F1" s="2073"/>
      <c r="G1" s="2073"/>
      <c r="H1" s="2073"/>
      <c r="I1" s="2073"/>
      <c r="J1" s="2073"/>
    </row>
    <row r="2" spans="1:11" hidden="1">
      <c r="K2" s="492" t="s">
        <v>1532</v>
      </c>
    </row>
    <row r="3" spans="1:11" hidden="1">
      <c r="K3" s="492" t="s">
        <v>1533</v>
      </c>
    </row>
    <row r="4" spans="1:11" hidden="1">
      <c r="K4" s="492" t="s">
        <v>1531</v>
      </c>
    </row>
    <row r="5" spans="1:11">
      <c r="A5" s="179"/>
      <c r="B5" s="179"/>
      <c r="C5" s="179"/>
      <c r="D5" s="179"/>
      <c r="E5" s="369"/>
      <c r="F5" s="1950" t="s">
        <v>1480</v>
      </c>
      <c r="G5" s="2076"/>
      <c r="H5" s="2076"/>
      <c r="I5" s="179"/>
      <c r="J5" s="179"/>
      <c r="K5" s="396"/>
    </row>
    <row r="6" spans="1:11" ht="21.75" customHeight="1">
      <c r="A6" s="372"/>
      <c r="B6" s="372"/>
      <c r="C6" s="372"/>
      <c r="D6" s="372"/>
      <c r="E6" s="372"/>
      <c r="F6" s="372"/>
      <c r="G6" s="372"/>
      <c r="H6" s="372"/>
      <c r="I6" s="539" t="s">
        <v>1355</v>
      </c>
      <c r="J6" s="537" t="str">
        <f>IPT!C44</f>
        <v>C/O</v>
      </c>
      <c r="K6" s="663" t="s">
        <v>1531</v>
      </c>
    </row>
    <row r="7" spans="1:11" ht="41.25" customHeight="1">
      <c r="A7" s="583" t="s">
        <v>1478</v>
      </c>
      <c r="B7" s="583" t="s">
        <v>1481</v>
      </c>
      <c r="C7" s="2077" t="s">
        <v>1482</v>
      </c>
      <c r="D7" s="2078"/>
      <c r="E7" s="2079"/>
      <c r="F7" s="583" t="s">
        <v>1483</v>
      </c>
      <c r="G7" s="583" t="s">
        <v>1484</v>
      </c>
      <c r="H7" s="584" t="s">
        <v>1485</v>
      </c>
      <c r="I7" s="584" t="s">
        <v>1486</v>
      </c>
      <c r="J7" s="583" t="s">
        <v>1487</v>
      </c>
      <c r="K7" s="583" t="s">
        <v>1488</v>
      </c>
    </row>
    <row r="8" spans="1:11" ht="48" customHeight="1">
      <c r="A8" s="373" t="s">
        <v>1479</v>
      </c>
      <c r="B8" s="401">
        <v>1</v>
      </c>
      <c r="C8" s="2080" t="s">
        <v>1577</v>
      </c>
      <c r="D8" s="2081"/>
      <c r="E8" s="2082"/>
      <c r="F8" s="401" t="s">
        <v>1578</v>
      </c>
      <c r="G8" s="401" t="s">
        <v>1489</v>
      </c>
      <c r="H8" s="401" t="s">
        <v>1579</v>
      </c>
      <c r="I8" s="401" t="s">
        <v>1580</v>
      </c>
      <c r="J8" s="461" t="s">
        <v>1989</v>
      </c>
      <c r="K8" s="401" t="s">
        <v>1581</v>
      </c>
    </row>
    <row r="9" spans="1:11" ht="42" customHeight="1">
      <c r="A9" s="373"/>
      <c r="B9" s="373">
        <v>2</v>
      </c>
      <c r="C9" s="2080" t="s">
        <v>1985</v>
      </c>
      <c r="D9" s="2081"/>
      <c r="E9" s="2082"/>
      <c r="F9" s="401" t="s">
        <v>1986</v>
      </c>
      <c r="G9" s="401" t="s">
        <v>1987</v>
      </c>
      <c r="H9" s="401" t="s">
        <v>1990</v>
      </c>
      <c r="I9" s="401" t="s">
        <v>1988</v>
      </c>
      <c r="J9" s="461" t="str">
        <f>J8</f>
        <v>Año 2018</v>
      </c>
      <c r="K9" s="401" t="s">
        <v>1581</v>
      </c>
    </row>
    <row r="10" spans="1:11">
      <c r="A10" s="373"/>
      <c r="B10" s="373"/>
      <c r="C10" s="2080"/>
      <c r="D10" s="2081"/>
      <c r="E10" s="2082"/>
      <c r="F10" s="401"/>
      <c r="G10" s="373"/>
      <c r="H10" s="401"/>
      <c r="I10" s="401"/>
      <c r="J10" s="373"/>
      <c r="K10" s="401"/>
    </row>
    <row r="11" spans="1:11">
      <c r="A11" s="403"/>
      <c r="B11" s="403"/>
      <c r="C11" s="2075"/>
      <c r="D11" s="2075"/>
      <c r="E11" s="2075"/>
      <c r="F11" s="403"/>
      <c r="G11" s="403"/>
      <c r="H11" s="403"/>
      <c r="I11" s="403"/>
      <c r="J11" s="403"/>
      <c r="K11" s="403"/>
    </row>
    <row r="12" spans="1:11">
      <c r="A12" s="179"/>
      <c r="B12" s="179"/>
      <c r="C12" s="179"/>
      <c r="D12" s="179"/>
      <c r="E12" s="179"/>
      <c r="F12" s="179"/>
      <c r="G12" s="179"/>
      <c r="H12" s="179"/>
      <c r="I12" s="179"/>
      <c r="J12" s="179"/>
      <c r="K12" s="179"/>
    </row>
    <row r="13" spans="1:11">
      <c r="A13" s="179"/>
      <c r="B13" s="179"/>
      <c r="C13" s="179"/>
      <c r="D13" s="179"/>
      <c r="E13" s="179"/>
      <c r="F13" s="179"/>
      <c r="G13" s="179"/>
      <c r="H13" s="179"/>
      <c r="I13" s="179"/>
      <c r="J13" s="179"/>
      <c r="K13" s="179"/>
    </row>
    <row r="14" spans="1:11">
      <c r="A14" s="179"/>
      <c r="B14" s="179"/>
      <c r="C14" s="179"/>
      <c r="D14" s="179"/>
      <c r="E14" s="179"/>
      <c r="F14" s="179"/>
      <c r="G14" s="179"/>
      <c r="H14" s="179"/>
      <c r="I14" s="179"/>
      <c r="J14" s="179"/>
      <c r="K14" s="179"/>
    </row>
    <row r="15" spans="1:11">
      <c r="A15" s="179"/>
      <c r="B15" s="179"/>
      <c r="C15" s="179"/>
      <c r="D15" s="179"/>
      <c r="E15" s="179"/>
      <c r="F15" s="179"/>
      <c r="G15" s="179"/>
      <c r="H15" s="179"/>
      <c r="I15" s="179"/>
      <c r="J15" s="179"/>
      <c r="K15" s="179"/>
    </row>
    <row r="16" spans="1:11">
      <c r="A16" s="179"/>
      <c r="B16" s="179"/>
      <c r="C16" s="179"/>
      <c r="D16" s="179"/>
      <c r="E16" s="179"/>
      <c r="F16" s="179"/>
      <c r="G16" s="179"/>
      <c r="H16" s="179"/>
      <c r="I16" s="179"/>
      <c r="J16" s="179"/>
      <c r="K16" s="179"/>
    </row>
    <row r="17" spans="1:11">
      <c r="A17" s="179"/>
      <c r="B17" s="179"/>
      <c r="C17" s="179"/>
      <c r="D17" s="179"/>
      <c r="E17" s="179"/>
      <c r="F17" s="179"/>
      <c r="G17" s="179"/>
      <c r="H17" s="179"/>
      <c r="I17" s="179"/>
      <c r="J17" s="179"/>
      <c r="K17" s="179"/>
    </row>
    <row r="18" spans="1:11">
      <c r="A18" s="179"/>
      <c r="B18" s="179"/>
      <c r="C18" s="179"/>
      <c r="D18" s="179"/>
      <c r="E18" s="179"/>
      <c r="F18" s="179"/>
      <c r="G18" s="179"/>
      <c r="H18" s="179"/>
      <c r="I18" s="179"/>
      <c r="J18" s="179"/>
      <c r="K18" s="179"/>
    </row>
    <row r="19" spans="1:11">
      <c r="A19" s="179"/>
      <c r="B19" s="179"/>
      <c r="C19" s="179"/>
      <c r="D19" s="179"/>
      <c r="E19" s="179"/>
      <c r="F19" s="179"/>
      <c r="G19" s="179"/>
      <c r="H19" s="179"/>
      <c r="I19" s="179"/>
      <c r="J19" s="179"/>
      <c r="K19" s="179"/>
    </row>
    <row r="20" spans="1:11">
      <c r="A20" s="179"/>
      <c r="B20" s="179"/>
      <c r="C20" s="179"/>
      <c r="D20" s="179"/>
      <c r="E20" s="179"/>
      <c r="F20" s="179"/>
      <c r="G20" s="179"/>
      <c r="H20" s="179"/>
      <c r="I20" s="179"/>
      <c r="J20" s="179"/>
      <c r="K20" s="179"/>
    </row>
    <row r="21" spans="1:11">
      <c r="A21" s="179"/>
      <c r="B21" s="179"/>
      <c r="C21" s="179"/>
      <c r="D21" s="179"/>
      <c r="E21" s="179"/>
      <c r="F21" s="179"/>
      <c r="G21" s="179"/>
      <c r="H21" s="179"/>
      <c r="I21" s="179"/>
      <c r="J21" s="179"/>
      <c r="K21" s="179"/>
    </row>
    <row r="22" spans="1:11">
      <c r="A22" s="179"/>
      <c r="B22" s="179"/>
      <c r="C22" s="179"/>
      <c r="D22" s="179"/>
      <c r="E22" s="179"/>
      <c r="F22" s="179"/>
      <c r="G22" s="179"/>
      <c r="H22" s="179"/>
      <c r="I22" s="179"/>
      <c r="J22" s="179"/>
      <c r="K22" s="179"/>
    </row>
    <row r="23" spans="1:11">
      <c r="A23" s="179"/>
      <c r="B23" s="179"/>
      <c r="C23" s="179"/>
      <c r="D23" s="179"/>
      <c r="E23" s="179"/>
      <c r="F23" s="179"/>
      <c r="G23" s="179"/>
      <c r="H23" s="179"/>
      <c r="I23" s="179"/>
      <c r="J23" s="179"/>
      <c r="K23" s="179"/>
    </row>
    <row r="24" spans="1:11">
      <c r="A24" s="179"/>
      <c r="B24" s="179"/>
      <c r="C24" s="179"/>
      <c r="D24" s="179"/>
      <c r="E24" s="179"/>
      <c r="F24" s="179"/>
      <c r="G24" s="179"/>
      <c r="H24" s="179"/>
      <c r="I24" s="179"/>
      <c r="J24" s="179"/>
      <c r="K24" s="179"/>
    </row>
    <row r="25" spans="1:11">
      <c r="A25" s="179"/>
      <c r="B25" s="179"/>
      <c r="C25" s="179"/>
      <c r="D25" s="179"/>
      <c r="E25" s="179"/>
      <c r="F25" s="179"/>
      <c r="G25" s="179"/>
      <c r="H25" s="179"/>
      <c r="I25" s="179"/>
      <c r="J25" s="179"/>
      <c r="K25" s="179"/>
    </row>
    <row r="26" spans="1:11">
      <c r="A26" s="179"/>
      <c r="B26" s="179"/>
      <c r="C26" s="179"/>
      <c r="D26" s="179"/>
      <c r="E26" s="179"/>
      <c r="F26" s="179"/>
      <c r="G26" s="179"/>
      <c r="H26" s="179"/>
      <c r="I26" s="179"/>
      <c r="J26" s="179"/>
      <c r="K26" s="179"/>
    </row>
    <row r="27" spans="1:11">
      <c r="A27" s="179"/>
      <c r="B27" s="179"/>
      <c r="C27" s="179"/>
      <c r="D27" s="179"/>
      <c r="E27" s="179"/>
      <c r="F27" s="179"/>
      <c r="G27" s="179"/>
      <c r="H27" s="179"/>
      <c r="I27" s="179"/>
      <c r="J27" s="179"/>
      <c r="K27" s="179"/>
    </row>
    <row r="28" spans="1:11">
      <c r="A28" s="179"/>
      <c r="B28" s="179"/>
      <c r="C28" s="179"/>
      <c r="D28" s="179"/>
      <c r="E28" s="179"/>
      <c r="F28" s="179"/>
      <c r="G28" s="179"/>
      <c r="H28" s="179"/>
      <c r="I28" s="179"/>
      <c r="J28" s="179"/>
      <c r="K28" s="179"/>
    </row>
    <row r="29" spans="1:11">
      <c r="A29" s="179"/>
      <c r="B29" s="179"/>
      <c r="C29" s="179"/>
      <c r="D29" s="179"/>
      <c r="E29" s="179"/>
      <c r="F29" s="179"/>
      <c r="G29" s="179"/>
      <c r="H29" s="179"/>
      <c r="I29" s="179"/>
      <c r="J29" s="179"/>
      <c r="K29" s="179"/>
    </row>
    <row r="30" spans="1:11">
      <c r="A30" s="179"/>
      <c r="B30" s="179"/>
      <c r="C30" s="179"/>
      <c r="D30" s="179"/>
      <c r="E30" s="179"/>
      <c r="F30" s="179"/>
      <c r="G30" s="179"/>
      <c r="H30" s="179"/>
      <c r="I30" s="179"/>
      <c r="J30" s="179"/>
      <c r="K30" s="179"/>
    </row>
    <row r="31" spans="1:11">
      <c r="A31" s="179"/>
      <c r="B31" s="179"/>
      <c r="C31" s="179"/>
      <c r="D31" s="179"/>
      <c r="E31" s="179"/>
      <c r="F31" s="179"/>
      <c r="G31" s="179"/>
      <c r="H31" s="179"/>
      <c r="I31" s="179"/>
      <c r="J31" s="179"/>
      <c r="K31" s="179"/>
    </row>
    <row r="32" spans="1:11">
      <c r="A32" s="179"/>
      <c r="B32" s="179"/>
      <c r="C32" s="179"/>
      <c r="D32" s="179"/>
      <c r="E32" s="179"/>
      <c r="F32" s="179"/>
      <c r="G32" s="179"/>
      <c r="H32" s="179"/>
      <c r="I32" s="179"/>
      <c r="J32" s="179"/>
      <c r="K32" s="179"/>
    </row>
    <row r="33" spans="1:11">
      <c r="A33" s="179"/>
      <c r="B33" s="179"/>
      <c r="C33" s="179"/>
      <c r="D33" s="179"/>
      <c r="E33" s="179"/>
      <c r="F33" s="179"/>
      <c r="G33" s="179"/>
      <c r="H33" s="179"/>
      <c r="I33" s="179"/>
      <c r="J33" s="179"/>
      <c r="K33" s="179"/>
    </row>
    <row r="34" spans="1:11">
      <c r="A34" s="179"/>
      <c r="B34" s="179"/>
      <c r="C34" s="179"/>
      <c r="D34" s="179"/>
      <c r="E34" s="179"/>
      <c r="F34" s="179"/>
      <c r="G34" s="179"/>
      <c r="H34" s="179"/>
      <c r="I34" s="179"/>
      <c r="J34" s="179"/>
      <c r="K34" s="179"/>
    </row>
    <row r="35" spans="1:11">
      <c r="A35" s="179"/>
      <c r="B35" s="179"/>
      <c r="C35" s="179"/>
      <c r="D35" s="179"/>
      <c r="E35" s="179"/>
      <c r="F35" s="179"/>
      <c r="G35" s="179"/>
      <c r="H35" s="179"/>
      <c r="I35" s="179"/>
      <c r="J35" s="179"/>
      <c r="K35" s="179"/>
    </row>
    <row r="36" spans="1:11">
      <c r="A36" s="179"/>
      <c r="B36" s="179"/>
      <c r="C36" s="179"/>
      <c r="D36" s="179"/>
      <c r="E36" s="179"/>
      <c r="F36" s="179"/>
      <c r="G36" s="179"/>
      <c r="H36" s="179"/>
      <c r="I36" s="179"/>
      <c r="J36" s="179"/>
      <c r="K36" s="179"/>
    </row>
    <row r="37" spans="1:11">
      <c r="A37" s="179"/>
      <c r="B37" s="179"/>
      <c r="C37" s="179"/>
      <c r="D37" s="179"/>
      <c r="E37" s="179"/>
      <c r="F37" s="179"/>
      <c r="G37" s="179"/>
      <c r="H37" s="179"/>
      <c r="I37" s="179"/>
      <c r="J37" s="179"/>
      <c r="K37" s="179"/>
    </row>
    <row r="38" spans="1:11">
      <c r="A38" s="179"/>
      <c r="B38" s="179"/>
      <c r="C38" s="179"/>
      <c r="D38" s="179"/>
      <c r="E38" s="179"/>
      <c r="F38" s="179"/>
      <c r="G38" s="179"/>
      <c r="H38" s="179"/>
      <c r="I38" s="179"/>
      <c r="J38" s="179"/>
      <c r="K38" s="179"/>
    </row>
    <row r="39" spans="1:11">
      <c r="A39" s="179"/>
      <c r="B39" s="179"/>
      <c r="C39" s="179"/>
      <c r="D39" s="179"/>
      <c r="E39" s="179"/>
      <c r="F39" s="179"/>
      <c r="G39" s="179"/>
      <c r="H39" s="179"/>
      <c r="I39" s="179"/>
      <c r="J39" s="179"/>
      <c r="K39" s="179"/>
    </row>
  </sheetData>
  <mergeCells count="7">
    <mergeCell ref="C11:E11"/>
    <mergeCell ref="B1:J1"/>
    <mergeCell ref="F5:H5"/>
    <mergeCell ref="C7:E7"/>
    <mergeCell ref="C8:E8"/>
    <mergeCell ref="C9:E9"/>
    <mergeCell ref="C10:E10"/>
  </mergeCells>
  <dataValidations count="1">
    <dataValidation type="list" allowBlank="1" showInputMessage="1" showErrorMessage="1" sqref="K6">
      <formula1>$K$2:$K$4</formula1>
    </dataValidation>
  </dataValidations>
  <hyperlinks>
    <hyperlink ref="I6" location="IPT!A1" display="INDICE"/>
  </hyperlinks>
  <pageMargins left="0.70866141732283472" right="0.70866141732283472" top="0.74803149606299213" bottom="0.74803149606299213" header="0.31496062992125984" footer="0.31496062992125984"/>
  <pageSetup scale="5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1"/>
  <sheetViews>
    <sheetView topLeftCell="A55" workbookViewId="0">
      <selection activeCell="B91" sqref="B91"/>
    </sheetView>
  </sheetViews>
  <sheetFormatPr baseColWidth="10" defaultRowHeight="15"/>
  <cols>
    <col min="3" max="3" width="46.28515625" customWidth="1"/>
    <col min="4" max="4" width="18.140625" style="1735" customWidth="1"/>
    <col min="5" max="5" width="13.140625" bestFit="1" customWidth="1"/>
  </cols>
  <sheetData>
    <row r="1" spans="2:5">
      <c r="D1" s="1735">
        <f>SUM(D4:D95)</f>
        <v>223718020.91000003</v>
      </c>
      <c r="E1" s="1290">
        <f>+D1-221036020.91</f>
        <v>2682000.0000000298</v>
      </c>
    </row>
    <row r="2" spans="2:5">
      <c r="E2">
        <f>+E1/2</f>
        <v>1341000.0000000149</v>
      </c>
    </row>
    <row r="4" spans="2:5">
      <c r="B4" s="727" t="s">
        <v>570</v>
      </c>
      <c r="C4" s="728" t="s">
        <v>2250</v>
      </c>
    </row>
    <row r="5" spans="2:5">
      <c r="B5" s="727" t="s">
        <v>617</v>
      </c>
      <c r="C5" s="728" t="s">
        <v>2394</v>
      </c>
      <c r="D5" s="1735">
        <v>8987111.4100000001</v>
      </c>
    </row>
    <row r="6" spans="2:5">
      <c r="B6" s="727" t="s">
        <v>581</v>
      </c>
      <c r="C6" s="728" t="s">
        <v>2253</v>
      </c>
    </row>
    <row r="7" spans="2:5">
      <c r="B7" s="727" t="s">
        <v>584</v>
      </c>
      <c r="C7" s="728" t="s">
        <v>2254</v>
      </c>
    </row>
    <row r="8" spans="2:5">
      <c r="B8" s="727" t="s">
        <v>3802</v>
      </c>
      <c r="C8" s="728" t="s">
        <v>3803</v>
      </c>
    </row>
    <row r="9" spans="2:5">
      <c r="B9" s="727" t="s">
        <v>593</v>
      </c>
      <c r="C9" s="728" t="s">
        <v>3995</v>
      </c>
    </row>
    <row r="10" spans="2:5">
      <c r="B10" s="727" t="s">
        <v>604</v>
      </c>
      <c r="C10" s="728" t="s">
        <v>2256</v>
      </c>
    </row>
    <row r="11" spans="2:5">
      <c r="B11" s="727" t="s">
        <v>631</v>
      </c>
      <c r="C11" s="728" t="s">
        <v>2261</v>
      </c>
    </row>
    <row r="12" spans="2:5">
      <c r="B12" s="727" t="s">
        <v>634</v>
      </c>
      <c r="C12" s="728" t="s">
        <v>2262</v>
      </c>
    </row>
    <row r="13" spans="2:5">
      <c r="B13" s="727" t="s">
        <v>637</v>
      </c>
      <c r="C13" s="728" t="s">
        <v>2263</v>
      </c>
    </row>
    <row r="14" spans="2:5">
      <c r="B14" s="727" t="s">
        <v>2264</v>
      </c>
      <c r="C14" s="728" t="s">
        <v>2265</v>
      </c>
    </row>
    <row r="15" spans="2:5">
      <c r="B15" s="727" t="s">
        <v>658</v>
      </c>
      <c r="C15" s="728" t="s">
        <v>2266</v>
      </c>
    </row>
    <row r="16" spans="2:5">
      <c r="B16" s="727" t="s">
        <v>658</v>
      </c>
      <c r="C16" s="728" t="s">
        <v>2266</v>
      </c>
    </row>
    <row r="17" spans="2:4">
      <c r="B17" s="727" t="s">
        <v>2269</v>
      </c>
      <c r="C17" s="728" t="s">
        <v>2270</v>
      </c>
    </row>
    <row r="18" spans="2:4">
      <c r="B18" s="727" t="s">
        <v>661</v>
      </c>
      <c r="C18" s="728" t="s">
        <v>2887</v>
      </c>
      <c r="D18" s="1735">
        <f>9839210+4075707.59</f>
        <v>13914917.59</v>
      </c>
    </row>
    <row r="19" spans="2:4">
      <c r="B19" s="727" t="s">
        <v>664</v>
      </c>
      <c r="C19" s="728" t="s">
        <v>2271</v>
      </c>
      <c r="D19" s="1735">
        <f>581580.15+568593.71</f>
        <v>1150173.8599999999</v>
      </c>
    </row>
    <row r="20" spans="2:4">
      <c r="B20" s="727" t="s">
        <v>2272</v>
      </c>
      <c r="C20" s="728" t="s">
        <v>2273</v>
      </c>
      <c r="D20" s="1735">
        <v>900000</v>
      </c>
    </row>
    <row r="21" spans="2:4">
      <c r="B21" s="727" t="s">
        <v>667</v>
      </c>
      <c r="C21" s="728" t="s">
        <v>2274</v>
      </c>
    </row>
    <row r="22" spans="2:4">
      <c r="B22" s="727" t="s">
        <v>2275</v>
      </c>
      <c r="C22" s="728" t="s">
        <v>2276</v>
      </c>
    </row>
    <row r="23" spans="2:4">
      <c r="B23" s="727" t="s">
        <v>219</v>
      </c>
      <c r="C23" s="728" t="s">
        <v>2277</v>
      </c>
      <c r="D23" s="1735">
        <v>559658.56999999995</v>
      </c>
    </row>
    <row r="24" spans="2:4">
      <c r="B24" s="727" t="s">
        <v>686</v>
      </c>
      <c r="C24" s="728" t="s">
        <v>2278</v>
      </c>
      <c r="D24" s="1735">
        <v>40027.96</v>
      </c>
    </row>
    <row r="25" spans="2:4">
      <c r="B25" s="727" t="s">
        <v>692</v>
      </c>
      <c r="C25" s="728" t="s">
        <v>2343</v>
      </c>
      <c r="D25" s="1735">
        <v>489000</v>
      </c>
    </row>
    <row r="26" spans="2:4">
      <c r="B26" s="727" t="s">
        <v>695</v>
      </c>
      <c r="C26" s="728" t="s">
        <v>2279</v>
      </c>
      <c r="D26" s="1735">
        <v>2387400</v>
      </c>
    </row>
    <row r="27" spans="2:4">
      <c r="B27" s="727" t="s">
        <v>701</v>
      </c>
      <c r="C27" s="728" t="s">
        <v>2281</v>
      </c>
      <c r="D27" s="1735">
        <v>550000</v>
      </c>
    </row>
    <row r="28" spans="2:4">
      <c r="B28" s="727" t="s">
        <v>701</v>
      </c>
      <c r="C28" s="728" t="s">
        <v>2281</v>
      </c>
    </row>
    <row r="29" spans="2:4">
      <c r="B29" s="727" t="s">
        <v>3848</v>
      </c>
      <c r="C29" s="728" t="s">
        <v>3849</v>
      </c>
    </row>
    <row r="30" spans="2:4">
      <c r="B30" s="727" t="s">
        <v>709</v>
      </c>
      <c r="C30" s="728" t="s">
        <v>2282</v>
      </c>
    </row>
    <row r="31" spans="2:4">
      <c r="B31" s="727" t="s">
        <v>715</v>
      </c>
      <c r="C31" s="728" t="s">
        <v>3853</v>
      </c>
    </row>
    <row r="32" spans="2:4">
      <c r="B32" s="727" t="s">
        <v>724</v>
      </c>
      <c r="C32" s="728" t="s">
        <v>2852</v>
      </c>
    </row>
    <row r="33" spans="2:4">
      <c r="B33" s="727"/>
      <c r="C33" s="728" t="s">
        <v>4014</v>
      </c>
      <c r="D33" s="1735">
        <f>2710000+200000+379241.8+1500000+250000+292000</f>
        <v>5331241.8</v>
      </c>
    </row>
    <row r="34" spans="2:4">
      <c r="B34" s="727" t="s">
        <v>727</v>
      </c>
      <c r="C34" s="728" t="s">
        <v>2285</v>
      </c>
      <c r="D34" s="1735">
        <v>488621.67</v>
      </c>
    </row>
    <row r="35" spans="2:4">
      <c r="B35" s="727" t="s">
        <v>739</v>
      </c>
      <c r="C35" s="728" t="s">
        <v>2781</v>
      </c>
    </row>
    <row r="36" spans="2:4">
      <c r="B36" s="727" t="s">
        <v>742</v>
      </c>
      <c r="C36" s="728" t="s">
        <v>2287</v>
      </c>
      <c r="D36" s="1735">
        <v>1100000</v>
      </c>
    </row>
    <row r="37" spans="2:4">
      <c r="B37" s="727" t="s">
        <v>759</v>
      </c>
      <c r="C37" s="728" t="s">
        <v>2288</v>
      </c>
    </row>
    <row r="38" spans="2:4">
      <c r="B38" s="727" t="s">
        <v>765</v>
      </c>
      <c r="C38" s="728" t="s">
        <v>2369</v>
      </c>
    </row>
    <row r="39" spans="2:4">
      <c r="B39" s="727" t="s">
        <v>745</v>
      </c>
      <c r="C39" s="728" t="s">
        <v>2344</v>
      </c>
    </row>
    <row r="40" spans="2:4">
      <c r="B40" s="727" t="s">
        <v>748</v>
      </c>
      <c r="C40" s="728" t="s">
        <v>2289</v>
      </c>
    </row>
    <row r="41" spans="2:4">
      <c r="B41" s="727" t="s">
        <v>642</v>
      </c>
      <c r="C41" s="728" t="s">
        <v>2290</v>
      </c>
      <c r="D41" s="1735">
        <v>25000</v>
      </c>
    </row>
    <row r="42" spans="2:4">
      <c r="B42" s="727" t="s">
        <v>645</v>
      </c>
      <c r="C42" s="728" t="s">
        <v>2291</v>
      </c>
    </row>
    <row r="43" spans="2:4">
      <c r="B43" s="727" t="s">
        <v>3932</v>
      </c>
      <c r="C43" s="728" t="s">
        <v>3933</v>
      </c>
      <c r="D43" s="1735">
        <v>450000</v>
      </c>
    </row>
    <row r="44" spans="2:4">
      <c r="B44" s="727" t="s">
        <v>771</v>
      </c>
      <c r="C44" s="728" t="s">
        <v>2293</v>
      </c>
    </row>
    <row r="45" spans="2:4">
      <c r="B45" s="727" t="s">
        <v>774</v>
      </c>
      <c r="C45" s="728" t="s">
        <v>2064</v>
      </c>
    </row>
    <row r="46" spans="2:4">
      <c r="B46" s="727" t="s">
        <v>3886</v>
      </c>
      <c r="C46" s="728" t="s">
        <v>3887</v>
      </c>
      <c r="D46" s="1735">
        <v>500000</v>
      </c>
    </row>
    <row r="47" spans="2:4">
      <c r="B47" s="727" t="s">
        <v>2294</v>
      </c>
      <c r="C47" s="728" t="s">
        <v>2227</v>
      </c>
    </row>
    <row r="48" spans="2:4">
      <c r="B48" s="727" t="s">
        <v>3934</v>
      </c>
      <c r="C48" s="728" t="s">
        <v>3926</v>
      </c>
      <c r="D48" s="1735">
        <v>170000</v>
      </c>
    </row>
    <row r="49" spans="2:4">
      <c r="B49" s="727" t="s">
        <v>785</v>
      </c>
      <c r="C49" s="728" t="s">
        <v>2295</v>
      </c>
      <c r="D49" s="1735">
        <f>500000+200000</f>
        <v>700000</v>
      </c>
    </row>
    <row r="50" spans="2:4">
      <c r="B50" s="727" t="s">
        <v>4004</v>
      </c>
      <c r="C50" s="728" t="s">
        <v>4005</v>
      </c>
      <c r="D50" s="1735">
        <v>150000</v>
      </c>
    </row>
    <row r="51" spans="2:4">
      <c r="B51" s="727" t="s">
        <v>788</v>
      </c>
      <c r="C51" s="728" t="s">
        <v>3935</v>
      </c>
      <c r="D51" s="1735">
        <f>850000+100000</f>
        <v>950000</v>
      </c>
    </row>
    <row r="52" spans="2:4">
      <c r="B52" s="727" t="s">
        <v>3958</v>
      </c>
      <c r="C52" s="728" t="s">
        <v>3959</v>
      </c>
      <c r="D52" s="1735">
        <v>300000</v>
      </c>
    </row>
    <row r="53" spans="2:4">
      <c r="B53" s="727" t="s">
        <v>791</v>
      </c>
      <c r="C53" s="728" t="s">
        <v>2296</v>
      </c>
      <c r="D53" s="1735">
        <v>100000</v>
      </c>
    </row>
    <row r="54" spans="2:4">
      <c r="B54" s="727" t="s">
        <v>3997</v>
      </c>
      <c r="C54" s="728" t="s">
        <v>3885</v>
      </c>
      <c r="D54" s="1735">
        <v>210000</v>
      </c>
    </row>
    <row r="55" spans="2:4">
      <c r="B55" s="727" t="s">
        <v>810</v>
      </c>
      <c r="C55" s="728" t="s">
        <v>2797</v>
      </c>
      <c r="D55" s="1735">
        <f>600000+47250+950000</f>
        <v>1597250</v>
      </c>
    </row>
    <row r="56" spans="2:4">
      <c r="B56" s="727" t="s">
        <v>813</v>
      </c>
      <c r="C56" s="728" t="s">
        <v>3948</v>
      </c>
      <c r="D56" s="1735">
        <f>258587+50000+350000</f>
        <v>658587</v>
      </c>
    </row>
    <row r="57" spans="2:4">
      <c r="B57" s="727" t="s">
        <v>3916</v>
      </c>
      <c r="C57" s="728" t="s">
        <v>3905</v>
      </c>
      <c r="D57" s="1735">
        <v>23384</v>
      </c>
    </row>
    <row r="58" spans="2:4">
      <c r="B58" s="727" t="s">
        <v>3854</v>
      </c>
      <c r="C58" s="728" t="s">
        <v>3855</v>
      </c>
      <c r="D58" s="1735">
        <f>1863722+310000</f>
        <v>2173722</v>
      </c>
    </row>
    <row r="59" spans="2:4">
      <c r="B59" s="727" t="s">
        <v>3936</v>
      </c>
      <c r="C59" s="728" t="s">
        <v>3929</v>
      </c>
      <c r="D59" s="1735">
        <f>376488+500000+200000</f>
        <v>1076488</v>
      </c>
    </row>
    <row r="60" spans="2:4">
      <c r="B60" s="727" t="s">
        <v>3992</v>
      </c>
      <c r="C60" s="728" t="s">
        <v>3993</v>
      </c>
      <c r="D60" s="1735">
        <v>450000</v>
      </c>
    </row>
    <row r="61" spans="2:4">
      <c r="B61" s="727" t="s">
        <v>3960</v>
      </c>
      <c r="C61" s="728" t="s">
        <v>3961</v>
      </c>
      <c r="D61" s="1735">
        <f>500000+4435</f>
        <v>504435</v>
      </c>
    </row>
    <row r="62" spans="2:4">
      <c r="B62" s="727" t="s">
        <v>796</v>
      </c>
      <c r="C62" s="728" t="s">
        <v>2298</v>
      </c>
      <c r="D62" s="1735">
        <f>825000+1117200</f>
        <v>1942200</v>
      </c>
    </row>
    <row r="63" spans="2:4">
      <c r="B63" s="727" t="s">
        <v>799</v>
      </c>
      <c r="C63" s="728" t="s">
        <v>2299</v>
      </c>
      <c r="D63" s="1735">
        <f>425000+146500</f>
        <v>571500</v>
      </c>
    </row>
    <row r="64" spans="2:4">
      <c r="B64" s="727" t="s">
        <v>2300</v>
      </c>
      <c r="C64" s="728" t="s">
        <v>2301</v>
      </c>
    </row>
    <row r="65" spans="2:4">
      <c r="B65" s="727" t="s">
        <v>3937</v>
      </c>
      <c r="C65" s="728" t="s">
        <v>3938</v>
      </c>
      <c r="D65" s="1735">
        <v>250000</v>
      </c>
    </row>
    <row r="66" spans="2:4">
      <c r="B66" s="727" t="s">
        <v>802</v>
      </c>
      <c r="C66" s="728" t="s">
        <v>2302</v>
      </c>
      <c r="D66" s="1735">
        <v>250000</v>
      </c>
    </row>
    <row r="67" spans="2:4">
      <c r="B67" s="727" t="s">
        <v>805</v>
      </c>
      <c r="C67" s="728" t="s">
        <v>2303</v>
      </c>
      <c r="D67" s="1735">
        <v>15000</v>
      </c>
    </row>
    <row r="68" spans="2:4">
      <c r="B68" s="727" t="s">
        <v>3889</v>
      </c>
      <c r="C68" s="728" t="s">
        <v>3890</v>
      </c>
      <c r="D68" s="1735">
        <v>3000000</v>
      </c>
    </row>
    <row r="69" spans="2:4">
      <c r="B69" s="727" t="s">
        <v>3952</v>
      </c>
      <c r="C69" s="728" t="s">
        <v>3953</v>
      </c>
      <c r="D69" s="1735">
        <v>6295717.75</v>
      </c>
    </row>
    <row r="70" spans="2:4">
      <c r="B70" s="727" t="s">
        <v>3891</v>
      </c>
      <c r="C70" s="728" t="s">
        <v>3861</v>
      </c>
      <c r="D70" s="1735">
        <v>10000000</v>
      </c>
    </row>
    <row r="71" spans="2:4">
      <c r="B71" s="727" t="s">
        <v>818</v>
      </c>
      <c r="C71" s="728" t="s">
        <v>2304</v>
      </c>
      <c r="D71" s="1735">
        <v>255040</v>
      </c>
    </row>
    <row r="72" spans="2:4">
      <c r="B72" s="727" t="s">
        <v>821</v>
      </c>
      <c r="C72" s="728" t="s">
        <v>2305</v>
      </c>
      <c r="D72" s="1735">
        <v>300000</v>
      </c>
    </row>
    <row r="73" spans="2:4">
      <c r="B73" s="727" t="s">
        <v>3981</v>
      </c>
      <c r="C73" s="728" t="s">
        <v>3982</v>
      </c>
      <c r="D73" s="1735">
        <f>25672+390000</f>
        <v>415672</v>
      </c>
    </row>
    <row r="74" spans="2:4">
      <c r="B74" s="727" t="s">
        <v>824</v>
      </c>
      <c r="C74" s="728" t="s">
        <v>2366</v>
      </c>
    </row>
    <row r="75" spans="2:4">
      <c r="B75" s="727" t="s">
        <v>827</v>
      </c>
      <c r="C75" s="728" t="s">
        <v>2306</v>
      </c>
      <c r="D75" s="1735">
        <f>578125+550000</f>
        <v>1128125</v>
      </c>
    </row>
    <row r="76" spans="2:4">
      <c r="B76" s="727" t="s">
        <v>830</v>
      </c>
      <c r="C76" s="728" t="s">
        <v>2370</v>
      </c>
      <c r="D76" s="1735">
        <f>150000+450000</f>
        <v>600000</v>
      </c>
    </row>
    <row r="77" spans="2:4">
      <c r="B77" s="727" t="s">
        <v>3856</v>
      </c>
      <c r="C77" s="728" t="s">
        <v>3853</v>
      </c>
      <c r="D77" s="1735">
        <f>10609910.2+550000</f>
        <v>11159910.199999999</v>
      </c>
    </row>
    <row r="78" spans="2:4">
      <c r="B78" s="727" t="s">
        <v>833</v>
      </c>
      <c r="C78" s="728" t="s">
        <v>2307</v>
      </c>
      <c r="D78" s="1735">
        <v>16000</v>
      </c>
    </row>
    <row r="79" spans="2:4">
      <c r="B79" s="727" t="s">
        <v>833</v>
      </c>
      <c r="C79" s="728" t="s">
        <v>2307</v>
      </c>
    </row>
    <row r="80" spans="2:4">
      <c r="B80" s="727" t="s">
        <v>3939</v>
      </c>
      <c r="C80" s="728" t="s">
        <v>3930</v>
      </c>
      <c r="D80" s="1735">
        <f>1209815+176300</f>
        <v>1386115</v>
      </c>
    </row>
    <row r="81" spans="2:4">
      <c r="B81" s="727" t="s">
        <v>3917</v>
      </c>
      <c r="C81" s="728" t="s">
        <v>3906</v>
      </c>
      <c r="D81" s="1735">
        <f>87032+200000</f>
        <v>287032</v>
      </c>
    </row>
    <row r="82" spans="2:4">
      <c r="B82" s="727" t="s">
        <v>862</v>
      </c>
      <c r="C82" s="728" t="s">
        <v>2308</v>
      </c>
    </row>
    <row r="83" spans="2:4">
      <c r="B83" s="727" t="s">
        <v>868</v>
      </c>
      <c r="C83" s="728" t="s">
        <v>2309</v>
      </c>
    </row>
    <row r="84" spans="2:4">
      <c r="B84" s="727" t="s">
        <v>154</v>
      </c>
      <c r="C84" s="728" t="s">
        <v>2367</v>
      </c>
      <c r="D84" s="1735">
        <f>1200000+16611+315924.51</f>
        <v>1532535.51</v>
      </c>
    </row>
    <row r="85" spans="2:4">
      <c r="B85" s="727" t="s">
        <v>198</v>
      </c>
      <c r="C85" s="728" t="s">
        <v>2311</v>
      </c>
      <c r="D85" s="1735">
        <f>500000+410000+286221+458000</f>
        <v>1654221</v>
      </c>
    </row>
    <row r="86" spans="2:4">
      <c r="B86" s="727" t="s">
        <v>145</v>
      </c>
      <c r="C86" s="728" t="s">
        <v>3892</v>
      </c>
      <c r="D86" s="1735">
        <f>350000+198000+2980000</f>
        <v>3528000</v>
      </c>
    </row>
    <row r="87" spans="2:4">
      <c r="B87" s="727" t="s">
        <v>4009</v>
      </c>
      <c r="C87" s="728" t="s">
        <v>2759</v>
      </c>
      <c r="D87" s="1735">
        <f>18900+700000</f>
        <v>718900</v>
      </c>
    </row>
    <row r="88" spans="2:4">
      <c r="B88" s="727" t="s">
        <v>142</v>
      </c>
      <c r="C88" s="728" t="s">
        <v>2853</v>
      </c>
      <c r="D88" s="1735">
        <f>14398350+14000</f>
        <v>14412350</v>
      </c>
    </row>
    <row r="89" spans="2:4">
      <c r="B89" s="727" t="s">
        <v>3949</v>
      </c>
      <c r="C89" s="728" t="s">
        <v>3946</v>
      </c>
      <c r="D89" s="1735">
        <f>5500+70350+874850+5890000+187240+298000+300000+198000</f>
        <v>7823940</v>
      </c>
    </row>
    <row r="90" spans="2:4">
      <c r="B90" s="730" t="s">
        <v>3940</v>
      </c>
      <c r="C90" s="731" t="s">
        <v>3941</v>
      </c>
      <c r="D90" s="1735">
        <v>700000</v>
      </c>
    </row>
    <row r="91" spans="2:4">
      <c r="B91">
        <v>27</v>
      </c>
      <c r="C91" s="728" t="s">
        <v>4013</v>
      </c>
      <c r="D91" s="1735">
        <f>+-8987111.41+27855+118200000+298000</f>
        <v>109538743.59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9"/>
  <sheetViews>
    <sheetView topLeftCell="A7" workbookViewId="0">
      <selection activeCell="F136" sqref="F136"/>
    </sheetView>
  </sheetViews>
  <sheetFormatPr baseColWidth="10" defaultColWidth="9.140625" defaultRowHeight="15"/>
  <cols>
    <col min="1" max="1" width="2.5703125" style="334" customWidth="1"/>
    <col min="2" max="2" width="27.28515625" style="334" customWidth="1"/>
    <col min="3" max="3" width="17.5703125" style="334" customWidth="1"/>
    <col min="4" max="4" width="13" style="334" customWidth="1"/>
    <col min="5" max="5" width="24.85546875" style="334" customWidth="1"/>
    <col min="6" max="6" width="20" style="334" customWidth="1"/>
    <col min="7" max="9" width="3.28515625" style="334" customWidth="1"/>
    <col min="10" max="10" width="3.85546875" style="334" customWidth="1"/>
    <col min="11" max="11" width="9.140625" style="334"/>
    <col min="19" max="16384" width="9.140625" style="334"/>
  </cols>
  <sheetData>
    <row r="1" spans="2:19">
      <c r="B1" s="758" t="str">
        <f>+BALANZA!B1</f>
        <v>CORPORACION DEL ACUEDUCTO Y ALCANTARILLADO DE MOCA</v>
      </c>
      <c r="C1" s="758"/>
      <c r="D1" s="759"/>
      <c r="E1" s="759"/>
      <c r="F1" s="759"/>
      <c r="G1" s="759"/>
      <c r="H1" s="759"/>
      <c r="I1" s="759"/>
      <c r="L1" s="1823" t="s">
        <v>3804</v>
      </c>
      <c r="M1" s="1823"/>
      <c r="N1" s="1823"/>
      <c r="O1" s="1823"/>
      <c r="P1" s="1823"/>
      <c r="Q1" s="1823"/>
      <c r="R1" s="1823"/>
    </row>
    <row r="2" spans="2:19">
      <c r="B2" s="1840" t="s">
        <v>3777</v>
      </c>
      <c r="C2" s="1840"/>
      <c r="D2" s="759"/>
      <c r="E2" s="759"/>
      <c r="F2" s="759"/>
      <c r="G2" s="759"/>
      <c r="H2" s="759"/>
      <c r="I2" s="759"/>
    </row>
    <row r="3" spans="2:19">
      <c r="B3" s="1840" t="s">
        <v>1911</v>
      </c>
      <c r="C3" s="1840"/>
      <c r="D3" s="759"/>
      <c r="E3" s="759"/>
      <c r="F3" s="759"/>
      <c r="G3" s="759"/>
      <c r="H3" s="759"/>
      <c r="I3" s="759"/>
      <c r="L3" t="s">
        <v>3805</v>
      </c>
    </row>
    <row r="4" spans="2:19" ht="15.75" thickBot="1">
      <c r="B4" s="760"/>
      <c r="C4" s="760"/>
      <c r="D4" s="760"/>
      <c r="E4" s="760"/>
      <c r="F4" s="760"/>
      <c r="G4" s="760"/>
      <c r="H4" s="760"/>
      <c r="I4" s="760"/>
    </row>
    <row r="5" spans="2:19" ht="15.75" thickTop="1">
      <c r="B5" s="761" t="s">
        <v>1912</v>
      </c>
      <c r="C5" s="762" t="s">
        <v>3776</v>
      </c>
      <c r="D5" s="762"/>
      <c r="E5" s="762"/>
      <c r="F5" s="762"/>
      <c r="G5" s="762"/>
      <c r="H5" s="762"/>
      <c r="I5" s="759"/>
    </row>
    <row r="6" spans="2:19">
      <c r="B6" s="761" t="s">
        <v>1913</v>
      </c>
      <c r="C6" s="762" t="s">
        <v>1955</v>
      </c>
      <c r="D6" s="762"/>
      <c r="E6" s="763"/>
      <c r="F6" s="764"/>
      <c r="G6" s="763"/>
      <c r="H6" s="762"/>
      <c r="I6" s="759"/>
    </row>
    <row r="7" spans="2:19">
      <c r="B7" s="761" t="s">
        <v>1914</v>
      </c>
      <c r="C7" s="762" t="s">
        <v>1956</v>
      </c>
      <c r="D7" s="762"/>
      <c r="E7" s="763"/>
      <c r="F7" s="762"/>
      <c r="G7" s="763"/>
      <c r="H7" s="762"/>
      <c r="I7" s="759"/>
      <c r="L7" t="s">
        <v>3806</v>
      </c>
      <c r="S7" s="334" t="s">
        <v>2011</v>
      </c>
    </row>
    <row r="8" spans="2:19">
      <c r="B8" s="765"/>
      <c r="C8" s="765"/>
      <c r="D8" s="765"/>
      <c r="E8" s="765"/>
      <c r="F8" s="759"/>
      <c r="G8" s="759"/>
      <c r="H8" s="759"/>
      <c r="I8" s="759"/>
    </row>
    <row r="9" spans="2:19" ht="7.5" customHeight="1">
      <c r="B9" s="765"/>
      <c r="C9" s="765"/>
      <c r="D9" s="765"/>
      <c r="E9" s="765"/>
      <c r="F9" s="759"/>
      <c r="G9" s="759"/>
      <c r="H9" s="759"/>
      <c r="I9" s="759"/>
    </row>
    <row r="10" spans="2:19">
      <c r="B10" s="1841" t="s">
        <v>1915</v>
      </c>
      <c r="C10" s="1841"/>
      <c r="D10" s="1841"/>
      <c r="E10" s="1841"/>
      <c r="F10" s="1841"/>
      <c r="G10" s="1841"/>
      <c r="H10" s="1841"/>
      <c r="I10" s="1841"/>
      <c r="L10" t="s">
        <v>3807</v>
      </c>
    </row>
    <row r="11" spans="2:19" ht="8.25" customHeight="1"/>
    <row r="12" spans="2:19" ht="45" customHeight="1">
      <c r="B12" s="1842" t="s">
        <v>1916</v>
      </c>
      <c r="C12" s="1842"/>
      <c r="D12" s="1842"/>
      <c r="E12" s="1842"/>
      <c r="F12" s="1842"/>
      <c r="G12" s="1842"/>
      <c r="H12" s="1842"/>
      <c r="I12" s="1842"/>
    </row>
    <row r="13" spans="2:19">
      <c r="B13" s="1842"/>
      <c r="C13" s="1842"/>
      <c r="D13" s="1842"/>
      <c r="E13" s="1842"/>
      <c r="F13" s="1842"/>
      <c r="G13" s="1842"/>
      <c r="H13" s="1842"/>
      <c r="I13" s="1842"/>
      <c r="L13" t="s">
        <v>3808</v>
      </c>
    </row>
    <row r="14" spans="2:19" ht="8.25" customHeight="1">
      <c r="B14" s="1842"/>
      <c r="C14" s="1842"/>
      <c r="D14" s="1842"/>
      <c r="E14" s="1842"/>
      <c r="F14" s="1842"/>
      <c r="G14" s="1842"/>
      <c r="H14" s="1842"/>
      <c r="I14" s="1842"/>
    </row>
    <row r="15" spans="2:19">
      <c r="B15" s="766"/>
      <c r="C15" s="766"/>
      <c r="D15" s="766"/>
      <c r="E15" s="766"/>
      <c r="F15" s="759"/>
      <c r="G15" s="759"/>
      <c r="H15" s="759"/>
      <c r="I15" s="759"/>
    </row>
    <row r="16" spans="2:19" ht="47.25" customHeight="1">
      <c r="B16" s="1842" t="s">
        <v>1917</v>
      </c>
      <c r="C16" s="1842"/>
      <c r="D16" s="1842"/>
      <c r="E16" s="1842"/>
      <c r="F16" s="1842"/>
      <c r="G16" s="1842"/>
      <c r="H16" s="1842"/>
      <c r="I16" s="1842"/>
      <c r="S16" s="334" t="s">
        <v>3841</v>
      </c>
    </row>
    <row r="17" spans="2:19">
      <c r="B17" s="766"/>
      <c r="C17" s="766"/>
      <c r="D17" s="766"/>
      <c r="E17" s="766"/>
      <c r="F17" s="759"/>
      <c r="G17" s="759"/>
      <c r="H17" s="759"/>
      <c r="I17" s="759"/>
    </row>
    <row r="18" spans="2:19">
      <c r="B18" s="766" t="s">
        <v>1918</v>
      </c>
      <c r="C18" s="766"/>
      <c r="D18" s="766"/>
      <c r="E18" s="766"/>
      <c r="F18" s="759"/>
      <c r="G18" s="759"/>
      <c r="H18" s="759"/>
      <c r="I18" s="759"/>
    </row>
    <row r="19" spans="2:19">
      <c r="B19" s="766" t="s">
        <v>1919</v>
      </c>
      <c r="C19" s="766"/>
      <c r="D19" s="766"/>
      <c r="E19" s="766"/>
      <c r="F19" s="759"/>
      <c r="G19" s="759"/>
      <c r="H19" s="759"/>
      <c r="I19" s="759"/>
    </row>
    <row r="20" spans="2:19">
      <c r="B20" s="766" t="s">
        <v>1920</v>
      </c>
      <c r="C20" s="767"/>
      <c r="D20" s="767"/>
      <c r="E20" s="767"/>
      <c r="F20" s="759"/>
      <c r="G20" s="759"/>
      <c r="H20" s="759"/>
      <c r="I20" s="759"/>
      <c r="L20" t="s">
        <v>3809</v>
      </c>
    </row>
    <row r="21" spans="2:19">
      <c r="B21" s="766" t="s">
        <v>1921</v>
      </c>
      <c r="C21" s="766"/>
      <c r="D21" s="766"/>
      <c r="E21" s="766"/>
      <c r="F21" s="759"/>
      <c r="G21" s="759"/>
      <c r="H21" s="759"/>
      <c r="I21" s="759"/>
    </row>
    <row r="22" spans="2:19">
      <c r="B22" s="766"/>
      <c r="C22" s="766"/>
      <c r="D22" s="766"/>
      <c r="E22" s="766"/>
      <c r="F22" s="759"/>
      <c r="G22" s="759"/>
      <c r="H22" s="759"/>
      <c r="I22" s="759"/>
    </row>
    <row r="23" spans="2:19">
      <c r="B23" s="766" t="s">
        <v>1922</v>
      </c>
      <c r="C23" s="766"/>
      <c r="D23" s="766"/>
      <c r="E23" s="766"/>
      <c r="F23" s="759"/>
      <c r="G23" s="759"/>
      <c r="H23" s="759"/>
      <c r="I23" s="759"/>
    </row>
    <row r="24" spans="2:19">
      <c r="B24" s="766"/>
      <c r="C24" s="766"/>
      <c r="D24" s="766"/>
      <c r="E24" s="766"/>
      <c r="F24" s="759"/>
      <c r="G24" s="759"/>
      <c r="H24" s="759"/>
      <c r="I24" s="759"/>
    </row>
    <row r="25" spans="2:19" ht="20.25" customHeight="1">
      <c r="B25" s="1843" t="s">
        <v>3778</v>
      </c>
      <c r="C25" s="1843"/>
      <c r="D25" s="1843"/>
      <c r="E25" s="1843"/>
      <c r="F25" s="1843"/>
      <c r="G25" s="1843"/>
      <c r="H25" s="1843"/>
      <c r="I25" s="1843"/>
      <c r="L25" t="s">
        <v>3810</v>
      </c>
    </row>
    <row r="26" spans="2:19" ht="18" customHeight="1">
      <c r="B26" s="1843"/>
      <c r="C26" s="1843"/>
      <c r="D26" s="1843"/>
      <c r="E26" s="1843"/>
      <c r="F26" s="1843"/>
      <c r="G26" s="1843"/>
      <c r="H26" s="1843"/>
      <c r="I26" s="1843"/>
    </row>
    <row r="27" spans="2:19" ht="26.25" customHeight="1">
      <c r="B27" s="1843"/>
      <c r="C27" s="1843"/>
      <c r="D27" s="1843"/>
      <c r="E27" s="1843"/>
      <c r="F27" s="1843"/>
      <c r="G27" s="1843"/>
      <c r="H27" s="1843"/>
      <c r="I27" s="1843"/>
    </row>
    <row r="28" spans="2:19" s="769" customFormat="1" ht="6.75" customHeight="1">
      <c r="B28" s="768"/>
      <c r="C28" s="768"/>
      <c r="D28" s="768"/>
      <c r="E28" s="768"/>
      <c r="F28" s="768"/>
      <c r="G28" s="768"/>
      <c r="H28" s="768"/>
      <c r="I28" s="768"/>
      <c r="M28"/>
      <c r="N28"/>
      <c r="O28"/>
      <c r="P28"/>
      <c r="Q28"/>
      <c r="R28"/>
    </row>
    <row r="29" spans="2:19" s="769" customFormat="1" ht="34.5" customHeight="1">
      <c r="B29" s="1843" t="s">
        <v>1958</v>
      </c>
      <c r="C29" s="1843"/>
      <c r="D29" s="1843"/>
      <c r="E29" s="1843"/>
      <c r="F29" s="1843"/>
      <c r="G29" s="1843"/>
      <c r="H29" s="1843"/>
      <c r="I29" s="1843"/>
      <c r="L29" t="s">
        <v>3811</v>
      </c>
      <c r="M29"/>
      <c r="N29"/>
      <c r="O29"/>
      <c r="P29"/>
      <c r="Q29"/>
      <c r="R29"/>
      <c r="S29" s="1573" t="s">
        <v>3840</v>
      </c>
    </row>
    <row r="30" spans="2:19">
      <c r="B30" s="1843"/>
      <c r="C30" s="1843"/>
      <c r="D30" s="1843"/>
      <c r="E30" s="1843"/>
      <c r="F30" s="1843"/>
      <c r="G30" s="1843"/>
      <c r="H30" s="1843"/>
      <c r="I30" s="1843"/>
    </row>
    <row r="31" spans="2:19" ht="75.75" customHeight="1">
      <c r="B31" s="1843"/>
      <c r="C31" s="1843"/>
      <c r="D31" s="1843"/>
      <c r="E31" s="1843"/>
      <c r="F31" s="1843"/>
      <c r="G31" s="1843"/>
      <c r="H31" s="1843"/>
      <c r="I31" s="1843"/>
      <c r="L31" t="s">
        <v>3812</v>
      </c>
    </row>
    <row r="32" spans="2:19">
      <c r="B32" s="770"/>
      <c r="C32" s="770"/>
      <c r="D32" s="770"/>
      <c r="E32" s="770"/>
      <c r="F32" s="759"/>
      <c r="G32" s="759"/>
      <c r="H32" s="759"/>
      <c r="I32" s="759"/>
    </row>
    <row r="33" spans="2:12">
      <c r="B33" s="1844" t="s">
        <v>1923</v>
      </c>
      <c r="C33" s="1844"/>
      <c r="D33" s="1844"/>
      <c r="E33" s="1844"/>
      <c r="F33" s="1844"/>
      <c r="G33" s="1844"/>
      <c r="H33" s="1844"/>
      <c r="I33" s="1844"/>
    </row>
    <row r="34" spans="2:12">
      <c r="B34" s="766"/>
      <c r="C34" s="766"/>
      <c r="D34" s="766"/>
      <c r="E34" s="766"/>
      <c r="F34" s="759"/>
    </row>
    <row r="35" spans="2:12">
      <c r="B35" s="771" t="s">
        <v>1924</v>
      </c>
      <c r="C35" s="766"/>
      <c r="D35" s="766"/>
      <c r="E35" s="766"/>
      <c r="F35" s="759"/>
    </row>
    <row r="36" spans="2:12">
      <c r="B36" s="766"/>
      <c r="C36" s="766"/>
      <c r="D36" s="766"/>
      <c r="E36" s="766"/>
      <c r="F36" s="759"/>
      <c r="L36" t="s">
        <v>3813</v>
      </c>
    </row>
    <row r="37" spans="2:12" ht="42.75">
      <c r="B37" s="772" t="s">
        <v>1925</v>
      </c>
      <c r="C37" s="772" t="s">
        <v>1926</v>
      </c>
      <c r="D37" s="773" t="s">
        <v>1927</v>
      </c>
      <c r="E37" s="773" t="s">
        <v>1928</v>
      </c>
      <c r="F37" s="774" t="s">
        <v>1929</v>
      </c>
    </row>
    <row r="38" spans="2:12">
      <c r="B38" s="775" t="s">
        <v>1930</v>
      </c>
      <c r="C38" s="776"/>
      <c r="D38" s="777"/>
      <c r="E38" s="777"/>
      <c r="F38" s="776"/>
    </row>
    <row r="39" spans="2:12">
      <c r="B39" s="776" t="s">
        <v>1931</v>
      </c>
      <c r="C39" s="778"/>
      <c r="D39" s="779">
        <v>0.02</v>
      </c>
      <c r="E39" s="778">
        <v>0</v>
      </c>
      <c r="F39" s="776"/>
      <c r="L39" t="s">
        <v>3814</v>
      </c>
    </row>
    <row r="40" spans="2:12">
      <c r="B40" s="776" t="s">
        <v>1932</v>
      </c>
      <c r="C40" s="778"/>
      <c r="D40" s="779">
        <v>0.01</v>
      </c>
      <c r="E40" s="778">
        <v>0</v>
      </c>
      <c r="F40" s="776"/>
    </row>
    <row r="41" spans="2:12">
      <c r="B41" s="776" t="s">
        <v>1933</v>
      </c>
      <c r="C41" s="780">
        <f>+RESULTADO!C25</f>
        <v>51319749.43</v>
      </c>
      <c r="D41" s="781">
        <v>5.0000000000000001E-3</v>
      </c>
      <c r="E41" s="778">
        <f>+D41*C41</f>
        <v>256598.74715000001</v>
      </c>
      <c r="F41" s="776"/>
    </row>
    <row r="42" spans="2:12">
      <c r="L42" t="s">
        <v>3815</v>
      </c>
    </row>
    <row r="44" spans="2:12">
      <c r="B44" s="782" t="s">
        <v>1934</v>
      </c>
      <c r="C44" s="759"/>
      <c r="D44" s="759"/>
      <c r="E44" s="759"/>
      <c r="F44" s="759"/>
      <c r="L44" t="s">
        <v>3816</v>
      </c>
    </row>
    <row r="46" spans="2:12" ht="42.75">
      <c r="B46" s="772" t="s">
        <v>1925</v>
      </c>
      <c r="C46" s="772" t="s">
        <v>1926</v>
      </c>
      <c r="D46" s="773" t="s">
        <v>1927</v>
      </c>
      <c r="E46" s="773" t="s">
        <v>1928</v>
      </c>
      <c r="F46" s="774" t="s">
        <v>1929</v>
      </c>
    </row>
    <row r="47" spans="2:12" ht="30">
      <c r="B47" s="783" t="s">
        <v>1935</v>
      </c>
      <c r="C47" s="784"/>
      <c r="D47" s="784"/>
      <c r="E47" s="784"/>
      <c r="F47" s="776"/>
    </row>
    <row r="48" spans="2:12">
      <c r="B48" s="776" t="s">
        <v>1936</v>
      </c>
      <c r="C48" s="803">
        <f>+RESULTADO!C30</f>
        <v>19577798.82</v>
      </c>
      <c r="D48" s="779">
        <v>0.05</v>
      </c>
      <c r="E48" s="785">
        <f>+D48*C48</f>
        <v>978889.94100000011</v>
      </c>
      <c r="F48" s="776"/>
      <c r="L48" t="s">
        <v>3817</v>
      </c>
    </row>
    <row r="49" spans="2:10">
      <c r="B49" s="776" t="s">
        <v>1937</v>
      </c>
      <c r="C49" s="776"/>
      <c r="D49" s="779" t="s">
        <v>1938</v>
      </c>
      <c r="E49" s="785">
        <v>0</v>
      </c>
      <c r="F49" s="776"/>
    </row>
    <row r="51" spans="2:10">
      <c r="B51" s="782" t="s">
        <v>1939</v>
      </c>
      <c r="C51" s="759"/>
      <c r="D51" s="759"/>
      <c r="E51" s="759"/>
      <c r="F51" s="759"/>
    </row>
    <row r="53" spans="2:10" ht="42.75">
      <c r="B53" s="772" t="s">
        <v>1925</v>
      </c>
      <c r="C53" s="772" t="s">
        <v>1926</v>
      </c>
      <c r="D53" s="773" t="s">
        <v>1927</v>
      </c>
      <c r="E53" s="773" t="s">
        <v>1928</v>
      </c>
      <c r="F53" s="759"/>
    </row>
    <row r="54" spans="2:10">
      <c r="B54" s="784" t="s">
        <v>1940</v>
      </c>
      <c r="C54" s="785">
        <f>+RESULTADO!C15</f>
        <v>70897548.25</v>
      </c>
      <c r="D54" s="781">
        <v>5.0000000000000001E-3</v>
      </c>
      <c r="E54" s="786">
        <f>+C54*D54</f>
        <v>354487.74125000002</v>
      </c>
      <c r="F54" s="759"/>
    </row>
    <row r="57" spans="2:10" ht="32.25" customHeight="1">
      <c r="B57" s="1839" t="s">
        <v>1941</v>
      </c>
      <c r="C57" s="1839"/>
      <c r="D57" s="1839"/>
      <c r="E57" s="1839"/>
      <c r="F57" s="1839"/>
      <c r="G57" s="1839"/>
      <c r="H57" s="1839"/>
      <c r="I57" s="1839"/>
      <c r="J57" s="1839"/>
    </row>
    <row r="58" spans="2:10">
      <c r="B58" s="782"/>
      <c r="C58" s="759"/>
      <c r="D58" s="759"/>
      <c r="E58" s="759"/>
      <c r="F58" s="759"/>
    </row>
    <row r="59" spans="2:10">
      <c r="B59" s="772" t="s">
        <v>1925</v>
      </c>
      <c r="C59" s="772" t="s">
        <v>1926</v>
      </c>
      <c r="D59" s="759"/>
      <c r="E59" s="759"/>
      <c r="F59" s="759"/>
    </row>
    <row r="60" spans="2:10">
      <c r="B60" s="784" t="s">
        <v>1942</v>
      </c>
      <c r="C60" s="784">
        <f>+E41</f>
        <v>256598.74715000001</v>
      </c>
      <c r="D60" s="759"/>
      <c r="E60" s="759"/>
      <c r="F60" s="759"/>
    </row>
    <row r="61" spans="2:10">
      <c r="B61" s="787" t="s">
        <v>1943</v>
      </c>
      <c r="C61" s="778">
        <f>+E48</f>
        <v>978889.94100000011</v>
      </c>
      <c r="D61" s="759"/>
      <c r="E61" s="759"/>
      <c r="F61" s="759"/>
    </row>
    <row r="62" spans="2:10">
      <c r="B62" s="784" t="s">
        <v>1944</v>
      </c>
      <c r="C62" s="784">
        <f>+E54</f>
        <v>354487.74125000002</v>
      </c>
      <c r="D62" s="759"/>
      <c r="E62" s="759"/>
      <c r="F62" s="759"/>
    </row>
    <row r="63" spans="2:10" ht="15.75" thickBot="1">
      <c r="B63" s="788" t="s">
        <v>1945</v>
      </c>
      <c r="C63" s="789">
        <f>SUM(C60:C62)/3</f>
        <v>529992.1431333333</v>
      </c>
      <c r="D63" s="759"/>
      <c r="E63" s="759"/>
      <c r="F63" s="759"/>
    </row>
    <row r="64" spans="2:10" ht="15.75" thickTop="1">
      <c r="B64" s="766"/>
      <c r="C64" s="766"/>
      <c r="D64" s="759"/>
      <c r="E64" s="759"/>
      <c r="F64" s="759"/>
    </row>
    <row r="65" spans="2:9">
      <c r="B65" s="766"/>
      <c r="C65" s="766"/>
      <c r="D65" s="759"/>
      <c r="E65" s="759"/>
      <c r="F65" s="759"/>
    </row>
    <row r="66" spans="2:9">
      <c r="B66" s="1844" t="s">
        <v>1946</v>
      </c>
      <c r="C66" s="1844"/>
      <c r="D66" s="1844"/>
      <c r="E66" s="1844"/>
      <c r="F66" s="1844"/>
      <c r="G66" s="1844"/>
      <c r="H66" s="1844"/>
      <c r="I66" s="1844"/>
    </row>
    <row r="67" spans="2:9">
      <c r="B67" s="766"/>
      <c r="C67" s="766"/>
      <c r="D67" s="759"/>
      <c r="E67" s="759"/>
      <c r="F67" s="759"/>
    </row>
    <row r="68" spans="2:9" ht="47.25">
      <c r="B68" s="790" t="s">
        <v>1925</v>
      </c>
      <c r="C68" s="790" t="s">
        <v>1926</v>
      </c>
      <c r="D68" s="791" t="s">
        <v>1927</v>
      </c>
      <c r="E68" s="791" t="s">
        <v>1947</v>
      </c>
      <c r="F68" s="774" t="s">
        <v>1929</v>
      </c>
    </row>
    <row r="69" spans="2:9" ht="15.75">
      <c r="B69" s="792" t="s">
        <v>1948</v>
      </c>
      <c r="C69" s="793"/>
      <c r="D69" s="793"/>
      <c r="E69" s="793"/>
      <c r="F69" s="776"/>
    </row>
    <row r="70" spans="2:9" ht="15.75">
      <c r="B70" s="794" t="s">
        <v>1949</v>
      </c>
      <c r="C70" s="795"/>
      <c r="D70" s="796">
        <v>0.75</v>
      </c>
      <c r="E70" s="795">
        <f>$C$18*D70</f>
        <v>0</v>
      </c>
      <c r="F70" s="776"/>
    </row>
    <row r="71" spans="2:9" ht="15.75">
      <c r="B71" s="794" t="s">
        <v>1950</v>
      </c>
      <c r="C71" s="797">
        <f>+C63</f>
        <v>529992.1431333333</v>
      </c>
      <c r="D71" s="798">
        <v>0.5</v>
      </c>
      <c r="E71" s="795">
        <f>+D71*C71</f>
        <v>264996.07156666665</v>
      </c>
      <c r="F71" s="776"/>
    </row>
    <row r="72" spans="2:9">
      <c r="B72" s="766"/>
      <c r="C72" s="766"/>
      <c r="D72" s="759"/>
      <c r="E72" s="759"/>
      <c r="F72" s="759"/>
    </row>
    <row r="73" spans="2:9">
      <c r="B73" s="766"/>
      <c r="C73" s="766"/>
      <c r="D73" s="759"/>
      <c r="E73" s="759"/>
      <c r="F73" s="759"/>
    </row>
    <row r="74" spans="2:9">
      <c r="B74" s="766"/>
      <c r="C74" s="766"/>
      <c r="D74" s="759"/>
      <c r="E74" s="759"/>
      <c r="F74" s="759"/>
    </row>
    <row r="75" spans="2:9">
      <c r="B75" s="1844" t="s">
        <v>2021</v>
      </c>
      <c r="C75" s="1844"/>
      <c r="D75" s="1844"/>
      <c r="E75" s="1844"/>
      <c r="F75" s="1844"/>
      <c r="G75" s="1844"/>
      <c r="H75" s="1844"/>
      <c r="I75" s="1844"/>
    </row>
    <row r="76" spans="2:9">
      <c r="B76" s="766"/>
      <c r="C76" s="766"/>
      <c r="D76" s="759"/>
      <c r="E76" s="759"/>
      <c r="F76" s="759"/>
    </row>
    <row r="77" spans="2:9" ht="31.5">
      <c r="B77" s="790" t="s">
        <v>1925</v>
      </c>
      <c r="C77" s="790" t="s">
        <v>1926</v>
      </c>
      <c r="D77" s="791" t="s">
        <v>1927</v>
      </c>
      <c r="E77" s="791" t="s">
        <v>1957</v>
      </c>
      <c r="F77" s="774" t="s">
        <v>1929</v>
      </c>
    </row>
    <row r="78" spans="2:9" ht="15.75">
      <c r="B78" s="799" t="s">
        <v>1948</v>
      </c>
      <c r="C78" s="793">
        <f>+C71</f>
        <v>529992.1431333333</v>
      </c>
      <c r="D78" s="796">
        <v>0.05</v>
      </c>
      <c r="E78" s="799">
        <f>C78*D78</f>
        <v>26499.607156666665</v>
      </c>
      <c r="F78" s="776"/>
    </row>
    <row r="79" spans="2:9" ht="15.75">
      <c r="B79" s="799" t="s">
        <v>1948</v>
      </c>
      <c r="C79" s="793"/>
      <c r="D79" s="796">
        <v>0.1</v>
      </c>
      <c r="E79" s="799">
        <f>C79*D79</f>
        <v>0</v>
      </c>
      <c r="F79" s="776"/>
    </row>
    <row r="80" spans="2:9">
      <c r="B80" s="766"/>
      <c r="C80" s="766"/>
      <c r="D80" s="759"/>
      <c r="E80" s="759"/>
      <c r="F80" s="759"/>
    </row>
    <row r="81" spans="2:10">
      <c r="B81" s="766"/>
      <c r="C81" s="766"/>
      <c r="D81" s="759"/>
      <c r="E81" s="759"/>
      <c r="F81" s="759"/>
    </row>
    <row r="83" spans="2:10">
      <c r="B83" s="1844" t="s">
        <v>1951</v>
      </c>
      <c r="C83" s="1844"/>
      <c r="D83" s="1844"/>
      <c r="E83" s="1844"/>
      <c r="F83" s="1844"/>
      <c r="G83" s="1844"/>
      <c r="H83" s="1844"/>
      <c r="I83" s="1844"/>
    </row>
    <row r="85" spans="2:10" ht="24" customHeight="1">
      <c r="B85" s="1838" t="str">
        <f>("Basados en las pautas indicadas en la Guía para la Planificación de Auditorias Financieras Gubernamentales, utilizando los métodos señalados y nuestro juicio profesional, hemos calculado la Materialidad de Planeación en RD$"&amp;INT(C63)&amp;", la Materialidad de Ejecución en RD$"&amp;INT(E71)&amp;"  y la Materialidad para el Sumario de Auditoria en RD$"&amp;INT(E78)&amp;".")</f>
        <v>Basados en las pautas indicadas en la Guía para la Planificación de Auditorias Financieras Gubernamentales, utilizando los métodos señalados y nuestro juicio profesional, hemos calculado la Materialidad de Planeación en RD$529992, la Materialidad de Ejecución en RD$264996  y la Materialidad para el Sumario de Auditoria en RD$26499.</v>
      </c>
      <c r="C85" s="1838"/>
      <c r="D85" s="1838"/>
      <c r="E85" s="1838"/>
      <c r="F85" s="1838"/>
      <c r="G85" s="1838"/>
      <c r="H85" s="1838"/>
      <c r="I85" s="1838"/>
    </row>
    <row r="86" spans="2:10" ht="27.75" customHeight="1">
      <c r="B86" s="1838"/>
      <c r="C86" s="1838"/>
      <c r="D86" s="1838"/>
      <c r="E86" s="1838"/>
      <c r="F86" s="1838"/>
      <c r="G86" s="1838"/>
      <c r="H86" s="1838"/>
      <c r="I86" s="1838"/>
    </row>
    <row r="87" spans="2:10">
      <c r="B87" s="800"/>
      <c r="C87" s="801"/>
      <c r="D87" s="766"/>
      <c r="E87" s="766"/>
      <c r="F87" s="759"/>
    </row>
    <row r="88" spans="2:10">
      <c r="B88" s="800"/>
      <c r="C88" s="801"/>
      <c r="D88" s="766"/>
      <c r="E88" s="766"/>
      <c r="F88" s="759"/>
    </row>
    <row r="89" spans="2:10">
      <c r="B89" s="800"/>
      <c r="C89" s="801"/>
      <c r="D89" s="766"/>
      <c r="E89" s="766"/>
      <c r="F89" s="759"/>
    </row>
    <row r="90" spans="2:10">
      <c r="B90" s="800"/>
      <c r="C90" s="801"/>
      <c r="D90" s="766"/>
      <c r="E90" s="766"/>
      <c r="F90" s="759"/>
    </row>
    <row r="91" spans="2:10">
      <c r="B91" s="800"/>
      <c r="C91" s="801"/>
      <c r="D91" s="766"/>
      <c r="E91" s="766"/>
      <c r="F91" s="759"/>
    </row>
    <row r="92" spans="2:10">
      <c r="B92" s="782" t="s">
        <v>1953</v>
      </c>
      <c r="C92" s="782"/>
      <c r="D92" s="759"/>
      <c r="E92" s="759"/>
      <c r="F92" s="759"/>
    </row>
    <row r="93" spans="2:10">
      <c r="B93" s="759" t="s">
        <v>1952</v>
      </c>
      <c r="C93" s="782"/>
      <c r="D93" s="759"/>
      <c r="E93" s="759"/>
      <c r="F93" s="759"/>
      <c r="J93" s="604"/>
    </row>
    <row r="94" spans="2:10">
      <c r="B94" s="759"/>
      <c r="C94" s="782"/>
      <c r="D94" s="759"/>
      <c r="E94" s="759"/>
      <c r="F94" s="759"/>
    </row>
    <row r="95" spans="2:10">
      <c r="B95" s="782"/>
      <c r="C95" s="782"/>
      <c r="D95" s="782"/>
    </row>
    <row r="96" spans="2:10">
      <c r="B96" s="782"/>
      <c r="C96" s="782"/>
      <c r="D96" s="782"/>
    </row>
    <row r="97" spans="2:8">
      <c r="B97" s="804" t="s">
        <v>1478</v>
      </c>
      <c r="C97" s="769"/>
      <c r="D97" s="769"/>
      <c r="E97" s="769"/>
      <c r="F97" s="769"/>
      <c r="G97" s="769"/>
      <c r="H97" s="769"/>
    </row>
    <row r="98" spans="2:8">
      <c r="B98" s="805" t="s">
        <v>1954</v>
      </c>
      <c r="C98" s="802"/>
      <c r="D98" s="802"/>
      <c r="E98" s="769"/>
      <c r="F98" s="769"/>
      <c r="G98" s="769"/>
      <c r="H98" s="769"/>
    </row>
    <row r="99" spans="2:8">
      <c r="B99" s="769"/>
      <c r="C99" s="769"/>
      <c r="D99" s="769"/>
      <c r="E99" s="769"/>
      <c r="F99" s="769"/>
      <c r="G99" s="769"/>
      <c r="H99" s="769"/>
    </row>
  </sheetData>
  <mergeCells count="14">
    <mergeCell ref="L1:R1"/>
    <mergeCell ref="B29:I31"/>
    <mergeCell ref="B33:I33"/>
    <mergeCell ref="B66:I66"/>
    <mergeCell ref="B75:I75"/>
    <mergeCell ref="B83:I83"/>
    <mergeCell ref="B85:I86"/>
    <mergeCell ref="B57:J57"/>
    <mergeCell ref="B2:C2"/>
    <mergeCell ref="B3:C3"/>
    <mergeCell ref="B10:I10"/>
    <mergeCell ref="B12:I14"/>
    <mergeCell ref="B16:I16"/>
    <mergeCell ref="B25:I27"/>
  </mergeCells>
  <pageMargins left="0.70866141732283472" right="0.70866141732283472" top="0.74803149606299213" bottom="0.74803149606299213" header="0.31496062992125984" footer="0.31496062992125984"/>
  <pageSetup scale="75"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CQ445"/>
  <sheetViews>
    <sheetView zoomScaleNormal="100" workbookViewId="0">
      <pane xSplit="5" ySplit="5" topLeftCell="CO15" activePane="bottomRight" state="frozen"/>
      <selection pane="topRight" activeCell="F1" sqref="F1"/>
      <selection pane="bottomLeft" activeCell="A5" sqref="A5"/>
      <selection pane="bottomRight" activeCell="B3" sqref="B3"/>
    </sheetView>
  </sheetViews>
  <sheetFormatPr baseColWidth="10" defaultColWidth="9.140625" defaultRowHeight="15"/>
  <cols>
    <col min="1" max="1" width="16.85546875" customWidth="1"/>
    <col min="2" max="2" width="52.5703125" customWidth="1"/>
    <col min="3" max="3" width="15.42578125" style="11" customWidth="1"/>
    <col min="4" max="4" width="8.7109375" style="37" customWidth="1"/>
    <col min="5" max="5" width="7.140625" style="38" customWidth="1"/>
    <col min="6" max="6" width="13.85546875" style="894" customWidth="1"/>
    <col min="7" max="7" width="15.28515625" style="38" hidden="1" customWidth="1"/>
    <col min="8" max="8" width="38.5703125" hidden="1" customWidth="1"/>
    <col min="9" max="10" width="19.140625" hidden="1" customWidth="1"/>
    <col min="11" max="12" width="11.42578125" customWidth="1"/>
    <col min="13" max="13" width="47" customWidth="1"/>
    <col min="14" max="14" width="15.28515625" customWidth="1"/>
    <col min="15" max="24" width="14.42578125" bestFit="1" customWidth="1"/>
    <col min="25" max="25" width="14.85546875" bestFit="1" customWidth="1"/>
    <col min="26" max="26" width="13.42578125" customWidth="1"/>
    <col min="27" max="27" width="8.42578125" customWidth="1"/>
    <col min="28" max="28" width="11.42578125" hidden="1" customWidth="1"/>
    <col min="29" max="29" width="4.140625" hidden="1" customWidth="1"/>
    <col min="30" max="30" width="83" hidden="1" customWidth="1"/>
    <col min="31" max="31" width="14.5703125" hidden="1" customWidth="1"/>
    <col min="32" max="32" width="56.28515625" hidden="1" customWidth="1"/>
    <col min="33" max="33" width="11.28515625" hidden="1" customWidth="1"/>
    <col min="34" max="34" width="10.85546875" hidden="1" customWidth="1"/>
    <col min="35" max="35" width="56.7109375" hidden="1" customWidth="1"/>
    <col min="36" max="36" width="2.42578125" hidden="1" customWidth="1"/>
    <col min="37" max="37" width="2.140625" hidden="1" customWidth="1"/>
    <col min="38" max="38" width="2.28515625" hidden="1" customWidth="1"/>
    <col min="39" max="39" width="9.7109375" hidden="1" customWidth="1"/>
    <col min="40" max="45" width="11.42578125" hidden="1" customWidth="1"/>
    <col min="46" max="46" width="14.28515625" hidden="1" customWidth="1"/>
    <col min="47" max="47" width="17" style="1543" customWidth="1"/>
    <col min="48" max="48" width="36.85546875" customWidth="1"/>
    <col min="49" max="49" width="15.28515625" customWidth="1"/>
    <col min="50" max="50" width="5.28515625" customWidth="1"/>
    <col min="51" max="51" width="11.42578125" customWidth="1"/>
    <col min="52" max="52" width="36.85546875" customWidth="1"/>
    <col min="53" max="53" width="15.28515625" customWidth="1"/>
    <col min="54" max="54" width="11.42578125" customWidth="1"/>
    <col min="55" max="55" width="15.7109375" customWidth="1"/>
    <col min="56" max="56" width="36.85546875" customWidth="1"/>
    <col min="57" max="57" width="15.28515625" customWidth="1"/>
    <col min="58" max="58" width="14" customWidth="1"/>
    <col min="59" max="59" width="11.85546875" customWidth="1"/>
    <col min="60" max="60" width="36.85546875" customWidth="1"/>
    <col min="61" max="61" width="15.28515625" customWidth="1"/>
    <col min="62" max="62" width="15.85546875" customWidth="1"/>
    <col min="63" max="63" width="11.42578125" customWidth="1"/>
    <col min="64" max="64" width="36.85546875" customWidth="1"/>
    <col min="65" max="65" width="15.28515625" customWidth="1"/>
    <col min="66" max="66" width="11.42578125" customWidth="1"/>
    <col min="67" max="67" width="14.85546875" customWidth="1"/>
    <col min="68" max="68" width="36.85546875" customWidth="1"/>
    <col min="69" max="69" width="15.28515625" customWidth="1"/>
    <col min="70" max="70" width="11.42578125" customWidth="1"/>
    <col min="71" max="71" width="12.42578125" style="740" customWidth="1"/>
    <col min="72" max="72" width="36.85546875" customWidth="1"/>
    <col min="73" max="73" width="15.28515625" customWidth="1"/>
    <col min="74" max="74" width="11.42578125" customWidth="1"/>
    <col min="75" max="75" width="15" customWidth="1"/>
    <col min="76" max="76" width="36.85546875" customWidth="1"/>
    <col min="77" max="77" width="15.28515625" customWidth="1"/>
    <col min="78" max="78" width="11.42578125" customWidth="1"/>
    <col min="79" max="79" width="13.7109375" customWidth="1"/>
    <col min="80" max="80" width="36.85546875" customWidth="1"/>
    <col min="81" max="81" width="15.28515625" customWidth="1"/>
    <col min="82" max="83" width="11.42578125" customWidth="1"/>
    <col min="84" max="84" width="36.85546875" customWidth="1"/>
    <col min="85" max="85" width="15.28515625" customWidth="1"/>
    <col min="86" max="86" width="11.42578125" customWidth="1"/>
    <col min="87" max="87" width="14.140625" customWidth="1"/>
    <col min="88" max="88" width="36.85546875" customWidth="1"/>
    <col min="89" max="89" width="15.28515625" customWidth="1"/>
    <col min="90" max="90" width="14.85546875" style="1607" customWidth="1"/>
    <col min="91" max="91" width="11.42578125" customWidth="1"/>
    <col min="92" max="92" width="36.85546875" customWidth="1"/>
    <col min="93" max="93" width="15.28515625" customWidth="1"/>
  </cols>
  <sheetData>
    <row r="1" spans="1:95" ht="21" customHeight="1" thickBot="1">
      <c r="A1" s="41" t="s">
        <v>920</v>
      </c>
      <c r="B1" s="1849" t="s">
        <v>916</v>
      </c>
      <c r="C1" s="1849"/>
      <c r="E1" s="38">
        <v>1</v>
      </c>
      <c r="L1" s="1845">
        <f>B4</f>
        <v>2026</v>
      </c>
      <c r="M1" s="1846"/>
      <c r="N1" s="1847"/>
      <c r="AD1" t="s">
        <v>1</v>
      </c>
      <c r="AO1" t="s">
        <v>0</v>
      </c>
      <c r="AU1" s="1845" t="s">
        <v>1534</v>
      </c>
      <c r="AV1" s="1846"/>
      <c r="AW1" s="1847"/>
      <c r="AX1" s="505"/>
      <c r="AY1" s="1845" t="s">
        <v>1535</v>
      </c>
      <c r="AZ1" s="1846"/>
      <c r="BA1" s="1847"/>
      <c r="BB1" s="505"/>
      <c r="BC1" s="1845" t="s">
        <v>1536</v>
      </c>
      <c r="BD1" s="1846"/>
      <c r="BE1" s="1847"/>
      <c r="BF1" s="505"/>
      <c r="BG1" s="1848" t="s">
        <v>1537</v>
      </c>
      <c r="BH1" s="1848"/>
      <c r="BI1" s="1848"/>
      <c r="BJ1" s="505"/>
      <c r="BK1" s="1845" t="s">
        <v>1538</v>
      </c>
      <c r="BL1" s="1846"/>
      <c r="BM1" s="1847"/>
      <c r="BN1" s="505"/>
      <c r="BO1" s="1848" t="s">
        <v>1539</v>
      </c>
      <c r="BP1" s="1848"/>
      <c r="BQ1" s="1848"/>
      <c r="BR1" s="505"/>
      <c r="BS1" s="1848" t="s">
        <v>1540</v>
      </c>
      <c r="BT1" s="1848"/>
      <c r="BU1" s="1848"/>
      <c r="BV1" s="505"/>
      <c r="BW1" s="1845" t="s">
        <v>1541</v>
      </c>
      <c r="BX1" s="1846"/>
      <c r="BY1" s="1847"/>
      <c r="BZ1" s="505"/>
      <c r="CA1" s="1848" t="s">
        <v>1542</v>
      </c>
      <c r="CB1" s="1848"/>
      <c r="CC1" s="1848"/>
      <c r="CD1" s="505"/>
      <c r="CE1" s="1845" t="s">
        <v>1543</v>
      </c>
      <c r="CF1" s="1846"/>
      <c r="CG1" s="1847"/>
      <c r="CH1" s="505"/>
      <c r="CI1" s="1845" t="s">
        <v>1544</v>
      </c>
      <c r="CJ1" s="1846"/>
      <c r="CK1" s="1847"/>
      <c r="CM1" s="1845" t="s">
        <v>1545</v>
      </c>
      <c r="CN1" s="1846"/>
      <c r="CO1" s="1847"/>
      <c r="CQ1" s="1606" t="s">
        <v>4015</v>
      </c>
    </row>
    <row r="2" spans="1:95" ht="21" customHeight="1">
      <c r="A2" s="42" t="s">
        <v>901</v>
      </c>
      <c r="B2" s="43" t="s">
        <v>4281</v>
      </c>
      <c r="C2" s="183"/>
      <c r="E2" s="38">
        <v>1</v>
      </c>
      <c r="AD2" t="s">
        <v>4</v>
      </c>
      <c r="AH2" t="s">
        <v>2</v>
      </c>
      <c r="AO2" t="s">
        <v>0</v>
      </c>
      <c r="CQ2" s="1606" t="s">
        <v>4026</v>
      </c>
    </row>
    <row r="3" spans="1:95" ht="21" customHeight="1">
      <c r="A3" s="42" t="s">
        <v>2889</v>
      </c>
      <c r="B3" s="43" t="s">
        <v>4280</v>
      </c>
      <c r="C3" s="1599" t="s">
        <v>4248</v>
      </c>
      <c r="D3" s="37" t="s">
        <v>3919</v>
      </c>
      <c r="CK3" s="1290">
        <f>+C67-'ES F '!B63</f>
        <v>331620.48979972838</v>
      </c>
      <c r="CQ3" s="1606" t="s">
        <v>4016</v>
      </c>
    </row>
    <row r="4" spans="1:95" ht="21" customHeight="1">
      <c r="A4" s="41" t="s">
        <v>921</v>
      </c>
      <c r="B4" s="44">
        <v>2026</v>
      </c>
      <c r="C4" s="45">
        <f>+B4-1</f>
        <v>2025</v>
      </c>
      <c r="L4" s="39" t="s">
        <v>898</v>
      </c>
      <c r="M4" s="39"/>
      <c r="N4" s="25"/>
      <c r="AF4" t="s">
        <v>0</v>
      </c>
      <c r="AH4" t="s">
        <v>5</v>
      </c>
      <c r="AU4" s="1544" t="s">
        <v>898</v>
      </c>
      <c r="AV4" s="39"/>
      <c r="AW4" s="25">
        <f>SUM(AW8:AW1029)</f>
        <v>-6.8394001573324203E-10</v>
      </c>
      <c r="AY4" s="39" t="s">
        <v>898</v>
      </c>
      <c r="AZ4" s="39"/>
      <c r="BA4" s="25"/>
      <c r="BC4" s="39" t="s">
        <v>898</v>
      </c>
      <c r="BD4" s="39"/>
      <c r="BE4" s="25">
        <f>SUM(BE9:BE254)</f>
        <v>4.740286385640502E-9</v>
      </c>
      <c r="BG4" s="39" t="s">
        <v>898</v>
      </c>
      <c r="BH4" s="39"/>
      <c r="BI4" s="25">
        <f>SUM(BI9:BI254)</f>
        <v>0</v>
      </c>
      <c r="BK4" s="39" t="s">
        <v>898</v>
      </c>
      <c r="BL4" s="39"/>
      <c r="BM4" s="25">
        <f>SUM(BM9:BM254)</f>
        <v>0</v>
      </c>
      <c r="BO4" s="39" t="s">
        <v>898</v>
      </c>
      <c r="BP4" s="39"/>
      <c r="BQ4" s="25"/>
      <c r="BS4" s="1589" t="s">
        <v>898</v>
      </c>
      <c r="BT4" s="39"/>
      <c r="BU4" s="25"/>
      <c r="BW4" s="39" t="s">
        <v>898</v>
      </c>
      <c r="BX4" s="39"/>
      <c r="BY4" s="25"/>
      <c r="CA4" s="39" t="s">
        <v>898</v>
      </c>
      <c r="CB4" s="39"/>
      <c r="CC4" s="25"/>
      <c r="CE4" s="39" t="s">
        <v>898</v>
      </c>
      <c r="CF4" s="39"/>
      <c r="CG4" s="25"/>
      <c r="CI4" s="39" t="s">
        <v>898</v>
      </c>
      <c r="CJ4" s="39"/>
      <c r="CK4" s="25"/>
      <c r="CM4" s="39" t="s">
        <v>898</v>
      </c>
      <c r="CN4" s="39"/>
      <c r="CO4" s="25"/>
      <c r="CQ4" s="1606" t="s">
        <v>4017</v>
      </c>
    </row>
    <row r="5" spans="1:95" ht="20.25" customHeight="1">
      <c r="A5" s="342" t="s">
        <v>1338</v>
      </c>
      <c r="B5" s="363">
        <v>0</v>
      </c>
      <c r="C5" s="364">
        <v>823</v>
      </c>
      <c r="L5" s="40" t="s">
        <v>918</v>
      </c>
      <c r="N5" s="11">
        <f t="shared" ref="N5:Y5" si="0">SUM(N8:N1050)</f>
        <v>-4909724.53</v>
      </c>
      <c r="O5" s="11">
        <f t="shared" si="0"/>
        <v>-5153842.74</v>
      </c>
      <c r="P5" s="11">
        <f t="shared" si="0"/>
        <v>-4834384.7799999947</v>
      </c>
      <c r="Q5" s="11">
        <f t="shared" si="0"/>
        <v>0</v>
      </c>
      <c r="R5" s="11">
        <f t="shared" si="0"/>
        <v>0</v>
      </c>
      <c r="S5" s="11">
        <f t="shared" si="0"/>
        <v>0</v>
      </c>
      <c r="T5" s="11">
        <f t="shared" si="0"/>
        <v>0</v>
      </c>
      <c r="U5" s="11">
        <f t="shared" si="0"/>
        <v>0</v>
      </c>
      <c r="V5" s="11">
        <f t="shared" si="0"/>
        <v>0</v>
      </c>
      <c r="W5" s="11">
        <f t="shared" si="0"/>
        <v>0</v>
      </c>
      <c r="X5" s="11">
        <f t="shared" si="0"/>
        <v>0</v>
      </c>
      <c r="Y5" s="11">
        <f t="shared" si="0"/>
        <v>0</v>
      </c>
      <c r="AD5" t="s">
        <v>0</v>
      </c>
      <c r="AU5" s="1545" t="s">
        <v>918</v>
      </c>
      <c r="AW5" s="11"/>
      <c r="AY5" s="40" t="s">
        <v>918</v>
      </c>
      <c r="BA5" s="11"/>
      <c r="BC5" s="40" t="s">
        <v>918</v>
      </c>
      <c r="BE5" s="11"/>
      <c r="BG5" s="40" t="s">
        <v>918</v>
      </c>
      <c r="BI5" s="11"/>
      <c r="BK5" s="40" t="s">
        <v>918</v>
      </c>
      <c r="BM5" s="11"/>
      <c r="BO5" s="40" t="s">
        <v>918</v>
      </c>
      <c r="BQ5" s="11"/>
      <c r="BS5" s="1590" t="s">
        <v>918</v>
      </c>
      <c r="BU5" s="11"/>
      <c r="BW5" s="40" t="s">
        <v>918</v>
      </c>
      <c r="BY5" s="11"/>
      <c r="CA5" s="40" t="s">
        <v>918</v>
      </c>
      <c r="CC5" s="11"/>
      <c r="CE5" s="40" t="s">
        <v>918</v>
      </c>
      <c r="CG5" s="11"/>
      <c r="CI5" s="40" t="s">
        <v>918</v>
      </c>
      <c r="CK5" s="11"/>
      <c r="CM5" s="40" t="s">
        <v>918</v>
      </c>
      <c r="CO5" s="11"/>
      <c r="CQ5" s="1606" t="s">
        <v>4018</v>
      </c>
    </row>
    <row r="6" spans="1:95" ht="20.25" customHeight="1" thickBot="1">
      <c r="A6" s="342" t="s">
        <v>2353</v>
      </c>
      <c r="B6" s="363"/>
      <c r="C6" s="364"/>
      <c r="L6" s="40"/>
      <c r="N6" s="11"/>
      <c r="O6" s="11"/>
      <c r="P6" s="11"/>
      <c r="Q6" s="11"/>
      <c r="R6" s="11"/>
      <c r="S6" s="11"/>
      <c r="T6" s="11"/>
      <c r="U6" s="11"/>
      <c r="V6" s="11"/>
      <c r="W6" s="11"/>
      <c r="X6" s="11"/>
      <c r="Y6" s="11"/>
      <c r="AU6" s="1545"/>
      <c r="AW6" s="11"/>
      <c r="AY6" s="40"/>
      <c r="BA6" s="11"/>
      <c r="BC6" s="40"/>
      <c r="BE6" s="11"/>
      <c r="BG6" s="40"/>
      <c r="BI6" s="11"/>
      <c r="BK6" s="40"/>
      <c r="BM6" s="11"/>
      <c r="BO6" s="40"/>
      <c r="BQ6" s="11"/>
      <c r="BS6" s="1590"/>
      <c r="BU6" s="11"/>
      <c r="BW6" s="40"/>
      <c r="BY6" s="11"/>
      <c r="CA6" s="40"/>
      <c r="CC6" s="11"/>
      <c r="CE6" s="40"/>
      <c r="CG6" s="11"/>
      <c r="CI6" s="40"/>
      <c r="CK6" s="11"/>
      <c r="CM6" s="40"/>
      <c r="CO6" s="11"/>
      <c r="CQ6" s="1606" t="s">
        <v>4019</v>
      </c>
    </row>
    <row r="7" spans="1:95" ht="18.75" thickBot="1">
      <c r="A7" s="915" t="s">
        <v>1560</v>
      </c>
      <c r="B7" s="27"/>
      <c r="C7" s="343"/>
      <c r="G7" s="39" t="s">
        <v>898</v>
      </c>
      <c r="L7" s="509" t="s">
        <v>918</v>
      </c>
      <c r="M7" s="510" t="s">
        <v>892</v>
      </c>
      <c r="N7" s="511" t="s">
        <v>1534</v>
      </c>
      <c r="O7" s="511" t="s">
        <v>1535</v>
      </c>
      <c r="P7" s="511" t="s">
        <v>1536</v>
      </c>
      <c r="Q7" s="511" t="s">
        <v>1537</v>
      </c>
      <c r="R7" s="511" t="s">
        <v>1538</v>
      </c>
      <c r="S7" s="511" t="s">
        <v>1539</v>
      </c>
      <c r="T7" s="511" t="s">
        <v>1540</v>
      </c>
      <c r="U7" s="511" t="s">
        <v>1541</v>
      </c>
      <c r="V7" s="511" t="s">
        <v>1542</v>
      </c>
      <c r="W7" s="511" t="s">
        <v>1543</v>
      </c>
      <c r="X7" s="511" t="s">
        <v>1544</v>
      </c>
      <c r="Y7" s="511" t="s">
        <v>1545</v>
      </c>
      <c r="AC7" s="1"/>
      <c r="AD7" s="2" t="s">
        <v>6</v>
      </c>
      <c r="AE7" s="2" t="s">
        <v>7</v>
      </c>
      <c r="AF7" s="2" t="s">
        <v>8</v>
      </c>
      <c r="AG7" s="2" t="s">
        <v>9</v>
      </c>
      <c r="AH7" s="2" t="s">
        <v>10</v>
      </c>
      <c r="AI7" s="2" t="s">
        <v>11</v>
      </c>
      <c r="AJ7" s="2" t="s">
        <v>12</v>
      </c>
      <c r="AK7" s="2" t="s">
        <v>13</v>
      </c>
      <c r="AL7" s="2" t="s">
        <v>14</v>
      </c>
      <c r="AM7" s="3" t="s">
        <v>0</v>
      </c>
      <c r="AO7" s="2"/>
      <c r="AP7" s="2"/>
      <c r="AQ7" s="2" t="s">
        <v>0</v>
      </c>
      <c r="AR7" s="2"/>
      <c r="AS7" s="5"/>
      <c r="AU7" s="1545" t="s">
        <v>918</v>
      </c>
      <c r="AV7" s="468" t="s">
        <v>892</v>
      </c>
      <c r="AW7" s="12" t="s">
        <v>893</v>
      </c>
      <c r="AY7" s="40" t="s">
        <v>918</v>
      </c>
      <c r="AZ7" s="468" t="s">
        <v>892</v>
      </c>
      <c r="BA7" s="12" t="s">
        <v>893</v>
      </c>
      <c r="BC7" s="40" t="s">
        <v>918</v>
      </c>
      <c r="BD7" s="468" t="s">
        <v>892</v>
      </c>
      <c r="BE7" s="12" t="s">
        <v>893</v>
      </c>
      <c r="BG7" s="40" t="s">
        <v>918</v>
      </c>
      <c r="BH7" s="468" t="s">
        <v>892</v>
      </c>
      <c r="BI7" s="12" t="s">
        <v>893</v>
      </c>
      <c r="BK7" s="40" t="s">
        <v>918</v>
      </c>
      <c r="BL7" s="468" t="s">
        <v>892</v>
      </c>
      <c r="BM7" s="12" t="s">
        <v>893</v>
      </c>
      <c r="BO7" s="40" t="s">
        <v>918</v>
      </c>
      <c r="BP7" s="468" t="s">
        <v>892</v>
      </c>
      <c r="BQ7" s="12" t="s">
        <v>893</v>
      </c>
      <c r="BS7" s="1590" t="s">
        <v>918</v>
      </c>
      <c r="BT7" s="468" t="s">
        <v>892</v>
      </c>
      <c r="BU7" s="12" t="s">
        <v>893</v>
      </c>
      <c r="BW7" s="40" t="s">
        <v>918</v>
      </c>
      <c r="BX7" s="468" t="s">
        <v>892</v>
      </c>
      <c r="BY7" s="12" t="s">
        <v>893</v>
      </c>
      <c r="CA7" s="40" t="s">
        <v>918</v>
      </c>
      <c r="CB7" s="468" t="s">
        <v>892</v>
      </c>
      <c r="CC7" s="12" t="s">
        <v>893</v>
      </c>
      <c r="CE7" s="40" t="s">
        <v>918</v>
      </c>
      <c r="CF7" s="468" t="s">
        <v>892</v>
      </c>
      <c r="CG7" s="12" t="s">
        <v>893</v>
      </c>
      <c r="CI7" s="40" t="s">
        <v>918</v>
      </c>
      <c r="CJ7" s="468" t="s">
        <v>892</v>
      </c>
      <c r="CK7" s="12" t="s">
        <v>893</v>
      </c>
      <c r="CM7" s="40" t="s">
        <v>918</v>
      </c>
      <c r="CN7" s="468" t="s">
        <v>892</v>
      </c>
      <c r="CO7" s="12" t="s">
        <v>893</v>
      </c>
      <c r="CQ7" s="1606" t="s">
        <v>4020</v>
      </c>
    </row>
    <row r="8" spans="1:95" ht="18">
      <c r="A8" s="39" t="s">
        <v>898</v>
      </c>
      <c r="B8" s="39"/>
      <c r="C8" s="25"/>
      <c r="G8" s="40" t="s">
        <v>918</v>
      </c>
      <c r="I8" s="1850" t="s">
        <v>922</v>
      </c>
      <c r="J8" s="1850"/>
      <c r="L8" s="506"/>
      <c r="M8" s="506" t="s">
        <v>25</v>
      </c>
      <c r="N8" s="507">
        <f t="shared" ref="N8:N78" si="1">IFERROR(VLOOKUP(M8,$AV$8:$AW$298,2,FALSE),0)</f>
        <v>0</v>
      </c>
      <c r="O8" s="507">
        <f t="shared" ref="O8:O78" si="2">IFERROR(VLOOKUP(M8,$AZ$8:$BA$298,2,FALSE),0)</f>
        <v>0</v>
      </c>
      <c r="P8" s="507">
        <f t="shared" ref="P8:P78" si="3">IFERROR(VLOOKUP(M8,$BD$8:$BE$298,2,FALSE),0)</f>
        <v>0</v>
      </c>
      <c r="Q8" s="507">
        <f t="shared" ref="Q8:Q78" si="4">IFERROR(VLOOKUP($M8,$BH$8:$BI$298,2,FALSE),0)</f>
        <v>0</v>
      </c>
      <c r="R8" s="507">
        <f t="shared" ref="R8:R78" si="5">IFERROR(VLOOKUP($M8,$BL$8:$BM$298,2,FALSE),0)</f>
        <v>0</v>
      </c>
      <c r="S8" s="507">
        <f t="shared" ref="S8:S78" si="6">IFERROR(VLOOKUP($M8,$BP$8:$BQ$298,2,FALSE),0)</f>
        <v>0</v>
      </c>
      <c r="T8" s="507">
        <f t="shared" ref="T8:T78" si="7">IFERROR(VLOOKUP($M8,$BT$8:$BU$298,2,FALSE),0)</f>
        <v>0</v>
      </c>
      <c r="U8" s="507">
        <f t="shared" ref="U8:U78" si="8">IFERROR(VLOOKUP($M8,$BX$8:$BY$298,2,FALSE),0)</f>
        <v>0</v>
      </c>
      <c r="V8" s="507">
        <f t="shared" ref="V8:V78" si="9">IFERROR(VLOOKUP($M8,$CB$8:$CC$298,2,FALSE),0)</f>
        <v>0</v>
      </c>
      <c r="W8" s="507">
        <f t="shared" ref="W8:W78" si="10">IFERROR(VLOOKUP($M8,$CF$8:$CG$298,2,FALSE),0)</f>
        <v>0</v>
      </c>
      <c r="X8" s="507">
        <f t="shared" ref="X8:X78" si="11">IFERROR(VLOOKUP($M8,$CJ$8:$CK$298,2,FALSE),0)</f>
        <v>0</v>
      </c>
      <c r="Y8" s="507">
        <f t="shared" ref="Y8:Y78" si="12">IFERROR(VLOOKUP($M8,$CN$8:$CO$298,2,FALSE),0)</f>
        <v>0</v>
      </c>
      <c r="Z8" s="11">
        <f t="shared" ref="Z8:Z78" si="13">SUM(N8:Y8)</f>
        <v>0</v>
      </c>
      <c r="AC8" s="4">
        <v>1</v>
      </c>
      <c r="AD8" s="5" t="s">
        <v>24</v>
      </c>
      <c r="AE8" s="5" t="s">
        <v>22</v>
      </c>
      <c r="AF8" s="5" t="s">
        <v>25</v>
      </c>
      <c r="AG8" s="5" t="s">
        <v>0</v>
      </c>
      <c r="AH8" s="5" t="s">
        <v>18</v>
      </c>
      <c r="AI8" s="5" t="s">
        <v>16</v>
      </c>
      <c r="AJ8" s="5" t="s">
        <v>17</v>
      </c>
      <c r="AK8" s="5" t="s">
        <v>3</v>
      </c>
      <c r="AL8" s="5" t="s">
        <v>18</v>
      </c>
      <c r="AM8" s="6"/>
      <c r="AO8" s="5"/>
      <c r="AP8" s="5"/>
      <c r="AQ8" s="5"/>
      <c r="AR8" s="5"/>
      <c r="AS8" s="5"/>
      <c r="AU8" s="1546"/>
      <c r="AV8" s="32"/>
      <c r="AW8" s="33"/>
      <c r="AY8" s="31"/>
      <c r="AZ8" s="32"/>
      <c r="BA8" s="33"/>
      <c r="BC8" s="31"/>
      <c r="BD8" s="32"/>
      <c r="BE8" s="33"/>
      <c r="BG8" s="31"/>
      <c r="BH8" s="32"/>
      <c r="BI8" s="33"/>
      <c r="BK8" s="31"/>
      <c r="BL8" s="32"/>
      <c r="BM8" s="33"/>
      <c r="BO8" s="31"/>
      <c r="BP8" s="32"/>
      <c r="BQ8" s="33"/>
      <c r="BS8" s="1591"/>
      <c r="BT8" s="32"/>
      <c r="BU8" s="33"/>
      <c r="BW8" s="31"/>
      <c r="BX8" s="32"/>
      <c r="BY8" s="33"/>
      <c r="CA8" s="31"/>
      <c r="CB8" s="32"/>
      <c r="CC8" s="33"/>
      <c r="CE8" s="31"/>
      <c r="CF8" s="32"/>
      <c r="CG8" s="33"/>
      <c r="CI8" s="31"/>
      <c r="CJ8" s="32"/>
      <c r="CK8" s="33"/>
      <c r="CM8" s="31"/>
      <c r="CN8" s="32"/>
      <c r="CO8" s="33"/>
      <c r="CQ8" s="1606" t="s">
        <v>4021</v>
      </c>
    </row>
    <row r="9" spans="1:95" ht="18.75" thickBot="1">
      <c r="A9" s="40" t="s">
        <v>918</v>
      </c>
      <c r="G9" s="40" t="s">
        <v>918</v>
      </c>
      <c r="I9" s="46" t="s">
        <v>923</v>
      </c>
      <c r="J9" s="46" t="s">
        <v>924</v>
      </c>
      <c r="L9" s="506"/>
      <c r="M9" s="506" t="s">
        <v>29</v>
      </c>
      <c r="N9" s="507">
        <f t="shared" si="1"/>
        <v>0</v>
      </c>
      <c r="O9" s="507">
        <f t="shared" si="2"/>
        <v>0</v>
      </c>
      <c r="P9" s="507">
        <f t="shared" si="3"/>
        <v>0</v>
      </c>
      <c r="Q9" s="507">
        <f t="shared" si="4"/>
        <v>0</v>
      </c>
      <c r="R9" s="507">
        <f t="shared" si="5"/>
        <v>0</v>
      </c>
      <c r="S9" s="507">
        <f t="shared" si="6"/>
        <v>0</v>
      </c>
      <c r="T9" s="507">
        <f t="shared" si="7"/>
        <v>0</v>
      </c>
      <c r="U9" s="507">
        <f t="shared" si="8"/>
        <v>0</v>
      </c>
      <c r="V9" s="507">
        <f t="shared" si="9"/>
        <v>0</v>
      </c>
      <c r="W9" s="507">
        <f t="shared" si="10"/>
        <v>0</v>
      </c>
      <c r="X9" s="507">
        <f t="shared" si="11"/>
        <v>0</v>
      </c>
      <c r="Y9" s="507">
        <f t="shared" si="12"/>
        <v>0</v>
      </c>
      <c r="Z9" s="11">
        <f t="shared" si="13"/>
        <v>0</v>
      </c>
      <c r="AC9" s="4">
        <v>5</v>
      </c>
      <c r="AD9" s="5" t="s">
        <v>28</v>
      </c>
      <c r="AE9" s="5" t="s">
        <v>26</v>
      </c>
      <c r="AF9" s="5" t="s">
        <v>29</v>
      </c>
      <c r="AG9" s="5" t="s">
        <v>0</v>
      </c>
      <c r="AH9" s="5" t="s">
        <v>18</v>
      </c>
      <c r="AI9" s="5" t="s">
        <v>16</v>
      </c>
      <c r="AJ9" s="5" t="s">
        <v>17</v>
      </c>
      <c r="AK9" s="5" t="s">
        <v>3</v>
      </c>
      <c r="AL9" s="5" t="s">
        <v>18</v>
      </c>
      <c r="AM9" s="6"/>
      <c r="AO9" s="5"/>
      <c r="AP9" s="5"/>
      <c r="AQ9" s="5"/>
      <c r="AR9" s="5"/>
      <c r="AS9" s="5"/>
      <c r="AU9" s="1547"/>
      <c r="AV9" s="35"/>
      <c r="AW9" s="36"/>
      <c r="AY9" s="34" t="s">
        <v>45</v>
      </c>
      <c r="AZ9" s="35" t="s">
        <v>3784</v>
      </c>
      <c r="BA9" s="36">
        <v>-3000</v>
      </c>
      <c r="BB9" s="11"/>
      <c r="BC9" s="34"/>
      <c r="BD9" s="35"/>
      <c r="BE9" s="36"/>
      <c r="BG9" s="34"/>
      <c r="BH9" s="35"/>
      <c r="BI9" s="36"/>
      <c r="BK9" s="34"/>
      <c r="BL9" s="35"/>
      <c r="BM9" s="36"/>
      <c r="BO9" s="34"/>
      <c r="BP9" s="35"/>
      <c r="BQ9" s="36"/>
      <c r="BS9" s="1592"/>
      <c r="BT9" s="35"/>
      <c r="BU9" s="36"/>
      <c r="BW9" s="34"/>
      <c r="BX9" s="35"/>
      <c r="BY9" s="36"/>
      <c r="CA9" s="34"/>
      <c r="CB9" s="35"/>
      <c r="CC9" s="36"/>
      <c r="CE9" s="34"/>
      <c r="CF9" s="35"/>
      <c r="CG9" s="36"/>
      <c r="CI9" s="34"/>
      <c r="CJ9" s="35"/>
      <c r="CK9" s="36"/>
      <c r="CM9" s="34"/>
      <c r="CN9" s="35"/>
      <c r="CO9" s="36"/>
      <c r="CQ9" s="1606" t="s">
        <v>4022</v>
      </c>
    </row>
    <row r="10" spans="1:95" ht="18.75" thickBot="1">
      <c r="A10" s="40" t="s">
        <v>918</v>
      </c>
      <c r="B10" s="10" t="s">
        <v>892</v>
      </c>
      <c r="C10" s="12" t="s">
        <v>893</v>
      </c>
      <c r="D10" s="37" t="s">
        <v>2022</v>
      </c>
      <c r="E10" s="38" t="s">
        <v>2023</v>
      </c>
      <c r="G10" s="31"/>
      <c r="H10" s="32"/>
      <c r="I10" s="47"/>
      <c r="J10" s="33"/>
      <c r="L10" s="506"/>
      <c r="M10" s="506" t="s">
        <v>31</v>
      </c>
      <c r="N10" s="507">
        <f t="shared" si="1"/>
        <v>0</v>
      </c>
      <c r="O10" s="507">
        <f t="shared" si="2"/>
        <v>0</v>
      </c>
      <c r="P10" s="507">
        <f t="shared" si="3"/>
        <v>0</v>
      </c>
      <c r="Q10" s="507">
        <f t="shared" si="4"/>
        <v>0</v>
      </c>
      <c r="R10" s="507">
        <f t="shared" si="5"/>
        <v>0</v>
      </c>
      <c r="S10" s="507">
        <f t="shared" si="6"/>
        <v>0</v>
      </c>
      <c r="T10" s="507">
        <f t="shared" si="7"/>
        <v>0</v>
      </c>
      <c r="U10" s="507">
        <f t="shared" si="8"/>
        <v>0</v>
      </c>
      <c r="V10" s="507">
        <f t="shared" si="9"/>
        <v>0</v>
      </c>
      <c r="W10" s="507">
        <f t="shared" si="10"/>
        <v>0</v>
      </c>
      <c r="X10" s="507">
        <f t="shared" si="11"/>
        <v>0</v>
      </c>
      <c r="Y10" s="507">
        <f t="shared" si="12"/>
        <v>0</v>
      </c>
      <c r="Z10" s="11">
        <f t="shared" si="13"/>
        <v>0</v>
      </c>
      <c r="AC10" s="4">
        <v>7</v>
      </c>
      <c r="AD10" s="5" t="s">
        <v>30</v>
      </c>
      <c r="AE10" s="5" t="s">
        <v>26</v>
      </c>
      <c r="AF10" s="5" t="s">
        <v>31</v>
      </c>
      <c r="AG10" s="5" t="s">
        <v>0</v>
      </c>
      <c r="AH10" s="5" t="s">
        <v>18</v>
      </c>
      <c r="AI10" s="5" t="s">
        <v>16</v>
      </c>
      <c r="AJ10" s="5" t="s">
        <v>17</v>
      </c>
      <c r="AK10" s="5" t="s">
        <v>3</v>
      </c>
      <c r="AL10" s="5" t="s">
        <v>18</v>
      </c>
      <c r="AM10" s="6"/>
      <c r="AO10" s="5"/>
      <c r="AP10" s="5"/>
      <c r="AQ10" s="5"/>
      <c r="AR10" s="5"/>
      <c r="AS10" s="5"/>
      <c r="AU10" s="1547"/>
      <c r="AV10" s="35"/>
      <c r="AW10" s="36"/>
      <c r="AY10" s="34" t="s">
        <v>51</v>
      </c>
      <c r="AZ10" s="35" t="s">
        <v>52</v>
      </c>
      <c r="BA10" s="36">
        <v>-22658.98</v>
      </c>
      <c r="BB10" s="11"/>
      <c r="BC10" s="34"/>
      <c r="BD10" s="35"/>
      <c r="BE10" s="36"/>
      <c r="BG10" s="34"/>
      <c r="BH10" s="35"/>
      <c r="BI10" s="36"/>
      <c r="BK10" s="34"/>
      <c r="BL10" s="35"/>
      <c r="BM10" s="36"/>
      <c r="BO10" s="34"/>
      <c r="BP10" s="35"/>
      <c r="BQ10" s="36"/>
      <c r="BS10" s="1592"/>
      <c r="BT10" s="35"/>
      <c r="BU10" s="36"/>
      <c r="BW10" s="34"/>
      <c r="BX10" s="35"/>
      <c r="BY10" s="36"/>
      <c r="CA10" s="34"/>
      <c r="CB10" s="35"/>
      <c r="CC10" s="36"/>
      <c r="CE10" s="34"/>
      <c r="CF10" s="35"/>
      <c r="CG10" s="36"/>
      <c r="CI10" s="34"/>
      <c r="CJ10" s="35"/>
      <c r="CK10" s="36"/>
      <c r="CM10" s="34"/>
      <c r="CN10" s="35"/>
      <c r="CO10" s="36"/>
      <c r="CQ10" s="1606" t="s">
        <v>4023</v>
      </c>
    </row>
    <row r="11" spans="1:95" ht="18">
      <c r="A11" s="31"/>
      <c r="B11" s="32"/>
      <c r="C11" s="33"/>
      <c r="G11" s="34"/>
      <c r="H11" s="35"/>
      <c r="I11" s="48"/>
      <c r="J11" s="48"/>
      <c r="L11" s="506"/>
      <c r="M11" s="506" t="s">
        <v>33</v>
      </c>
      <c r="N11" s="507">
        <f t="shared" si="1"/>
        <v>0</v>
      </c>
      <c r="O11" s="507">
        <f t="shared" si="2"/>
        <v>0</v>
      </c>
      <c r="P11" s="507">
        <f t="shared" si="3"/>
        <v>0</v>
      </c>
      <c r="Q11" s="507">
        <f t="shared" si="4"/>
        <v>0</v>
      </c>
      <c r="R11" s="507">
        <f t="shared" si="5"/>
        <v>0</v>
      </c>
      <c r="S11" s="507">
        <f t="shared" si="6"/>
        <v>0</v>
      </c>
      <c r="T11" s="507">
        <f t="shared" si="7"/>
        <v>0</v>
      </c>
      <c r="U11" s="507">
        <f t="shared" si="8"/>
        <v>0</v>
      </c>
      <c r="V11" s="507">
        <f t="shared" si="9"/>
        <v>0</v>
      </c>
      <c r="W11" s="507">
        <f t="shared" si="10"/>
        <v>0</v>
      </c>
      <c r="X11" s="507">
        <f t="shared" si="11"/>
        <v>0</v>
      </c>
      <c r="Y11" s="507">
        <f t="shared" si="12"/>
        <v>0</v>
      </c>
      <c r="Z11" s="11">
        <f t="shared" si="13"/>
        <v>0</v>
      </c>
      <c r="AC11" s="4">
        <v>9</v>
      </c>
      <c r="AD11" s="5" t="s">
        <v>32</v>
      </c>
      <c r="AE11" s="5" t="s">
        <v>26</v>
      </c>
      <c r="AF11" s="5" t="s">
        <v>33</v>
      </c>
      <c r="AG11" s="5" t="s">
        <v>0</v>
      </c>
      <c r="AH11" s="5" t="s">
        <v>18</v>
      </c>
      <c r="AI11" s="5" t="s">
        <v>16</v>
      </c>
      <c r="AJ11" s="5" t="s">
        <v>17</v>
      </c>
      <c r="AK11" s="5" t="s">
        <v>3</v>
      </c>
      <c r="AL11" s="5" t="s">
        <v>18</v>
      </c>
      <c r="AM11" s="6"/>
      <c r="AO11" s="5"/>
      <c r="AP11" s="5"/>
      <c r="AQ11" s="5"/>
      <c r="AR11" s="5"/>
      <c r="AS11" s="5"/>
      <c r="AU11" s="1547"/>
      <c r="AV11" s="35"/>
      <c r="AW11" s="36"/>
      <c r="AY11" s="34" t="s">
        <v>4179</v>
      </c>
      <c r="AZ11" s="35" t="s">
        <v>3794</v>
      </c>
      <c r="BA11" s="36">
        <v>-497063.31000000052</v>
      </c>
      <c r="BC11" s="34" t="s">
        <v>51</v>
      </c>
      <c r="BD11" s="35" t="s">
        <v>52</v>
      </c>
      <c r="BE11" s="36">
        <v>-12390.68</v>
      </c>
      <c r="BG11" s="34"/>
      <c r="BH11" s="35"/>
      <c r="BI11" s="36"/>
      <c r="BK11" s="34"/>
      <c r="BL11" s="35"/>
      <c r="BM11" s="36"/>
      <c r="BO11" s="34"/>
      <c r="BP11" s="35"/>
      <c r="BQ11" s="36"/>
      <c r="BS11" s="1592"/>
      <c r="BT11" s="35"/>
      <c r="BU11" s="36"/>
      <c r="BW11" s="34"/>
      <c r="BX11" s="35"/>
      <c r="BY11" s="36"/>
      <c r="CA11" s="34"/>
      <c r="CB11" s="35"/>
      <c r="CC11" s="36"/>
      <c r="CE11" s="34"/>
      <c r="CF11" s="35"/>
      <c r="CG11" s="36"/>
      <c r="CI11" s="34"/>
      <c r="CJ11" s="35"/>
      <c r="CK11" s="36"/>
      <c r="CM11" s="34"/>
      <c r="CN11" s="35"/>
      <c r="CO11" s="36"/>
      <c r="CQ11" s="1606" t="s">
        <v>4024</v>
      </c>
    </row>
    <row r="12" spans="1:95" ht="18">
      <c r="A12" s="1745" t="s">
        <v>28</v>
      </c>
      <c r="B12" s="35" t="s">
        <v>29</v>
      </c>
      <c r="C12" s="36">
        <v>5000</v>
      </c>
      <c r="D12" s="37" t="str">
        <f>IF(C12&gt;=Mat!$E$71,"Material","No Mat")</f>
        <v>No Mat</v>
      </c>
      <c r="E12" s="834">
        <f>IF(C12&gt;=Mat!$E$71,C12/Mat!$E$71,0)</f>
        <v>0</v>
      </c>
      <c r="F12" s="895"/>
      <c r="G12" s="34"/>
      <c r="H12" s="35"/>
      <c r="I12" s="48"/>
      <c r="J12" s="48"/>
      <c r="L12" s="506"/>
      <c r="M12" s="506" t="s">
        <v>35</v>
      </c>
      <c r="N12" s="507">
        <f t="shared" si="1"/>
        <v>0</v>
      </c>
      <c r="O12" s="507">
        <f t="shared" si="2"/>
        <v>0</v>
      </c>
      <c r="P12" s="507">
        <f t="shared" si="3"/>
        <v>0</v>
      </c>
      <c r="Q12" s="507">
        <f t="shared" si="4"/>
        <v>0</v>
      </c>
      <c r="R12" s="507">
        <f t="shared" si="5"/>
        <v>0</v>
      </c>
      <c r="S12" s="507">
        <f t="shared" si="6"/>
        <v>0</v>
      </c>
      <c r="T12" s="507">
        <f t="shared" si="7"/>
        <v>0</v>
      </c>
      <c r="U12" s="507">
        <f t="shared" si="8"/>
        <v>0</v>
      </c>
      <c r="V12" s="507">
        <f t="shared" si="9"/>
        <v>0</v>
      </c>
      <c r="W12" s="507">
        <f t="shared" si="10"/>
        <v>0</v>
      </c>
      <c r="X12" s="507">
        <f t="shared" si="11"/>
        <v>0</v>
      </c>
      <c r="Y12" s="507">
        <f t="shared" si="12"/>
        <v>0</v>
      </c>
      <c r="Z12" s="11">
        <f t="shared" si="13"/>
        <v>0</v>
      </c>
      <c r="AC12" s="4">
        <v>11</v>
      </c>
      <c r="AD12" s="5" t="s">
        <v>34</v>
      </c>
      <c r="AE12" s="5" t="s">
        <v>26</v>
      </c>
      <c r="AF12" s="5" t="s">
        <v>35</v>
      </c>
      <c r="AG12" s="5" t="s">
        <v>0</v>
      </c>
      <c r="AH12" s="5" t="s">
        <v>18</v>
      </c>
      <c r="AI12" s="5" t="s">
        <v>16</v>
      </c>
      <c r="AJ12" s="5" t="s">
        <v>17</v>
      </c>
      <c r="AK12" s="5" t="s">
        <v>3</v>
      </c>
      <c r="AL12" s="5" t="s">
        <v>18</v>
      </c>
      <c r="AM12" s="6"/>
      <c r="AO12" s="5"/>
      <c r="AP12" s="5"/>
      <c r="AQ12" s="5"/>
      <c r="AR12" s="5"/>
      <c r="AS12" s="5"/>
      <c r="AU12" s="1547"/>
      <c r="AV12" s="35"/>
      <c r="AW12" s="36"/>
      <c r="AY12" s="34" t="s">
        <v>4180</v>
      </c>
      <c r="AZ12" s="35" t="s">
        <v>3850</v>
      </c>
      <c r="BA12" s="36">
        <v>-13610490.240000002</v>
      </c>
      <c r="BC12" s="34" t="s">
        <v>4179</v>
      </c>
      <c r="BD12" s="35" t="s">
        <v>3794</v>
      </c>
      <c r="BE12" s="36">
        <v>-357729.30999999866</v>
      </c>
      <c r="BG12" s="34"/>
      <c r="BH12" s="35"/>
      <c r="BI12" s="36"/>
      <c r="BK12" s="34"/>
      <c r="BL12" s="35"/>
      <c r="BM12" s="36"/>
      <c r="BO12" s="34"/>
      <c r="BP12" s="35"/>
      <c r="BQ12" s="36"/>
      <c r="BS12" s="1592"/>
      <c r="BT12" s="35"/>
      <c r="BU12" s="36"/>
      <c r="BW12" s="34"/>
      <c r="BX12" s="35"/>
      <c r="BY12" s="36"/>
      <c r="CA12" s="34"/>
      <c r="CB12" s="35"/>
      <c r="CC12" s="36"/>
      <c r="CE12" s="34"/>
      <c r="CF12" s="35"/>
      <c r="CG12" s="36"/>
      <c r="CI12" s="34"/>
      <c r="CJ12" s="35"/>
      <c r="CK12" s="36"/>
      <c r="CM12" s="34"/>
      <c r="CN12" s="35"/>
      <c r="CO12" s="36"/>
      <c r="CQ12" s="1606" t="s">
        <v>4025</v>
      </c>
    </row>
    <row r="13" spans="1:95" ht="18">
      <c r="A13" s="34" t="s">
        <v>30</v>
      </c>
      <c r="B13" s="35" t="s">
        <v>31</v>
      </c>
      <c r="C13" s="36">
        <v>80000</v>
      </c>
      <c r="D13" s="37" t="str">
        <f>IF(C13&gt;=Mat!$E$71,"Material","No Mat")</f>
        <v>No Mat</v>
      </c>
      <c r="E13" s="834">
        <f>IF(C13&gt;=Mat!$E$71,C13/Mat!$E$71,0)</f>
        <v>0</v>
      </c>
      <c r="F13" s="895"/>
      <c r="G13" s="34"/>
      <c r="H13" s="35"/>
      <c r="I13" s="48"/>
      <c r="J13" s="48"/>
      <c r="L13" s="506"/>
      <c r="M13" s="506" t="s">
        <v>37</v>
      </c>
      <c r="N13" s="507">
        <f t="shared" si="1"/>
        <v>0</v>
      </c>
      <c r="O13" s="507">
        <f t="shared" si="2"/>
        <v>0</v>
      </c>
      <c r="P13" s="507">
        <f t="shared" si="3"/>
        <v>0</v>
      </c>
      <c r="Q13" s="507">
        <f t="shared" si="4"/>
        <v>0</v>
      </c>
      <c r="R13" s="507">
        <f t="shared" si="5"/>
        <v>0</v>
      </c>
      <c r="S13" s="507">
        <f t="shared" si="6"/>
        <v>0</v>
      </c>
      <c r="T13" s="507">
        <f t="shared" si="7"/>
        <v>0</v>
      </c>
      <c r="U13" s="507">
        <f t="shared" si="8"/>
        <v>0</v>
      </c>
      <c r="V13" s="507">
        <f t="shared" si="9"/>
        <v>0</v>
      </c>
      <c r="W13" s="507">
        <f t="shared" si="10"/>
        <v>0</v>
      </c>
      <c r="X13" s="507">
        <f t="shared" si="11"/>
        <v>0</v>
      </c>
      <c r="Y13" s="507">
        <f t="shared" si="12"/>
        <v>0</v>
      </c>
      <c r="Z13" s="11">
        <f t="shared" si="13"/>
        <v>0</v>
      </c>
      <c r="AC13" s="4">
        <v>13</v>
      </c>
      <c r="AD13" s="5" t="s">
        <v>36</v>
      </c>
      <c r="AE13" s="5" t="s">
        <v>26</v>
      </c>
      <c r="AF13" s="5" t="s">
        <v>37</v>
      </c>
      <c r="AG13" s="5" t="s">
        <v>0</v>
      </c>
      <c r="AH13" s="5" t="s">
        <v>18</v>
      </c>
      <c r="AI13" s="5" t="s">
        <v>16</v>
      </c>
      <c r="AJ13" s="5" t="s">
        <v>17</v>
      </c>
      <c r="AK13" s="5" t="s">
        <v>3</v>
      </c>
      <c r="AL13" s="5" t="s">
        <v>18</v>
      </c>
      <c r="AM13" s="6"/>
      <c r="AO13" s="5"/>
      <c r="AP13" s="5"/>
      <c r="AQ13" s="5"/>
      <c r="AR13" s="5"/>
      <c r="AS13" s="5"/>
      <c r="AU13" s="1547"/>
      <c r="AV13" s="35"/>
      <c r="AW13" s="36"/>
      <c r="AY13" s="34" t="s">
        <v>118</v>
      </c>
      <c r="AZ13" s="35" t="s">
        <v>119</v>
      </c>
      <c r="BA13" s="36">
        <v>703367.42</v>
      </c>
      <c r="BC13" s="34" t="s">
        <v>4180</v>
      </c>
      <c r="BD13" s="35" t="s">
        <v>3850</v>
      </c>
      <c r="BE13" s="36">
        <v>-4116275.5599999987</v>
      </c>
      <c r="BG13" s="34"/>
      <c r="BH13" s="35"/>
      <c r="BI13" s="36"/>
      <c r="BK13" s="34"/>
      <c r="BL13" s="35"/>
      <c r="BM13" s="36"/>
      <c r="BO13" s="34"/>
      <c r="BP13" s="35"/>
      <c r="BQ13" s="36"/>
      <c r="BS13" s="1592"/>
      <c r="BT13" s="35"/>
      <c r="BU13" s="36"/>
      <c r="BW13" s="34"/>
      <c r="BX13" s="35"/>
      <c r="BY13" s="36"/>
      <c r="CA13" s="34"/>
      <c r="CB13" s="35"/>
      <c r="CC13" s="36"/>
      <c r="CE13" s="34"/>
      <c r="CF13" s="35"/>
      <c r="CG13" s="36"/>
      <c r="CI13" s="34"/>
      <c r="CJ13" s="35"/>
      <c r="CK13" s="36"/>
      <c r="CM13" s="34"/>
      <c r="CN13" s="35"/>
      <c r="CO13" s="36"/>
      <c r="CQ13" s="1606" t="s">
        <v>4098</v>
      </c>
    </row>
    <row r="14" spans="1:95" ht="18">
      <c r="A14" s="34" t="s">
        <v>34</v>
      </c>
      <c r="B14" s="35" t="s">
        <v>35</v>
      </c>
      <c r="C14" s="36">
        <v>10000</v>
      </c>
      <c r="D14" s="37" t="str">
        <f>IF(C14&gt;=Mat!$E$71,"Material","No Mat")</f>
        <v>No Mat</v>
      </c>
      <c r="E14" s="834">
        <f>IF(C14&gt;=Mat!$E$71,C14/Mat!$E$71,0)</f>
        <v>0</v>
      </c>
      <c r="F14" s="895"/>
      <c r="G14" s="34"/>
      <c r="H14" s="35"/>
      <c r="I14" s="48"/>
      <c r="J14" s="48"/>
      <c r="L14" s="506"/>
      <c r="M14" s="506" t="s">
        <v>39</v>
      </c>
      <c r="N14" s="507">
        <f t="shared" si="1"/>
        <v>0</v>
      </c>
      <c r="O14" s="507">
        <f t="shared" si="2"/>
        <v>0</v>
      </c>
      <c r="P14" s="507">
        <f t="shared" si="3"/>
        <v>0</v>
      </c>
      <c r="Q14" s="507">
        <f t="shared" si="4"/>
        <v>0</v>
      </c>
      <c r="R14" s="507">
        <f t="shared" si="5"/>
        <v>0</v>
      </c>
      <c r="S14" s="507">
        <f t="shared" si="6"/>
        <v>0</v>
      </c>
      <c r="T14" s="507">
        <f t="shared" si="7"/>
        <v>0</v>
      </c>
      <c r="U14" s="507">
        <f t="shared" si="8"/>
        <v>0</v>
      </c>
      <c r="V14" s="507">
        <f t="shared" si="9"/>
        <v>0</v>
      </c>
      <c r="W14" s="507">
        <f t="shared" si="10"/>
        <v>0</v>
      </c>
      <c r="X14" s="507">
        <f t="shared" si="11"/>
        <v>0</v>
      </c>
      <c r="Y14" s="507">
        <f t="shared" si="12"/>
        <v>0</v>
      </c>
      <c r="Z14" s="11">
        <f t="shared" si="13"/>
        <v>0</v>
      </c>
      <c r="AC14" s="4">
        <v>15</v>
      </c>
      <c r="AD14" s="5" t="s">
        <v>38</v>
      </c>
      <c r="AE14" s="5" t="s">
        <v>26</v>
      </c>
      <c r="AF14" s="5" t="s">
        <v>39</v>
      </c>
      <c r="AG14" s="5" t="s">
        <v>0</v>
      </c>
      <c r="AH14" s="5" t="s">
        <v>18</v>
      </c>
      <c r="AI14" s="5" t="s">
        <v>16</v>
      </c>
      <c r="AJ14" s="5" t="s">
        <v>17</v>
      </c>
      <c r="AK14" s="5" t="s">
        <v>3</v>
      </c>
      <c r="AL14" s="5" t="s">
        <v>18</v>
      </c>
      <c r="AM14" s="6"/>
      <c r="AO14" s="5"/>
      <c r="AP14" s="5"/>
      <c r="AQ14" s="5"/>
      <c r="AR14" s="5"/>
      <c r="AS14" s="5"/>
      <c r="AU14" s="1547"/>
      <c r="AV14" s="35"/>
      <c r="AW14" s="36"/>
      <c r="AY14" s="34" t="s">
        <v>207</v>
      </c>
      <c r="AZ14" s="35" t="s">
        <v>2319</v>
      </c>
      <c r="BA14" s="36">
        <v>-17380</v>
      </c>
      <c r="BC14" s="34" t="s">
        <v>118</v>
      </c>
      <c r="BD14" s="35" t="s">
        <v>119</v>
      </c>
      <c r="BE14" s="36">
        <v>-2251432.9900000002</v>
      </c>
      <c r="BG14" s="34"/>
      <c r="BH14" s="35"/>
      <c r="BI14" s="36"/>
      <c r="BK14" s="34"/>
      <c r="BL14" s="35"/>
      <c r="BM14" s="36"/>
      <c r="BO14" s="34"/>
      <c r="BP14" s="35"/>
      <c r="BQ14" s="36"/>
      <c r="BS14" s="1592"/>
      <c r="BT14" s="35"/>
      <c r="BU14" s="36"/>
      <c r="BW14" s="34"/>
      <c r="BX14" s="35"/>
      <c r="BY14" s="36"/>
      <c r="CA14" s="34"/>
      <c r="CB14" s="35"/>
      <c r="CC14" s="36"/>
      <c r="CE14" s="34"/>
      <c r="CF14" s="35"/>
      <c r="CG14" s="36"/>
      <c r="CI14" s="34"/>
      <c r="CJ14" s="35"/>
      <c r="CK14" s="36"/>
      <c r="CM14" s="34"/>
      <c r="CN14" s="35"/>
      <c r="CO14" s="36"/>
      <c r="CQ14" s="1606" t="s">
        <v>4099</v>
      </c>
    </row>
    <row r="15" spans="1:95" ht="18">
      <c r="A15" s="34" t="s">
        <v>51</v>
      </c>
      <c r="B15" s="35" t="s">
        <v>52</v>
      </c>
      <c r="C15" s="36">
        <v>717555.3</v>
      </c>
      <c r="D15" s="37" t="str">
        <f>IF(C15&gt;=Mat!$E$71,"Material","No Mat")</f>
        <v>Material</v>
      </c>
      <c r="E15" s="834">
        <f>IF(C15&gt;=Mat!$E$71,C15/Mat!$E$71,0)</f>
        <v>2.7077959901736897</v>
      </c>
      <c r="F15" s="895"/>
      <c r="G15" s="34"/>
      <c r="H15" s="35"/>
      <c r="I15" s="48"/>
      <c r="J15" s="48"/>
      <c r="L15" s="506"/>
      <c r="M15" s="506" t="s">
        <v>41</v>
      </c>
      <c r="N15" s="507">
        <f t="shared" si="1"/>
        <v>0</v>
      </c>
      <c r="O15" s="507">
        <f t="shared" si="2"/>
        <v>0</v>
      </c>
      <c r="P15" s="507">
        <f t="shared" si="3"/>
        <v>0</v>
      </c>
      <c r="Q15" s="507">
        <f t="shared" si="4"/>
        <v>0</v>
      </c>
      <c r="R15" s="507">
        <f t="shared" si="5"/>
        <v>0</v>
      </c>
      <c r="S15" s="507">
        <f t="shared" si="6"/>
        <v>0</v>
      </c>
      <c r="T15" s="507">
        <f t="shared" si="7"/>
        <v>0</v>
      </c>
      <c r="U15" s="507">
        <f t="shared" si="8"/>
        <v>0</v>
      </c>
      <c r="V15" s="507">
        <f t="shared" si="9"/>
        <v>0</v>
      </c>
      <c r="W15" s="507">
        <f t="shared" si="10"/>
        <v>0</v>
      </c>
      <c r="X15" s="507">
        <f t="shared" si="11"/>
        <v>0</v>
      </c>
      <c r="Y15" s="507">
        <f t="shared" si="12"/>
        <v>0</v>
      </c>
      <c r="Z15" s="11">
        <f t="shared" si="13"/>
        <v>0</v>
      </c>
      <c r="AC15" s="4">
        <v>17</v>
      </c>
      <c r="AD15" s="5" t="s">
        <v>40</v>
      </c>
      <c r="AE15" s="5" t="s">
        <v>26</v>
      </c>
      <c r="AF15" s="5" t="s">
        <v>41</v>
      </c>
      <c r="AG15" s="5" t="s">
        <v>0</v>
      </c>
      <c r="AH15" s="5" t="s">
        <v>18</v>
      </c>
      <c r="AI15" s="5" t="s">
        <v>16</v>
      </c>
      <c r="AJ15" s="5" t="s">
        <v>17</v>
      </c>
      <c r="AK15" s="5" t="s">
        <v>3</v>
      </c>
      <c r="AL15" s="5" t="s">
        <v>18</v>
      </c>
      <c r="AM15" s="6"/>
      <c r="AO15" s="5"/>
      <c r="AP15" s="5"/>
      <c r="AQ15" s="5"/>
      <c r="AR15" s="5"/>
      <c r="AS15" s="5"/>
      <c r="AU15" s="1547"/>
      <c r="AV15" s="35"/>
      <c r="AW15" s="36"/>
      <c r="AY15" s="34" t="s">
        <v>4190</v>
      </c>
      <c r="AZ15" s="35" t="s">
        <v>2203</v>
      </c>
      <c r="BA15" s="36">
        <v>-54283.21</v>
      </c>
      <c r="BC15" s="34" t="s">
        <v>174</v>
      </c>
      <c r="BD15" s="35" t="s">
        <v>175</v>
      </c>
      <c r="BE15" s="36">
        <v>5541311.1799999997</v>
      </c>
      <c r="BG15" s="34"/>
      <c r="BH15" s="35"/>
      <c r="BI15" s="36"/>
      <c r="BK15" s="34"/>
      <c r="BL15" s="35"/>
      <c r="BM15" s="36"/>
      <c r="BO15" s="34"/>
      <c r="BP15" s="35"/>
      <c r="BQ15" s="36"/>
      <c r="BS15" s="1592"/>
      <c r="BT15" s="35"/>
      <c r="BU15" s="36"/>
      <c r="BW15" s="34"/>
      <c r="BX15" s="35"/>
      <c r="BY15" s="36"/>
      <c r="CA15" s="34"/>
      <c r="CB15" s="35"/>
      <c r="CC15" s="36"/>
      <c r="CE15" s="34"/>
      <c r="CF15" s="35"/>
      <c r="CG15" s="36"/>
      <c r="CI15" s="34"/>
      <c r="CJ15" s="35"/>
      <c r="CK15" s="36"/>
      <c r="CM15" s="34"/>
      <c r="CN15" s="35"/>
      <c r="CO15" s="36"/>
      <c r="CQ15" s="1606" t="s">
        <v>4279</v>
      </c>
    </row>
    <row r="16" spans="1:95" ht="18">
      <c r="A16" s="34" t="s">
        <v>4179</v>
      </c>
      <c r="B16" s="35" t="s">
        <v>3794</v>
      </c>
      <c r="C16" s="36">
        <v>1036622.3</v>
      </c>
      <c r="D16" s="37" t="str">
        <f>IF(C16&gt;=Mat!$E$71,"Material","No Mat")</f>
        <v>Material</v>
      </c>
      <c r="E16" s="834">
        <f>IF(C16&gt;=Mat!$E$71,C16/Mat!$E$71,0)</f>
        <v>3.9118402543533963</v>
      </c>
      <c r="F16" s="895"/>
      <c r="G16" s="34"/>
      <c r="H16" s="35"/>
      <c r="I16" s="48"/>
      <c r="J16" s="48"/>
      <c r="L16" s="506"/>
      <c r="M16" s="506" t="s">
        <v>3784</v>
      </c>
      <c r="N16" s="507">
        <f t="shared" si="1"/>
        <v>3000</v>
      </c>
      <c r="O16" s="507">
        <f t="shared" si="2"/>
        <v>-3000</v>
      </c>
      <c r="P16" s="507">
        <f t="shared" si="3"/>
        <v>0</v>
      </c>
      <c r="Q16" s="507">
        <f t="shared" si="4"/>
        <v>0</v>
      </c>
      <c r="R16" s="507">
        <f t="shared" si="5"/>
        <v>0</v>
      </c>
      <c r="S16" s="507">
        <f t="shared" si="6"/>
        <v>0</v>
      </c>
      <c r="T16" s="507">
        <f t="shared" si="7"/>
        <v>0</v>
      </c>
      <c r="U16" s="507">
        <f t="shared" si="8"/>
        <v>0</v>
      </c>
      <c r="V16" s="507">
        <f t="shared" si="9"/>
        <v>0</v>
      </c>
      <c r="W16" s="507">
        <f t="shared" si="10"/>
        <v>0</v>
      </c>
      <c r="X16" s="507">
        <f t="shared" si="11"/>
        <v>0</v>
      </c>
      <c r="Y16" s="507">
        <f t="shared" si="12"/>
        <v>0</v>
      </c>
      <c r="Z16" s="11">
        <f t="shared" si="13"/>
        <v>0</v>
      </c>
      <c r="AC16" s="4">
        <v>19</v>
      </c>
      <c r="AD16" s="5" t="s">
        <v>42</v>
      </c>
      <c r="AE16" s="5" t="s">
        <v>20</v>
      </c>
      <c r="AF16" s="5" t="s">
        <v>43</v>
      </c>
      <c r="AG16" s="5" t="s">
        <v>0</v>
      </c>
      <c r="AH16" s="5" t="s">
        <v>18</v>
      </c>
      <c r="AI16" s="5" t="s">
        <v>16</v>
      </c>
      <c r="AJ16" s="5" t="s">
        <v>17</v>
      </c>
      <c r="AK16" s="5" t="s">
        <v>3</v>
      </c>
      <c r="AL16" s="5" t="s">
        <v>18</v>
      </c>
      <c r="AM16" s="6"/>
      <c r="AO16" s="5"/>
      <c r="AP16" s="5"/>
      <c r="AQ16" s="5"/>
      <c r="AR16" s="5"/>
      <c r="AS16" s="5"/>
      <c r="AU16" s="1547"/>
      <c r="AV16" s="35"/>
      <c r="AW16" s="36"/>
      <c r="AY16" s="34" t="s">
        <v>252</v>
      </c>
      <c r="AZ16" s="35" t="s">
        <v>253</v>
      </c>
      <c r="BA16" s="36">
        <v>-968750.02999999933</v>
      </c>
      <c r="BC16" s="34" t="s">
        <v>207</v>
      </c>
      <c r="BD16" s="35" t="s">
        <v>2319</v>
      </c>
      <c r="BE16" s="36">
        <v>-17380</v>
      </c>
      <c r="BG16" s="34"/>
      <c r="BH16" s="35"/>
      <c r="BI16" s="36"/>
      <c r="BK16" s="34"/>
      <c r="BL16" s="35"/>
      <c r="BM16" s="36"/>
      <c r="BO16" s="34"/>
      <c r="BP16" s="35"/>
      <c r="BQ16" s="36"/>
      <c r="BS16" s="1592"/>
      <c r="BT16" s="35"/>
      <c r="BU16" s="36"/>
      <c r="BW16" s="34"/>
      <c r="BX16" s="35"/>
      <c r="BY16" s="36"/>
      <c r="CA16" s="34"/>
      <c r="CB16" s="35"/>
      <c r="CC16" s="36"/>
      <c r="CE16" s="34"/>
      <c r="CF16" s="35"/>
      <c r="CG16" s="36"/>
      <c r="CI16" s="34"/>
      <c r="CJ16" s="35"/>
      <c r="CK16" s="36"/>
      <c r="CM16" s="34"/>
      <c r="CN16" s="35"/>
      <c r="CO16" s="36"/>
      <c r="CQ16" s="1606" t="s">
        <v>4100</v>
      </c>
    </row>
    <row r="17" spans="1:95" ht="18">
      <c r="A17" s="34" t="s">
        <v>4180</v>
      </c>
      <c r="B17" s="35" t="s">
        <v>3850</v>
      </c>
      <c r="C17" s="36">
        <v>420328465.58999997</v>
      </c>
      <c r="D17" s="37" t="str">
        <f>IF(C17&gt;=Mat!$E$71,"Material","No Mat")</f>
        <v>Material</v>
      </c>
      <c r="E17" s="834">
        <f>IF(C17&gt;=Mat!$E$71,C17/Mat!$E$71,0)</f>
        <v>1586.1686669730702</v>
      </c>
      <c r="F17" s="895"/>
      <c r="G17" s="34"/>
      <c r="H17" s="35"/>
      <c r="I17" s="48"/>
      <c r="J17" s="36"/>
      <c r="L17" s="506"/>
      <c r="M17" s="506" t="s">
        <v>46</v>
      </c>
      <c r="N17" s="507">
        <f t="shared" si="1"/>
        <v>0</v>
      </c>
      <c r="O17" s="507">
        <f t="shared" si="2"/>
        <v>0</v>
      </c>
      <c r="P17" s="507">
        <f t="shared" si="3"/>
        <v>0</v>
      </c>
      <c r="Q17" s="507">
        <f t="shared" si="4"/>
        <v>0</v>
      </c>
      <c r="R17" s="507">
        <f t="shared" si="5"/>
        <v>0</v>
      </c>
      <c r="S17" s="507">
        <f t="shared" si="6"/>
        <v>0</v>
      </c>
      <c r="T17" s="507">
        <f t="shared" si="7"/>
        <v>0</v>
      </c>
      <c r="U17" s="507">
        <f t="shared" si="8"/>
        <v>0</v>
      </c>
      <c r="V17" s="507">
        <f t="shared" si="9"/>
        <v>0</v>
      </c>
      <c r="W17" s="507">
        <f t="shared" si="10"/>
        <v>0</v>
      </c>
      <c r="X17" s="507">
        <f t="shared" si="11"/>
        <v>0</v>
      </c>
      <c r="Y17" s="507">
        <f t="shared" si="12"/>
        <v>0</v>
      </c>
      <c r="Z17" s="11">
        <f t="shared" si="13"/>
        <v>0</v>
      </c>
      <c r="AC17" s="4">
        <v>21</v>
      </c>
      <c r="AD17" s="5" t="s">
        <v>45</v>
      </c>
      <c r="AE17" s="5" t="s">
        <v>44</v>
      </c>
      <c r="AF17" s="5" t="s">
        <v>46</v>
      </c>
      <c r="AG17" s="5" t="s">
        <v>0</v>
      </c>
      <c r="AH17" s="5" t="s">
        <v>18</v>
      </c>
      <c r="AI17" s="5" t="s">
        <v>16</v>
      </c>
      <c r="AJ17" s="5" t="s">
        <v>17</v>
      </c>
      <c r="AK17" s="5" t="s">
        <v>3</v>
      </c>
      <c r="AL17" s="5" t="s">
        <v>18</v>
      </c>
      <c r="AM17" s="6"/>
      <c r="AO17" s="5"/>
      <c r="AP17" s="5"/>
      <c r="AQ17" s="5"/>
      <c r="AR17" s="5"/>
      <c r="AS17" s="5"/>
      <c r="AU17" s="1547"/>
      <c r="AV17" s="35"/>
      <c r="AW17" s="36"/>
      <c r="AY17" s="34" t="s">
        <v>511</v>
      </c>
      <c r="AZ17" s="35" t="s">
        <v>512</v>
      </c>
      <c r="BA17" s="36">
        <v>-11120286.07</v>
      </c>
      <c r="BC17" s="34" t="s">
        <v>4190</v>
      </c>
      <c r="BD17" s="35" t="s">
        <v>2203</v>
      </c>
      <c r="BE17" s="36">
        <v>-54283.21</v>
      </c>
      <c r="BG17" s="34"/>
      <c r="BH17" s="35"/>
      <c r="BI17" s="36"/>
      <c r="BK17" s="34"/>
      <c r="BL17" s="35"/>
      <c r="BM17" s="36"/>
      <c r="BO17" s="34"/>
      <c r="BP17" s="35"/>
      <c r="BQ17" s="36"/>
      <c r="BS17" s="1592"/>
      <c r="BT17" s="35"/>
      <c r="BU17" s="36"/>
      <c r="BW17" s="34"/>
      <c r="BX17" s="35"/>
      <c r="BY17" s="36"/>
      <c r="CA17" s="34"/>
      <c r="CB17" s="35"/>
      <c r="CC17" s="36"/>
      <c r="CE17" s="34"/>
      <c r="CF17" s="35"/>
      <c r="CG17" s="36"/>
      <c r="CI17" s="34"/>
      <c r="CJ17" s="35"/>
      <c r="CK17" s="36"/>
      <c r="CM17" s="34"/>
      <c r="CN17" s="35"/>
      <c r="CO17" s="36"/>
      <c r="CQ17" s="1606" t="s">
        <v>4101</v>
      </c>
    </row>
    <row r="18" spans="1:95" ht="18">
      <c r="A18" s="34" t="s">
        <v>118</v>
      </c>
      <c r="B18" s="35" t="s">
        <v>119</v>
      </c>
      <c r="C18" s="36">
        <v>14233314.59</v>
      </c>
      <c r="D18" s="37" t="str">
        <f>IF(C18&gt;=Mat!$E$71,"Material","No Mat")</f>
        <v>Material</v>
      </c>
      <c r="E18" s="834">
        <f>IF(C18&gt;=Mat!$E$71,C18/Mat!$E$71,0)</f>
        <v>53.711417327253621</v>
      </c>
      <c r="F18" s="895"/>
      <c r="G18" s="34"/>
      <c r="H18" s="35"/>
      <c r="I18" s="48"/>
      <c r="J18" s="36"/>
      <c r="L18" s="506"/>
      <c r="M18" s="506" t="s">
        <v>48</v>
      </c>
      <c r="N18" s="507">
        <f t="shared" si="1"/>
        <v>-1391.2</v>
      </c>
      <c r="O18" s="507">
        <f t="shared" si="2"/>
        <v>0</v>
      </c>
      <c r="P18" s="507">
        <f t="shared" si="3"/>
        <v>0</v>
      </c>
      <c r="Q18" s="507">
        <f t="shared" si="4"/>
        <v>0</v>
      </c>
      <c r="R18" s="507">
        <f t="shared" si="5"/>
        <v>0</v>
      </c>
      <c r="S18" s="507">
        <f t="shared" si="6"/>
        <v>0</v>
      </c>
      <c r="T18" s="507">
        <f t="shared" si="7"/>
        <v>0</v>
      </c>
      <c r="U18" s="507">
        <f t="shared" si="8"/>
        <v>0</v>
      </c>
      <c r="V18" s="507">
        <f t="shared" si="9"/>
        <v>0</v>
      </c>
      <c r="W18" s="507">
        <f t="shared" si="10"/>
        <v>0</v>
      </c>
      <c r="X18" s="507">
        <f t="shared" si="11"/>
        <v>0</v>
      </c>
      <c r="Y18" s="507">
        <f t="shared" si="12"/>
        <v>0</v>
      </c>
      <c r="Z18" s="11">
        <f t="shared" si="13"/>
        <v>-1391.2</v>
      </c>
      <c r="AC18" s="4">
        <v>23</v>
      </c>
      <c r="AD18" s="5" t="s">
        <v>47</v>
      </c>
      <c r="AE18" s="5" t="s">
        <v>44</v>
      </c>
      <c r="AF18" s="5" t="s">
        <v>48</v>
      </c>
      <c r="AG18" s="5" t="s">
        <v>0</v>
      </c>
      <c r="AH18" s="5" t="s">
        <v>18</v>
      </c>
      <c r="AI18" s="5" t="s">
        <v>16</v>
      </c>
      <c r="AJ18" s="5" t="s">
        <v>17</v>
      </c>
      <c r="AK18" s="5" t="s">
        <v>3</v>
      </c>
      <c r="AL18" s="5" t="s">
        <v>18</v>
      </c>
      <c r="AM18" s="6"/>
      <c r="AO18" s="5"/>
      <c r="AP18" s="5"/>
      <c r="AQ18" s="5"/>
      <c r="AR18" s="5"/>
      <c r="AS18" s="5"/>
      <c r="AU18" s="1547"/>
      <c r="AV18" s="35"/>
      <c r="AW18" s="36"/>
      <c r="AY18" s="34" t="s">
        <v>4250</v>
      </c>
      <c r="AZ18" s="35" t="s">
        <v>3788</v>
      </c>
      <c r="BA18" s="36">
        <v>-3993167</v>
      </c>
      <c r="BC18" s="34" t="s">
        <v>252</v>
      </c>
      <c r="BD18" s="35" t="s">
        <v>253</v>
      </c>
      <c r="BE18" s="36">
        <v>-2085890.3899999987</v>
      </c>
      <c r="BG18" s="34"/>
      <c r="BH18" s="35"/>
      <c r="BI18" s="36"/>
      <c r="BK18" s="34"/>
      <c r="BL18" s="35"/>
      <c r="BM18" s="36"/>
      <c r="BO18" s="34"/>
      <c r="BP18" s="35"/>
      <c r="BQ18" s="36"/>
      <c r="BS18" s="1592"/>
      <c r="BT18" s="35"/>
      <c r="BU18" s="36"/>
      <c r="BW18" s="34"/>
      <c r="BX18" s="35"/>
      <c r="BY18" s="36"/>
      <c r="CA18" s="34"/>
      <c r="CB18" s="35"/>
      <c r="CC18" s="36"/>
      <c r="CE18" s="34"/>
      <c r="CF18" s="35"/>
      <c r="CG18" s="36"/>
      <c r="CI18" s="34"/>
      <c r="CJ18" s="35"/>
      <c r="CK18" s="36"/>
      <c r="CM18" s="34"/>
      <c r="CN18" s="35"/>
      <c r="CO18" s="36"/>
      <c r="CQ18" s="1606" t="s">
        <v>4102</v>
      </c>
    </row>
    <row r="19" spans="1:95" ht="18">
      <c r="A19" s="34" t="s">
        <v>132</v>
      </c>
      <c r="B19" s="35" t="s">
        <v>2211</v>
      </c>
      <c r="C19" s="36">
        <v>28796945.620000001</v>
      </c>
      <c r="D19" s="37" t="str">
        <f>IF(C19&gt;=Mat!$E$71,"Material","No Mat")</f>
        <v>Material</v>
      </c>
      <c r="E19" s="834">
        <f>IF(C19&gt;=Mat!$E$71,C19/Mat!$E$71,0)</f>
        <v>108.6693302649786</v>
      </c>
      <c r="F19" s="895">
        <f>+C19-3259590.49-3259590.49</f>
        <v>22277764.640000001</v>
      </c>
      <c r="G19" s="34"/>
      <c r="H19" s="35"/>
      <c r="I19" s="48"/>
      <c r="J19" s="36"/>
      <c r="L19" s="506"/>
      <c r="M19" s="506" t="s">
        <v>50</v>
      </c>
      <c r="N19" s="507">
        <f t="shared" si="1"/>
        <v>0</v>
      </c>
      <c r="O19" s="507">
        <f t="shared" si="2"/>
        <v>0</v>
      </c>
      <c r="P19" s="507">
        <f t="shared" si="3"/>
        <v>0</v>
      </c>
      <c r="Q19" s="507">
        <f t="shared" si="4"/>
        <v>0</v>
      </c>
      <c r="R19" s="507">
        <f t="shared" si="5"/>
        <v>0</v>
      </c>
      <c r="S19" s="507">
        <f t="shared" si="6"/>
        <v>0</v>
      </c>
      <c r="T19" s="507">
        <f t="shared" si="7"/>
        <v>0</v>
      </c>
      <c r="U19" s="507">
        <f t="shared" si="8"/>
        <v>0</v>
      </c>
      <c r="V19" s="507">
        <f t="shared" si="9"/>
        <v>0</v>
      </c>
      <c r="W19" s="507">
        <f t="shared" si="10"/>
        <v>0</v>
      </c>
      <c r="X19" s="507">
        <f t="shared" si="11"/>
        <v>0</v>
      </c>
      <c r="Y19" s="507">
        <f t="shared" si="12"/>
        <v>0</v>
      </c>
      <c r="Z19" s="11">
        <f t="shared" si="13"/>
        <v>0</v>
      </c>
      <c r="AC19" s="4">
        <v>25</v>
      </c>
      <c r="AD19" s="5" t="s">
        <v>49</v>
      </c>
      <c r="AE19" s="5" t="s">
        <v>44</v>
      </c>
      <c r="AF19" s="5" t="s">
        <v>50</v>
      </c>
      <c r="AG19" s="5" t="s">
        <v>0</v>
      </c>
      <c r="AH19" s="5" t="s">
        <v>18</v>
      </c>
      <c r="AI19" s="5" t="s">
        <v>16</v>
      </c>
      <c r="AJ19" s="5" t="s">
        <v>17</v>
      </c>
      <c r="AK19" s="5" t="s">
        <v>3</v>
      </c>
      <c r="AL19" s="5" t="s">
        <v>18</v>
      </c>
      <c r="AM19" s="6"/>
      <c r="AO19" s="5"/>
      <c r="AP19" s="5"/>
      <c r="AQ19" s="5"/>
      <c r="AR19" s="5"/>
      <c r="AS19" s="5"/>
      <c r="AU19" s="1547"/>
      <c r="AV19" s="35"/>
      <c r="AW19" s="36"/>
      <c r="AY19" s="34" t="s">
        <v>4251</v>
      </c>
      <c r="AZ19" s="35" t="s">
        <v>3787</v>
      </c>
      <c r="BA19" s="36">
        <v>-4628652</v>
      </c>
      <c r="BC19" s="34" t="s">
        <v>511</v>
      </c>
      <c r="BD19" s="35" t="s">
        <v>512</v>
      </c>
      <c r="BE19" s="36">
        <v>-19102447.57</v>
      </c>
      <c r="BG19" s="34"/>
      <c r="BH19" s="35"/>
      <c r="BI19" s="36"/>
      <c r="BK19" s="34"/>
      <c r="BL19" s="35"/>
      <c r="BM19" s="36"/>
      <c r="BO19" s="34"/>
      <c r="BP19" s="35"/>
      <c r="BQ19" s="36"/>
      <c r="BS19" s="1592"/>
      <c r="BT19" s="35"/>
      <c r="BU19" s="36"/>
      <c r="BW19" s="34"/>
      <c r="BX19" s="35"/>
      <c r="BY19" s="36"/>
      <c r="CA19" s="34"/>
      <c r="CB19" s="35"/>
      <c r="CC19" s="36"/>
      <c r="CE19" s="34"/>
      <c r="CF19" s="35"/>
      <c r="CG19" s="36"/>
      <c r="CI19" s="34"/>
      <c r="CJ19" s="35"/>
      <c r="CK19" s="36"/>
      <c r="CM19" s="34"/>
      <c r="CN19" s="35"/>
      <c r="CO19" s="36"/>
      <c r="CQ19" s="1606" t="s">
        <v>4103</v>
      </c>
    </row>
    <row r="20" spans="1:95" ht="18">
      <c r="A20" s="34" t="s">
        <v>135</v>
      </c>
      <c r="B20" s="35" t="s">
        <v>2315</v>
      </c>
      <c r="C20" s="36">
        <v>792057</v>
      </c>
      <c r="D20" s="37" t="str">
        <f>IF(C20&gt;=Mat!$E$71,"Material","No Mat")</f>
        <v>Material</v>
      </c>
      <c r="E20" s="834">
        <f>IF(C20&gt;=Mat!$E$71,C20/Mat!$E$71,0)</f>
        <v>2.9889386484762945</v>
      </c>
      <c r="F20" s="895"/>
      <c r="G20" s="34"/>
      <c r="H20" s="35"/>
      <c r="I20" s="48"/>
      <c r="J20" s="36"/>
      <c r="L20" s="506"/>
      <c r="M20" s="506" t="s">
        <v>52</v>
      </c>
      <c r="N20" s="507">
        <f t="shared" si="1"/>
        <v>-62234.6</v>
      </c>
      <c r="O20" s="507">
        <f t="shared" si="2"/>
        <v>-22658.98</v>
      </c>
      <c r="P20" s="507">
        <f t="shared" si="3"/>
        <v>-12390.68</v>
      </c>
      <c r="Q20" s="507">
        <f t="shared" si="4"/>
        <v>0</v>
      </c>
      <c r="R20" s="507">
        <f t="shared" si="5"/>
        <v>0</v>
      </c>
      <c r="S20" s="507">
        <f t="shared" si="6"/>
        <v>0</v>
      </c>
      <c r="T20" s="507">
        <f t="shared" si="7"/>
        <v>0</v>
      </c>
      <c r="U20" s="507">
        <f t="shared" si="8"/>
        <v>0</v>
      </c>
      <c r="V20" s="507">
        <f t="shared" si="9"/>
        <v>0</v>
      </c>
      <c r="W20" s="507">
        <f t="shared" si="10"/>
        <v>0</v>
      </c>
      <c r="X20" s="507">
        <f t="shared" si="11"/>
        <v>0</v>
      </c>
      <c r="Y20" s="507">
        <f t="shared" si="12"/>
        <v>0</v>
      </c>
      <c r="Z20" s="11">
        <f t="shared" si="13"/>
        <v>-97284.260000000009</v>
      </c>
      <c r="AC20" s="4">
        <v>27</v>
      </c>
      <c r="AD20" s="5" t="s">
        <v>51</v>
      </c>
      <c r="AE20" s="5" t="s">
        <v>44</v>
      </c>
      <c r="AF20" s="5" t="s">
        <v>52</v>
      </c>
      <c r="AG20" s="5" t="s">
        <v>0</v>
      </c>
      <c r="AH20" s="5" t="s">
        <v>18</v>
      </c>
      <c r="AI20" s="5" t="s">
        <v>16</v>
      </c>
      <c r="AJ20" s="5" t="s">
        <v>17</v>
      </c>
      <c r="AK20" s="5" t="s">
        <v>0</v>
      </c>
      <c r="AL20" s="5" t="s">
        <v>18</v>
      </c>
      <c r="AM20" s="6"/>
      <c r="AO20" s="5"/>
      <c r="AP20" s="5"/>
      <c r="AQ20" s="5"/>
      <c r="AR20" s="5"/>
      <c r="AS20" s="5"/>
      <c r="AU20" s="1547"/>
      <c r="AV20" s="35"/>
      <c r="AW20" s="36"/>
      <c r="AY20" s="34" t="s">
        <v>568</v>
      </c>
      <c r="AZ20" s="35" t="s">
        <v>2239</v>
      </c>
      <c r="BA20" s="36">
        <v>23683822.670000002</v>
      </c>
      <c r="BC20" s="34" t="s">
        <v>4250</v>
      </c>
      <c r="BD20" s="35" t="s">
        <v>3788</v>
      </c>
      <c r="BE20" s="36">
        <v>-3993167</v>
      </c>
      <c r="BG20" s="34"/>
      <c r="BH20" s="35"/>
      <c r="BI20" s="36"/>
      <c r="BK20" s="34"/>
      <c r="BL20" s="35"/>
      <c r="BM20" s="36"/>
      <c r="BO20" s="34"/>
      <c r="BP20" s="35"/>
      <c r="BQ20" s="36"/>
      <c r="BS20" s="1592"/>
      <c r="BT20" s="35"/>
      <c r="BU20" s="36"/>
      <c r="BW20" s="34"/>
      <c r="BX20" s="35"/>
      <c r="BY20" s="36"/>
      <c r="CA20" s="34"/>
      <c r="CB20" s="35"/>
      <c r="CC20" s="36"/>
      <c r="CE20" s="34"/>
      <c r="CF20" s="35"/>
      <c r="CG20" s="36"/>
      <c r="CI20" s="34"/>
      <c r="CJ20" s="35"/>
      <c r="CK20" s="36"/>
      <c r="CM20" s="34"/>
      <c r="CN20" s="35"/>
      <c r="CO20" s="36"/>
      <c r="CQ20" s="1606" t="s">
        <v>4104</v>
      </c>
    </row>
    <row r="21" spans="1:95" ht="18">
      <c r="A21" s="34" t="s">
        <v>140</v>
      </c>
      <c r="B21" s="35" t="s">
        <v>2212</v>
      </c>
      <c r="C21" s="36">
        <v>55553258.920000002</v>
      </c>
      <c r="D21" s="37" t="str">
        <f>IF(C21&gt;=Mat!$E$71,"Material","No Mat")</f>
        <v>Material</v>
      </c>
      <c r="E21" s="834">
        <f>IF(C21&gt;=Mat!$E$71,C21/Mat!$E$71,0)</f>
        <v>209.6380470531773</v>
      </c>
      <c r="F21" s="895"/>
      <c r="G21" s="34"/>
      <c r="H21" s="35"/>
      <c r="I21" s="48"/>
      <c r="J21" s="36"/>
      <c r="L21" s="506"/>
      <c r="M21" s="506" t="s">
        <v>3794</v>
      </c>
      <c r="N21" s="507">
        <f>IFERROR(VLOOKUP(M21,$AV$8:$AW$298,2,FALSE),0)</f>
        <v>1559481.6500000004</v>
      </c>
      <c r="O21" s="507">
        <f>IFERROR(VLOOKUP(M21,$AZ$8:$BA$298,2,FALSE),0)</f>
        <v>-497063.31000000052</v>
      </c>
      <c r="P21" s="507">
        <f>IFERROR(VLOOKUP(M21,$BD$8:$BE$298,2,FALSE),0)</f>
        <v>-357729.30999999866</v>
      </c>
      <c r="Q21" s="507">
        <f t="shared" si="4"/>
        <v>0</v>
      </c>
      <c r="R21" s="507">
        <f t="shared" si="5"/>
        <v>0</v>
      </c>
      <c r="S21" s="507">
        <f t="shared" si="6"/>
        <v>0</v>
      </c>
      <c r="T21" s="507">
        <f t="shared" si="7"/>
        <v>0</v>
      </c>
      <c r="U21" s="507">
        <f t="shared" si="8"/>
        <v>0</v>
      </c>
      <c r="V21" s="507">
        <f t="shared" si="9"/>
        <v>0</v>
      </c>
      <c r="W21" s="507">
        <f t="shared" si="10"/>
        <v>0</v>
      </c>
      <c r="X21" s="507">
        <f t="shared" si="11"/>
        <v>0</v>
      </c>
      <c r="Y21" s="507">
        <f t="shared" si="12"/>
        <v>0</v>
      </c>
      <c r="Z21" s="11">
        <f>SUM(N21:Y21)</f>
        <v>704689.03000000119</v>
      </c>
      <c r="AC21" s="4">
        <v>29</v>
      </c>
      <c r="AD21" s="5" t="s">
        <v>56</v>
      </c>
      <c r="AE21" s="5" t="s">
        <v>54</v>
      </c>
      <c r="AF21" s="5" t="s">
        <v>57</v>
      </c>
      <c r="AG21" s="5" t="s">
        <v>0</v>
      </c>
      <c r="AH21" s="5" t="s">
        <v>18</v>
      </c>
      <c r="AI21" s="5" t="s">
        <v>16</v>
      </c>
      <c r="AJ21" s="5" t="s">
        <v>17</v>
      </c>
      <c r="AK21" s="5" t="s">
        <v>3</v>
      </c>
      <c r="AL21" s="5" t="s">
        <v>18</v>
      </c>
      <c r="AM21" s="6"/>
      <c r="AO21" s="5"/>
      <c r="AP21" s="5"/>
      <c r="AQ21" s="5"/>
      <c r="AR21" s="5"/>
      <c r="AS21" s="5"/>
      <c r="AU21" s="1547"/>
      <c r="AV21" s="35"/>
      <c r="AW21" s="36"/>
      <c r="AY21" s="34" t="s">
        <v>4258</v>
      </c>
      <c r="AZ21" s="35" t="s">
        <v>2322</v>
      </c>
      <c r="BA21" s="36">
        <v>20000</v>
      </c>
      <c r="BC21" s="34" t="s">
        <v>4251</v>
      </c>
      <c r="BD21" s="35" t="s">
        <v>3787</v>
      </c>
      <c r="BE21" s="36">
        <v>-4628652</v>
      </c>
      <c r="BG21" s="34"/>
      <c r="BH21" s="35"/>
      <c r="BI21" s="36"/>
      <c r="BK21" s="34"/>
      <c r="BL21" s="35"/>
      <c r="BM21" s="36"/>
      <c r="BO21" s="34"/>
      <c r="BP21" s="35"/>
      <c r="BQ21" s="36"/>
      <c r="BS21" s="1592"/>
      <c r="BT21" s="35"/>
      <c r="BU21" s="36"/>
      <c r="BW21" s="34"/>
      <c r="BX21" s="35"/>
      <c r="BY21" s="36"/>
      <c r="CA21" s="34"/>
      <c r="CB21" s="35"/>
      <c r="CC21" s="36"/>
      <c r="CE21" s="34"/>
      <c r="CF21" s="35"/>
      <c r="CG21" s="36"/>
      <c r="CI21" s="34"/>
      <c r="CJ21" s="35"/>
      <c r="CK21" s="36"/>
      <c r="CM21" s="34"/>
      <c r="CN21" s="35"/>
      <c r="CO21" s="36"/>
      <c r="CQ21" s="1606" t="s">
        <v>4105</v>
      </c>
    </row>
    <row r="22" spans="1:95" ht="18">
      <c r="A22" s="34" t="s">
        <v>2839</v>
      </c>
      <c r="B22" s="35" t="s">
        <v>2392</v>
      </c>
      <c r="C22" s="36">
        <v>4551737.59</v>
      </c>
      <c r="D22" s="37" t="str">
        <f>IF(C22&gt;=Mat!$E$71,"Material","No Mat")</f>
        <v>Material</v>
      </c>
      <c r="E22" s="834">
        <f>IF(C22&gt;=Mat!$E$71,C22/Mat!$E$71,0)</f>
        <v>17.176622895162023</v>
      </c>
      <c r="F22" s="895"/>
      <c r="G22" s="34"/>
      <c r="H22" s="35"/>
      <c r="I22" s="48"/>
      <c r="J22" s="36"/>
      <c r="L22" s="506"/>
      <c r="M22" s="506" t="s">
        <v>3850</v>
      </c>
      <c r="N22" s="507">
        <f>IFERROR(VLOOKUP(M22,$AV$8:$AW$298,2,FALSE),0)</f>
        <v>16524961.869999997</v>
      </c>
      <c r="O22" s="507">
        <f>IFERROR(VLOOKUP(M22,$AZ$8:$BA$298,2,FALSE),0)</f>
        <v>-13610490.240000002</v>
      </c>
      <c r="P22" s="507">
        <f>IFERROR(VLOOKUP(M22,$BD$8:$BE$298,2,FALSE),0)</f>
        <v>-4116275.5599999987</v>
      </c>
      <c r="Q22" s="507">
        <f t="shared" si="4"/>
        <v>0</v>
      </c>
      <c r="R22" s="507">
        <f t="shared" si="5"/>
        <v>0</v>
      </c>
      <c r="S22" s="507">
        <f t="shared" si="6"/>
        <v>0</v>
      </c>
      <c r="T22" s="507">
        <f t="shared" si="7"/>
        <v>0</v>
      </c>
      <c r="U22" s="507">
        <f t="shared" si="8"/>
        <v>0</v>
      </c>
      <c r="V22" s="507">
        <f t="shared" si="9"/>
        <v>0</v>
      </c>
      <c r="W22" s="507">
        <f t="shared" si="10"/>
        <v>0</v>
      </c>
      <c r="X22" s="507">
        <f t="shared" si="11"/>
        <v>0</v>
      </c>
      <c r="Y22" s="507">
        <f t="shared" si="12"/>
        <v>0</v>
      </c>
      <c r="Z22" s="11">
        <f>SUM(N22:Y22)</f>
        <v>-1201803.9300000034</v>
      </c>
      <c r="AC22" s="4">
        <v>31</v>
      </c>
      <c r="AD22" s="5" t="s">
        <v>58</v>
      </c>
      <c r="AE22" s="5" t="s">
        <v>54</v>
      </c>
      <c r="AF22" s="5" t="s">
        <v>59</v>
      </c>
      <c r="AG22" s="5" t="s">
        <v>0</v>
      </c>
      <c r="AH22" s="5" t="s">
        <v>18</v>
      </c>
      <c r="AI22" s="5" t="s">
        <v>16</v>
      </c>
      <c r="AJ22" s="5" t="s">
        <v>17</v>
      </c>
      <c r="AK22" s="5" t="s">
        <v>3</v>
      </c>
      <c r="AL22" s="5" t="s">
        <v>18</v>
      </c>
      <c r="AM22" s="6"/>
      <c r="AO22" s="5"/>
      <c r="AP22" s="5"/>
      <c r="AQ22" s="5"/>
      <c r="AR22" s="5"/>
      <c r="AS22" s="5"/>
      <c r="AU22" s="1547"/>
      <c r="AV22" s="35"/>
      <c r="AW22" s="36"/>
      <c r="AY22" s="34" t="s">
        <v>4259</v>
      </c>
      <c r="AZ22" s="35" t="s">
        <v>4260</v>
      </c>
      <c r="BA22" s="36">
        <v>128920</v>
      </c>
      <c r="BC22" s="34" t="s">
        <v>568</v>
      </c>
      <c r="BD22" s="35" t="s">
        <v>2239</v>
      </c>
      <c r="BE22" s="36">
        <v>13529344</v>
      </c>
      <c r="BG22" s="34"/>
      <c r="BH22" s="35"/>
      <c r="BI22" s="36"/>
      <c r="BK22" s="34"/>
      <c r="BL22" s="35"/>
      <c r="BM22" s="36"/>
      <c r="BO22" s="34"/>
      <c r="BP22" s="35"/>
      <c r="BQ22" s="36"/>
      <c r="BS22" s="1592"/>
      <c r="BT22" s="35"/>
      <c r="BU22" s="36"/>
      <c r="BW22" s="34"/>
      <c r="BX22" s="35"/>
      <c r="BY22" s="36"/>
      <c r="BZ22" s="11"/>
      <c r="CA22" s="34"/>
      <c r="CB22" s="35"/>
      <c r="CC22" s="36"/>
      <c r="CE22" s="34"/>
      <c r="CF22" s="35"/>
      <c r="CG22" s="36"/>
      <c r="CI22" s="34"/>
      <c r="CJ22" s="35"/>
      <c r="CK22" s="36"/>
      <c r="CM22" s="34"/>
      <c r="CN22" s="35"/>
      <c r="CO22" s="36"/>
      <c r="CQ22" s="1606" t="s">
        <v>4106</v>
      </c>
    </row>
    <row r="23" spans="1:95" ht="18">
      <c r="A23" s="34" t="s">
        <v>4181</v>
      </c>
      <c r="B23" s="35" t="s">
        <v>2871</v>
      </c>
      <c r="C23" s="36">
        <v>5224661.0199999996</v>
      </c>
      <c r="D23" s="37" t="str">
        <f>IF(C23&gt;=Mat!$E$71,"Material","No Mat")</f>
        <v>Material</v>
      </c>
      <c r="E23" s="834">
        <f>IF(C23&gt;=Mat!$E$71,C23/Mat!$E$71,0)</f>
        <v>19.715994237618727</v>
      </c>
      <c r="F23" s="895"/>
      <c r="G23" s="34"/>
      <c r="H23" s="35"/>
      <c r="I23" s="48"/>
      <c r="J23" s="36"/>
      <c r="L23" s="506"/>
      <c r="M23" s="506" t="s">
        <v>3796</v>
      </c>
      <c r="N23" s="507">
        <f>IFERROR(VLOOKUP(M23,$AV$8:$AW$298,2,FALSE),0)</f>
        <v>0</v>
      </c>
      <c r="O23" s="507">
        <f>IFERROR(VLOOKUP(M23,$AZ$8:$BA$298,2,FALSE),0)</f>
        <v>0</v>
      </c>
      <c r="P23" s="507">
        <f>IFERROR(VLOOKUP(M23,$BD$8:$BE$298,2,FALSE),0)</f>
        <v>0</v>
      </c>
      <c r="Q23" s="507">
        <f t="shared" si="4"/>
        <v>0</v>
      </c>
      <c r="R23" s="507">
        <f t="shared" si="5"/>
        <v>0</v>
      </c>
      <c r="S23" s="507">
        <f t="shared" si="6"/>
        <v>0</v>
      </c>
      <c r="T23" s="507">
        <f t="shared" si="7"/>
        <v>0</v>
      </c>
      <c r="U23" s="507">
        <f t="shared" si="8"/>
        <v>0</v>
      </c>
      <c r="V23" s="507">
        <f t="shared" si="9"/>
        <v>0</v>
      </c>
      <c r="W23" s="507">
        <f t="shared" si="10"/>
        <v>0</v>
      </c>
      <c r="X23" s="507">
        <f t="shared" si="11"/>
        <v>0</v>
      </c>
      <c r="Y23" s="507">
        <f t="shared" si="12"/>
        <v>0</v>
      </c>
      <c r="Z23" s="11">
        <f>SUM(N23:Y23)</f>
        <v>0</v>
      </c>
      <c r="AC23" s="4">
        <v>33</v>
      </c>
      <c r="AD23" s="5" t="s">
        <v>60</v>
      </c>
      <c r="AE23" s="5" t="s">
        <v>54</v>
      </c>
      <c r="AF23" s="5" t="s">
        <v>61</v>
      </c>
      <c r="AG23" s="5" t="s">
        <v>0</v>
      </c>
      <c r="AH23" s="5" t="s">
        <v>18</v>
      </c>
      <c r="AI23" s="5" t="s">
        <v>16</v>
      </c>
      <c r="AJ23" s="5" t="s">
        <v>17</v>
      </c>
      <c r="AK23" s="5" t="s">
        <v>3</v>
      </c>
      <c r="AL23" s="5" t="s">
        <v>18</v>
      </c>
      <c r="AM23" s="6"/>
      <c r="AO23" s="5"/>
      <c r="AP23" s="5"/>
      <c r="AQ23" s="5"/>
      <c r="AR23" s="5"/>
      <c r="AS23" s="5"/>
      <c r="AU23" s="1547"/>
      <c r="AV23" s="35"/>
      <c r="AW23" s="36"/>
      <c r="AY23" s="34" t="s">
        <v>4261</v>
      </c>
      <c r="AZ23" s="35" t="s">
        <v>3775</v>
      </c>
      <c r="BA23" s="36">
        <v>409500</v>
      </c>
      <c r="BC23" s="34" t="s">
        <v>4258</v>
      </c>
      <c r="BD23" s="35" t="s">
        <v>2322</v>
      </c>
      <c r="BE23" s="36">
        <v>10000</v>
      </c>
      <c r="BG23" s="34"/>
      <c r="BH23" s="35"/>
      <c r="BI23" s="36"/>
      <c r="BK23" s="34"/>
      <c r="BL23" s="35"/>
      <c r="BM23" s="36"/>
      <c r="BO23" s="34"/>
      <c r="BP23" s="35"/>
      <c r="BQ23" s="36"/>
      <c r="BS23" s="1592"/>
      <c r="BT23" s="35"/>
      <c r="BU23" s="36"/>
      <c r="BW23" s="34"/>
      <c r="BX23" s="35"/>
      <c r="BY23" s="36"/>
      <c r="CA23" s="34"/>
      <c r="CB23" s="35"/>
      <c r="CC23" s="36"/>
      <c r="CE23" s="34"/>
      <c r="CF23" s="35"/>
      <c r="CG23" s="36"/>
      <c r="CI23" s="34"/>
      <c r="CJ23" s="35"/>
      <c r="CK23" s="36"/>
      <c r="CM23" s="34"/>
      <c r="CN23" s="35"/>
      <c r="CO23" s="36"/>
      <c r="CQ23" s="1606" t="s">
        <v>4107</v>
      </c>
    </row>
    <row r="24" spans="1:95" ht="18">
      <c r="A24" s="34" t="s">
        <v>4182</v>
      </c>
      <c r="B24" s="35" t="s">
        <v>3942</v>
      </c>
      <c r="C24" s="36">
        <v>819796.62</v>
      </c>
      <c r="D24" s="37" t="str">
        <f>IF(C24&gt;=Mat!$E$71,"Material","No Mat")</f>
        <v>Material</v>
      </c>
      <c r="E24" s="834">
        <f>IF(C24&gt;=Mat!$E$71,C24/Mat!$E$71,0)</f>
        <v>3.0936180115928957</v>
      </c>
      <c r="F24" s="1232"/>
      <c r="G24" s="34"/>
      <c r="H24" s="35"/>
      <c r="I24" s="48"/>
      <c r="J24" s="36"/>
      <c r="L24" s="506"/>
      <c r="M24" s="506" t="s">
        <v>57</v>
      </c>
      <c r="N24" s="507">
        <f t="shared" si="1"/>
        <v>0</v>
      </c>
      <c r="O24" s="507">
        <f t="shared" si="2"/>
        <v>0</v>
      </c>
      <c r="P24" s="507">
        <f t="shared" si="3"/>
        <v>0</v>
      </c>
      <c r="Q24" s="507">
        <f t="shared" si="4"/>
        <v>0</v>
      </c>
      <c r="R24" s="507">
        <f t="shared" si="5"/>
        <v>0</v>
      </c>
      <c r="S24" s="507">
        <f t="shared" si="6"/>
        <v>0</v>
      </c>
      <c r="T24" s="507">
        <f t="shared" si="7"/>
        <v>0</v>
      </c>
      <c r="U24" s="507">
        <f t="shared" si="8"/>
        <v>0</v>
      </c>
      <c r="V24" s="507">
        <f t="shared" si="9"/>
        <v>0</v>
      </c>
      <c r="W24" s="507">
        <f t="shared" si="10"/>
        <v>0</v>
      </c>
      <c r="X24" s="507">
        <f t="shared" si="11"/>
        <v>0</v>
      </c>
      <c r="Y24" s="507">
        <f t="shared" si="12"/>
        <v>0</v>
      </c>
      <c r="Z24" s="11">
        <f t="shared" si="13"/>
        <v>0</v>
      </c>
      <c r="AC24" s="4">
        <v>35</v>
      </c>
      <c r="AD24" s="5" t="s">
        <v>63</v>
      </c>
      <c r="AE24" s="5" t="s">
        <v>62</v>
      </c>
      <c r="AF24" s="5" t="s">
        <v>64</v>
      </c>
      <c r="AG24" s="5" t="s">
        <v>0</v>
      </c>
      <c r="AH24" s="5" t="s">
        <v>18</v>
      </c>
      <c r="AI24" s="5" t="s">
        <v>16</v>
      </c>
      <c r="AJ24" s="5" t="s">
        <v>17</v>
      </c>
      <c r="AK24" s="5" t="s">
        <v>3</v>
      </c>
      <c r="AL24" s="5" t="s">
        <v>18</v>
      </c>
      <c r="AM24" s="6"/>
      <c r="AO24" s="5"/>
      <c r="AP24" s="5"/>
      <c r="AQ24" s="5"/>
      <c r="AR24" s="5"/>
      <c r="AS24" s="5"/>
      <c r="AU24" s="1547"/>
      <c r="AV24" s="35"/>
      <c r="AW24" s="36"/>
      <c r="AY24" s="34" t="s">
        <v>4262</v>
      </c>
      <c r="AZ24" s="35" t="s">
        <v>3900</v>
      </c>
      <c r="BA24" s="36">
        <v>266118.21999999997</v>
      </c>
      <c r="BC24" s="34" t="s">
        <v>4259</v>
      </c>
      <c r="BD24" s="35" t="s">
        <v>4260</v>
      </c>
      <c r="BE24" s="36">
        <v>128920</v>
      </c>
      <c r="BG24" s="34"/>
      <c r="BH24" s="35"/>
      <c r="BI24" s="36"/>
      <c r="BK24" s="34"/>
      <c r="BL24" s="35"/>
      <c r="BM24" s="36"/>
      <c r="BO24" s="34"/>
      <c r="BP24" s="35"/>
      <c r="BQ24" s="36"/>
      <c r="BS24" s="1592"/>
      <c r="BT24" s="35"/>
      <c r="BU24" s="36"/>
      <c r="BW24" s="34"/>
      <c r="BX24" s="35"/>
      <c r="BY24" s="36"/>
      <c r="CA24" s="34"/>
      <c r="CB24" s="35"/>
      <c r="CC24" s="36"/>
      <c r="CE24" s="34"/>
      <c r="CF24" s="35"/>
      <c r="CG24" s="36"/>
      <c r="CI24" s="34"/>
      <c r="CJ24" s="35"/>
      <c r="CK24" s="36"/>
      <c r="CM24" s="34"/>
      <c r="CN24" s="35"/>
      <c r="CO24" s="36"/>
      <c r="CQ24" s="1606" t="s">
        <v>4108</v>
      </c>
    </row>
    <row r="25" spans="1:95" ht="18">
      <c r="A25" s="34" t="s">
        <v>4183</v>
      </c>
      <c r="B25" s="35" t="s">
        <v>4032</v>
      </c>
      <c r="C25" s="36">
        <v>3564952.97</v>
      </c>
      <c r="D25" s="37" t="str">
        <f>IF(C25&gt;=Mat!$E$71,"Material","No Mat")</f>
        <v>Material</v>
      </c>
      <c r="E25" s="834">
        <f>IF(C25&gt;=Mat!$E$71,C25/Mat!$E$71,0)</f>
        <v>13.452852145784144</v>
      </c>
      <c r="F25" s="1232"/>
      <c r="G25" s="34"/>
      <c r="H25" s="35"/>
      <c r="I25" s="48"/>
      <c r="J25" s="36"/>
      <c r="L25" s="506"/>
      <c r="M25" s="506" t="s">
        <v>59</v>
      </c>
      <c r="N25" s="507">
        <f t="shared" si="1"/>
        <v>0</v>
      </c>
      <c r="O25" s="507">
        <f t="shared" si="2"/>
        <v>0</v>
      </c>
      <c r="P25" s="507">
        <f t="shared" si="3"/>
        <v>0</v>
      </c>
      <c r="Q25" s="507">
        <f t="shared" si="4"/>
        <v>0</v>
      </c>
      <c r="R25" s="507">
        <f t="shared" si="5"/>
        <v>0</v>
      </c>
      <c r="S25" s="507">
        <f t="shared" si="6"/>
        <v>0</v>
      </c>
      <c r="T25" s="507">
        <f t="shared" si="7"/>
        <v>0</v>
      </c>
      <c r="U25" s="507">
        <f t="shared" si="8"/>
        <v>0</v>
      </c>
      <c r="V25" s="507">
        <f t="shared" si="9"/>
        <v>0</v>
      </c>
      <c r="W25" s="507">
        <f t="shared" si="10"/>
        <v>0</v>
      </c>
      <c r="X25" s="507">
        <f t="shared" si="11"/>
        <v>0</v>
      </c>
      <c r="Y25" s="507">
        <f t="shared" si="12"/>
        <v>0</v>
      </c>
      <c r="Z25" s="11">
        <f t="shared" si="13"/>
        <v>0</v>
      </c>
      <c r="AC25" s="4">
        <v>37</v>
      </c>
      <c r="AD25" s="5" t="s">
        <v>65</v>
      </c>
      <c r="AE25" s="5" t="s">
        <v>62</v>
      </c>
      <c r="AF25" s="5" t="s">
        <v>66</v>
      </c>
      <c r="AG25" s="5" t="s">
        <v>0</v>
      </c>
      <c r="AH25" s="5" t="s">
        <v>18</v>
      </c>
      <c r="AI25" s="5" t="s">
        <v>16</v>
      </c>
      <c r="AJ25" s="5" t="s">
        <v>17</v>
      </c>
      <c r="AK25" s="5" t="s">
        <v>3</v>
      </c>
      <c r="AL25" s="5" t="s">
        <v>18</v>
      </c>
      <c r="AM25" s="6"/>
      <c r="AO25" s="5"/>
      <c r="AP25" s="5"/>
      <c r="AQ25" s="5"/>
      <c r="AR25" s="5"/>
      <c r="AS25" s="5"/>
      <c r="AU25" s="1547"/>
      <c r="AV25" s="35"/>
      <c r="AW25" s="36"/>
      <c r="AY25" s="34" t="s">
        <v>582</v>
      </c>
      <c r="AZ25" s="35" t="s">
        <v>2224</v>
      </c>
      <c r="BA25" s="36">
        <v>547580</v>
      </c>
      <c r="BC25" s="34" t="s">
        <v>4261</v>
      </c>
      <c r="BD25" s="35" t="s">
        <v>3775</v>
      </c>
      <c r="BE25" s="36">
        <v>204750</v>
      </c>
      <c r="BG25" s="34"/>
      <c r="BH25" s="35"/>
      <c r="BI25" s="36"/>
      <c r="BJ25" s="11"/>
      <c r="BK25" s="34"/>
      <c r="BL25" s="35"/>
      <c r="BM25" s="36"/>
      <c r="BO25" s="34"/>
      <c r="BP25" s="35"/>
      <c r="BQ25" s="36"/>
      <c r="BS25" s="1592"/>
      <c r="BT25" s="35"/>
      <c r="BU25" s="36"/>
      <c r="BW25" s="34"/>
      <c r="BX25" s="35"/>
      <c r="BY25" s="36"/>
      <c r="CA25" s="34"/>
      <c r="CB25" s="35"/>
      <c r="CC25" s="36"/>
      <c r="CE25" s="34"/>
      <c r="CF25" s="35"/>
      <c r="CG25" s="36"/>
      <c r="CI25" s="34"/>
      <c r="CJ25" s="35"/>
      <c r="CK25" s="36"/>
      <c r="CM25" s="34"/>
      <c r="CN25" s="35"/>
      <c r="CO25" s="36"/>
      <c r="CQ25" s="1606" t="s">
        <v>4231</v>
      </c>
    </row>
    <row r="26" spans="1:95" ht="18">
      <c r="A26" s="34" t="s">
        <v>4184</v>
      </c>
      <c r="B26" s="35" t="s">
        <v>4041</v>
      </c>
      <c r="C26" s="36">
        <v>29508.47</v>
      </c>
      <c r="D26" s="37" t="str">
        <f>IF(C26&gt;=Mat!$E$71,"Material","No Mat")</f>
        <v>No Mat</v>
      </c>
      <c r="E26" s="834">
        <f>IF(C26&gt;=Mat!$E$71,C26/Mat!$E$71,0)</f>
        <v>0</v>
      </c>
      <c r="F26" s="1232"/>
      <c r="G26" s="34"/>
      <c r="H26" s="35"/>
      <c r="I26" s="48"/>
      <c r="J26" s="36"/>
      <c r="L26" s="506"/>
      <c r="M26" s="506" t="s">
        <v>61</v>
      </c>
      <c r="N26" s="507">
        <f t="shared" si="1"/>
        <v>0</v>
      </c>
      <c r="O26" s="507">
        <f t="shared" si="2"/>
        <v>0</v>
      </c>
      <c r="P26" s="507">
        <f t="shared" si="3"/>
        <v>0</v>
      </c>
      <c r="Q26" s="507">
        <f t="shared" si="4"/>
        <v>0</v>
      </c>
      <c r="R26" s="507">
        <f t="shared" si="5"/>
        <v>0</v>
      </c>
      <c r="S26" s="507">
        <f t="shared" si="6"/>
        <v>0</v>
      </c>
      <c r="T26" s="507">
        <f t="shared" si="7"/>
        <v>0</v>
      </c>
      <c r="U26" s="507">
        <f t="shared" si="8"/>
        <v>0</v>
      </c>
      <c r="V26" s="507">
        <f t="shared" si="9"/>
        <v>0</v>
      </c>
      <c r="W26" s="507">
        <f t="shared" si="10"/>
        <v>0</v>
      </c>
      <c r="X26" s="507">
        <f t="shared" si="11"/>
        <v>0</v>
      </c>
      <c r="Y26" s="507">
        <f t="shared" si="12"/>
        <v>0</v>
      </c>
      <c r="Z26" s="11">
        <f t="shared" si="13"/>
        <v>0</v>
      </c>
      <c r="AC26" s="4">
        <v>39</v>
      </c>
      <c r="AD26" s="5" t="s">
        <v>67</v>
      </c>
      <c r="AE26" s="5" t="s">
        <v>53</v>
      </c>
      <c r="AF26" s="5" t="s">
        <v>68</v>
      </c>
      <c r="AG26" s="5" t="s">
        <v>0</v>
      </c>
      <c r="AH26" s="5" t="s">
        <v>18</v>
      </c>
      <c r="AI26" s="5" t="s">
        <v>16</v>
      </c>
      <c r="AJ26" s="5" t="s">
        <v>17</v>
      </c>
      <c r="AK26" s="5" t="s">
        <v>3</v>
      </c>
      <c r="AL26" s="5" t="s">
        <v>18</v>
      </c>
      <c r="AM26" s="6"/>
      <c r="AO26" s="5"/>
      <c r="AP26" s="5"/>
      <c r="AQ26" s="5"/>
      <c r="AR26" s="5"/>
      <c r="AS26" s="5"/>
      <c r="AU26" s="1547"/>
      <c r="AV26" s="35"/>
      <c r="AW26" s="36"/>
      <c r="AY26" s="34" t="s">
        <v>4263</v>
      </c>
      <c r="AZ26" s="35" t="s">
        <v>3801</v>
      </c>
      <c r="BA26" s="36">
        <v>119035</v>
      </c>
      <c r="BC26" s="34" t="s">
        <v>4262</v>
      </c>
      <c r="BD26" s="35" t="s">
        <v>3900</v>
      </c>
      <c r="BE26" s="36">
        <v>65502.27</v>
      </c>
      <c r="BG26" s="34"/>
      <c r="BH26" s="35"/>
      <c r="BI26" s="36"/>
      <c r="BJ26" s="11"/>
      <c r="BK26" s="34"/>
      <c r="BL26" s="35"/>
      <c r="BM26" s="36"/>
      <c r="BO26" s="34"/>
      <c r="BP26" s="35"/>
      <c r="BQ26" s="36"/>
      <c r="BS26" s="1592"/>
      <c r="BT26" s="35"/>
      <c r="BU26" s="36"/>
      <c r="BW26" s="34"/>
      <c r="BX26" s="35"/>
      <c r="BY26" s="36"/>
      <c r="CA26" s="34"/>
      <c r="CB26" s="35"/>
      <c r="CC26" s="36"/>
      <c r="CE26" s="34"/>
      <c r="CF26" s="35"/>
      <c r="CG26" s="36"/>
      <c r="CI26" s="34"/>
      <c r="CJ26" s="35"/>
      <c r="CK26" s="36"/>
      <c r="CM26" s="34"/>
      <c r="CN26" s="35"/>
      <c r="CO26" s="36"/>
      <c r="CQ26" s="1606" t="s">
        <v>4232</v>
      </c>
    </row>
    <row r="27" spans="1:95" ht="18">
      <c r="A27" s="34" t="s">
        <v>143</v>
      </c>
      <c r="B27" s="35" t="s">
        <v>2213</v>
      </c>
      <c r="C27" s="36">
        <v>6890064.9800000004</v>
      </c>
      <c r="D27" s="37" t="str">
        <f>IF(C27&gt;=Mat!$E$71,"Material","No Mat")</f>
        <v>Material</v>
      </c>
      <c r="E27" s="834">
        <f>IF(C27&gt;=Mat!$E$71,C27/Mat!$E$71,0)</f>
        <v>26.000630648091043</v>
      </c>
      <c r="F27" s="1232"/>
      <c r="G27" s="34"/>
      <c r="H27" s="35"/>
      <c r="I27" s="48"/>
      <c r="J27" s="36"/>
      <c r="L27" s="506"/>
      <c r="M27" s="506" t="s">
        <v>64</v>
      </c>
      <c r="N27" s="507">
        <f t="shared" si="1"/>
        <v>0</v>
      </c>
      <c r="O27" s="507">
        <f t="shared" si="2"/>
        <v>0</v>
      </c>
      <c r="P27" s="507">
        <f t="shared" si="3"/>
        <v>0</v>
      </c>
      <c r="Q27" s="507">
        <f t="shared" si="4"/>
        <v>0</v>
      </c>
      <c r="R27" s="507">
        <f t="shared" si="5"/>
        <v>0</v>
      </c>
      <c r="S27" s="507">
        <f t="shared" si="6"/>
        <v>0</v>
      </c>
      <c r="T27" s="507">
        <f t="shared" si="7"/>
        <v>0</v>
      </c>
      <c r="U27" s="507">
        <f t="shared" si="8"/>
        <v>0</v>
      </c>
      <c r="V27" s="507">
        <f t="shared" si="9"/>
        <v>0</v>
      </c>
      <c r="W27" s="507">
        <f t="shared" si="10"/>
        <v>0</v>
      </c>
      <c r="X27" s="507">
        <f t="shared" si="11"/>
        <v>0</v>
      </c>
      <c r="Y27" s="507">
        <f t="shared" si="12"/>
        <v>0</v>
      </c>
      <c r="Z27" s="11">
        <f t="shared" si="13"/>
        <v>0</v>
      </c>
      <c r="AC27" s="4">
        <v>41</v>
      </c>
      <c r="AD27" s="5" t="s">
        <v>71</v>
      </c>
      <c r="AE27" s="5" t="s">
        <v>70</v>
      </c>
      <c r="AF27" s="5" t="s">
        <v>72</v>
      </c>
      <c r="AG27" s="5" t="s">
        <v>0</v>
      </c>
      <c r="AH27" s="5" t="s">
        <v>18</v>
      </c>
      <c r="AI27" s="5" t="s">
        <v>16</v>
      </c>
      <c r="AJ27" s="5" t="s">
        <v>17</v>
      </c>
      <c r="AK27" s="5" t="s">
        <v>3</v>
      </c>
      <c r="AL27" s="5" t="s">
        <v>18</v>
      </c>
      <c r="AM27" s="6"/>
      <c r="AO27" s="5"/>
      <c r="AP27" s="5"/>
      <c r="AQ27" s="5"/>
      <c r="AR27" s="5"/>
      <c r="AS27" s="5"/>
      <c r="AT27" s="11">
        <f>SUM(C12:C27)+C54+C53</f>
        <v>554581945.74000001</v>
      </c>
      <c r="AU27" s="1547"/>
      <c r="AV27" s="35"/>
      <c r="AW27" s="36"/>
      <c r="AY27" s="34" t="s">
        <v>602</v>
      </c>
      <c r="AZ27" s="35" t="s">
        <v>603</v>
      </c>
      <c r="BA27" s="36">
        <v>215000</v>
      </c>
      <c r="BC27" s="34" t="s">
        <v>582</v>
      </c>
      <c r="BD27" s="35" t="s">
        <v>2224</v>
      </c>
      <c r="BE27" s="36">
        <v>1094830</v>
      </c>
      <c r="BG27" s="34"/>
      <c r="BH27" s="35"/>
      <c r="BI27" s="36"/>
      <c r="BJ27" s="11"/>
      <c r="BK27" s="34"/>
      <c r="BL27" s="35"/>
      <c r="BM27" s="36"/>
      <c r="BO27" s="34"/>
      <c r="BP27" s="35"/>
      <c r="BQ27" s="36"/>
      <c r="BS27" s="1592"/>
      <c r="BT27" s="35"/>
      <c r="BU27" s="36"/>
      <c r="BW27" s="34"/>
      <c r="BX27" s="35"/>
      <c r="BY27" s="36"/>
      <c r="CA27" s="34"/>
      <c r="CB27" s="35"/>
      <c r="CC27" s="36"/>
      <c r="CE27" s="34"/>
      <c r="CF27" s="35"/>
      <c r="CG27" s="36"/>
      <c r="CH27" s="11"/>
      <c r="CI27" s="34"/>
      <c r="CJ27" s="35"/>
      <c r="CK27" s="36"/>
      <c r="CM27" s="34"/>
      <c r="CN27" s="35"/>
      <c r="CO27" s="36"/>
      <c r="CQ27" s="1606" t="s">
        <v>4280</v>
      </c>
    </row>
    <row r="28" spans="1:95" ht="18">
      <c r="A28" s="34" t="s">
        <v>146</v>
      </c>
      <c r="B28" s="35" t="s">
        <v>2316</v>
      </c>
      <c r="C28" s="36">
        <v>932591.88</v>
      </c>
      <c r="D28" s="37" t="str">
        <f>IF(C28&gt;=Mat!$E$71,"Material","No Mat")</f>
        <v>Material</v>
      </c>
      <c r="E28" s="834">
        <f>IF(C28&gt;=Mat!$E$71,C28/Mat!$E$71,0)</f>
        <v>3.5192668120945418</v>
      </c>
      <c r="F28" s="1233"/>
      <c r="G28" s="34"/>
      <c r="H28" s="35"/>
      <c r="I28" s="48"/>
      <c r="J28" s="36"/>
      <c r="L28" s="506"/>
      <c r="M28" s="506" t="s">
        <v>66</v>
      </c>
      <c r="N28" s="507">
        <f t="shared" si="1"/>
        <v>0</v>
      </c>
      <c r="O28" s="507">
        <f t="shared" si="2"/>
        <v>0</v>
      </c>
      <c r="P28" s="507">
        <f t="shared" si="3"/>
        <v>0</v>
      </c>
      <c r="Q28" s="507">
        <f t="shared" si="4"/>
        <v>0</v>
      </c>
      <c r="R28" s="507">
        <f t="shared" si="5"/>
        <v>0</v>
      </c>
      <c r="S28" s="507">
        <f t="shared" si="6"/>
        <v>0</v>
      </c>
      <c r="T28" s="507">
        <f t="shared" si="7"/>
        <v>0</v>
      </c>
      <c r="U28" s="507">
        <f t="shared" si="8"/>
        <v>0</v>
      </c>
      <c r="V28" s="507">
        <f t="shared" si="9"/>
        <v>0</v>
      </c>
      <c r="W28" s="507">
        <f t="shared" si="10"/>
        <v>0</v>
      </c>
      <c r="X28" s="507">
        <f t="shared" si="11"/>
        <v>0</v>
      </c>
      <c r="Y28" s="507">
        <f t="shared" si="12"/>
        <v>0</v>
      </c>
      <c r="Z28" s="11">
        <f t="shared" si="13"/>
        <v>0</v>
      </c>
      <c r="AC28" s="4">
        <v>43</v>
      </c>
      <c r="AD28" s="5" t="s">
        <v>73</v>
      </c>
      <c r="AE28" s="5" t="s">
        <v>69</v>
      </c>
      <c r="AF28" s="5" t="s">
        <v>74</v>
      </c>
      <c r="AG28" s="5" t="s">
        <v>0</v>
      </c>
      <c r="AH28" s="5" t="s">
        <v>18</v>
      </c>
      <c r="AI28" s="5" t="s">
        <v>16</v>
      </c>
      <c r="AJ28" s="5" t="s">
        <v>17</v>
      </c>
      <c r="AK28" s="5" t="s">
        <v>3</v>
      </c>
      <c r="AL28" s="5" t="s">
        <v>18</v>
      </c>
      <c r="AM28" s="6"/>
      <c r="AO28" s="5"/>
      <c r="AP28" s="5"/>
      <c r="AQ28" s="5"/>
      <c r="AR28" s="5"/>
      <c r="AS28" s="5"/>
      <c r="AT28" s="11">
        <f>AT27-'ES F '!B18</f>
        <v>117845288.65000004</v>
      </c>
      <c r="AU28" s="1547"/>
      <c r="AV28" s="35"/>
      <c r="AW28" s="36"/>
      <c r="AY28" s="34" t="s">
        <v>629</v>
      </c>
      <c r="AZ28" s="35" t="s">
        <v>630</v>
      </c>
      <c r="BA28" s="36">
        <v>1743756.21</v>
      </c>
      <c r="BC28" s="34" t="s">
        <v>4263</v>
      </c>
      <c r="BD28" s="35" t="s">
        <v>3801</v>
      </c>
      <c r="BE28" s="36">
        <v>238070</v>
      </c>
      <c r="BG28" s="34"/>
      <c r="BH28" s="35"/>
      <c r="BI28" s="36"/>
      <c r="BJ28" s="11"/>
      <c r="BK28" s="34"/>
      <c r="BL28" s="35"/>
      <c r="BM28" s="36"/>
      <c r="BO28" s="34"/>
      <c r="BP28" s="35"/>
      <c r="BQ28" s="36"/>
      <c r="BS28" s="1592"/>
      <c r="BT28" s="35"/>
      <c r="BU28" s="36"/>
      <c r="BW28" s="34"/>
      <c r="BX28" s="35"/>
      <c r="BY28" s="36"/>
      <c r="CA28" s="34"/>
      <c r="CB28" s="35"/>
      <c r="CC28" s="36"/>
      <c r="CE28" s="34"/>
      <c r="CF28" s="35"/>
      <c r="CG28" s="36"/>
      <c r="CI28" s="34"/>
      <c r="CJ28" s="35"/>
      <c r="CK28" s="36"/>
      <c r="CM28" s="34"/>
      <c r="CN28" s="35"/>
      <c r="CO28" s="36"/>
      <c r="CQ28" s="1606" t="s">
        <v>4233</v>
      </c>
    </row>
    <row r="29" spans="1:95" ht="18">
      <c r="A29" s="34" t="s">
        <v>4185</v>
      </c>
      <c r="B29" s="35" t="s">
        <v>4109</v>
      </c>
      <c r="C29" s="36">
        <v>99000</v>
      </c>
      <c r="D29" s="37" t="str">
        <f>IF(C29&gt;=Mat!$E$71,"Material","No Mat")</f>
        <v>No Mat</v>
      </c>
      <c r="E29" s="834">
        <f>IF(C29&gt;=Mat!$E$71,C29/Mat!$E$71,0)</f>
        <v>0</v>
      </c>
      <c r="F29" s="1233"/>
      <c r="G29" s="34"/>
      <c r="H29" s="35"/>
      <c r="I29" s="48"/>
      <c r="J29" s="36"/>
      <c r="L29" s="506"/>
      <c r="M29" s="506" t="s">
        <v>68</v>
      </c>
      <c r="N29" s="507">
        <f t="shared" si="1"/>
        <v>0</v>
      </c>
      <c r="O29" s="507">
        <f t="shared" si="2"/>
        <v>0</v>
      </c>
      <c r="P29" s="507">
        <f t="shared" si="3"/>
        <v>0</v>
      </c>
      <c r="Q29" s="507">
        <f t="shared" si="4"/>
        <v>0</v>
      </c>
      <c r="R29" s="507">
        <f t="shared" si="5"/>
        <v>0</v>
      </c>
      <c r="S29" s="507">
        <f t="shared" si="6"/>
        <v>0</v>
      </c>
      <c r="T29" s="507">
        <f t="shared" si="7"/>
        <v>0</v>
      </c>
      <c r="U29" s="507">
        <f t="shared" si="8"/>
        <v>0</v>
      </c>
      <c r="V29" s="507">
        <f t="shared" si="9"/>
        <v>0</v>
      </c>
      <c r="W29" s="507">
        <f t="shared" si="10"/>
        <v>0</v>
      </c>
      <c r="X29" s="507">
        <f t="shared" si="11"/>
        <v>0</v>
      </c>
      <c r="Y29" s="507">
        <f t="shared" si="12"/>
        <v>0</v>
      </c>
      <c r="Z29" s="11">
        <f t="shared" si="13"/>
        <v>0</v>
      </c>
      <c r="AC29" s="4">
        <v>45</v>
      </c>
      <c r="AD29" s="5" t="s">
        <v>77</v>
      </c>
      <c r="AE29" s="5" t="s">
        <v>75</v>
      </c>
      <c r="AF29" s="5" t="s">
        <v>78</v>
      </c>
      <c r="AG29" s="5" t="s">
        <v>0</v>
      </c>
      <c r="AH29" s="5" t="s">
        <v>18</v>
      </c>
      <c r="AI29" s="5" t="s">
        <v>16</v>
      </c>
      <c r="AJ29" s="5" t="s">
        <v>17</v>
      </c>
      <c r="AK29" s="5" t="s">
        <v>3</v>
      </c>
      <c r="AL29" s="5" t="s">
        <v>18</v>
      </c>
      <c r="AM29" s="6"/>
      <c r="AO29" s="5"/>
      <c r="AP29" s="5"/>
      <c r="AQ29" s="5"/>
      <c r="AR29" s="5"/>
      <c r="AS29" s="5"/>
      <c r="AU29" s="1547"/>
      <c r="AV29" s="35"/>
      <c r="AW29" s="36"/>
      <c r="AY29" s="34" t="s">
        <v>632</v>
      </c>
      <c r="AZ29" s="35" t="s">
        <v>633</v>
      </c>
      <c r="BA29" s="36">
        <v>1742956.89</v>
      </c>
      <c r="BC29" s="34" t="s">
        <v>602</v>
      </c>
      <c r="BD29" s="35" t="s">
        <v>603</v>
      </c>
      <c r="BE29" s="36">
        <v>215000</v>
      </c>
      <c r="BG29" s="34"/>
      <c r="BH29" s="35"/>
      <c r="BI29" s="36"/>
      <c r="BK29" s="34"/>
      <c r="BL29" s="35"/>
      <c r="BM29" s="36"/>
      <c r="BO29" s="34"/>
      <c r="BP29" s="35"/>
      <c r="BQ29" s="36"/>
      <c r="BS29" s="1592"/>
      <c r="BT29" s="35"/>
      <c r="BU29" s="36"/>
      <c r="BW29" s="34"/>
      <c r="BX29" s="35"/>
      <c r="BY29" s="36"/>
      <c r="CA29" s="34"/>
      <c r="CB29" s="35"/>
      <c r="CC29" s="36"/>
      <c r="CE29" s="34"/>
      <c r="CF29" s="35"/>
      <c r="CG29" s="36"/>
      <c r="CI29" s="34"/>
      <c r="CJ29" s="35"/>
      <c r="CK29" s="36"/>
      <c r="CM29" s="34"/>
      <c r="CN29" s="35"/>
      <c r="CO29" s="36"/>
      <c r="CQ29" s="1606" t="s">
        <v>4234</v>
      </c>
    </row>
    <row r="30" spans="1:95" ht="18">
      <c r="A30" s="34" t="s">
        <v>149</v>
      </c>
      <c r="B30" s="35" t="s">
        <v>2214</v>
      </c>
      <c r="C30" s="36">
        <v>510150</v>
      </c>
      <c r="D30" s="37" t="str">
        <f>IF(C30&gt;=Mat!$E$71,"Material","No Mat")</f>
        <v>Material</v>
      </c>
      <c r="E30" s="834">
        <f>IF(C30&gt;=Mat!$E$71,C30/Mat!$E$71,0)</f>
        <v>1.9251228781769261</v>
      </c>
      <c r="F30" s="892"/>
      <c r="G30" s="34"/>
      <c r="H30" s="35"/>
      <c r="I30" s="48"/>
      <c r="J30" s="36"/>
      <c r="L30" s="506"/>
      <c r="M30" s="506" t="s">
        <v>72</v>
      </c>
      <c r="N30" s="507">
        <f t="shared" si="1"/>
        <v>0</v>
      </c>
      <c r="O30" s="507">
        <f t="shared" si="2"/>
        <v>0</v>
      </c>
      <c r="P30" s="507">
        <f t="shared" si="3"/>
        <v>0</v>
      </c>
      <c r="Q30" s="507">
        <f t="shared" si="4"/>
        <v>0</v>
      </c>
      <c r="R30" s="507">
        <f t="shared" si="5"/>
        <v>0</v>
      </c>
      <c r="S30" s="507">
        <f t="shared" si="6"/>
        <v>0</v>
      </c>
      <c r="T30" s="507">
        <f t="shared" si="7"/>
        <v>0</v>
      </c>
      <c r="U30" s="507">
        <f t="shared" si="8"/>
        <v>0</v>
      </c>
      <c r="V30" s="507">
        <f t="shared" si="9"/>
        <v>0</v>
      </c>
      <c r="W30" s="507">
        <f t="shared" si="10"/>
        <v>0</v>
      </c>
      <c r="X30" s="507">
        <f t="shared" si="11"/>
        <v>0</v>
      </c>
      <c r="Y30" s="507">
        <f t="shared" si="12"/>
        <v>0</v>
      </c>
      <c r="Z30" s="11">
        <f t="shared" si="13"/>
        <v>0</v>
      </c>
      <c r="AC30" s="4">
        <v>47</v>
      </c>
      <c r="AD30" s="5" t="s">
        <v>79</v>
      </c>
      <c r="AE30" s="5" t="s">
        <v>75</v>
      </c>
      <c r="AF30" s="5" t="s">
        <v>80</v>
      </c>
      <c r="AG30" s="5" t="s">
        <v>0</v>
      </c>
      <c r="AH30" s="5" t="s">
        <v>18</v>
      </c>
      <c r="AI30" s="5" t="s">
        <v>16</v>
      </c>
      <c r="AJ30" s="5" t="s">
        <v>17</v>
      </c>
      <c r="AK30" s="5" t="s">
        <v>3</v>
      </c>
      <c r="AL30" s="5" t="s">
        <v>18</v>
      </c>
      <c r="AM30" s="6"/>
      <c r="AO30" s="5"/>
      <c r="AP30" s="5"/>
      <c r="AQ30" s="5"/>
      <c r="AR30" s="5"/>
      <c r="AS30" s="5"/>
      <c r="AU30" s="1547"/>
      <c r="AV30" s="35"/>
      <c r="AW30" s="36"/>
      <c r="AY30" s="34" t="s">
        <v>635</v>
      </c>
      <c r="AZ30" s="35" t="s">
        <v>636</v>
      </c>
      <c r="BA30" s="36">
        <v>290855.33</v>
      </c>
      <c r="BC30" s="34" t="s">
        <v>616</v>
      </c>
      <c r="BD30" s="35" t="s">
        <v>4270</v>
      </c>
      <c r="BE30" s="36">
        <v>155800</v>
      </c>
      <c r="BG30" s="34"/>
      <c r="BH30" s="35"/>
      <c r="BI30" s="36"/>
      <c r="BK30" s="34"/>
      <c r="BL30" s="35"/>
      <c r="BM30" s="36"/>
      <c r="BO30" s="34"/>
      <c r="BP30" s="35"/>
      <c r="BQ30" s="36"/>
      <c r="BS30" s="1592"/>
      <c r="BT30" s="35"/>
      <c r="BU30" s="36"/>
      <c r="BW30" s="34"/>
      <c r="BX30" s="35"/>
      <c r="BY30" s="36"/>
      <c r="CA30" s="34"/>
      <c r="CB30" s="35"/>
      <c r="CC30" s="36"/>
      <c r="CE30" s="34"/>
      <c r="CF30" s="35"/>
      <c r="CG30" s="36"/>
      <c r="CH30" s="11"/>
      <c r="CI30" s="34"/>
      <c r="CJ30" s="35"/>
      <c r="CK30" s="36"/>
      <c r="CM30" s="34"/>
      <c r="CN30" s="35"/>
      <c r="CO30" s="36"/>
      <c r="CQ30" s="1606" t="s">
        <v>4235</v>
      </c>
    </row>
    <row r="31" spans="1:95" ht="18">
      <c r="A31" s="34" t="s">
        <v>4186</v>
      </c>
      <c r="B31" s="35" t="s">
        <v>4042</v>
      </c>
      <c r="C31" s="36">
        <v>68697</v>
      </c>
      <c r="D31" s="37" t="str">
        <f>IF(C31&gt;=Mat!$E$71,"Material","No Mat")</f>
        <v>No Mat</v>
      </c>
      <c r="E31" s="834">
        <f>IF(C31&gt;=Mat!$E$71,C31/Mat!$E$71,0)</f>
        <v>0</v>
      </c>
      <c r="F31" s="893"/>
      <c r="G31" s="34"/>
      <c r="H31" s="35"/>
      <c r="I31" s="48"/>
      <c r="J31" s="36"/>
      <c r="L31" s="506"/>
      <c r="M31" s="506" t="s">
        <v>74</v>
      </c>
      <c r="N31" s="507">
        <f t="shared" si="1"/>
        <v>0</v>
      </c>
      <c r="O31" s="507">
        <f t="shared" si="2"/>
        <v>0</v>
      </c>
      <c r="P31" s="507">
        <f t="shared" si="3"/>
        <v>0</v>
      </c>
      <c r="Q31" s="507">
        <f t="shared" si="4"/>
        <v>0</v>
      </c>
      <c r="R31" s="507">
        <f t="shared" si="5"/>
        <v>0</v>
      </c>
      <c r="S31" s="507">
        <f t="shared" si="6"/>
        <v>0</v>
      </c>
      <c r="T31" s="507">
        <f t="shared" si="7"/>
        <v>0</v>
      </c>
      <c r="U31" s="507">
        <f t="shared" si="8"/>
        <v>0</v>
      </c>
      <c r="V31" s="507">
        <f t="shared" si="9"/>
        <v>0</v>
      </c>
      <c r="W31" s="507">
        <f t="shared" si="10"/>
        <v>0</v>
      </c>
      <c r="X31" s="507">
        <f t="shared" si="11"/>
        <v>0</v>
      </c>
      <c r="Y31" s="507">
        <f t="shared" si="12"/>
        <v>0</v>
      </c>
      <c r="Z31" s="11">
        <f t="shared" si="13"/>
        <v>0</v>
      </c>
      <c r="AC31" s="4">
        <v>49</v>
      </c>
      <c r="AD31" s="5" t="s">
        <v>81</v>
      </c>
      <c r="AE31" s="5" t="s">
        <v>75</v>
      </c>
      <c r="AF31" s="5" t="s">
        <v>82</v>
      </c>
      <c r="AG31" s="5" t="s">
        <v>0</v>
      </c>
      <c r="AH31" s="5" t="s">
        <v>18</v>
      </c>
      <c r="AI31" s="5" t="s">
        <v>16</v>
      </c>
      <c r="AJ31" s="5" t="s">
        <v>17</v>
      </c>
      <c r="AK31" s="5" t="s">
        <v>3</v>
      </c>
      <c r="AL31" s="5" t="s">
        <v>18</v>
      </c>
      <c r="AM31" s="6"/>
      <c r="AO31" s="5"/>
      <c r="AP31" s="5"/>
      <c r="AQ31" s="5"/>
      <c r="AR31" s="5"/>
      <c r="AS31" s="5"/>
      <c r="AT31" s="11">
        <f>SUM(C12:C26)+C51+C53+C54-C52</f>
        <v>547435701.45000005</v>
      </c>
      <c r="AU31" s="1547"/>
      <c r="AV31" s="35"/>
      <c r="AW31" s="36"/>
      <c r="AY31" s="34" t="s">
        <v>4252</v>
      </c>
      <c r="AZ31" s="35" t="s">
        <v>2232</v>
      </c>
      <c r="BA31" s="36">
        <v>146935.25</v>
      </c>
      <c r="BC31" s="34" t="s">
        <v>629</v>
      </c>
      <c r="BD31" s="35" t="s">
        <v>630</v>
      </c>
      <c r="BE31" s="36">
        <v>906344.15</v>
      </c>
      <c r="BG31" s="34"/>
      <c r="BH31" s="35"/>
      <c r="BI31" s="36"/>
      <c r="BK31" s="34"/>
      <c r="BL31" s="35"/>
      <c r="BM31" s="36"/>
      <c r="BO31" s="34"/>
      <c r="BP31" s="35"/>
      <c r="BQ31" s="36"/>
      <c r="BS31" s="1592"/>
      <c r="BT31" s="35"/>
      <c r="BU31" s="36"/>
      <c r="BW31" s="34"/>
      <c r="BX31" s="35"/>
      <c r="BY31" s="36"/>
      <c r="CA31" s="34"/>
      <c r="CB31" s="35"/>
      <c r="CC31" s="36"/>
      <c r="CE31" s="34"/>
      <c r="CF31" s="35"/>
      <c r="CG31" s="36"/>
      <c r="CI31" s="34"/>
      <c r="CJ31" s="35"/>
      <c r="CK31" s="36"/>
      <c r="CM31" s="34"/>
      <c r="CN31" s="35"/>
      <c r="CO31" s="36"/>
      <c r="CQ31" s="1606" t="s">
        <v>4236</v>
      </c>
    </row>
    <row r="32" spans="1:95" ht="18">
      <c r="A32" s="34" t="s">
        <v>4110</v>
      </c>
      <c r="B32" s="35" t="s">
        <v>4111</v>
      </c>
      <c r="C32" s="36">
        <v>10596.94</v>
      </c>
      <c r="D32" s="37" t="str">
        <f>IF(C32&gt;=Mat!$E$71,"Material","No Mat")</f>
        <v>No Mat</v>
      </c>
      <c r="E32" s="834">
        <f>IF(C32&gt;=Mat!$E$71,C32/Mat!$E$71,0)</f>
        <v>0</v>
      </c>
      <c r="F32" s="895"/>
      <c r="G32" s="34"/>
      <c r="H32" s="35"/>
      <c r="I32" s="48"/>
      <c r="J32" s="36"/>
      <c r="L32" s="506"/>
      <c r="M32" s="506" t="s">
        <v>78</v>
      </c>
      <c r="N32" s="507">
        <f t="shared" si="1"/>
        <v>0</v>
      </c>
      <c r="O32" s="507">
        <f t="shared" si="2"/>
        <v>0</v>
      </c>
      <c r="P32" s="507">
        <f t="shared" si="3"/>
        <v>0</v>
      </c>
      <c r="Q32" s="507">
        <f t="shared" si="4"/>
        <v>0</v>
      </c>
      <c r="R32" s="507">
        <f t="shared" si="5"/>
        <v>0</v>
      </c>
      <c r="S32" s="507">
        <f t="shared" si="6"/>
        <v>0</v>
      </c>
      <c r="T32" s="507">
        <f t="shared" si="7"/>
        <v>0</v>
      </c>
      <c r="U32" s="507">
        <f t="shared" si="8"/>
        <v>0</v>
      </c>
      <c r="V32" s="507">
        <f t="shared" si="9"/>
        <v>0</v>
      </c>
      <c r="W32" s="507">
        <f t="shared" si="10"/>
        <v>0</v>
      </c>
      <c r="X32" s="507">
        <f t="shared" si="11"/>
        <v>0</v>
      </c>
      <c r="Y32" s="507">
        <f t="shared" si="12"/>
        <v>0</v>
      </c>
      <c r="Z32" s="11">
        <f t="shared" si="13"/>
        <v>0</v>
      </c>
      <c r="AC32" s="4">
        <v>51</v>
      </c>
      <c r="AD32" s="5" t="s">
        <v>83</v>
      </c>
      <c r="AE32" s="5" t="s">
        <v>75</v>
      </c>
      <c r="AF32" s="5" t="s">
        <v>84</v>
      </c>
      <c r="AG32" s="5" t="s">
        <v>0</v>
      </c>
      <c r="AH32" s="5" t="s">
        <v>18</v>
      </c>
      <c r="AI32" s="5" t="s">
        <v>16</v>
      </c>
      <c r="AJ32" s="5" t="s">
        <v>17</v>
      </c>
      <c r="AK32" s="5" t="s">
        <v>3</v>
      </c>
      <c r="AL32" s="5" t="s">
        <v>18</v>
      </c>
      <c r="AM32" s="6"/>
      <c r="AO32" s="5"/>
      <c r="AP32" s="5"/>
      <c r="AQ32" s="5"/>
      <c r="AR32" s="5"/>
      <c r="AS32" s="5"/>
      <c r="AT32" s="11">
        <f>+AT31-'ES F '!B18</f>
        <v>110699044.36000007</v>
      </c>
      <c r="AU32" s="1547"/>
      <c r="AV32" s="35"/>
      <c r="AW32" s="36"/>
      <c r="AY32" s="34" t="s">
        <v>4253</v>
      </c>
      <c r="AZ32" s="35" t="s">
        <v>2233</v>
      </c>
      <c r="BA32" s="36">
        <v>76677.760000000009</v>
      </c>
      <c r="BC32" s="34" t="s">
        <v>632</v>
      </c>
      <c r="BD32" s="35" t="s">
        <v>633</v>
      </c>
      <c r="BE32" s="36">
        <v>957720.04</v>
      </c>
      <c r="BG32" s="34"/>
      <c r="BH32" s="35"/>
      <c r="BI32" s="36"/>
      <c r="BK32" s="34"/>
      <c r="BL32" s="35"/>
      <c r="BM32" s="36"/>
      <c r="BO32" s="34"/>
      <c r="BP32" s="35"/>
      <c r="BQ32" s="36"/>
      <c r="BS32" s="1592"/>
      <c r="BT32" s="35"/>
      <c r="BU32" s="36"/>
      <c r="BW32" s="34"/>
      <c r="BX32" s="35"/>
      <c r="BY32" s="36"/>
      <c r="CA32" s="34"/>
      <c r="CB32" s="35"/>
      <c r="CC32" s="36"/>
      <c r="CE32" s="34"/>
      <c r="CF32" s="35"/>
      <c r="CG32" s="36"/>
      <c r="CI32" s="34"/>
      <c r="CJ32" s="35"/>
      <c r="CK32" s="36"/>
      <c r="CM32" s="34"/>
      <c r="CN32" s="35"/>
      <c r="CO32" s="36"/>
      <c r="CQ32" s="1606" t="s">
        <v>4237</v>
      </c>
    </row>
    <row r="33" spans="1:95" ht="18">
      <c r="A33" s="34" t="s">
        <v>152</v>
      </c>
      <c r="B33" s="35" t="s">
        <v>2215</v>
      </c>
      <c r="C33" s="36">
        <v>11514419.15</v>
      </c>
      <c r="D33" s="37" t="str">
        <f>IF(C33&gt;=Mat!$E$71,"Material","No Mat")</f>
        <v>Material</v>
      </c>
      <c r="E33" s="834">
        <f>IF(C33&gt;=Mat!$E$71,C33/Mat!$E$71,0)</f>
        <v>43.451282435721879</v>
      </c>
      <c r="F33" s="895"/>
      <c r="G33" s="34"/>
      <c r="H33" s="35"/>
      <c r="I33" s="48"/>
      <c r="J33" s="36"/>
      <c r="L33" s="506"/>
      <c r="M33" s="506" t="s">
        <v>80</v>
      </c>
      <c r="N33" s="507">
        <f t="shared" si="1"/>
        <v>0</v>
      </c>
      <c r="O33" s="507">
        <f t="shared" si="2"/>
        <v>0</v>
      </c>
      <c r="P33" s="507">
        <f t="shared" si="3"/>
        <v>0</v>
      </c>
      <c r="Q33" s="507">
        <f t="shared" si="4"/>
        <v>0</v>
      </c>
      <c r="R33" s="507">
        <f t="shared" si="5"/>
        <v>0</v>
      </c>
      <c r="S33" s="507">
        <f t="shared" si="6"/>
        <v>0</v>
      </c>
      <c r="T33" s="507">
        <f t="shared" si="7"/>
        <v>0</v>
      </c>
      <c r="U33" s="507">
        <f t="shared" si="8"/>
        <v>0</v>
      </c>
      <c r="V33" s="507">
        <f t="shared" si="9"/>
        <v>0</v>
      </c>
      <c r="W33" s="507">
        <f t="shared" si="10"/>
        <v>0</v>
      </c>
      <c r="X33" s="507">
        <f t="shared" si="11"/>
        <v>0</v>
      </c>
      <c r="Y33" s="507">
        <f t="shared" si="12"/>
        <v>0</v>
      </c>
      <c r="Z33" s="11">
        <f t="shared" si="13"/>
        <v>0</v>
      </c>
      <c r="AC33" s="4">
        <v>53</v>
      </c>
      <c r="AD33" s="5" t="s">
        <v>86</v>
      </c>
      <c r="AE33" s="5" t="s">
        <v>85</v>
      </c>
      <c r="AF33" s="5" t="s">
        <v>87</v>
      </c>
      <c r="AG33" s="5" t="s">
        <v>0</v>
      </c>
      <c r="AH33" s="5" t="s">
        <v>18</v>
      </c>
      <c r="AI33" s="5" t="s">
        <v>16</v>
      </c>
      <c r="AJ33" s="5" t="s">
        <v>17</v>
      </c>
      <c r="AK33" s="5" t="s">
        <v>3</v>
      </c>
      <c r="AL33" s="5" t="s">
        <v>18</v>
      </c>
      <c r="AM33" s="6"/>
      <c r="AO33" s="5"/>
      <c r="AP33" s="5"/>
      <c r="AQ33" s="5"/>
      <c r="AR33" s="5"/>
      <c r="AS33" s="5"/>
      <c r="AU33" s="1547"/>
      <c r="AV33" s="35"/>
      <c r="AW33" s="36"/>
      <c r="AY33" s="34" t="s">
        <v>4254</v>
      </c>
      <c r="AZ33" s="35" t="s">
        <v>2235</v>
      </c>
      <c r="BA33" s="36">
        <v>25180.41</v>
      </c>
      <c r="BC33" s="34" t="s">
        <v>635</v>
      </c>
      <c r="BD33" s="35" t="s">
        <v>636</v>
      </c>
      <c r="BE33" s="36">
        <v>146499.67000000001</v>
      </c>
      <c r="BG33" s="34"/>
      <c r="BH33" s="35"/>
      <c r="BI33" s="36"/>
      <c r="BK33" s="34"/>
      <c r="BL33" s="35"/>
      <c r="BM33" s="36"/>
      <c r="BO33" s="34"/>
      <c r="BP33" s="35"/>
      <c r="BQ33" s="36"/>
      <c r="BS33" s="1592"/>
      <c r="BT33" s="35"/>
      <c r="BU33" s="36"/>
      <c r="BW33" s="34"/>
      <c r="BX33" s="35"/>
      <c r="BY33" s="36"/>
      <c r="CA33" s="34"/>
      <c r="CB33" s="35"/>
      <c r="CC33" s="36"/>
      <c r="CE33" s="34"/>
      <c r="CF33" s="35"/>
      <c r="CG33" s="36"/>
      <c r="CI33" s="34"/>
      <c r="CJ33" s="35"/>
      <c r="CK33" s="36"/>
      <c r="CM33" s="34"/>
      <c r="CN33" s="35"/>
      <c r="CO33" s="36"/>
      <c r="CQ33" s="1606" t="s">
        <v>4238</v>
      </c>
    </row>
    <row r="34" spans="1:95" ht="18">
      <c r="A34" s="34" t="s">
        <v>155</v>
      </c>
      <c r="B34" s="35" t="s">
        <v>2317</v>
      </c>
      <c r="C34" s="36">
        <v>258043.54</v>
      </c>
      <c r="D34" s="37" t="str">
        <f>IF(C34&gt;=Mat!$E$71,"Material","No Mat")</f>
        <v>No Mat</v>
      </c>
      <c r="E34" s="834">
        <f>IF(C34&gt;=Mat!$E$71,C34/Mat!$E$71,0)</f>
        <v>0</v>
      </c>
      <c r="F34" s="895"/>
      <c r="G34" s="34"/>
      <c r="H34" s="35"/>
      <c r="I34" s="48"/>
      <c r="J34" s="36"/>
      <c r="L34" s="506"/>
      <c r="M34" s="506" t="s">
        <v>82</v>
      </c>
      <c r="N34" s="507">
        <f t="shared" si="1"/>
        <v>0</v>
      </c>
      <c r="O34" s="507">
        <f t="shared" si="2"/>
        <v>0</v>
      </c>
      <c r="P34" s="507">
        <f t="shared" si="3"/>
        <v>0</v>
      </c>
      <c r="Q34" s="507">
        <f t="shared" si="4"/>
        <v>0</v>
      </c>
      <c r="R34" s="507">
        <f t="shared" si="5"/>
        <v>0</v>
      </c>
      <c r="S34" s="507">
        <f t="shared" si="6"/>
        <v>0</v>
      </c>
      <c r="T34" s="507">
        <f t="shared" si="7"/>
        <v>0</v>
      </c>
      <c r="U34" s="507">
        <f t="shared" si="8"/>
        <v>0</v>
      </c>
      <c r="V34" s="507">
        <f t="shared" si="9"/>
        <v>0</v>
      </c>
      <c r="W34" s="507">
        <f t="shared" si="10"/>
        <v>0</v>
      </c>
      <c r="X34" s="507">
        <f t="shared" si="11"/>
        <v>0</v>
      </c>
      <c r="Y34" s="507">
        <f t="shared" si="12"/>
        <v>0</v>
      </c>
      <c r="Z34" s="11">
        <f t="shared" si="13"/>
        <v>0</v>
      </c>
      <c r="AC34" s="4">
        <v>55</v>
      </c>
      <c r="AD34" s="5" t="s">
        <v>90</v>
      </c>
      <c r="AE34" s="5" t="s">
        <v>88</v>
      </c>
      <c r="AF34" s="5" t="s">
        <v>91</v>
      </c>
      <c r="AG34" s="5" t="s">
        <v>0</v>
      </c>
      <c r="AH34" s="5" t="s">
        <v>18</v>
      </c>
      <c r="AI34" s="5" t="s">
        <v>16</v>
      </c>
      <c r="AJ34" s="5" t="s">
        <v>17</v>
      </c>
      <c r="AK34" s="5" t="s">
        <v>3</v>
      </c>
      <c r="AL34" s="5" t="s">
        <v>18</v>
      </c>
      <c r="AM34" s="6"/>
      <c r="AO34" s="5"/>
      <c r="AP34" s="5"/>
      <c r="AQ34" s="5"/>
      <c r="AR34" s="5"/>
      <c r="AS34" s="5"/>
      <c r="AU34" s="1547"/>
      <c r="AV34" s="35"/>
      <c r="AW34" s="36"/>
      <c r="AY34" s="34" t="s">
        <v>659</v>
      </c>
      <c r="AZ34" s="35" t="s">
        <v>2872</v>
      </c>
      <c r="BA34" s="36">
        <v>5136462.7399999993</v>
      </c>
      <c r="BC34" s="34" t="s">
        <v>4252</v>
      </c>
      <c r="BD34" s="35" t="s">
        <v>2232</v>
      </c>
      <c r="BE34" s="36">
        <v>160500.28</v>
      </c>
      <c r="BG34" s="34"/>
      <c r="BH34" s="35"/>
      <c r="BI34" s="36"/>
      <c r="BK34" s="34"/>
      <c r="BL34" s="35"/>
      <c r="BM34" s="36"/>
      <c r="BO34" s="34"/>
      <c r="BP34" s="35"/>
      <c r="BQ34" s="36"/>
      <c r="BS34" s="1592"/>
      <c r="BT34" s="35"/>
      <c r="BU34" s="36"/>
      <c r="BW34" s="34"/>
      <c r="BX34" s="35"/>
      <c r="BY34" s="36"/>
      <c r="CA34" s="34"/>
      <c r="CB34" s="35"/>
      <c r="CC34" s="36"/>
      <c r="CE34" s="34"/>
      <c r="CF34" s="35"/>
      <c r="CG34" s="36"/>
      <c r="CI34" s="34"/>
      <c r="CJ34" s="35"/>
      <c r="CK34" s="36"/>
      <c r="CM34" s="34"/>
      <c r="CN34" s="35"/>
      <c r="CO34" s="36"/>
      <c r="CQ34" s="1606" t="s">
        <v>4239</v>
      </c>
    </row>
    <row r="35" spans="1:95" ht="18">
      <c r="A35" s="34" t="s">
        <v>4187</v>
      </c>
      <c r="B35" s="35" t="s">
        <v>3851</v>
      </c>
      <c r="C35" s="36">
        <v>384474.84</v>
      </c>
      <c r="D35" s="37" t="str">
        <f>IF(C35&gt;=Mat!$E$71,"Material","No Mat")</f>
        <v>Material</v>
      </c>
      <c r="E35" s="834">
        <f>IF(C35&gt;=Mat!$E$71,C35/Mat!$E$71,0)</f>
        <v>1.4508699609279883</v>
      </c>
      <c r="F35" s="895"/>
      <c r="G35" s="34"/>
      <c r="H35" s="35"/>
      <c r="I35" s="48"/>
      <c r="J35" s="36"/>
      <c r="L35" s="506"/>
      <c r="M35" s="506" t="s">
        <v>84</v>
      </c>
      <c r="N35" s="507">
        <f t="shared" si="1"/>
        <v>0</v>
      </c>
      <c r="O35" s="507">
        <f t="shared" si="2"/>
        <v>0</v>
      </c>
      <c r="P35" s="507">
        <f t="shared" si="3"/>
        <v>0</v>
      </c>
      <c r="Q35" s="507">
        <f t="shared" si="4"/>
        <v>0</v>
      </c>
      <c r="R35" s="507">
        <f t="shared" si="5"/>
        <v>0</v>
      </c>
      <c r="S35" s="507">
        <f t="shared" si="6"/>
        <v>0</v>
      </c>
      <c r="T35" s="507">
        <f t="shared" si="7"/>
        <v>0</v>
      </c>
      <c r="U35" s="507">
        <f t="shared" si="8"/>
        <v>0</v>
      </c>
      <c r="V35" s="507">
        <f t="shared" si="9"/>
        <v>0</v>
      </c>
      <c r="W35" s="507">
        <f t="shared" si="10"/>
        <v>0</v>
      </c>
      <c r="X35" s="507">
        <f t="shared" si="11"/>
        <v>0</v>
      </c>
      <c r="Y35" s="507">
        <f t="shared" si="12"/>
        <v>0</v>
      </c>
      <c r="Z35" s="11">
        <f t="shared" si="13"/>
        <v>0</v>
      </c>
      <c r="AC35" s="4">
        <v>57</v>
      </c>
      <c r="AD35" s="5" t="s">
        <v>92</v>
      </c>
      <c r="AE35" s="5" t="s">
        <v>88</v>
      </c>
      <c r="AF35" s="5" t="s">
        <v>93</v>
      </c>
      <c r="AG35" s="5" t="s">
        <v>0</v>
      </c>
      <c r="AH35" s="5" t="s">
        <v>18</v>
      </c>
      <c r="AI35" s="5" t="s">
        <v>16</v>
      </c>
      <c r="AJ35" s="5" t="s">
        <v>17</v>
      </c>
      <c r="AK35" s="5" t="s">
        <v>3</v>
      </c>
      <c r="AL35" s="5" t="s">
        <v>18</v>
      </c>
      <c r="AM35" s="6"/>
      <c r="AO35" s="5"/>
      <c r="AP35" s="5"/>
      <c r="AQ35" s="5"/>
      <c r="AR35" s="5"/>
      <c r="AS35" s="5"/>
      <c r="AU35" s="1547"/>
      <c r="AV35" s="35"/>
      <c r="AW35" s="36"/>
      <c r="AY35" s="34" t="s">
        <v>665</v>
      </c>
      <c r="AZ35" s="35" t="s">
        <v>2222</v>
      </c>
      <c r="BA35" s="36">
        <v>82162.5</v>
      </c>
      <c r="BC35" s="34" t="s">
        <v>4253</v>
      </c>
      <c r="BD35" s="35" t="s">
        <v>2233</v>
      </c>
      <c r="BE35" s="36">
        <v>76921.8</v>
      </c>
      <c r="BG35" s="34"/>
      <c r="BH35" s="35"/>
      <c r="BI35" s="36"/>
      <c r="BK35" s="34"/>
      <c r="BL35" s="35"/>
      <c r="BM35" s="36"/>
      <c r="BO35" s="34"/>
      <c r="BP35" s="35"/>
      <c r="BQ35" s="36"/>
      <c r="BS35" s="1592"/>
      <c r="BT35" s="35"/>
      <c r="BU35" s="36"/>
      <c r="BW35" s="34"/>
      <c r="BX35" s="35"/>
      <c r="BY35" s="36"/>
      <c r="CA35" s="34"/>
      <c r="CB35" s="35"/>
      <c r="CC35" s="36"/>
      <c r="CE35" s="34"/>
      <c r="CF35" s="35"/>
      <c r="CG35" s="36"/>
      <c r="CI35" s="34"/>
      <c r="CJ35" s="35"/>
      <c r="CK35" s="36"/>
      <c r="CM35" s="34"/>
      <c r="CN35" s="35"/>
      <c r="CO35" s="36"/>
      <c r="CQ35" s="1606" t="s">
        <v>4240</v>
      </c>
    </row>
    <row r="36" spans="1:95" ht="18">
      <c r="A36" s="34" t="s">
        <v>4188</v>
      </c>
      <c r="B36" s="35" t="s">
        <v>3867</v>
      </c>
      <c r="C36" s="36">
        <v>230034.87</v>
      </c>
      <c r="D36" s="37" t="str">
        <f>IF(C36&gt;=Mat!$E$71,"Material","No Mat")</f>
        <v>No Mat</v>
      </c>
      <c r="E36" s="834">
        <f>IF(C36&gt;=Mat!$E$71,C36/Mat!$E$71,0)</f>
        <v>0</v>
      </c>
      <c r="F36" s="895"/>
      <c r="G36" s="34"/>
      <c r="H36" s="35"/>
      <c r="I36" s="48"/>
      <c r="J36" s="36"/>
      <c r="L36" s="506"/>
      <c r="M36" s="506" t="s">
        <v>87</v>
      </c>
      <c r="N36" s="507">
        <f t="shared" si="1"/>
        <v>0</v>
      </c>
      <c r="O36" s="507">
        <f t="shared" si="2"/>
        <v>0</v>
      </c>
      <c r="P36" s="507">
        <f t="shared" si="3"/>
        <v>0</v>
      </c>
      <c r="Q36" s="507">
        <f t="shared" si="4"/>
        <v>0</v>
      </c>
      <c r="R36" s="507">
        <f t="shared" si="5"/>
        <v>0</v>
      </c>
      <c r="S36" s="507">
        <f t="shared" si="6"/>
        <v>0</v>
      </c>
      <c r="T36" s="507">
        <f t="shared" si="7"/>
        <v>0</v>
      </c>
      <c r="U36" s="507">
        <f t="shared" si="8"/>
        <v>0</v>
      </c>
      <c r="V36" s="507">
        <f t="shared" si="9"/>
        <v>0</v>
      </c>
      <c r="W36" s="507">
        <f t="shared" si="10"/>
        <v>0</v>
      </c>
      <c r="X36" s="507">
        <f t="shared" si="11"/>
        <v>0</v>
      </c>
      <c r="Y36" s="507">
        <f t="shared" si="12"/>
        <v>0</v>
      </c>
      <c r="Z36" s="11">
        <f t="shared" si="13"/>
        <v>0</v>
      </c>
      <c r="AC36" s="4">
        <v>59</v>
      </c>
      <c r="AD36" s="5" t="s">
        <v>94</v>
      </c>
      <c r="AE36" s="5" t="s">
        <v>88</v>
      </c>
      <c r="AF36" s="5" t="s">
        <v>95</v>
      </c>
      <c r="AG36" s="5" t="s">
        <v>0</v>
      </c>
      <c r="AH36" s="5" t="s">
        <v>18</v>
      </c>
      <c r="AI36" s="5" t="s">
        <v>16</v>
      </c>
      <c r="AJ36" s="5" t="s">
        <v>17</v>
      </c>
      <c r="AK36" s="5" t="s">
        <v>3</v>
      </c>
      <c r="AL36" s="5" t="s">
        <v>18</v>
      </c>
      <c r="AM36" s="6"/>
      <c r="AO36" s="5"/>
      <c r="AP36" s="5"/>
      <c r="AQ36" s="5"/>
      <c r="AR36" s="5"/>
      <c r="AS36" s="5"/>
      <c r="AU36" s="1547"/>
      <c r="AV36" s="35"/>
      <c r="AW36" s="36"/>
      <c r="AY36" s="34" t="s">
        <v>699</v>
      </c>
      <c r="AZ36" s="35" t="s">
        <v>700</v>
      </c>
      <c r="BA36" s="36">
        <v>54283.21</v>
      </c>
      <c r="BC36" s="34" t="s">
        <v>4254</v>
      </c>
      <c r="BD36" s="35" t="s">
        <v>2235</v>
      </c>
      <c r="BE36" s="36">
        <v>25397.41</v>
      </c>
      <c r="BG36" s="34"/>
      <c r="BH36" s="35"/>
      <c r="BI36" s="36"/>
      <c r="BK36" s="34"/>
      <c r="BL36" s="35"/>
      <c r="BM36" s="36"/>
      <c r="BO36" s="34"/>
      <c r="BP36" s="35"/>
      <c r="BQ36" s="36"/>
      <c r="BS36" s="1592"/>
      <c r="BT36" s="35"/>
      <c r="BU36" s="36"/>
      <c r="BW36" s="34"/>
      <c r="BX36" s="35"/>
      <c r="BY36" s="36"/>
      <c r="CA36" s="34"/>
      <c r="CB36" s="35"/>
      <c r="CC36" s="36"/>
      <c r="CE36" s="34"/>
      <c r="CF36" s="35"/>
      <c r="CG36" s="36"/>
      <c r="CI36" s="34"/>
      <c r="CJ36" s="35"/>
      <c r="CK36" s="36"/>
      <c r="CM36" s="34"/>
      <c r="CN36" s="35"/>
      <c r="CO36" s="36"/>
      <c r="CQ36" s="1606" t="s">
        <v>4241</v>
      </c>
    </row>
    <row r="37" spans="1:95">
      <c r="A37" s="34" t="s">
        <v>163</v>
      </c>
      <c r="B37" s="35" t="s">
        <v>2216</v>
      </c>
      <c r="C37" s="36">
        <v>1623675</v>
      </c>
      <c r="D37" s="37" t="str">
        <f>IF(C37&gt;=Mat!$E$71,"Material","No Mat")</f>
        <v>Material</v>
      </c>
      <c r="E37" s="834">
        <f>IF(C37&gt;=Mat!$E$71,C37/Mat!$E$71,0)</f>
        <v>6.12716630250695</v>
      </c>
      <c r="G37" s="34"/>
      <c r="H37" s="35"/>
      <c r="I37" s="48"/>
      <c r="J37" s="36"/>
      <c r="L37" s="506"/>
      <c r="M37" s="506" t="s">
        <v>91</v>
      </c>
      <c r="N37" s="507">
        <f t="shared" si="1"/>
        <v>0</v>
      </c>
      <c r="O37" s="507">
        <f t="shared" si="2"/>
        <v>0</v>
      </c>
      <c r="P37" s="507">
        <f t="shared" si="3"/>
        <v>0</v>
      </c>
      <c r="Q37" s="507">
        <f t="shared" si="4"/>
        <v>0</v>
      </c>
      <c r="R37" s="507">
        <f t="shared" si="5"/>
        <v>0</v>
      </c>
      <c r="S37" s="507">
        <f t="shared" si="6"/>
        <v>0</v>
      </c>
      <c r="T37" s="507">
        <f t="shared" si="7"/>
        <v>0</v>
      </c>
      <c r="U37" s="507">
        <f t="shared" si="8"/>
        <v>0</v>
      </c>
      <c r="V37" s="507">
        <f t="shared" si="9"/>
        <v>0</v>
      </c>
      <c r="W37" s="507">
        <f t="shared" si="10"/>
        <v>0</v>
      </c>
      <c r="X37" s="507">
        <f t="shared" si="11"/>
        <v>0</v>
      </c>
      <c r="Y37" s="507">
        <f t="shared" si="12"/>
        <v>0</v>
      </c>
      <c r="Z37" s="11">
        <f t="shared" si="13"/>
        <v>0</v>
      </c>
      <c r="AC37" s="4">
        <v>61</v>
      </c>
      <c r="AD37" s="5" t="s">
        <v>96</v>
      </c>
      <c r="AE37" s="5" t="s">
        <v>88</v>
      </c>
      <c r="AF37" s="5" t="s">
        <v>97</v>
      </c>
      <c r="AG37" s="5" t="s">
        <v>0</v>
      </c>
      <c r="AH37" s="5" t="s">
        <v>18</v>
      </c>
      <c r="AI37" s="5" t="s">
        <v>16</v>
      </c>
      <c r="AJ37" s="5" t="s">
        <v>17</v>
      </c>
      <c r="AK37" s="5" t="s">
        <v>3</v>
      </c>
      <c r="AL37" s="5" t="s">
        <v>18</v>
      </c>
      <c r="AM37" s="6"/>
      <c r="AO37" s="5"/>
      <c r="AP37" s="5"/>
      <c r="AQ37" s="5"/>
      <c r="AR37" s="5"/>
      <c r="AS37" s="5"/>
      <c r="AT37" s="11"/>
      <c r="AU37" s="1547"/>
      <c r="AV37" s="35"/>
      <c r="AW37" s="36"/>
      <c r="AY37" s="34" t="s">
        <v>713</v>
      </c>
      <c r="AZ37" s="35" t="s">
        <v>714</v>
      </c>
      <c r="BA37" s="36">
        <v>-702462.42</v>
      </c>
      <c r="BC37" s="34" t="s">
        <v>659</v>
      </c>
      <c r="BD37" s="35" t="s">
        <v>2872</v>
      </c>
      <c r="BE37" s="36">
        <v>4817004.78</v>
      </c>
      <c r="BG37" s="34"/>
      <c r="BH37" s="35"/>
      <c r="BI37" s="36"/>
      <c r="BK37" s="34"/>
      <c r="BL37" s="35"/>
      <c r="BM37" s="36"/>
      <c r="BO37" s="34"/>
      <c r="BP37" s="35"/>
      <c r="BQ37" s="36"/>
      <c r="BS37" s="1592"/>
      <c r="BT37" s="35"/>
      <c r="BU37" s="36"/>
      <c r="BW37" s="34"/>
      <c r="BX37" s="35"/>
      <c r="BY37" s="36"/>
      <c r="CA37" s="34"/>
      <c r="CB37" s="35"/>
      <c r="CC37" s="36"/>
      <c r="CE37" s="34"/>
      <c r="CF37" s="35"/>
      <c r="CG37" s="36"/>
      <c r="CI37" s="34"/>
      <c r="CJ37" s="35"/>
      <c r="CK37" s="36"/>
      <c r="CM37" s="34"/>
      <c r="CN37" s="35"/>
      <c r="CO37" s="36"/>
    </row>
    <row r="38" spans="1:95">
      <c r="A38" s="34" t="s">
        <v>174</v>
      </c>
      <c r="B38" s="35" t="s">
        <v>175</v>
      </c>
      <c r="C38" s="36">
        <v>96963363.959999993</v>
      </c>
      <c r="D38" s="37" t="str">
        <f>IF(C38&gt;=Mat!$E$71,"Material","No Mat")</f>
        <v>Material</v>
      </c>
      <c r="E38" s="834">
        <f>IF(C38&gt;=Mat!$E$71,C38/Mat!$E$71,0)</f>
        <v>365.90491091716558</v>
      </c>
      <c r="F38" s="895"/>
      <c r="G38" s="34"/>
      <c r="H38" s="35"/>
      <c r="I38" s="48"/>
      <c r="J38" s="36"/>
      <c r="L38" s="506"/>
      <c r="M38" s="506" t="s">
        <v>93</v>
      </c>
      <c r="N38" s="507">
        <f t="shared" si="1"/>
        <v>0</v>
      </c>
      <c r="O38" s="507">
        <f t="shared" si="2"/>
        <v>0</v>
      </c>
      <c r="P38" s="507">
        <f t="shared" si="3"/>
        <v>0</v>
      </c>
      <c r="Q38" s="507">
        <f t="shared" si="4"/>
        <v>0</v>
      </c>
      <c r="R38" s="507">
        <f t="shared" si="5"/>
        <v>0</v>
      </c>
      <c r="S38" s="507">
        <f t="shared" si="6"/>
        <v>0</v>
      </c>
      <c r="T38" s="507">
        <f t="shared" si="7"/>
        <v>0</v>
      </c>
      <c r="U38" s="507">
        <f t="shared" si="8"/>
        <v>0</v>
      </c>
      <c r="V38" s="507">
        <f t="shared" si="9"/>
        <v>0</v>
      </c>
      <c r="W38" s="507">
        <f t="shared" si="10"/>
        <v>0</v>
      </c>
      <c r="X38" s="507">
        <f t="shared" si="11"/>
        <v>0</v>
      </c>
      <c r="Y38" s="507">
        <f t="shared" si="12"/>
        <v>0</v>
      </c>
      <c r="Z38" s="11">
        <f t="shared" si="13"/>
        <v>0</v>
      </c>
      <c r="AC38" s="4">
        <v>63</v>
      </c>
      <c r="AD38" s="5" t="s">
        <v>98</v>
      </c>
      <c r="AE38" s="5" t="s">
        <v>88</v>
      </c>
      <c r="AF38" s="5" t="s">
        <v>99</v>
      </c>
      <c r="AG38" s="5" t="s">
        <v>0</v>
      </c>
      <c r="AH38" s="5" t="s">
        <v>18</v>
      </c>
      <c r="AI38" s="5" t="s">
        <v>16</v>
      </c>
      <c r="AJ38" s="5" t="s">
        <v>17</v>
      </c>
      <c r="AK38" s="5" t="s">
        <v>3</v>
      </c>
      <c r="AL38" s="5" t="s">
        <v>18</v>
      </c>
      <c r="AM38" s="6"/>
      <c r="AO38" s="5"/>
      <c r="AP38" s="5"/>
      <c r="AQ38" s="5"/>
      <c r="AR38" s="5"/>
      <c r="AS38" s="5"/>
      <c r="AT38" s="11"/>
      <c r="AU38" s="1547"/>
      <c r="AV38" s="35"/>
      <c r="AW38" s="36"/>
      <c r="AY38" s="34" t="s">
        <v>740</v>
      </c>
      <c r="AZ38" s="35" t="s">
        <v>2229</v>
      </c>
      <c r="BA38" s="36">
        <v>4630</v>
      </c>
      <c r="BC38" s="34" t="s">
        <v>4271</v>
      </c>
      <c r="BD38" s="35" t="s">
        <v>2226</v>
      </c>
      <c r="BE38" s="36">
        <v>354</v>
      </c>
      <c r="BG38" s="34"/>
      <c r="BH38" s="35"/>
      <c r="BI38" s="36"/>
      <c r="BK38" s="34"/>
      <c r="BL38" s="35"/>
      <c r="BM38" s="36"/>
      <c r="BO38" s="34"/>
      <c r="BP38" s="35"/>
      <c r="BQ38" s="36"/>
      <c r="BS38" s="1592"/>
      <c r="BT38" s="35"/>
      <c r="BU38" s="36"/>
      <c r="BW38" s="34"/>
      <c r="BX38" s="35"/>
      <c r="BY38" s="36"/>
      <c r="CA38" s="34"/>
      <c r="CB38" s="35"/>
      <c r="CC38" s="36"/>
      <c r="CE38" s="34"/>
      <c r="CF38" s="35"/>
      <c r="CG38" s="36"/>
      <c r="CI38" s="34"/>
      <c r="CJ38" s="35"/>
      <c r="CK38" s="36"/>
      <c r="CM38" s="34"/>
      <c r="CN38" s="35"/>
      <c r="CO38" s="36"/>
    </row>
    <row r="39" spans="1:95">
      <c r="A39" s="34" t="s">
        <v>4189</v>
      </c>
      <c r="B39" s="35" t="s">
        <v>2857</v>
      </c>
      <c r="C39" s="36">
        <v>5332160.29</v>
      </c>
      <c r="D39" s="37" t="str">
        <f>IF(C39&gt;=Mat!$E$71,"Material","No Mat")</f>
        <v>Material</v>
      </c>
      <c r="E39" s="834">
        <f>IF(C39&gt;=Mat!$E$71,C39/Mat!$E$71,0)</f>
        <v>20.121657873930243</v>
      </c>
      <c r="F39" s="895"/>
      <c r="G39" s="34"/>
      <c r="H39" s="35"/>
      <c r="I39" s="48"/>
      <c r="J39" s="36"/>
      <c r="L39" s="506"/>
      <c r="M39" s="506" t="s">
        <v>95</v>
      </c>
      <c r="N39" s="507">
        <f t="shared" si="1"/>
        <v>0</v>
      </c>
      <c r="O39" s="507">
        <f t="shared" si="2"/>
        <v>0</v>
      </c>
      <c r="P39" s="507">
        <f t="shared" si="3"/>
        <v>0</v>
      </c>
      <c r="Q39" s="507">
        <f t="shared" si="4"/>
        <v>0</v>
      </c>
      <c r="R39" s="507">
        <f t="shared" si="5"/>
        <v>0</v>
      </c>
      <c r="S39" s="507">
        <f t="shared" si="6"/>
        <v>0</v>
      </c>
      <c r="T39" s="507">
        <f t="shared" si="7"/>
        <v>0</v>
      </c>
      <c r="U39" s="507">
        <f t="shared" si="8"/>
        <v>0</v>
      </c>
      <c r="V39" s="507">
        <f t="shared" si="9"/>
        <v>0</v>
      </c>
      <c r="W39" s="507">
        <f t="shared" si="10"/>
        <v>0</v>
      </c>
      <c r="X39" s="507">
        <f t="shared" si="11"/>
        <v>0</v>
      </c>
      <c r="Y39" s="507">
        <f t="shared" si="12"/>
        <v>0</v>
      </c>
      <c r="Z39" s="11">
        <f t="shared" si="13"/>
        <v>0</v>
      </c>
      <c r="AC39" s="4">
        <v>65</v>
      </c>
      <c r="AD39" s="5" t="s">
        <v>102</v>
      </c>
      <c r="AE39" s="5" t="s">
        <v>100</v>
      </c>
      <c r="AF39" s="5" t="s">
        <v>103</v>
      </c>
      <c r="AG39" s="5" t="s">
        <v>0</v>
      </c>
      <c r="AH39" s="5" t="s">
        <v>18</v>
      </c>
      <c r="AI39" s="5" t="s">
        <v>16</v>
      </c>
      <c r="AJ39" s="5" t="s">
        <v>17</v>
      </c>
      <c r="AK39" s="5" t="s">
        <v>3</v>
      </c>
      <c r="AL39" s="5" t="s">
        <v>18</v>
      </c>
      <c r="AM39" s="6"/>
      <c r="AO39" s="5"/>
      <c r="AP39" s="5"/>
      <c r="AQ39" s="5"/>
      <c r="AR39" s="5"/>
      <c r="AS39" s="5"/>
      <c r="AU39" s="1547"/>
      <c r="AV39" s="35"/>
      <c r="AW39" s="36"/>
      <c r="AY39" s="34" t="s">
        <v>743</v>
      </c>
      <c r="AZ39" s="35" t="s">
        <v>744</v>
      </c>
      <c r="BA39" s="36">
        <v>1000</v>
      </c>
      <c r="BC39" s="34" t="s">
        <v>665</v>
      </c>
      <c r="BD39" s="35" t="s">
        <v>2222</v>
      </c>
      <c r="BE39" s="36">
        <v>512337</v>
      </c>
      <c r="BG39" s="34"/>
      <c r="BH39" s="35"/>
      <c r="BI39" s="36"/>
      <c r="BK39" s="34"/>
      <c r="BL39" s="35"/>
      <c r="BM39" s="36"/>
      <c r="BO39" s="34"/>
      <c r="BP39" s="35"/>
      <c r="BQ39" s="36"/>
      <c r="BS39" s="1592"/>
      <c r="BT39" s="35"/>
      <c r="BU39" s="36"/>
      <c r="BW39" s="34"/>
      <c r="BX39" s="35"/>
      <c r="BY39" s="36"/>
      <c r="CA39" s="34"/>
      <c r="CB39" s="35"/>
      <c r="CC39" s="36"/>
      <c r="CE39" s="34"/>
      <c r="CF39" s="35"/>
      <c r="CG39" s="36"/>
      <c r="CI39" s="34"/>
      <c r="CJ39" s="35"/>
      <c r="CK39" s="36"/>
      <c r="CM39" s="34"/>
      <c r="CN39" s="35"/>
      <c r="CO39" s="36"/>
    </row>
    <row r="40" spans="1:95">
      <c r="A40" s="34" t="s">
        <v>177</v>
      </c>
      <c r="B40" s="35" t="s">
        <v>178</v>
      </c>
      <c r="C40" s="36">
        <v>953149176.46000004</v>
      </c>
      <c r="D40" s="37" t="str">
        <f>IF(C40&gt;=Mat!$E$71,"Material","No Mat")</f>
        <v>Material</v>
      </c>
      <c r="E40" s="834">
        <f>IF(C40&gt;=Mat!$E$71,C40/Mat!$E$71,0)</f>
        <v>3596.8426657231053</v>
      </c>
      <c r="F40" s="895"/>
      <c r="G40" s="34"/>
      <c r="H40" s="35"/>
      <c r="I40" s="48"/>
      <c r="J40" s="36"/>
      <c r="L40" s="506"/>
      <c r="M40" s="506" t="s">
        <v>97</v>
      </c>
      <c r="N40" s="507">
        <f t="shared" si="1"/>
        <v>0</v>
      </c>
      <c r="O40" s="507">
        <f t="shared" si="2"/>
        <v>0</v>
      </c>
      <c r="P40" s="507">
        <f t="shared" si="3"/>
        <v>0</v>
      </c>
      <c r="Q40" s="507">
        <f t="shared" si="4"/>
        <v>0</v>
      </c>
      <c r="R40" s="507">
        <f t="shared" si="5"/>
        <v>0</v>
      </c>
      <c r="S40" s="507">
        <f t="shared" si="6"/>
        <v>0</v>
      </c>
      <c r="T40" s="507">
        <f t="shared" si="7"/>
        <v>0</v>
      </c>
      <c r="U40" s="507">
        <f t="shared" si="8"/>
        <v>0</v>
      </c>
      <c r="V40" s="507">
        <f t="shared" si="9"/>
        <v>0</v>
      </c>
      <c r="W40" s="507">
        <f t="shared" si="10"/>
        <v>0</v>
      </c>
      <c r="X40" s="507">
        <f t="shared" si="11"/>
        <v>0</v>
      </c>
      <c r="Y40" s="507">
        <f t="shared" si="12"/>
        <v>0</v>
      </c>
      <c r="Z40" s="11">
        <f t="shared" si="13"/>
        <v>0</v>
      </c>
      <c r="AC40" s="4">
        <v>67</v>
      </c>
      <c r="AD40" s="5" t="s">
        <v>104</v>
      </c>
      <c r="AE40" s="5" t="s">
        <v>100</v>
      </c>
      <c r="AF40" s="5" t="s">
        <v>105</v>
      </c>
      <c r="AG40" s="5" t="s">
        <v>0</v>
      </c>
      <c r="AH40" s="5" t="s">
        <v>18</v>
      </c>
      <c r="AI40" s="5" t="s">
        <v>16</v>
      </c>
      <c r="AJ40" s="5" t="s">
        <v>17</v>
      </c>
      <c r="AK40" s="5" t="s">
        <v>3</v>
      </c>
      <c r="AL40" s="5" t="s">
        <v>18</v>
      </c>
      <c r="AM40" s="6"/>
      <c r="AO40" s="5"/>
      <c r="AP40" s="5"/>
      <c r="AQ40" s="5"/>
      <c r="AR40" s="5"/>
      <c r="AS40" s="5"/>
      <c r="AU40" s="1547"/>
      <c r="AV40" s="35"/>
      <c r="AW40" s="36"/>
      <c r="AY40" s="34" t="s">
        <v>746</v>
      </c>
      <c r="AZ40" s="35" t="s">
        <v>747</v>
      </c>
      <c r="BA40" s="36">
        <v>2855.45</v>
      </c>
      <c r="BC40" s="34" t="s">
        <v>4272</v>
      </c>
      <c r="BD40" s="35" t="s">
        <v>2330</v>
      </c>
      <c r="BE40" s="36">
        <v>2200</v>
      </c>
      <c r="BG40" s="34"/>
      <c r="BH40" s="35"/>
      <c r="BI40" s="36"/>
      <c r="BK40" s="34"/>
      <c r="BL40" s="35"/>
      <c r="BM40" s="36"/>
      <c r="BO40" s="34"/>
      <c r="BP40" s="35"/>
      <c r="BQ40" s="36"/>
      <c r="BS40" s="1592"/>
      <c r="BT40" s="35"/>
      <c r="BU40" s="36"/>
      <c r="BW40" s="34"/>
      <c r="BX40" s="35"/>
      <c r="BY40" s="36"/>
      <c r="CA40" s="34"/>
      <c r="CB40" s="35"/>
      <c r="CC40" s="36"/>
      <c r="CE40" s="34"/>
      <c r="CF40" s="35"/>
      <c r="CG40" s="36"/>
      <c r="CI40" s="34"/>
      <c r="CJ40" s="35"/>
      <c r="CK40" s="36"/>
      <c r="CM40" s="34"/>
      <c r="CN40" s="35"/>
      <c r="CO40" s="36"/>
    </row>
    <row r="41" spans="1:95">
      <c r="A41" s="34" t="s">
        <v>193</v>
      </c>
      <c r="B41" s="35" t="s">
        <v>194</v>
      </c>
      <c r="C41" s="36">
        <v>355699.35</v>
      </c>
      <c r="D41" s="37" t="str">
        <f>IF(C41&gt;=Mat!$E$71,"Material","No Mat")</f>
        <v>Material</v>
      </c>
      <c r="E41" s="834">
        <f>IF(C41&gt;=Mat!$E$71,C41/Mat!$E$71,0)</f>
        <v>1.3422815964670425</v>
      </c>
      <c r="F41" s="895"/>
      <c r="G41" s="34"/>
      <c r="H41" s="35"/>
      <c r="I41" s="48"/>
      <c r="J41" s="36"/>
      <c r="L41" s="506"/>
      <c r="M41" s="506" t="s">
        <v>99</v>
      </c>
      <c r="N41" s="507">
        <f t="shared" si="1"/>
        <v>0</v>
      </c>
      <c r="O41" s="507">
        <f t="shared" si="2"/>
        <v>0</v>
      </c>
      <c r="P41" s="507">
        <f t="shared" si="3"/>
        <v>0</v>
      </c>
      <c r="Q41" s="507">
        <f t="shared" si="4"/>
        <v>0</v>
      </c>
      <c r="R41" s="507">
        <f t="shared" si="5"/>
        <v>0</v>
      </c>
      <c r="S41" s="507">
        <f t="shared" si="6"/>
        <v>0</v>
      </c>
      <c r="T41" s="507">
        <f t="shared" si="7"/>
        <v>0</v>
      </c>
      <c r="U41" s="507">
        <f t="shared" si="8"/>
        <v>0</v>
      </c>
      <c r="V41" s="507">
        <f t="shared" si="9"/>
        <v>0</v>
      </c>
      <c r="W41" s="507">
        <f t="shared" si="10"/>
        <v>0</v>
      </c>
      <c r="X41" s="507">
        <f t="shared" si="11"/>
        <v>0</v>
      </c>
      <c r="Y41" s="507">
        <f t="shared" si="12"/>
        <v>0</v>
      </c>
      <c r="Z41" s="11">
        <f t="shared" si="13"/>
        <v>0</v>
      </c>
      <c r="AC41" s="4">
        <v>69</v>
      </c>
      <c r="AD41" s="5" t="s">
        <v>106</v>
      </c>
      <c r="AE41" s="5" t="s">
        <v>100</v>
      </c>
      <c r="AF41" s="5" t="s">
        <v>107</v>
      </c>
      <c r="AG41" s="5" t="s">
        <v>0</v>
      </c>
      <c r="AH41" s="5" t="s">
        <v>18</v>
      </c>
      <c r="AI41" s="5" t="s">
        <v>16</v>
      </c>
      <c r="AJ41" s="5" t="s">
        <v>17</v>
      </c>
      <c r="AK41" s="5" t="s">
        <v>3</v>
      </c>
      <c r="AL41" s="5" t="s">
        <v>18</v>
      </c>
      <c r="AM41" s="6"/>
      <c r="AO41" s="5"/>
      <c r="AP41" s="5"/>
      <c r="AQ41" s="5"/>
      <c r="AR41" s="5"/>
      <c r="AS41" s="5"/>
      <c r="AU41" s="1547"/>
      <c r="AV41" s="35"/>
      <c r="AW41" s="36"/>
      <c r="AY41" s="34" t="s">
        <v>757</v>
      </c>
      <c r="AZ41" s="35" t="s">
        <v>758</v>
      </c>
      <c r="BA41" s="36">
        <v>45701.1</v>
      </c>
      <c r="BC41" s="34" t="s">
        <v>699</v>
      </c>
      <c r="BD41" s="35" t="s">
        <v>700</v>
      </c>
      <c r="BE41" s="36">
        <v>54283.21</v>
      </c>
      <c r="BF41" s="11"/>
      <c r="BG41" s="34"/>
      <c r="BH41" s="35"/>
      <c r="BI41" s="36"/>
      <c r="BK41" s="34"/>
      <c r="BL41" s="35"/>
      <c r="BM41" s="36"/>
      <c r="BO41" s="34"/>
      <c r="BP41" s="35"/>
      <c r="BQ41" s="36"/>
      <c r="BS41" s="1592"/>
      <c r="BT41" s="35"/>
      <c r="BU41" s="36"/>
      <c r="BW41" s="34"/>
      <c r="BX41" s="35"/>
      <c r="BY41" s="36"/>
      <c r="CA41" s="34"/>
      <c r="CB41" s="35"/>
      <c r="CC41" s="36"/>
      <c r="CE41" s="34"/>
      <c r="CF41" s="35"/>
      <c r="CG41" s="36"/>
      <c r="CI41" s="34"/>
      <c r="CJ41" s="35"/>
      <c r="CK41" s="36"/>
      <c r="CM41" s="34"/>
      <c r="CN41" s="35"/>
      <c r="CO41" s="36"/>
    </row>
    <row r="42" spans="1:95">
      <c r="A42" s="34" t="s">
        <v>4206</v>
      </c>
      <c r="B42" s="35" t="s">
        <v>4207</v>
      </c>
      <c r="C42" s="36">
        <v>728813.56</v>
      </c>
      <c r="D42" s="37" t="str">
        <f>IF(C42&gt;=Mat!$E$71,"Material","No Mat")</f>
        <v>Material</v>
      </c>
      <c r="E42" s="834">
        <f>IF(C42&gt;=Mat!$E$71,C42/Mat!$E$71,0)</f>
        <v>2.7502806199775987</v>
      </c>
      <c r="F42" s="895"/>
      <c r="G42" s="34"/>
      <c r="H42" s="35"/>
      <c r="I42" s="48"/>
      <c r="J42" s="36"/>
      <c r="L42" s="506"/>
      <c r="M42" s="506" t="s">
        <v>103</v>
      </c>
      <c r="N42" s="507">
        <f t="shared" si="1"/>
        <v>0</v>
      </c>
      <c r="O42" s="507">
        <f t="shared" si="2"/>
        <v>0</v>
      </c>
      <c r="P42" s="507">
        <f t="shared" si="3"/>
        <v>0</v>
      </c>
      <c r="Q42" s="507">
        <f t="shared" si="4"/>
        <v>0</v>
      </c>
      <c r="R42" s="507">
        <f t="shared" si="5"/>
        <v>0</v>
      </c>
      <c r="S42" s="507">
        <f t="shared" si="6"/>
        <v>0</v>
      </c>
      <c r="T42" s="507">
        <f t="shared" si="7"/>
        <v>0</v>
      </c>
      <c r="U42" s="507">
        <f t="shared" si="8"/>
        <v>0</v>
      </c>
      <c r="V42" s="507">
        <f t="shared" si="9"/>
        <v>0</v>
      </c>
      <c r="W42" s="507">
        <f t="shared" si="10"/>
        <v>0</v>
      </c>
      <c r="X42" s="507">
        <f t="shared" si="11"/>
        <v>0</v>
      </c>
      <c r="Y42" s="507">
        <f t="shared" si="12"/>
        <v>0</v>
      </c>
      <c r="Z42" s="11">
        <f t="shared" si="13"/>
        <v>0</v>
      </c>
      <c r="AC42" s="4">
        <v>71</v>
      </c>
      <c r="AD42" s="5" t="s">
        <v>108</v>
      </c>
      <c r="AE42" s="5" t="s">
        <v>100</v>
      </c>
      <c r="AF42" s="5" t="s">
        <v>109</v>
      </c>
      <c r="AG42" s="5" t="s">
        <v>0</v>
      </c>
      <c r="AH42" s="5" t="s">
        <v>18</v>
      </c>
      <c r="AI42" s="5" t="s">
        <v>16</v>
      </c>
      <c r="AJ42" s="5" t="s">
        <v>17</v>
      </c>
      <c r="AK42" s="5" t="s">
        <v>3</v>
      </c>
      <c r="AL42" s="5" t="s">
        <v>18</v>
      </c>
      <c r="AM42" s="6"/>
      <c r="AO42" s="5"/>
      <c r="AP42" s="5"/>
      <c r="AQ42" s="5"/>
      <c r="AR42" s="5"/>
      <c r="AS42" s="5"/>
      <c r="AT42" s="19">
        <f>SUM(C27:C42)</f>
        <v>1079050961.8199999</v>
      </c>
      <c r="AU42" s="1547"/>
      <c r="AV42" s="35"/>
      <c r="AW42" s="36"/>
      <c r="AY42" s="34" t="s">
        <v>772</v>
      </c>
      <c r="AZ42" s="35" t="s">
        <v>2231</v>
      </c>
      <c r="BA42" s="36">
        <v>51963.75</v>
      </c>
      <c r="BC42" s="34" t="s">
        <v>713</v>
      </c>
      <c r="BD42" s="35" t="s">
        <v>714</v>
      </c>
      <c r="BE42" s="36">
        <v>2251432.9900000002</v>
      </c>
      <c r="BG42" s="34"/>
      <c r="BH42" s="35"/>
      <c r="BI42" s="36"/>
      <c r="BK42" s="34"/>
      <c r="BL42" s="35"/>
      <c r="BM42" s="36"/>
      <c r="BO42" s="34"/>
      <c r="BP42" s="35"/>
      <c r="BQ42" s="36"/>
      <c r="BS42" s="1592"/>
      <c r="BT42" s="35"/>
      <c r="BU42" s="36"/>
      <c r="BW42" s="34"/>
      <c r="BX42" s="35"/>
      <c r="BY42" s="36"/>
      <c r="CA42" s="34"/>
      <c r="CB42" s="35"/>
      <c r="CC42" s="36"/>
      <c r="CE42" s="34"/>
      <c r="CF42" s="35"/>
      <c r="CG42" s="36"/>
      <c r="CI42" s="34"/>
      <c r="CJ42" s="35"/>
      <c r="CK42" s="36"/>
      <c r="CM42" s="34"/>
      <c r="CN42" s="35"/>
      <c r="CO42" s="36"/>
    </row>
    <row r="43" spans="1:95">
      <c r="A43" s="34" t="s">
        <v>2840</v>
      </c>
      <c r="B43" s="35" t="s">
        <v>2810</v>
      </c>
      <c r="C43" s="36">
        <v>309808868.79000002</v>
      </c>
      <c r="D43" s="37" t="str">
        <f>IF(C43&gt;=Mat!$E$71,"Material","No Mat")</f>
        <v>Material</v>
      </c>
      <c r="E43" s="834">
        <f>IF(C43&gt;=Mat!$E$71,C43/Mat!$E$71,0)</f>
        <v>1169.1074020773156</v>
      </c>
      <c r="F43" s="895"/>
      <c r="G43" s="34"/>
      <c r="H43" s="35"/>
      <c r="I43" s="48"/>
      <c r="J43" s="36"/>
      <c r="L43" s="506"/>
      <c r="M43" s="506" t="s">
        <v>105</v>
      </c>
      <c r="N43" s="507">
        <f t="shared" si="1"/>
        <v>0</v>
      </c>
      <c r="O43" s="507">
        <f t="shared" si="2"/>
        <v>0</v>
      </c>
      <c r="P43" s="507">
        <f t="shared" si="3"/>
        <v>0</v>
      </c>
      <c r="Q43" s="507">
        <f t="shared" si="4"/>
        <v>0</v>
      </c>
      <c r="R43" s="507">
        <f t="shared" si="5"/>
        <v>0</v>
      </c>
      <c r="S43" s="507">
        <f t="shared" si="6"/>
        <v>0</v>
      </c>
      <c r="T43" s="507">
        <f t="shared" si="7"/>
        <v>0</v>
      </c>
      <c r="U43" s="507">
        <f t="shared" si="8"/>
        <v>0</v>
      </c>
      <c r="V43" s="507">
        <f t="shared" si="9"/>
        <v>0</v>
      </c>
      <c r="W43" s="507">
        <f t="shared" si="10"/>
        <v>0</v>
      </c>
      <c r="X43" s="507">
        <f t="shared" si="11"/>
        <v>0</v>
      </c>
      <c r="Y43" s="507">
        <f t="shared" si="12"/>
        <v>0</v>
      </c>
      <c r="Z43" s="11">
        <f t="shared" si="13"/>
        <v>0</v>
      </c>
      <c r="AC43" s="4">
        <v>73</v>
      </c>
      <c r="AD43" s="5" t="s">
        <v>110</v>
      </c>
      <c r="AE43" s="5" t="s">
        <v>69</v>
      </c>
      <c r="AF43" s="5" t="s">
        <v>111</v>
      </c>
      <c r="AG43" s="5" t="s">
        <v>0</v>
      </c>
      <c r="AH43" s="5" t="s">
        <v>18</v>
      </c>
      <c r="AI43" s="5" t="s">
        <v>16</v>
      </c>
      <c r="AJ43" s="5" t="s">
        <v>17</v>
      </c>
      <c r="AK43" s="5" t="s">
        <v>3</v>
      </c>
      <c r="AL43" s="5" t="s">
        <v>18</v>
      </c>
      <c r="AM43" s="6"/>
      <c r="AO43" s="5"/>
      <c r="AP43" s="5"/>
      <c r="AQ43" s="5"/>
      <c r="AR43" s="5"/>
      <c r="AS43" s="5"/>
      <c r="AT43" s="19">
        <f>SUM(C43:C50)</f>
        <v>394455129.78000003</v>
      </c>
      <c r="AU43" s="1547"/>
      <c r="AV43" s="35"/>
      <c r="AW43" s="36"/>
      <c r="AY43" s="34" t="s">
        <v>783</v>
      </c>
      <c r="AZ43" s="35" t="s">
        <v>2223</v>
      </c>
      <c r="BA43" s="36">
        <v>1601.4</v>
      </c>
      <c r="BC43" s="34" t="s">
        <v>740</v>
      </c>
      <c r="BD43" s="35" t="s">
        <v>2229</v>
      </c>
      <c r="BE43" s="36">
        <v>202575</v>
      </c>
      <c r="BG43" s="34"/>
      <c r="BH43" s="35"/>
      <c r="BI43" s="36"/>
      <c r="BK43" s="34"/>
      <c r="BL43" s="35"/>
      <c r="BM43" s="36"/>
      <c r="BO43" s="34"/>
      <c r="BP43" s="35"/>
      <c r="BQ43" s="36"/>
      <c r="BS43" s="1592"/>
      <c r="BT43" s="35"/>
      <c r="BU43" s="36"/>
      <c r="BW43" s="34"/>
      <c r="BX43" s="35"/>
      <c r="BY43" s="36"/>
      <c r="CA43" s="34"/>
      <c r="CB43" s="35"/>
      <c r="CC43" s="36"/>
      <c r="CE43" s="34"/>
      <c r="CF43" s="35"/>
      <c r="CG43" s="36"/>
      <c r="CI43" s="34"/>
      <c r="CJ43" s="35"/>
      <c r="CK43" s="36"/>
      <c r="CM43" s="34"/>
      <c r="CN43" s="35"/>
      <c r="CO43" s="36"/>
    </row>
    <row r="44" spans="1:95">
      <c r="A44" s="34" t="s">
        <v>2841</v>
      </c>
      <c r="B44" s="35" t="s">
        <v>2811</v>
      </c>
      <c r="C44" s="36">
        <v>24637466.140000001</v>
      </c>
      <c r="D44" s="37" t="str">
        <f>IF(C44&gt;=Mat!$E$71,"Material","No Mat")</f>
        <v>Material</v>
      </c>
      <c r="E44" s="834">
        <f>IF(C44&gt;=Mat!$E$71,C44/Mat!$E$71,0)</f>
        <v>92.972948596340999</v>
      </c>
      <c r="F44" s="895"/>
      <c r="G44" s="34"/>
      <c r="H44" s="35"/>
      <c r="I44" s="48"/>
      <c r="J44" s="36"/>
      <c r="L44" s="506"/>
      <c r="M44" s="506" t="s">
        <v>107</v>
      </c>
      <c r="N44" s="507">
        <f t="shared" si="1"/>
        <v>0</v>
      </c>
      <c r="O44" s="507">
        <f t="shared" si="2"/>
        <v>0</v>
      </c>
      <c r="P44" s="507">
        <f t="shared" si="3"/>
        <v>0</v>
      </c>
      <c r="Q44" s="507">
        <f t="shared" si="4"/>
        <v>0</v>
      </c>
      <c r="R44" s="507">
        <f t="shared" si="5"/>
        <v>0</v>
      </c>
      <c r="S44" s="507">
        <f t="shared" si="6"/>
        <v>0</v>
      </c>
      <c r="T44" s="507">
        <f t="shared" si="7"/>
        <v>0</v>
      </c>
      <c r="U44" s="507">
        <f t="shared" si="8"/>
        <v>0</v>
      </c>
      <c r="V44" s="507">
        <f t="shared" si="9"/>
        <v>0</v>
      </c>
      <c r="W44" s="507">
        <f t="shared" si="10"/>
        <v>0</v>
      </c>
      <c r="X44" s="507">
        <f t="shared" si="11"/>
        <v>0</v>
      </c>
      <c r="Y44" s="507">
        <f t="shared" si="12"/>
        <v>0</v>
      </c>
      <c r="Z44" s="11">
        <f t="shared" si="13"/>
        <v>0</v>
      </c>
      <c r="AC44" s="4">
        <v>75</v>
      </c>
      <c r="AD44" s="5" t="s">
        <v>114</v>
      </c>
      <c r="AE44" s="5" t="s">
        <v>112</v>
      </c>
      <c r="AF44" s="5" t="s">
        <v>115</v>
      </c>
      <c r="AG44" s="5" t="s">
        <v>0</v>
      </c>
      <c r="AH44" s="5" t="s">
        <v>18</v>
      </c>
      <c r="AI44" s="5" t="s">
        <v>16</v>
      </c>
      <c r="AJ44" s="5" t="s">
        <v>17</v>
      </c>
      <c r="AK44" s="5" t="s">
        <v>3</v>
      </c>
      <c r="AL44" s="5" t="s">
        <v>18</v>
      </c>
      <c r="AM44" s="6"/>
      <c r="AO44" s="5"/>
      <c r="AP44" s="5"/>
      <c r="AQ44" s="5"/>
      <c r="AR44" s="5"/>
      <c r="AS44" s="5"/>
      <c r="AT44" s="19">
        <f>+AT42-AT43</f>
        <v>684595832.03999996</v>
      </c>
      <c r="AU44" s="1547"/>
      <c r="AV44" s="35"/>
      <c r="AW44" s="36"/>
      <c r="AY44" s="34" t="s">
        <v>789</v>
      </c>
      <c r="AZ44" s="35" t="s">
        <v>790</v>
      </c>
      <c r="BA44" s="36">
        <v>39850</v>
      </c>
      <c r="BC44" s="34" t="s">
        <v>746</v>
      </c>
      <c r="BD44" s="35" t="s">
        <v>747</v>
      </c>
      <c r="BE44" s="36">
        <v>1717.8</v>
      </c>
      <c r="BG44" s="34"/>
      <c r="BH44" s="35"/>
      <c r="BI44" s="36"/>
      <c r="BK44" s="34"/>
      <c r="BL44" s="35"/>
      <c r="BM44" s="36"/>
      <c r="BO44" s="34"/>
      <c r="BP44" s="35"/>
      <c r="BQ44" s="36"/>
      <c r="BS44" s="1592"/>
      <c r="BT44" s="35"/>
      <c r="BU44" s="36"/>
      <c r="BW44" s="34"/>
      <c r="BX44" s="35"/>
      <c r="BY44" s="36"/>
      <c r="CA44" s="34"/>
      <c r="CB44" s="35"/>
      <c r="CC44" s="36"/>
      <c r="CE44" s="34"/>
      <c r="CF44" s="35"/>
      <c r="CG44" s="36"/>
      <c r="CI44" s="34"/>
      <c r="CJ44" s="35"/>
      <c r="CK44" s="36"/>
      <c r="CM44" s="34"/>
      <c r="CN44" s="35"/>
      <c r="CO44" s="36"/>
    </row>
    <row r="45" spans="1:95">
      <c r="A45" s="34" t="s">
        <v>2842</v>
      </c>
      <c r="B45" s="35" t="s">
        <v>2812</v>
      </c>
      <c r="C45" s="36">
        <v>3653190.9</v>
      </c>
      <c r="D45" s="37" t="str">
        <f>IF(C45&gt;=Mat!$E$71,"Material","No Mat")</f>
        <v>Material</v>
      </c>
      <c r="E45" s="834">
        <f>IF(C45&gt;=Mat!$E$71,C45/Mat!$E$71,0)</f>
        <v>13.785830402700686</v>
      </c>
      <c r="F45" s="895"/>
      <c r="G45" s="34"/>
      <c r="H45" s="35"/>
      <c r="I45" s="48"/>
      <c r="J45" s="36"/>
      <c r="L45" s="506"/>
      <c r="M45" s="506" t="s">
        <v>109</v>
      </c>
      <c r="N45" s="507">
        <f t="shared" si="1"/>
        <v>0</v>
      </c>
      <c r="O45" s="507">
        <f t="shared" si="2"/>
        <v>0</v>
      </c>
      <c r="P45" s="507">
        <f t="shared" si="3"/>
        <v>0</v>
      </c>
      <c r="Q45" s="507">
        <f t="shared" si="4"/>
        <v>0</v>
      </c>
      <c r="R45" s="507">
        <f t="shared" si="5"/>
        <v>0</v>
      </c>
      <c r="S45" s="507">
        <f t="shared" si="6"/>
        <v>0</v>
      </c>
      <c r="T45" s="507">
        <f t="shared" si="7"/>
        <v>0</v>
      </c>
      <c r="U45" s="507">
        <f t="shared" si="8"/>
        <v>0</v>
      </c>
      <c r="V45" s="507">
        <f t="shared" si="9"/>
        <v>0</v>
      </c>
      <c r="W45" s="507">
        <f t="shared" si="10"/>
        <v>0</v>
      </c>
      <c r="X45" s="507">
        <f t="shared" si="11"/>
        <v>0</v>
      </c>
      <c r="Y45" s="507">
        <f t="shared" si="12"/>
        <v>0</v>
      </c>
      <c r="Z45" s="11">
        <f t="shared" si="13"/>
        <v>0</v>
      </c>
      <c r="AC45" s="4">
        <v>77</v>
      </c>
      <c r="AD45" s="5" t="s">
        <v>118</v>
      </c>
      <c r="AE45" s="5" t="s">
        <v>116</v>
      </c>
      <c r="AF45" s="5" t="s">
        <v>119</v>
      </c>
      <c r="AG45" s="5" t="s">
        <v>0</v>
      </c>
      <c r="AH45" s="5" t="s">
        <v>18</v>
      </c>
      <c r="AI45" s="5" t="s">
        <v>16</v>
      </c>
      <c r="AJ45" s="5" t="s">
        <v>17</v>
      </c>
      <c r="AK45" s="5" t="s">
        <v>3</v>
      </c>
      <c r="AL45" s="5" t="s">
        <v>18</v>
      </c>
      <c r="AM45" s="6"/>
      <c r="AO45" s="5"/>
      <c r="AP45" s="5"/>
      <c r="AQ45" s="5"/>
      <c r="AR45" s="5"/>
      <c r="AS45" s="5"/>
      <c r="AT45" s="11">
        <f>+nota12!K32</f>
        <v>783928750.25000024</v>
      </c>
      <c r="AU45" s="1547"/>
      <c r="AV45" s="35"/>
      <c r="AW45" s="36"/>
      <c r="AY45" s="34" t="s">
        <v>3860</v>
      </c>
      <c r="AZ45" s="35" t="s">
        <v>3861</v>
      </c>
      <c r="BA45" s="36">
        <v>4500</v>
      </c>
      <c r="BC45" s="34" t="s">
        <v>757</v>
      </c>
      <c r="BD45" s="35" t="s">
        <v>758</v>
      </c>
      <c r="BE45" s="36">
        <v>76611.69</v>
      </c>
      <c r="BG45" s="34"/>
      <c r="BH45" s="35"/>
      <c r="BI45" s="36"/>
      <c r="BK45" s="34"/>
      <c r="BL45" s="35"/>
      <c r="BM45" s="36"/>
      <c r="BO45" s="34"/>
      <c r="BP45" s="35"/>
      <c r="BQ45" s="36"/>
      <c r="BS45" s="1592"/>
      <c r="BT45" s="35"/>
      <c r="BU45" s="36"/>
      <c r="BW45" s="34"/>
      <c r="BX45" s="35"/>
      <c r="BY45" s="36"/>
      <c r="CA45" s="34"/>
      <c r="CB45" s="35"/>
      <c r="CC45" s="36"/>
      <c r="CE45" s="34"/>
      <c r="CF45" s="35"/>
      <c r="CG45" s="36"/>
      <c r="CI45" s="34"/>
      <c r="CJ45" s="35"/>
      <c r="CK45" s="36"/>
      <c r="CM45" s="34"/>
      <c r="CN45" s="35"/>
      <c r="CO45" s="36"/>
      <c r="CP45" s="1727"/>
    </row>
    <row r="46" spans="1:95">
      <c r="A46" s="34" t="s">
        <v>2843</v>
      </c>
      <c r="B46" s="35" t="s">
        <v>2813</v>
      </c>
      <c r="C46" s="36">
        <v>203457.37</v>
      </c>
      <c r="D46" s="37" t="str">
        <f>IF(C46&gt;=Mat!$E$71,"Material","No Mat")</f>
        <v>No Mat</v>
      </c>
      <c r="E46" s="834">
        <f>IF(C46&gt;=Mat!$E$71,C46/Mat!$E$71,0)</f>
        <v>0</v>
      </c>
      <c r="F46" s="895"/>
      <c r="G46" s="34"/>
      <c r="H46" s="35"/>
      <c r="I46" s="48"/>
      <c r="J46" s="36"/>
      <c r="L46" s="506"/>
      <c r="M46" s="506" t="s">
        <v>111</v>
      </c>
      <c r="N46" s="507">
        <f t="shared" si="1"/>
        <v>0</v>
      </c>
      <c r="O46" s="507">
        <f t="shared" si="2"/>
        <v>0</v>
      </c>
      <c r="P46" s="507">
        <f t="shared" si="3"/>
        <v>0</v>
      </c>
      <c r="Q46" s="507">
        <f t="shared" si="4"/>
        <v>0</v>
      </c>
      <c r="R46" s="507">
        <f t="shared" si="5"/>
        <v>0</v>
      </c>
      <c r="S46" s="507">
        <f t="shared" si="6"/>
        <v>0</v>
      </c>
      <c r="T46" s="507">
        <f t="shared" si="7"/>
        <v>0</v>
      </c>
      <c r="U46" s="507">
        <f t="shared" si="8"/>
        <v>0</v>
      </c>
      <c r="V46" s="507">
        <f t="shared" si="9"/>
        <v>0</v>
      </c>
      <c r="W46" s="507">
        <f t="shared" si="10"/>
        <v>0</v>
      </c>
      <c r="X46" s="507">
        <f t="shared" si="11"/>
        <v>0</v>
      </c>
      <c r="Y46" s="507">
        <f t="shared" si="12"/>
        <v>0</v>
      </c>
      <c r="Z46" s="11">
        <f t="shared" si="13"/>
        <v>0</v>
      </c>
      <c r="AC46" s="4">
        <v>79</v>
      </c>
      <c r="AD46" s="5" t="s">
        <v>120</v>
      </c>
      <c r="AE46" s="5" t="s">
        <v>116</v>
      </c>
      <c r="AF46" s="5" t="s">
        <v>121</v>
      </c>
      <c r="AG46" s="5" t="s">
        <v>0</v>
      </c>
      <c r="AH46" s="5" t="s">
        <v>18</v>
      </c>
      <c r="AI46" s="5" t="s">
        <v>16</v>
      </c>
      <c r="AJ46" s="5" t="s">
        <v>17</v>
      </c>
      <c r="AK46" s="5" t="s">
        <v>3</v>
      </c>
      <c r="AL46" s="5" t="s">
        <v>18</v>
      </c>
      <c r="AM46" s="6"/>
      <c r="AO46" s="5"/>
      <c r="AP46" s="5"/>
      <c r="AQ46" s="5"/>
      <c r="AR46" s="5"/>
      <c r="AS46" s="5"/>
      <c r="AT46" s="11">
        <f>+AT45-AT44</f>
        <v>99332918.210000277</v>
      </c>
      <c r="AU46" s="1547"/>
      <c r="AV46" s="35"/>
      <c r="AW46" s="36"/>
      <c r="AY46" s="34" t="s">
        <v>816</v>
      </c>
      <c r="AZ46" s="35" t="s">
        <v>2228</v>
      </c>
      <c r="BA46" s="36">
        <v>44847.95</v>
      </c>
      <c r="BC46" s="34" t="s">
        <v>772</v>
      </c>
      <c r="BD46" s="35" t="s">
        <v>2231</v>
      </c>
      <c r="BE46" s="36">
        <v>548338.06000000006</v>
      </c>
      <c r="BG46" s="34"/>
      <c r="BH46" s="35"/>
      <c r="BI46" s="36"/>
      <c r="BK46" s="34"/>
      <c r="BL46" s="35"/>
      <c r="BM46" s="36"/>
      <c r="BO46" s="34"/>
      <c r="BP46" s="35"/>
      <c r="BQ46" s="36"/>
      <c r="BS46" s="1592"/>
      <c r="BT46" s="35"/>
      <c r="BU46" s="36"/>
      <c r="BW46" s="34"/>
      <c r="BX46" s="35"/>
      <c r="BY46" s="36"/>
      <c r="CA46" s="34"/>
      <c r="CB46" s="35"/>
      <c r="CC46" s="36"/>
      <c r="CE46" s="34"/>
      <c r="CF46" s="35"/>
      <c r="CG46" s="36"/>
      <c r="CI46" s="34"/>
      <c r="CJ46" s="35"/>
      <c r="CK46" s="36"/>
      <c r="CM46" s="34"/>
      <c r="CN46" s="35"/>
      <c r="CO46" s="36"/>
    </row>
    <row r="47" spans="1:95">
      <c r="A47" s="34" t="s">
        <v>2844</v>
      </c>
      <c r="B47" s="35" t="s">
        <v>2814</v>
      </c>
      <c r="C47" s="36">
        <v>164778.88</v>
      </c>
      <c r="D47" s="37" t="str">
        <f>IF(C47&gt;=Mat!$E$71,"Material","No Mat")</f>
        <v>No Mat</v>
      </c>
      <c r="E47" s="834">
        <f>IF(C47&gt;=Mat!$E$71,C47/Mat!$E$71,0)</f>
        <v>0</v>
      </c>
      <c r="F47" s="895"/>
      <c r="G47" s="34"/>
      <c r="H47" s="35"/>
      <c r="I47" s="48"/>
      <c r="J47" s="36"/>
      <c r="L47" s="506"/>
      <c r="M47" s="506" t="s">
        <v>115</v>
      </c>
      <c r="N47" s="507">
        <f t="shared" si="1"/>
        <v>0</v>
      </c>
      <c r="O47" s="507">
        <f t="shared" si="2"/>
        <v>0</v>
      </c>
      <c r="P47" s="507">
        <f t="shared" si="3"/>
        <v>0</v>
      </c>
      <c r="Q47" s="507">
        <f t="shared" si="4"/>
        <v>0</v>
      </c>
      <c r="R47" s="507">
        <f t="shared" si="5"/>
        <v>0</v>
      </c>
      <c r="S47" s="507">
        <f t="shared" si="6"/>
        <v>0</v>
      </c>
      <c r="T47" s="507">
        <f t="shared" si="7"/>
        <v>0</v>
      </c>
      <c r="U47" s="507">
        <f t="shared" si="8"/>
        <v>0</v>
      </c>
      <c r="V47" s="507">
        <f t="shared" si="9"/>
        <v>0</v>
      </c>
      <c r="W47" s="507">
        <f t="shared" si="10"/>
        <v>0</v>
      </c>
      <c r="X47" s="507">
        <f t="shared" si="11"/>
        <v>0</v>
      </c>
      <c r="Y47" s="507">
        <f t="shared" si="12"/>
        <v>0</v>
      </c>
      <c r="Z47" s="11">
        <f t="shared" si="13"/>
        <v>0</v>
      </c>
      <c r="AC47" s="4">
        <v>81</v>
      </c>
      <c r="AD47" s="5" t="s">
        <v>122</v>
      </c>
      <c r="AE47" s="5" t="s">
        <v>116</v>
      </c>
      <c r="AF47" s="5" t="s">
        <v>123</v>
      </c>
      <c r="AG47" s="5" t="s">
        <v>0</v>
      </c>
      <c r="AH47" s="5" t="s">
        <v>18</v>
      </c>
      <c r="AI47" s="5" t="s">
        <v>16</v>
      </c>
      <c r="AJ47" s="5" t="s">
        <v>17</v>
      </c>
      <c r="AK47" s="5" t="s">
        <v>3</v>
      </c>
      <c r="AL47" s="5" t="s">
        <v>18</v>
      </c>
      <c r="AM47" s="6"/>
      <c r="AO47" s="5"/>
      <c r="AP47" s="5"/>
      <c r="AQ47" s="5"/>
      <c r="AR47" s="5"/>
      <c r="AS47" s="5"/>
      <c r="AU47" s="1547"/>
      <c r="AV47" s="35"/>
      <c r="AW47" s="36"/>
      <c r="AY47" s="34" t="s">
        <v>831</v>
      </c>
      <c r="AZ47" s="35" t="s">
        <v>832</v>
      </c>
      <c r="BA47" s="36">
        <v>6625</v>
      </c>
      <c r="BC47" s="34" t="s">
        <v>4192</v>
      </c>
      <c r="BD47" s="35" t="s">
        <v>2227</v>
      </c>
      <c r="BE47" s="36">
        <v>22880</v>
      </c>
      <c r="BG47" s="34"/>
      <c r="BH47" s="35"/>
      <c r="BI47" s="36"/>
      <c r="BK47" s="34"/>
      <c r="BL47" s="35"/>
      <c r="BM47" s="36"/>
      <c r="BO47" s="34"/>
      <c r="BP47" s="35"/>
      <c r="BQ47" s="36"/>
      <c r="BS47" s="1592"/>
      <c r="BT47" s="35"/>
      <c r="BU47" s="36"/>
      <c r="BW47" s="34"/>
      <c r="BX47" s="35"/>
      <c r="BY47" s="36"/>
      <c r="CA47" s="34"/>
      <c r="CB47" s="35"/>
      <c r="CC47" s="36"/>
      <c r="CE47" s="34"/>
      <c r="CF47" s="35"/>
      <c r="CG47" s="36"/>
      <c r="CI47" s="34"/>
      <c r="CJ47" s="35"/>
      <c r="CK47" s="36"/>
      <c r="CM47" s="34"/>
      <c r="CN47" s="35"/>
      <c r="CO47" s="36"/>
    </row>
    <row r="48" spans="1:95">
      <c r="A48" s="34" t="s">
        <v>2845</v>
      </c>
      <c r="B48" s="35" t="s">
        <v>2815</v>
      </c>
      <c r="C48" s="36">
        <v>10426457.289999999</v>
      </c>
      <c r="D48" s="37" t="str">
        <f>IF(C48&gt;=Mat!$E$71,"Material","No Mat")</f>
        <v>Material</v>
      </c>
      <c r="E48" s="834">
        <f>IF(C48&gt;=Mat!$E$71,C48/Mat!$E$71,0)</f>
        <v>39.34570512067743</v>
      </c>
      <c r="F48" s="895"/>
      <c r="G48" s="34"/>
      <c r="H48" s="35"/>
      <c r="I48" s="48"/>
      <c r="J48" s="36"/>
      <c r="L48" s="506"/>
      <c r="M48" s="506" t="s">
        <v>119</v>
      </c>
      <c r="N48" s="507">
        <f t="shared" si="1"/>
        <v>5003.83</v>
      </c>
      <c r="O48" s="507">
        <f t="shared" si="2"/>
        <v>703367.42</v>
      </c>
      <c r="P48" s="507">
        <f t="shared" si="3"/>
        <v>-2251432.9900000002</v>
      </c>
      <c r="Q48" s="507">
        <f t="shared" si="4"/>
        <v>0</v>
      </c>
      <c r="R48" s="507">
        <f t="shared" si="5"/>
        <v>0</v>
      </c>
      <c r="S48" s="507">
        <f t="shared" si="6"/>
        <v>0</v>
      </c>
      <c r="T48" s="507">
        <f t="shared" si="7"/>
        <v>0</v>
      </c>
      <c r="U48" s="507">
        <f t="shared" si="8"/>
        <v>0</v>
      </c>
      <c r="V48" s="507">
        <f t="shared" si="9"/>
        <v>0</v>
      </c>
      <c r="W48" s="507">
        <f t="shared" si="10"/>
        <v>0</v>
      </c>
      <c r="X48" s="507">
        <f t="shared" si="11"/>
        <v>0</v>
      </c>
      <c r="Y48" s="507">
        <f t="shared" si="12"/>
        <v>0</v>
      </c>
      <c r="Z48" s="11">
        <f t="shared" si="13"/>
        <v>-1543061.7400000002</v>
      </c>
      <c r="AC48" s="4">
        <v>83</v>
      </c>
      <c r="AD48" s="5" t="s">
        <v>124</v>
      </c>
      <c r="AE48" s="5" t="s">
        <v>116</v>
      </c>
      <c r="AF48" s="5" t="s">
        <v>125</v>
      </c>
      <c r="AG48" s="5" t="s">
        <v>0</v>
      </c>
      <c r="AH48" s="5" t="s">
        <v>18</v>
      </c>
      <c r="AI48" s="5" t="s">
        <v>16</v>
      </c>
      <c r="AJ48" s="5" t="s">
        <v>17</v>
      </c>
      <c r="AK48" s="5" t="s">
        <v>3</v>
      </c>
      <c r="AL48" s="5" t="s">
        <v>18</v>
      </c>
      <c r="AM48" s="6"/>
      <c r="AO48" s="5"/>
      <c r="AP48" s="5"/>
      <c r="AQ48" s="5"/>
      <c r="AR48" s="5"/>
      <c r="AS48" s="5"/>
      <c r="AU48" s="1547"/>
      <c r="AV48" s="35"/>
      <c r="AW48" s="36"/>
      <c r="AY48" s="34" t="s">
        <v>4264</v>
      </c>
      <c r="AZ48" s="35" t="s">
        <v>3903</v>
      </c>
      <c r="BA48" s="36">
        <v>4625</v>
      </c>
      <c r="BC48" s="34" t="s">
        <v>794</v>
      </c>
      <c r="BD48" s="35" t="s">
        <v>795</v>
      </c>
      <c r="BE48" s="36">
        <v>999500</v>
      </c>
      <c r="BG48" s="34"/>
      <c r="BH48" s="35"/>
      <c r="BI48" s="36"/>
      <c r="BK48" s="34"/>
      <c r="BL48" s="35"/>
      <c r="BM48" s="36"/>
      <c r="BO48" s="34"/>
      <c r="BP48" s="35"/>
      <c r="BQ48" s="36"/>
      <c r="BS48" s="1592"/>
      <c r="BT48" s="35"/>
      <c r="BU48" s="36"/>
      <c r="BW48" s="34"/>
      <c r="BX48" s="35"/>
      <c r="BY48" s="36"/>
      <c r="CA48" s="34"/>
      <c r="CB48" s="35"/>
      <c r="CC48" s="36"/>
      <c r="CE48" s="34"/>
      <c r="CF48" s="35"/>
      <c r="CG48" s="36"/>
      <c r="CI48" s="34"/>
      <c r="CJ48" s="35"/>
      <c r="CK48" s="36"/>
      <c r="CM48" s="34"/>
      <c r="CN48" s="35"/>
      <c r="CO48" s="36"/>
    </row>
    <row r="49" spans="1:94">
      <c r="A49" s="34" t="s">
        <v>2846</v>
      </c>
      <c r="B49" s="35" t="s">
        <v>2816</v>
      </c>
      <c r="C49" s="36">
        <v>2081024.1</v>
      </c>
      <c r="D49" s="37" t="str">
        <f>IF(C49&gt;=Mat!$E$71,"Material","No Mat")</f>
        <v>Material</v>
      </c>
      <c r="E49" s="834">
        <f>IF(C49&gt;=Mat!$E$71,C49/Mat!$E$71,0)</f>
        <v>7.8530375476772472</v>
      </c>
      <c r="F49" s="895"/>
      <c r="G49" s="34"/>
      <c r="H49" s="35"/>
      <c r="I49" s="48"/>
      <c r="J49" s="36"/>
      <c r="L49" s="506"/>
      <c r="M49" s="506" t="s">
        <v>121</v>
      </c>
      <c r="N49" s="507">
        <f t="shared" si="1"/>
        <v>0</v>
      </c>
      <c r="O49" s="507">
        <f t="shared" si="2"/>
        <v>0</v>
      </c>
      <c r="P49" s="507">
        <f t="shared" si="3"/>
        <v>0</v>
      </c>
      <c r="Q49" s="507">
        <f t="shared" si="4"/>
        <v>0</v>
      </c>
      <c r="R49" s="507">
        <f t="shared" si="5"/>
        <v>0</v>
      </c>
      <c r="S49" s="507">
        <f t="shared" si="6"/>
        <v>0</v>
      </c>
      <c r="T49" s="507">
        <f t="shared" si="7"/>
        <v>0</v>
      </c>
      <c r="U49" s="507">
        <f t="shared" si="8"/>
        <v>0</v>
      </c>
      <c r="V49" s="507">
        <f t="shared" si="9"/>
        <v>0</v>
      </c>
      <c r="W49" s="507">
        <f t="shared" si="10"/>
        <v>0</v>
      </c>
      <c r="X49" s="507">
        <f t="shared" si="11"/>
        <v>0</v>
      </c>
      <c r="Y49" s="507">
        <f t="shared" si="12"/>
        <v>0</v>
      </c>
      <c r="Z49" s="11">
        <f t="shared" si="13"/>
        <v>0</v>
      </c>
      <c r="AC49" s="4">
        <v>85</v>
      </c>
      <c r="AD49" s="5" t="s">
        <v>132</v>
      </c>
      <c r="AE49" s="5" t="s">
        <v>130</v>
      </c>
      <c r="AF49" s="5" t="s">
        <v>133</v>
      </c>
      <c r="AG49" s="5" t="s">
        <v>134</v>
      </c>
      <c r="AH49" s="5" t="s">
        <v>18</v>
      </c>
      <c r="AI49" s="5" t="s">
        <v>16</v>
      </c>
      <c r="AJ49" s="5" t="s">
        <v>17</v>
      </c>
      <c r="AK49" s="5" t="s">
        <v>3</v>
      </c>
      <c r="AL49" s="5" t="s">
        <v>18</v>
      </c>
      <c r="AM49" s="6"/>
      <c r="AO49" s="5"/>
      <c r="AP49" s="5"/>
      <c r="AQ49" s="5"/>
      <c r="AR49" s="5"/>
      <c r="AS49" s="5"/>
      <c r="AU49" s="1547"/>
      <c r="AV49" s="35"/>
      <c r="AW49" s="36"/>
      <c r="AY49" s="34" t="s">
        <v>4255</v>
      </c>
      <c r="AZ49" s="35" t="s">
        <v>3944</v>
      </c>
      <c r="BA49" s="36">
        <v>17380</v>
      </c>
      <c r="BC49" s="34" t="s">
        <v>797</v>
      </c>
      <c r="BD49" s="35" t="s">
        <v>2244</v>
      </c>
      <c r="BE49" s="36">
        <v>1074000</v>
      </c>
      <c r="BG49" s="34"/>
      <c r="BH49" s="35"/>
      <c r="BI49" s="36"/>
      <c r="BK49" s="34"/>
      <c r="BL49" s="35"/>
      <c r="BM49" s="36"/>
      <c r="BO49" s="34"/>
      <c r="BP49" s="35"/>
      <c r="BQ49" s="36"/>
      <c r="BS49" s="1592"/>
      <c r="BT49" s="35"/>
      <c r="BU49" s="36"/>
      <c r="BW49" s="34"/>
      <c r="BX49" s="35"/>
      <c r="BY49" s="36"/>
      <c r="CA49" s="34"/>
      <c r="CB49" s="35"/>
      <c r="CC49" s="36"/>
      <c r="CE49" s="34"/>
      <c r="CF49" s="35"/>
      <c r="CG49" s="36"/>
      <c r="CI49" s="34"/>
      <c r="CJ49" s="35"/>
      <c r="CK49" s="36"/>
      <c r="CM49" s="34"/>
      <c r="CN49" s="35"/>
      <c r="CO49" s="36"/>
    </row>
    <row r="50" spans="1:94">
      <c r="A50" s="34" t="s">
        <v>2847</v>
      </c>
      <c r="B50" s="35" t="s">
        <v>2817</v>
      </c>
      <c r="C50" s="36">
        <v>43479886.310000002</v>
      </c>
      <c r="D50" s="37" t="str">
        <f>IF(C50&gt;=Mat!$E$71,"Material","No Mat")</f>
        <v>Material</v>
      </c>
      <c r="E50" s="834">
        <f>IF(C50&gt;=Mat!$E$71,C50/Mat!$E$71,0)</f>
        <v>164.07747500913993</v>
      </c>
      <c r="F50" s="895"/>
      <c r="G50" s="34"/>
      <c r="H50" s="35"/>
      <c r="I50" s="48"/>
      <c r="J50" s="36"/>
      <c r="L50" s="506"/>
      <c r="M50" s="506" t="s">
        <v>123</v>
      </c>
      <c r="N50" s="507">
        <f t="shared" si="1"/>
        <v>0</v>
      </c>
      <c r="O50" s="507">
        <f t="shared" si="2"/>
        <v>0</v>
      </c>
      <c r="P50" s="507">
        <f t="shared" si="3"/>
        <v>0</v>
      </c>
      <c r="Q50" s="507">
        <f t="shared" si="4"/>
        <v>0</v>
      </c>
      <c r="R50" s="507">
        <f t="shared" si="5"/>
        <v>0</v>
      </c>
      <c r="S50" s="507">
        <f t="shared" si="6"/>
        <v>0</v>
      </c>
      <c r="T50" s="507">
        <f t="shared" si="7"/>
        <v>0</v>
      </c>
      <c r="U50" s="507">
        <f t="shared" si="8"/>
        <v>0</v>
      </c>
      <c r="V50" s="507">
        <f t="shared" si="9"/>
        <v>0</v>
      </c>
      <c r="W50" s="507">
        <f t="shared" si="10"/>
        <v>0</v>
      </c>
      <c r="X50" s="507">
        <f t="shared" si="11"/>
        <v>0</v>
      </c>
      <c r="Y50" s="507">
        <f t="shared" si="12"/>
        <v>0</v>
      </c>
      <c r="Z50" s="11">
        <f t="shared" si="13"/>
        <v>0</v>
      </c>
      <c r="AC50" s="4">
        <v>87</v>
      </c>
      <c r="AD50" s="5" t="s">
        <v>135</v>
      </c>
      <c r="AE50" s="5" t="s">
        <v>130</v>
      </c>
      <c r="AF50" s="5" t="s">
        <v>136</v>
      </c>
      <c r="AG50" s="5" t="s">
        <v>137</v>
      </c>
      <c r="AH50" s="5" t="s">
        <v>18</v>
      </c>
      <c r="AI50" s="5" t="s">
        <v>16</v>
      </c>
      <c r="AJ50" s="5" t="s">
        <v>17</v>
      </c>
      <c r="AK50" s="5" t="s">
        <v>3</v>
      </c>
      <c r="AL50" s="5" t="s">
        <v>18</v>
      </c>
      <c r="AM50" s="6"/>
      <c r="AO50" s="5"/>
      <c r="AP50" s="5"/>
      <c r="AQ50" s="5"/>
      <c r="AR50" s="5"/>
      <c r="AS50" s="5"/>
      <c r="AU50" s="1547"/>
      <c r="AV50" s="35"/>
      <c r="AW50" s="36"/>
      <c r="AY50" s="34"/>
      <c r="AZ50" s="35"/>
      <c r="BA50" s="36"/>
      <c r="BC50" s="34" t="s">
        <v>3860</v>
      </c>
      <c r="BD50" s="35" t="s">
        <v>3861</v>
      </c>
      <c r="BE50" s="36">
        <v>1105000</v>
      </c>
      <c r="BG50" s="34"/>
      <c r="BH50" s="35"/>
      <c r="BI50" s="36"/>
      <c r="BK50" s="34"/>
      <c r="BL50" s="35"/>
      <c r="BM50" s="36"/>
      <c r="BO50" s="34"/>
      <c r="BP50" s="35"/>
      <c r="BQ50" s="36"/>
      <c r="BS50" s="1592"/>
      <c r="BT50" s="35"/>
      <c r="BU50" s="36"/>
      <c r="BW50" s="34"/>
      <c r="BX50" s="35"/>
      <c r="BY50" s="36"/>
      <c r="CA50" s="34"/>
      <c r="CB50" s="35"/>
      <c r="CC50" s="36"/>
      <c r="CE50" s="34"/>
      <c r="CF50" s="35"/>
      <c r="CG50" s="36"/>
      <c r="CI50" s="34"/>
      <c r="CJ50" s="35"/>
      <c r="CK50" s="36"/>
      <c r="CM50" s="34"/>
      <c r="CN50" s="35"/>
      <c r="CO50" s="36"/>
    </row>
    <row r="51" spans="1:94">
      <c r="A51" s="34" t="s">
        <v>207</v>
      </c>
      <c r="B51" s="35" t="s">
        <v>2319</v>
      </c>
      <c r="C51" s="36">
        <v>69520</v>
      </c>
      <c r="D51" s="37" t="str">
        <f>IF(C51&gt;=Mat!$E$71,"Material","No Mat")</f>
        <v>No Mat</v>
      </c>
      <c r="E51" s="834">
        <f>IF(C51&gt;=Mat!$E$71,C51/Mat!$E$71,0)</f>
        <v>0</v>
      </c>
      <c r="F51" s="895"/>
      <c r="G51" s="34"/>
      <c r="H51" s="35"/>
      <c r="I51" s="48"/>
      <c r="J51" s="36"/>
      <c r="L51" s="506" t="s">
        <v>4110</v>
      </c>
      <c r="M51" s="506" t="s">
        <v>4111</v>
      </c>
      <c r="N51" s="507">
        <f t="shared" si="1"/>
        <v>0</v>
      </c>
      <c r="O51" s="507">
        <f t="shared" si="2"/>
        <v>0</v>
      </c>
      <c r="P51" s="507">
        <f t="shared" si="3"/>
        <v>0</v>
      </c>
      <c r="Q51" s="507">
        <f t="shared" si="4"/>
        <v>0</v>
      </c>
      <c r="R51" s="507">
        <f t="shared" si="5"/>
        <v>0</v>
      </c>
      <c r="S51" s="507">
        <f t="shared" si="6"/>
        <v>0</v>
      </c>
      <c r="T51" s="507">
        <f t="shared" si="7"/>
        <v>0</v>
      </c>
      <c r="U51" s="507">
        <f t="shared" si="8"/>
        <v>0</v>
      </c>
      <c r="V51" s="507">
        <f t="shared" si="9"/>
        <v>0</v>
      </c>
      <c r="W51" s="507">
        <f t="shared" si="10"/>
        <v>0</v>
      </c>
      <c r="X51" s="507">
        <f t="shared" si="11"/>
        <v>0</v>
      </c>
      <c r="Y51" s="507">
        <f t="shared" si="12"/>
        <v>0</v>
      </c>
      <c r="Z51" s="11">
        <f t="shared" si="13"/>
        <v>0</v>
      </c>
      <c r="AC51" s="4">
        <v>89</v>
      </c>
      <c r="AD51" s="5" t="s">
        <v>140</v>
      </c>
      <c r="AE51" s="5" t="s">
        <v>130</v>
      </c>
      <c r="AF51" s="5" t="s">
        <v>141</v>
      </c>
      <c r="AG51" s="5" t="s">
        <v>142</v>
      </c>
      <c r="AH51" s="5" t="s">
        <v>18</v>
      </c>
      <c r="AI51" s="5" t="s">
        <v>16</v>
      </c>
      <c r="AJ51" s="5" t="s">
        <v>17</v>
      </c>
      <c r="AK51" s="5" t="s">
        <v>3</v>
      </c>
      <c r="AL51" s="5" t="s">
        <v>18</v>
      </c>
      <c r="AM51" s="6"/>
      <c r="AO51" s="5"/>
      <c r="AP51" s="5"/>
      <c r="AQ51" s="5"/>
      <c r="AR51" s="5" t="s">
        <v>0</v>
      </c>
      <c r="AS51" s="5"/>
      <c r="AU51" s="1547"/>
      <c r="AV51" s="35"/>
      <c r="AW51" s="36"/>
      <c r="AY51" s="34"/>
      <c r="AZ51" s="35"/>
      <c r="BA51" s="36"/>
      <c r="BC51" s="34" t="s">
        <v>819</v>
      </c>
      <c r="BD51" s="35" t="s">
        <v>2248</v>
      </c>
      <c r="BE51" s="36">
        <v>3300</v>
      </c>
      <c r="BG51" s="34"/>
      <c r="BH51" s="35"/>
      <c r="BI51" s="36"/>
      <c r="BK51" s="34"/>
      <c r="BL51" s="35"/>
      <c r="BM51" s="36"/>
      <c r="BO51" s="34"/>
      <c r="BP51" s="35"/>
      <c r="BQ51" s="36"/>
      <c r="BS51" s="1592"/>
      <c r="BT51" s="35"/>
      <c r="BU51" s="36"/>
      <c r="BW51" s="34"/>
      <c r="BX51" s="35"/>
      <c r="BY51" s="36"/>
      <c r="CA51" s="34"/>
      <c r="CB51" s="35"/>
      <c r="CC51" s="36"/>
      <c r="CE51" s="34"/>
      <c r="CF51" s="35"/>
      <c r="CG51" s="36"/>
      <c r="CI51" s="34"/>
      <c r="CJ51" s="35"/>
      <c r="CK51" s="36"/>
      <c r="CM51" s="34"/>
      <c r="CN51" s="35"/>
      <c r="CO51" s="36"/>
    </row>
    <row r="52" spans="1:94">
      <c r="A52" s="34" t="s">
        <v>4190</v>
      </c>
      <c r="B52" s="35" t="s">
        <v>2203</v>
      </c>
      <c r="C52" s="36">
        <v>325699.31</v>
      </c>
      <c r="D52" s="37" t="str">
        <f>IF(C52&gt;=Mat!$E$71,"Material","No Mat")</f>
        <v>Material</v>
      </c>
      <c r="E52" s="834">
        <f>IF(C52&gt;=Mat!$E$71,C52/Mat!$E$71,0)</f>
        <v>1.2290722201067115</v>
      </c>
      <c r="F52" s="895"/>
      <c r="G52" s="34"/>
      <c r="H52" s="35"/>
      <c r="I52" s="48"/>
      <c r="J52" s="36"/>
      <c r="L52" s="506"/>
      <c r="M52" s="506" t="s">
        <v>2211</v>
      </c>
      <c r="N52" s="507">
        <f t="shared" si="1"/>
        <v>0</v>
      </c>
      <c r="O52" s="507">
        <f t="shared" si="2"/>
        <v>0</v>
      </c>
      <c r="P52" s="507">
        <f t="shared" si="3"/>
        <v>0</v>
      </c>
      <c r="Q52" s="507">
        <f t="shared" si="4"/>
        <v>0</v>
      </c>
      <c r="R52" s="507">
        <f t="shared" si="5"/>
        <v>0</v>
      </c>
      <c r="S52" s="507">
        <f t="shared" si="6"/>
        <v>0</v>
      </c>
      <c r="T52" s="507">
        <f t="shared" si="7"/>
        <v>0</v>
      </c>
      <c r="U52" s="507">
        <f t="shared" si="8"/>
        <v>0</v>
      </c>
      <c r="V52" s="507">
        <f t="shared" si="9"/>
        <v>0</v>
      </c>
      <c r="W52" s="507">
        <f t="shared" si="10"/>
        <v>0</v>
      </c>
      <c r="X52" s="507">
        <f t="shared" si="11"/>
        <v>0</v>
      </c>
      <c r="Y52" s="507">
        <f t="shared" si="12"/>
        <v>0</v>
      </c>
      <c r="Z52" s="11">
        <f t="shared" si="13"/>
        <v>0</v>
      </c>
      <c r="AC52" s="4">
        <v>91</v>
      </c>
      <c r="AD52" s="5" t="s">
        <v>143</v>
      </c>
      <c r="AE52" s="5" t="s">
        <v>130</v>
      </c>
      <c r="AF52" s="5" t="s">
        <v>144</v>
      </c>
      <c r="AG52" s="5" t="s">
        <v>145</v>
      </c>
      <c r="AH52" s="5" t="s">
        <v>18</v>
      </c>
      <c r="AI52" s="5" t="s">
        <v>16</v>
      </c>
      <c r="AJ52" s="5" t="s">
        <v>17</v>
      </c>
      <c r="AK52" s="5" t="s">
        <v>3</v>
      </c>
      <c r="AL52" s="5" t="s">
        <v>18</v>
      </c>
      <c r="AM52" s="6"/>
      <c r="AO52" s="5"/>
      <c r="AP52" s="5"/>
      <c r="AQ52" s="5"/>
      <c r="AR52" s="5"/>
      <c r="AS52" s="5"/>
      <c r="AU52" s="1547" t="s">
        <v>45</v>
      </c>
      <c r="AV52" s="35" t="s">
        <v>3784</v>
      </c>
      <c r="AW52" s="36">
        <v>3000</v>
      </c>
      <c r="AY52" s="34"/>
      <c r="AZ52" s="35"/>
      <c r="BA52" s="36"/>
      <c r="BC52" s="34" t="s">
        <v>825</v>
      </c>
      <c r="BD52" s="35" t="s">
        <v>826</v>
      </c>
      <c r="BE52" s="36">
        <v>73066.22</v>
      </c>
      <c r="BG52" s="34"/>
      <c r="BH52" s="35"/>
      <c r="BI52" s="36"/>
      <c r="BK52" s="34"/>
      <c r="BL52" s="35"/>
      <c r="BM52" s="36"/>
      <c r="BO52" s="34"/>
      <c r="BP52" s="35"/>
      <c r="BQ52" s="36"/>
      <c r="BS52" s="1592"/>
      <c r="BT52" s="35"/>
      <c r="BU52" s="36"/>
      <c r="BW52" s="34"/>
      <c r="BX52" s="35"/>
      <c r="BY52" s="36"/>
      <c r="CA52" s="34"/>
      <c r="CB52" s="35"/>
      <c r="CC52" s="36"/>
      <c r="CE52" s="34"/>
      <c r="CF52" s="35"/>
      <c r="CG52" s="36"/>
      <c r="CI52" s="34"/>
      <c r="CJ52" s="35"/>
      <c r="CK52" s="36"/>
      <c r="CM52" s="34"/>
      <c r="CN52" s="35"/>
      <c r="CO52" s="36"/>
    </row>
    <row r="53" spans="1:94">
      <c r="A53" s="34" t="s">
        <v>252</v>
      </c>
      <c r="B53" s="35" t="s">
        <v>253</v>
      </c>
      <c r="C53" s="36">
        <v>11936643.77</v>
      </c>
      <c r="D53" s="37" t="str">
        <f>IF(C53&gt;=Mat!$E$71,"Material","No Mat")</f>
        <v>Material</v>
      </c>
      <c r="E53" s="834">
        <f>IF(C53&gt;=Mat!$E$71,C53/Mat!$E$71,0)</f>
        <v>45.044606508429034</v>
      </c>
      <c r="F53" s="895"/>
      <c r="G53" s="34"/>
      <c r="H53" s="35"/>
      <c r="I53" s="48"/>
      <c r="J53" s="36"/>
      <c r="L53" s="506"/>
      <c r="M53" s="506" t="s">
        <v>2315</v>
      </c>
      <c r="N53" s="507">
        <f t="shared" si="1"/>
        <v>0</v>
      </c>
      <c r="O53" s="507">
        <f t="shared" si="2"/>
        <v>0</v>
      </c>
      <c r="P53" s="507">
        <f t="shared" si="3"/>
        <v>0</v>
      </c>
      <c r="Q53" s="507">
        <f t="shared" si="4"/>
        <v>0</v>
      </c>
      <c r="R53" s="507">
        <f t="shared" si="5"/>
        <v>0</v>
      </c>
      <c r="S53" s="507">
        <f t="shared" si="6"/>
        <v>0</v>
      </c>
      <c r="T53" s="507">
        <f t="shared" si="7"/>
        <v>0</v>
      </c>
      <c r="U53" s="507">
        <f t="shared" si="8"/>
        <v>0</v>
      </c>
      <c r="V53" s="507">
        <f t="shared" si="9"/>
        <v>0</v>
      </c>
      <c r="W53" s="507">
        <f t="shared" si="10"/>
        <v>0</v>
      </c>
      <c r="X53" s="507">
        <f t="shared" si="11"/>
        <v>0</v>
      </c>
      <c r="Y53" s="507">
        <f t="shared" si="12"/>
        <v>0</v>
      </c>
      <c r="Z53" s="11">
        <f t="shared" si="13"/>
        <v>0</v>
      </c>
      <c r="AC53" s="4">
        <v>93</v>
      </c>
      <c r="AD53" s="5" t="s">
        <v>146</v>
      </c>
      <c r="AE53" s="5" t="s">
        <v>130</v>
      </c>
      <c r="AF53" s="5" t="s">
        <v>147</v>
      </c>
      <c r="AG53" s="5" t="s">
        <v>148</v>
      </c>
      <c r="AH53" s="5" t="s">
        <v>18</v>
      </c>
      <c r="AI53" s="5" t="s">
        <v>16</v>
      </c>
      <c r="AJ53" s="5" t="s">
        <v>17</v>
      </c>
      <c r="AK53" s="5" t="s">
        <v>3</v>
      </c>
      <c r="AL53" s="5" t="s">
        <v>18</v>
      </c>
      <c r="AM53" s="6"/>
      <c r="AO53" s="5"/>
      <c r="AP53" s="5"/>
      <c r="AQ53" s="5"/>
      <c r="AR53" s="5"/>
      <c r="AS53" s="5"/>
      <c r="AU53" s="1547" t="s">
        <v>47</v>
      </c>
      <c r="AV53" s="35" t="s">
        <v>48</v>
      </c>
      <c r="AW53" s="36">
        <v>-1391.2</v>
      </c>
      <c r="AY53" s="34"/>
      <c r="AZ53" s="35"/>
      <c r="BA53" s="36"/>
      <c r="BC53" s="34" t="s">
        <v>831</v>
      </c>
      <c r="BD53" s="35" t="s">
        <v>832</v>
      </c>
      <c r="BE53" s="36">
        <v>750</v>
      </c>
      <c r="BG53" s="34"/>
      <c r="BH53" s="35"/>
      <c r="BI53" s="36"/>
      <c r="BK53" s="34"/>
      <c r="BL53" s="35"/>
      <c r="BM53" s="36"/>
      <c r="BO53" s="34"/>
      <c r="BP53" s="35"/>
      <c r="BQ53" s="36"/>
      <c r="BS53" s="1592"/>
      <c r="BT53" s="35"/>
      <c r="BU53" s="36"/>
      <c r="BW53" s="34"/>
      <c r="BX53" s="35"/>
      <c r="BY53" s="36"/>
      <c r="CA53" s="34"/>
      <c r="CB53" s="35"/>
      <c r="CC53" s="36"/>
      <c r="CE53" s="34"/>
      <c r="CF53" s="35"/>
      <c r="CG53" s="36"/>
      <c r="CI53" s="34"/>
      <c r="CJ53" s="35"/>
      <c r="CK53" s="36"/>
      <c r="CM53" s="34"/>
      <c r="CN53" s="35"/>
      <c r="CO53" s="36"/>
    </row>
    <row r="54" spans="1:94">
      <c r="A54" s="34" t="s">
        <v>290</v>
      </c>
      <c r="B54" s="35" t="s">
        <v>291</v>
      </c>
      <c r="C54" s="36">
        <v>11361</v>
      </c>
      <c r="D54" s="37" t="str">
        <f>IF(C54&gt;=Mat!$E$71,"Material","No Mat")</f>
        <v>No Mat</v>
      </c>
      <c r="E54" s="834">
        <f>IF(C54&gt;=Mat!$E$71,C54/Mat!$E$71,0)</f>
        <v>0</v>
      </c>
      <c r="F54" s="895"/>
      <c r="G54" s="34"/>
      <c r="H54" s="35"/>
      <c r="I54" s="48"/>
      <c r="J54" s="36"/>
      <c r="L54" s="506"/>
      <c r="M54" s="506" t="s">
        <v>2212</v>
      </c>
      <c r="N54" s="507">
        <f t="shared" si="1"/>
        <v>0</v>
      </c>
      <c r="O54" s="507">
        <f t="shared" si="2"/>
        <v>0</v>
      </c>
      <c r="P54" s="507">
        <f t="shared" si="3"/>
        <v>0</v>
      </c>
      <c r="Q54" s="507">
        <f t="shared" si="4"/>
        <v>0</v>
      </c>
      <c r="R54" s="507">
        <f t="shared" si="5"/>
        <v>0</v>
      </c>
      <c r="S54" s="507">
        <f t="shared" si="6"/>
        <v>0</v>
      </c>
      <c r="T54" s="507">
        <f t="shared" si="7"/>
        <v>0</v>
      </c>
      <c r="U54" s="507">
        <f t="shared" si="8"/>
        <v>0</v>
      </c>
      <c r="V54" s="507">
        <f t="shared" si="9"/>
        <v>0</v>
      </c>
      <c r="W54" s="507">
        <f t="shared" si="10"/>
        <v>0</v>
      </c>
      <c r="X54" s="507">
        <f t="shared" si="11"/>
        <v>0</v>
      </c>
      <c r="Y54" s="507">
        <f t="shared" si="12"/>
        <v>0</v>
      </c>
      <c r="Z54" s="11">
        <f t="shared" si="13"/>
        <v>0</v>
      </c>
      <c r="AC54" s="4">
        <v>95</v>
      </c>
      <c r="AD54" s="5" t="s">
        <v>149</v>
      </c>
      <c r="AE54" s="5" t="s">
        <v>130</v>
      </c>
      <c r="AF54" s="5" t="s">
        <v>150</v>
      </c>
      <c r="AG54" s="5" t="s">
        <v>151</v>
      </c>
      <c r="AH54" s="5" t="s">
        <v>18</v>
      </c>
      <c r="AI54" s="5" t="s">
        <v>16</v>
      </c>
      <c r="AJ54" s="5" t="s">
        <v>17</v>
      </c>
      <c r="AK54" s="5" t="s">
        <v>3</v>
      </c>
      <c r="AL54" s="5" t="s">
        <v>18</v>
      </c>
      <c r="AM54" s="6"/>
      <c r="AO54" s="5"/>
      <c r="AP54" s="5"/>
      <c r="AQ54" s="5"/>
      <c r="AR54" s="5"/>
      <c r="AS54" s="5"/>
      <c r="AU54" s="1547" t="s">
        <v>51</v>
      </c>
      <c r="AV54" s="35" t="s">
        <v>52</v>
      </c>
      <c r="AW54" s="36">
        <v>-62234.6</v>
      </c>
      <c r="AY54" s="34"/>
      <c r="AZ54" s="35"/>
      <c r="BA54" s="36"/>
      <c r="BC54" s="34" t="s">
        <v>4273</v>
      </c>
      <c r="BD54" s="35" t="s">
        <v>3926</v>
      </c>
      <c r="BE54" s="36">
        <v>1191000</v>
      </c>
      <c r="BG54" s="34"/>
      <c r="BH54" s="35"/>
      <c r="BI54" s="36"/>
      <c r="BK54" s="34"/>
      <c r="BL54" s="35"/>
      <c r="BM54" s="36"/>
      <c r="BO54" s="34"/>
      <c r="BP54" s="35"/>
      <c r="BQ54" s="36"/>
      <c r="BS54" s="1592"/>
      <c r="BT54" s="35"/>
      <c r="BU54" s="36"/>
      <c r="BW54" s="34"/>
      <c r="BX54" s="35"/>
      <c r="BY54" s="36"/>
      <c r="CA54" s="34"/>
      <c r="CB54" s="35"/>
      <c r="CC54" s="36"/>
      <c r="CE54" s="34"/>
      <c r="CF54" s="35"/>
      <c r="CG54" s="36"/>
      <c r="CI54" s="34"/>
      <c r="CJ54" s="35"/>
      <c r="CK54" s="36"/>
      <c r="CM54" s="34"/>
      <c r="CN54" s="35"/>
      <c r="CO54" s="36"/>
    </row>
    <row r="55" spans="1:94">
      <c r="A55" s="34" t="s">
        <v>912</v>
      </c>
      <c r="B55" s="35" t="s">
        <v>913</v>
      </c>
      <c r="C55" s="36">
        <v>56304.6</v>
      </c>
      <c r="D55" s="37" t="str">
        <f>IF(C55&gt;=Mat!$E$71,"Material","No Mat")</f>
        <v>No Mat</v>
      </c>
      <c r="E55" s="834">
        <f>IF(C55&gt;=Mat!$E$71,C55/Mat!$E$71,0)</f>
        <v>0</v>
      </c>
      <c r="F55" s="895"/>
      <c r="G55" s="34"/>
      <c r="H55" s="35"/>
      <c r="I55" s="48"/>
      <c r="J55" s="36"/>
      <c r="L55" s="506"/>
      <c r="M55" s="506" t="s">
        <v>2213</v>
      </c>
      <c r="N55" s="507">
        <f t="shared" si="1"/>
        <v>0</v>
      </c>
      <c r="O55" s="507">
        <f t="shared" si="2"/>
        <v>0</v>
      </c>
      <c r="P55" s="507">
        <f t="shared" si="3"/>
        <v>0</v>
      </c>
      <c r="Q55" s="507">
        <f t="shared" si="4"/>
        <v>0</v>
      </c>
      <c r="R55" s="507">
        <f t="shared" si="5"/>
        <v>0</v>
      </c>
      <c r="S55" s="507">
        <f t="shared" si="6"/>
        <v>0</v>
      </c>
      <c r="T55" s="507">
        <f t="shared" si="7"/>
        <v>0</v>
      </c>
      <c r="U55" s="507">
        <f t="shared" si="8"/>
        <v>0</v>
      </c>
      <c r="V55" s="507">
        <f t="shared" si="9"/>
        <v>0</v>
      </c>
      <c r="W55" s="507">
        <f t="shared" si="10"/>
        <v>0</v>
      </c>
      <c r="X55" s="507">
        <f t="shared" si="11"/>
        <v>0</v>
      </c>
      <c r="Y55" s="507">
        <f t="shared" si="12"/>
        <v>0</v>
      </c>
      <c r="Z55" s="11">
        <f t="shared" si="13"/>
        <v>0</v>
      </c>
      <c r="AC55" s="4">
        <v>97</v>
      </c>
      <c r="AD55" s="5" t="s">
        <v>152</v>
      </c>
      <c r="AE55" s="5" t="s">
        <v>130</v>
      </c>
      <c r="AF55" s="5" t="s">
        <v>153</v>
      </c>
      <c r="AG55" s="5" t="s">
        <v>154</v>
      </c>
      <c r="AH55" s="5" t="s">
        <v>18</v>
      </c>
      <c r="AI55" s="5" t="s">
        <v>16</v>
      </c>
      <c r="AJ55" s="5" t="s">
        <v>17</v>
      </c>
      <c r="AK55" s="5" t="s">
        <v>3</v>
      </c>
      <c r="AL55" s="5" t="s">
        <v>18</v>
      </c>
      <c r="AM55" s="6"/>
      <c r="AO55" s="5"/>
      <c r="AP55" s="5"/>
      <c r="AQ55" s="5"/>
      <c r="AR55" s="5"/>
      <c r="AS55" s="5"/>
      <c r="AU55" s="1547" t="s">
        <v>4179</v>
      </c>
      <c r="AV55" s="35" t="s">
        <v>3794</v>
      </c>
      <c r="AW55" s="36">
        <v>1559481.6500000004</v>
      </c>
      <c r="AY55" s="34"/>
      <c r="AZ55" s="35"/>
      <c r="BA55" s="36"/>
      <c r="BC55" s="34" t="s">
        <v>4274</v>
      </c>
      <c r="BD55" s="35" t="s">
        <v>3928</v>
      </c>
      <c r="BE55" s="36">
        <v>203388</v>
      </c>
      <c r="BG55" s="34"/>
      <c r="BH55" s="35"/>
      <c r="BI55" s="36"/>
      <c r="BK55" s="34"/>
      <c r="BL55" s="35"/>
      <c r="BM55" s="36"/>
      <c r="BO55" s="34"/>
      <c r="BP55" s="35"/>
      <c r="BQ55" s="36"/>
      <c r="BS55" s="1592"/>
      <c r="BT55" s="35"/>
      <c r="BU55" s="36"/>
      <c r="BW55" s="34"/>
      <c r="BX55" s="35"/>
      <c r="BY55" s="36"/>
      <c r="CA55" s="34"/>
      <c r="CB55" s="35"/>
      <c r="CC55" s="36"/>
      <c r="CE55" s="34"/>
      <c r="CF55" s="35"/>
      <c r="CG55" s="36"/>
      <c r="CI55" s="34"/>
      <c r="CJ55" s="35"/>
      <c r="CK55" s="36"/>
      <c r="CM55" s="34"/>
      <c r="CN55" s="35"/>
      <c r="CO55" s="36"/>
    </row>
    <row r="56" spans="1:94">
      <c r="A56" s="34" t="s">
        <v>294</v>
      </c>
      <c r="B56" s="35" t="s">
        <v>295</v>
      </c>
      <c r="C56" s="36">
        <v>71945.25</v>
      </c>
      <c r="D56" s="37" t="str">
        <f>IF(C56&gt;=Mat!$E$71,"Material","No Mat")</f>
        <v>No Mat</v>
      </c>
      <c r="E56" s="834">
        <f>IF(C56&gt;=Mat!$E$71,C56/Mat!$E$71,0)</f>
        <v>0</v>
      </c>
      <c r="F56" s="895"/>
      <c r="G56" s="34"/>
      <c r="H56" s="35"/>
      <c r="I56" s="48"/>
      <c r="J56" s="36"/>
      <c r="L56" s="506"/>
      <c r="M56" s="506" t="s">
        <v>2316</v>
      </c>
      <c r="N56" s="507">
        <f t="shared" si="1"/>
        <v>0</v>
      </c>
      <c r="O56" s="507">
        <f t="shared" si="2"/>
        <v>0</v>
      </c>
      <c r="P56" s="507">
        <f t="shared" si="3"/>
        <v>0</v>
      </c>
      <c r="Q56" s="507">
        <f t="shared" si="4"/>
        <v>0</v>
      </c>
      <c r="R56" s="507">
        <f t="shared" si="5"/>
        <v>0</v>
      </c>
      <c r="S56" s="507">
        <f t="shared" si="6"/>
        <v>0</v>
      </c>
      <c r="T56" s="507">
        <f t="shared" si="7"/>
        <v>0</v>
      </c>
      <c r="U56" s="507">
        <f t="shared" si="8"/>
        <v>0</v>
      </c>
      <c r="V56" s="507">
        <f t="shared" si="9"/>
        <v>0</v>
      </c>
      <c r="W56" s="507">
        <f t="shared" si="10"/>
        <v>0</v>
      </c>
      <c r="X56" s="507">
        <f t="shared" si="11"/>
        <v>0</v>
      </c>
      <c r="Y56" s="507">
        <f t="shared" si="12"/>
        <v>0</v>
      </c>
      <c r="Z56" s="11">
        <f t="shared" si="13"/>
        <v>0</v>
      </c>
      <c r="AC56" s="4">
        <v>99</v>
      </c>
      <c r="AD56" s="5" t="s">
        <v>155</v>
      </c>
      <c r="AE56" s="5" t="s">
        <v>130</v>
      </c>
      <c r="AF56" s="5" t="s">
        <v>156</v>
      </c>
      <c r="AG56" s="5" t="s">
        <v>157</v>
      </c>
      <c r="AH56" s="5" t="s">
        <v>18</v>
      </c>
      <c r="AI56" s="5" t="s">
        <v>16</v>
      </c>
      <c r="AJ56" s="5" t="s">
        <v>17</v>
      </c>
      <c r="AK56" s="5" t="s">
        <v>3</v>
      </c>
      <c r="AL56" s="5" t="s">
        <v>18</v>
      </c>
      <c r="AM56" s="6"/>
      <c r="AO56" s="5"/>
      <c r="AP56" s="5"/>
      <c r="AQ56" s="5"/>
      <c r="AR56" s="5"/>
      <c r="AS56" s="5"/>
      <c r="AU56" s="1547" t="s">
        <v>4180</v>
      </c>
      <c r="AV56" s="35" t="s">
        <v>3850</v>
      </c>
      <c r="AW56" s="36">
        <v>16524961.869999997</v>
      </c>
      <c r="AY56" s="34"/>
      <c r="AZ56" s="35"/>
      <c r="BA56" s="36"/>
      <c r="BC56" s="34" t="s">
        <v>4275</v>
      </c>
      <c r="BD56" s="35" t="s">
        <v>3929</v>
      </c>
      <c r="BE56" s="36">
        <v>620.62</v>
      </c>
      <c r="BF56" s="11"/>
      <c r="BG56" s="34"/>
      <c r="BH56" s="35"/>
      <c r="BI56" s="36"/>
      <c r="BK56" s="34"/>
      <c r="BL56" s="35"/>
      <c r="BM56" s="36"/>
      <c r="BO56" s="34"/>
      <c r="BP56" s="35"/>
      <c r="BQ56" s="36"/>
      <c r="BS56" s="1592"/>
      <c r="BT56" s="35"/>
      <c r="BU56" s="36"/>
      <c r="BW56" s="34"/>
      <c r="BX56" s="35"/>
      <c r="BY56" s="36"/>
      <c r="CA56" s="34"/>
      <c r="CB56" s="35"/>
      <c r="CC56" s="36"/>
      <c r="CE56" s="34"/>
      <c r="CF56" s="35"/>
      <c r="CG56" s="36"/>
      <c r="CI56" s="34"/>
      <c r="CJ56" s="35"/>
      <c r="CK56" s="36"/>
      <c r="CM56" s="34"/>
      <c r="CN56" s="35"/>
      <c r="CO56" s="36"/>
    </row>
    <row r="57" spans="1:94">
      <c r="A57" s="1557" t="s">
        <v>435</v>
      </c>
      <c r="B57" s="35" t="s">
        <v>436</v>
      </c>
      <c r="C57" s="36">
        <v>808793054.60000002</v>
      </c>
      <c r="D57" s="37" t="str">
        <f>IF(C57&gt;=Mat!$E$71,"Material","No Mat")</f>
        <v>Material</v>
      </c>
      <c r="E57" s="834">
        <f>IF(C57&gt;=Mat!$E$71,C57/Mat!$E$71,0)</f>
        <v>3052.0945077350971</v>
      </c>
      <c r="F57" s="895"/>
      <c r="G57" s="34"/>
      <c r="H57" s="35"/>
      <c r="I57" s="48"/>
      <c r="J57" s="36"/>
      <c r="L57" s="506"/>
      <c r="M57" s="506" t="s">
        <v>2214</v>
      </c>
      <c r="N57" s="507">
        <f t="shared" si="1"/>
        <v>0</v>
      </c>
      <c r="O57" s="507">
        <f t="shared" si="2"/>
        <v>0</v>
      </c>
      <c r="P57" s="507">
        <f t="shared" si="3"/>
        <v>0</v>
      </c>
      <c r="Q57" s="507">
        <f t="shared" si="4"/>
        <v>0</v>
      </c>
      <c r="R57" s="507">
        <f t="shared" si="5"/>
        <v>0</v>
      </c>
      <c r="S57" s="507">
        <f t="shared" si="6"/>
        <v>0</v>
      </c>
      <c r="T57" s="507">
        <f t="shared" si="7"/>
        <v>0</v>
      </c>
      <c r="U57" s="507">
        <f t="shared" si="8"/>
        <v>0</v>
      </c>
      <c r="V57" s="507">
        <f t="shared" si="9"/>
        <v>0</v>
      </c>
      <c r="W57" s="507">
        <f t="shared" si="10"/>
        <v>0</v>
      </c>
      <c r="X57" s="507">
        <f t="shared" si="11"/>
        <v>0</v>
      </c>
      <c r="Y57" s="507">
        <f t="shared" si="12"/>
        <v>0</v>
      </c>
      <c r="Z57" s="11">
        <f t="shared" si="13"/>
        <v>0</v>
      </c>
      <c r="AC57" s="4">
        <v>101</v>
      </c>
      <c r="AD57" s="5" t="s">
        <v>158</v>
      </c>
      <c r="AE57" s="5" t="s">
        <v>130</v>
      </c>
      <c r="AF57" s="5" t="s">
        <v>159</v>
      </c>
      <c r="AG57" s="5" t="s">
        <v>160</v>
      </c>
      <c r="AH57" s="5" t="s">
        <v>18</v>
      </c>
      <c r="AI57" s="5" t="s">
        <v>16</v>
      </c>
      <c r="AJ57" s="5" t="s">
        <v>17</v>
      </c>
      <c r="AK57" s="5" t="s">
        <v>3</v>
      </c>
      <c r="AL57" s="5" t="s">
        <v>18</v>
      </c>
      <c r="AM57" s="6"/>
      <c r="AO57" s="5"/>
      <c r="AP57" s="5"/>
      <c r="AQ57" s="5"/>
      <c r="AR57" s="5"/>
      <c r="AS57" s="5"/>
      <c r="AU57" s="1547" t="s">
        <v>118</v>
      </c>
      <c r="AV57" s="35" t="s">
        <v>119</v>
      </c>
      <c r="AW57" s="36">
        <v>5003.83</v>
      </c>
      <c r="AY57" s="34"/>
      <c r="AZ57" s="35"/>
      <c r="BA57" s="36"/>
      <c r="BC57" s="34" t="s">
        <v>4276</v>
      </c>
      <c r="BD57" s="35" t="s">
        <v>3943</v>
      </c>
      <c r="BE57" s="36">
        <v>4998.54</v>
      </c>
      <c r="BF57" s="19"/>
      <c r="BG57" s="34"/>
      <c r="BH57" s="35"/>
      <c r="BI57" s="36"/>
      <c r="BK57" s="34"/>
      <c r="BL57" s="35"/>
      <c r="BM57" s="36"/>
      <c r="BO57" s="34"/>
      <c r="BP57" s="35"/>
      <c r="BQ57" s="36"/>
      <c r="BS57" s="1592"/>
      <c r="BT57" s="35"/>
      <c r="BU57" s="36"/>
      <c r="BW57" s="34"/>
      <c r="BX57" s="35"/>
      <c r="BY57" s="36"/>
      <c r="CA57" s="34"/>
      <c r="CB57" s="35"/>
      <c r="CC57" s="36"/>
      <c r="CE57" s="34"/>
      <c r="CF57" s="35"/>
      <c r="CG57" s="36"/>
      <c r="CI57" s="34"/>
      <c r="CJ57" s="35"/>
      <c r="CK57" s="36"/>
      <c r="CM57" s="34"/>
      <c r="CN57" s="35"/>
      <c r="CO57" s="36"/>
    </row>
    <row r="58" spans="1:94">
      <c r="A58" s="1745" t="s">
        <v>476</v>
      </c>
      <c r="B58" s="35" t="s">
        <v>477</v>
      </c>
      <c r="C58" s="36">
        <v>279289394.98000002</v>
      </c>
      <c r="D58" s="37" t="str">
        <f>IF(C58&gt;=Mat!$E$71,"Material","No Mat")</f>
        <v>Material</v>
      </c>
      <c r="E58" s="834">
        <f>IF(C58&gt;=Mat!$E$71,C58/Mat!$E$71,0)</f>
        <v>1053.9378690741742</v>
      </c>
      <c r="F58" s="895"/>
      <c r="G58" s="34"/>
      <c r="H58" s="35"/>
      <c r="I58" s="48"/>
      <c r="J58" s="36"/>
      <c r="L58" s="506"/>
      <c r="M58" s="506" t="s">
        <v>2215</v>
      </c>
      <c r="N58" s="507">
        <f t="shared" si="1"/>
        <v>0</v>
      </c>
      <c r="O58" s="507">
        <f t="shared" si="2"/>
        <v>0</v>
      </c>
      <c r="P58" s="507">
        <f t="shared" si="3"/>
        <v>0</v>
      </c>
      <c r="Q58" s="507">
        <f t="shared" si="4"/>
        <v>0</v>
      </c>
      <c r="R58" s="507">
        <f t="shared" si="5"/>
        <v>0</v>
      </c>
      <c r="S58" s="507">
        <f t="shared" si="6"/>
        <v>0</v>
      </c>
      <c r="T58" s="507">
        <f t="shared" si="7"/>
        <v>0</v>
      </c>
      <c r="U58" s="507">
        <f t="shared" si="8"/>
        <v>0</v>
      </c>
      <c r="V58" s="507">
        <f t="shared" si="9"/>
        <v>0</v>
      </c>
      <c r="W58" s="507">
        <f t="shared" si="10"/>
        <v>0</v>
      </c>
      <c r="X58" s="507">
        <f t="shared" si="11"/>
        <v>0</v>
      </c>
      <c r="Y58" s="507">
        <f t="shared" si="12"/>
        <v>0</v>
      </c>
      <c r="Z58" s="11">
        <f t="shared" si="13"/>
        <v>0</v>
      </c>
      <c r="AA58">
        <v>864.07</v>
      </c>
      <c r="AC58" s="4">
        <v>103</v>
      </c>
      <c r="AD58" s="5" t="s">
        <v>163</v>
      </c>
      <c r="AE58" s="5" t="s">
        <v>161</v>
      </c>
      <c r="AF58" s="5" t="s">
        <v>164</v>
      </c>
      <c r="AG58" s="5" t="s">
        <v>165</v>
      </c>
      <c r="AH58" s="5" t="s">
        <v>18</v>
      </c>
      <c r="AI58" s="5" t="s">
        <v>16</v>
      </c>
      <c r="AJ58" s="5" t="s">
        <v>17</v>
      </c>
      <c r="AK58" s="5" t="s">
        <v>3</v>
      </c>
      <c r="AL58" s="5" t="s">
        <v>18</v>
      </c>
      <c r="AM58" s="6"/>
      <c r="AO58" s="5"/>
      <c r="AP58" s="5"/>
      <c r="AQ58" s="5"/>
      <c r="AR58" s="5"/>
      <c r="AS58" s="5"/>
      <c r="AU58" s="1547" t="s">
        <v>207</v>
      </c>
      <c r="AV58" s="35" t="s">
        <v>2319</v>
      </c>
      <c r="AW58" s="36">
        <v>17380</v>
      </c>
      <c r="AY58" s="34"/>
      <c r="AZ58" s="35"/>
      <c r="BA58" s="36"/>
      <c r="BC58" s="34" t="s">
        <v>4255</v>
      </c>
      <c r="BD58" s="35" t="s">
        <v>3944</v>
      </c>
      <c r="BE58" s="36">
        <v>17380</v>
      </c>
      <c r="BG58" s="34"/>
      <c r="BH58" s="35"/>
      <c r="BI58" s="36"/>
      <c r="BK58" s="34"/>
      <c r="BL58" s="35"/>
      <c r="BM58" s="36"/>
      <c r="BO58" s="34"/>
      <c r="BP58" s="35"/>
      <c r="BQ58" s="36"/>
      <c r="BS58" s="1592"/>
      <c r="BT58" s="35"/>
      <c r="BU58" s="36"/>
      <c r="BW58" s="34"/>
      <c r="BX58" s="35"/>
      <c r="BY58" s="36"/>
      <c r="CA58" s="34"/>
      <c r="CB58" s="35"/>
      <c r="CC58" s="36"/>
      <c r="CE58" s="34"/>
      <c r="CF58" s="35"/>
      <c r="CG58" s="36"/>
      <c r="CI58" s="34"/>
      <c r="CJ58" s="35"/>
      <c r="CK58" s="36"/>
      <c r="CM58" s="34"/>
      <c r="CN58" s="35"/>
      <c r="CO58" s="36"/>
    </row>
    <row r="59" spans="1:94">
      <c r="A59" s="34" t="s">
        <v>478</v>
      </c>
      <c r="B59" s="35" t="s">
        <v>479</v>
      </c>
      <c r="C59" s="36">
        <v>120373832.37</v>
      </c>
      <c r="D59" s="37" t="str">
        <f>IF(C59&gt;=Mat!$E$71,"Material","No Mat")</f>
        <v>Material</v>
      </c>
      <c r="E59" s="834">
        <f>IF(C59&gt;=Mat!$E$71,C59/Mat!$E$71,0)</f>
        <v>454.24761076021025</v>
      </c>
      <c r="G59" s="34"/>
      <c r="H59" s="35"/>
      <c r="I59" s="48"/>
      <c r="J59" s="36"/>
      <c r="L59" s="506"/>
      <c r="M59" s="506" t="s">
        <v>3942</v>
      </c>
      <c r="N59" s="507">
        <f>IFERROR(VLOOKUP(M59,$AV$8:$AW$298,2,FALSE),0)</f>
        <v>0</v>
      </c>
      <c r="O59" s="507">
        <f>IFERROR(VLOOKUP(M59,$AZ$8:$BA$298,2,FALSE),0)</f>
        <v>0</v>
      </c>
      <c r="P59" s="507">
        <f>IFERROR(VLOOKUP(M59,$BD$8:$BE$298,2,FALSE),0)</f>
        <v>0</v>
      </c>
      <c r="Q59" s="507">
        <f t="shared" si="4"/>
        <v>0</v>
      </c>
      <c r="R59" s="507">
        <f t="shared" si="5"/>
        <v>0</v>
      </c>
      <c r="S59" s="507">
        <f t="shared" si="6"/>
        <v>0</v>
      </c>
      <c r="T59" s="507">
        <f t="shared" si="7"/>
        <v>0</v>
      </c>
      <c r="U59" s="507">
        <f t="shared" si="8"/>
        <v>0</v>
      </c>
      <c r="V59" s="507">
        <f t="shared" si="9"/>
        <v>0</v>
      </c>
      <c r="W59" s="507">
        <f t="shared" si="10"/>
        <v>0</v>
      </c>
      <c r="X59" s="507">
        <f t="shared" si="11"/>
        <v>0</v>
      </c>
      <c r="Y59" s="507">
        <f t="shared" si="12"/>
        <v>0</v>
      </c>
      <c r="Z59" s="11">
        <f>SUM(N59:Y59)</f>
        <v>0</v>
      </c>
      <c r="AC59" s="4">
        <v>105</v>
      </c>
      <c r="AD59" s="5" t="s">
        <v>166</v>
      </c>
      <c r="AE59" s="5" t="s">
        <v>161</v>
      </c>
      <c r="AF59" s="5" t="s">
        <v>167</v>
      </c>
      <c r="AG59" s="5" t="s">
        <v>168</v>
      </c>
      <c r="AH59" s="5" t="s">
        <v>18</v>
      </c>
      <c r="AI59" s="5" t="s">
        <v>16</v>
      </c>
      <c r="AJ59" s="5" t="s">
        <v>17</v>
      </c>
      <c r="AK59" s="5" t="s">
        <v>3</v>
      </c>
      <c r="AL59" s="5" t="s">
        <v>18</v>
      </c>
      <c r="AM59" s="6"/>
      <c r="AO59" s="5"/>
      <c r="AP59" s="5"/>
      <c r="AQ59" s="5"/>
      <c r="AR59" s="5"/>
      <c r="AS59" s="5"/>
      <c r="AU59" s="1547" t="s">
        <v>4190</v>
      </c>
      <c r="AV59" s="35" t="s">
        <v>2203</v>
      </c>
      <c r="AW59" s="36">
        <v>-54283.21</v>
      </c>
      <c r="AY59" s="34"/>
      <c r="AZ59" s="35"/>
      <c r="BA59" s="36"/>
      <c r="BC59" s="34"/>
      <c r="BD59" s="35"/>
      <c r="BE59" s="36"/>
      <c r="BG59" s="34"/>
      <c r="BH59" s="35"/>
      <c r="BI59" s="36"/>
      <c r="BK59" s="34"/>
      <c r="BL59" s="35"/>
      <c r="BM59" s="36"/>
      <c r="BO59" s="34"/>
      <c r="BP59" s="35"/>
      <c r="BQ59" s="36"/>
      <c r="BS59" s="1592"/>
      <c r="BT59" s="35"/>
      <c r="BU59" s="36"/>
      <c r="BW59" s="34"/>
      <c r="BX59" s="35"/>
      <c r="BY59" s="36"/>
      <c r="CA59" s="34"/>
      <c r="CB59" s="35"/>
      <c r="CC59" s="36"/>
      <c r="CE59" s="34"/>
      <c r="CF59" s="35"/>
      <c r="CG59" s="36"/>
      <c r="CI59" s="34"/>
      <c r="CJ59" s="35"/>
      <c r="CK59" s="36"/>
      <c r="CM59" s="34"/>
      <c r="CN59" s="35"/>
      <c r="CO59" s="36"/>
    </row>
    <row r="60" spans="1:94">
      <c r="A60" s="34" t="s">
        <v>511</v>
      </c>
      <c r="B60" s="35" t="s">
        <v>512</v>
      </c>
      <c r="C60" s="36">
        <v>45032091.25</v>
      </c>
      <c r="D60" s="37" t="str">
        <f>IF(C60&gt;=Mat!$E$71,"Material","No Mat")</f>
        <v>Material</v>
      </c>
      <c r="E60" s="834">
        <f>IF(C60&gt;=Mat!$E$71,C60/Mat!$E$71,0)</f>
        <v>169.93493897388214</v>
      </c>
      <c r="G60" s="34"/>
      <c r="H60" s="35"/>
      <c r="I60" s="48"/>
      <c r="J60" s="36"/>
      <c r="L60" s="506"/>
      <c r="M60" s="506" t="s">
        <v>2392</v>
      </c>
      <c r="N60" s="507">
        <f>IFERROR(VLOOKUP(M60,$AV$8:$AW$298,2,FALSE),0)</f>
        <v>0</v>
      </c>
      <c r="O60" s="507">
        <f>IFERROR(VLOOKUP(M60,$AZ$8:$BA$298,2,FALSE),0)</f>
        <v>0</v>
      </c>
      <c r="P60" s="507">
        <f>IFERROR(VLOOKUP(M60,$BD$8:$BE$298,2,FALSE),0)</f>
        <v>0</v>
      </c>
      <c r="Q60" s="507">
        <f t="shared" si="4"/>
        <v>0</v>
      </c>
      <c r="R60" s="507">
        <f t="shared" si="5"/>
        <v>0</v>
      </c>
      <c r="S60" s="507">
        <f t="shared" si="6"/>
        <v>0</v>
      </c>
      <c r="T60" s="507">
        <f t="shared" si="7"/>
        <v>0</v>
      </c>
      <c r="U60" s="507">
        <f t="shared" si="8"/>
        <v>0</v>
      </c>
      <c r="V60" s="507">
        <f t="shared" si="9"/>
        <v>0</v>
      </c>
      <c r="W60" s="507">
        <f t="shared" si="10"/>
        <v>0</v>
      </c>
      <c r="X60" s="507">
        <f t="shared" si="11"/>
        <v>0</v>
      </c>
      <c r="Y60" s="507">
        <f t="shared" si="12"/>
        <v>0</v>
      </c>
      <c r="Z60" s="11">
        <f>SUM(N60:Y60)</f>
        <v>0</v>
      </c>
      <c r="AC60" s="4">
        <v>107</v>
      </c>
      <c r="AD60" s="5" t="s">
        <v>169</v>
      </c>
      <c r="AE60" s="5" t="s">
        <v>161</v>
      </c>
      <c r="AF60" s="5" t="s">
        <v>170</v>
      </c>
      <c r="AG60" s="5" t="s">
        <v>171</v>
      </c>
      <c r="AH60" s="5" t="s">
        <v>18</v>
      </c>
      <c r="AI60" s="5" t="s">
        <v>16</v>
      </c>
      <c r="AJ60" s="5" t="s">
        <v>17</v>
      </c>
      <c r="AK60" s="5" t="s">
        <v>3</v>
      </c>
      <c r="AL60" s="5" t="s">
        <v>18</v>
      </c>
      <c r="AM60" s="6"/>
      <c r="AO60" s="5"/>
      <c r="AP60" s="5"/>
      <c r="AQ60" s="5"/>
      <c r="AR60" s="5"/>
      <c r="AS60" s="5"/>
      <c r="AU60" s="1547" t="s">
        <v>252</v>
      </c>
      <c r="AV60" s="35" t="s">
        <v>253</v>
      </c>
      <c r="AW60" s="36">
        <v>69561.740000000224</v>
      </c>
      <c r="AY60" s="34"/>
      <c r="AZ60" s="35"/>
      <c r="BA60" s="36"/>
      <c r="BC60" s="34"/>
      <c r="BD60" s="35"/>
      <c r="BE60" s="36"/>
      <c r="BG60" s="34"/>
      <c r="BH60" s="35"/>
      <c r="BI60" s="36"/>
      <c r="BK60" s="34"/>
      <c r="BL60" s="35"/>
      <c r="BM60" s="36"/>
      <c r="BO60" s="34"/>
      <c r="BP60" s="35"/>
      <c r="BQ60" s="36"/>
      <c r="BS60" s="1592"/>
      <c r="BT60" s="35"/>
      <c r="BU60" s="36"/>
      <c r="BW60" s="34"/>
      <c r="BX60" s="35"/>
      <c r="BY60" s="36"/>
      <c r="CA60" s="34"/>
      <c r="CB60" s="35"/>
      <c r="CC60" s="36"/>
      <c r="CE60" s="34"/>
      <c r="CF60" s="35"/>
      <c r="CG60" s="36"/>
      <c r="CI60" s="34"/>
      <c r="CJ60" s="35"/>
      <c r="CK60" s="36"/>
      <c r="CM60" s="34"/>
      <c r="CN60" s="35"/>
      <c r="CO60" s="36"/>
      <c r="CP60" s="110"/>
    </row>
    <row r="61" spans="1:94">
      <c r="A61" s="34" t="s">
        <v>4250</v>
      </c>
      <c r="B61" s="35" t="s">
        <v>3788</v>
      </c>
      <c r="C61" s="36">
        <v>11979501</v>
      </c>
      <c r="D61" s="37" t="str">
        <f>IF(C61&gt;=Mat!$E$71,"Material","No Mat")</f>
        <v>Material</v>
      </c>
      <c r="E61" s="834">
        <f>IF(C61&gt;=Mat!$E$71,C61/Mat!$E$71,0)</f>
        <v>45.206334302153024</v>
      </c>
      <c r="G61" s="34"/>
      <c r="H61" s="35"/>
      <c r="I61" s="48"/>
      <c r="J61" s="36"/>
      <c r="L61" s="506"/>
      <c r="M61" s="506" t="s">
        <v>3851</v>
      </c>
      <c r="N61" s="507">
        <f>IFERROR(VLOOKUP(M61,$AV$8:$AW$298,2,FALSE),0)</f>
        <v>0</v>
      </c>
      <c r="O61" s="507">
        <f>IFERROR(VLOOKUP(M61,$AZ$8:$BA$298,2,FALSE),0)</f>
        <v>0</v>
      </c>
      <c r="P61" s="507">
        <f>IFERROR(VLOOKUP(M61,$BD$8:$BE$298,2,FALSE),0)</f>
        <v>0</v>
      </c>
      <c r="Q61" s="507">
        <f t="shared" si="4"/>
        <v>0</v>
      </c>
      <c r="R61" s="507">
        <f t="shared" si="5"/>
        <v>0</v>
      </c>
      <c r="S61" s="507">
        <f t="shared" si="6"/>
        <v>0</v>
      </c>
      <c r="T61" s="507">
        <f t="shared" si="7"/>
        <v>0</v>
      </c>
      <c r="U61" s="507">
        <f t="shared" si="8"/>
        <v>0</v>
      </c>
      <c r="V61" s="507">
        <f t="shared" si="9"/>
        <v>0</v>
      </c>
      <c r="W61" s="507">
        <f t="shared" si="10"/>
        <v>0</v>
      </c>
      <c r="X61" s="507">
        <f t="shared" si="11"/>
        <v>0</v>
      </c>
      <c r="Y61" s="507">
        <f t="shared" si="12"/>
        <v>0</v>
      </c>
      <c r="Z61" s="11">
        <f>SUM(N61:Y61)</f>
        <v>0</v>
      </c>
      <c r="AC61" s="4">
        <v>109</v>
      </c>
      <c r="AD61" s="5" t="s">
        <v>174</v>
      </c>
      <c r="AE61" s="5" t="s">
        <v>172</v>
      </c>
      <c r="AF61" s="5" t="s">
        <v>175</v>
      </c>
      <c r="AG61" s="5" t="s">
        <v>176</v>
      </c>
      <c r="AH61" s="5" t="s">
        <v>18</v>
      </c>
      <c r="AI61" s="5" t="s">
        <v>16</v>
      </c>
      <c r="AJ61" s="5" t="s">
        <v>17</v>
      </c>
      <c r="AK61" s="5" t="s">
        <v>3</v>
      </c>
      <c r="AL61" s="5" t="s">
        <v>18</v>
      </c>
      <c r="AM61" s="6"/>
      <c r="AO61" s="5"/>
      <c r="AP61" s="5"/>
      <c r="AQ61" s="5"/>
      <c r="AR61" s="5"/>
      <c r="AS61" s="5"/>
      <c r="AU61" s="1547" t="s">
        <v>511</v>
      </c>
      <c r="AV61" s="35" t="s">
        <v>512</v>
      </c>
      <c r="AW61" s="36">
        <v>-14809357.609999999</v>
      </c>
      <c r="AY61" s="34"/>
      <c r="AZ61" s="35"/>
      <c r="BA61" s="36"/>
      <c r="BC61" s="34"/>
      <c r="BD61" s="35"/>
      <c r="BE61" s="36"/>
      <c r="BG61" s="34"/>
      <c r="BH61" s="35"/>
      <c r="BI61" s="36"/>
      <c r="BK61" s="34"/>
      <c r="BL61" s="35"/>
      <c r="BM61" s="36"/>
      <c r="BO61" s="34"/>
      <c r="BP61" s="35"/>
      <c r="BQ61" s="36"/>
      <c r="BS61" s="1592"/>
      <c r="BT61" s="35"/>
      <c r="BU61" s="36"/>
      <c r="BW61" s="34"/>
      <c r="BX61" s="35"/>
      <c r="BY61" s="36"/>
      <c r="CA61" s="34"/>
      <c r="CB61" s="35"/>
      <c r="CC61" s="36"/>
      <c r="CE61" s="34"/>
      <c r="CF61" s="35"/>
      <c r="CG61" s="36"/>
      <c r="CI61" s="34"/>
      <c r="CJ61" s="35"/>
      <c r="CK61" s="36"/>
      <c r="CM61" s="34"/>
      <c r="CN61" s="35"/>
      <c r="CO61" s="36"/>
      <c r="CP61" s="110"/>
    </row>
    <row r="62" spans="1:94">
      <c r="A62" s="34" t="s">
        <v>4251</v>
      </c>
      <c r="B62" s="35" t="s">
        <v>3787</v>
      </c>
      <c r="C62" s="36">
        <v>13885956</v>
      </c>
      <c r="D62" s="37" t="str">
        <f>IF(C62&gt;=Mat!$E$71,"Material","No Mat")</f>
        <v>Material</v>
      </c>
      <c r="E62" s="834">
        <f>IF(C62&gt;=Mat!$E$71,C62/Mat!$E$71,0)</f>
        <v>52.400610763418911</v>
      </c>
      <c r="G62" s="34"/>
      <c r="H62" s="35"/>
      <c r="I62" s="48"/>
      <c r="J62" s="36"/>
      <c r="L62" s="506"/>
      <c r="M62" s="506" t="s">
        <v>2317</v>
      </c>
      <c r="N62" s="507">
        <f t="shared" si="1"/>
        <v>0</v>
      </c>
      <c r="O62" s="507">
        <f t="shared" si="2"/>
        <v>0</v>
      </c>
      <c r="P62" s="507">
        <f t="shared" si="3"/>
        <v>0</v>
      </c>
      <c r="Q62" s="507">
        <f t="shared" si="4"/>
        <v>0</v>
      </c>
      <c r="R62" s="507">
        <f t="shared" si="5"/>
        <v>0</v>
      </c>
      <c r="S62" s="507">
        <f t="shared" si="6"/>
        <v>0</v>
      </c>
      <c r="T62" s="507">
        <f t="shared" si="7"/>
        <v>0</v>
      </c>
      <c r="U62" s="507">
        <f t="shared" si="8"/>
        <v>0</v>
      </c>
      <c r="V62" s="507">
        <f t="shared" si="9"/>
        <v>0</v>
      </c>
      <c r="W62" s="507">
        <f t="shared" si="10"/>
        <v>0</v>
      </c>
      <c r="X62" s="507">
        <f t="shared" si="11"/>
        <v>0</v>
      </c>
      <c r="Y62" s="507">
        <f t="shared" si="12"/>
        <v>0</v>
      </c>
      <c r="Z62" s="11">
        <f t="shared" si="13"/>
        <v>0</v>
      </c>
      <c r="AC62" s="4">
        <v>111</v>
      </c>
      <c r="AD62" s="5" t="s">
        <v>177</v>
      </c>
      <c r="AE62" s="5" t="s">
        <v>172</v>
      </c>
      <c r="AF62" s="5" t="s">
        <v>178</v>
      </c>
      <c r="AG62" s="5" t="s">
        <v>179</v>
      </c>
      <c r="AH62" s="5" t="s">
        <v>18</v>
      </c>
      <c r="AI62" s="5" t="s">
        <v>16</v>
      </c>
      <c r="AJ62" s="5" t="s">
        <v>17</v>
      </c>
      <c r="AK62" s="5" t="s">
        <v>3</v>
      </c>
      <c r="AL62" s="5" t="s">
        <v>18</v>
      </c>
      <c r="AM62" s="6"/>
      <c r="AO62" s="5"/>
      <c r="AP62" s="5"/>
      <c r="AQ62" s="5"/>
      <c r="AR62" s="5"/>
      <c r="AS62" s="5"/>
      <c r="AU62" s="1547" t="s">
        <v>4250</v>
      </c>
      <c r="AV62" s="35" t="s">
        <v>3788</v>
      </c>
      <c r="AW62" s="36">
        <v>-3993167</v>
      </c>
      <c r="AY62" s="34"/>
      <c r="AZ62" s="35"/>
      <c r="BA62" s="36"/>
      <c r="BC62" s="34"/>
      <c r="BD62" s="35"/>
      <c r="BE62" s="36"/>
      <c r="BG62" s="34"/>
      <c r="BH62" s="35"/>
      <c r="BI62" s="36"/>
      <c r="BK62" s="34"/>
      <c r="BL62" s="35"/>
      <c r="BM62" s="36"/>
      <c r="BO62" s="34"/>
      <c r="BP62" s="35"/>
      <c r="BQ62" s="36"/>
      <c r="BS62" s="1592"/>
      <c r="BT62" s="35"/>
      <c r="BU62" s="36"/>
      <c r="BW62" s="34"/>
      <c r="BX62" s="35"/>
      <c r="BY62" s="36"/>
      <c r="CA62" s="34"/>
      <c r="CB62" s="35"/>
      <c r="CC62" s="36"/>
      <c r="CE62" s="34"/>
      <c r="CF62" s="35"/>
      <c r="CG62" s="36"/>
      <c r="CI62" s="34"/>
      <c r="CJ62" s="35"/>
      <c r="CK62" s="36"/>
      <c r="CM62" s="34"/>
      <c r="CN62" s="35"/>
      <c r="CO62" s="36"/>
    </row>
    <row r="63" spans="1:94">
      <c r="A63" s="34" t="s">
        <v>568</v>
      </c>
      <c r="B63" s="35" t="s">
        <v>2239</v>
      </c>
      <c r="C63" s="36">
        <v>37213166.670000002</v>
      </c>
      <c r="D63" s="37" t="str">
        <f>IF(C63&gt;=Mat!$E$71,"Material","No Mat")</f>
        <v>Material</v>
      </c>
      <c r="E63" s="834">
        <f>IF(C63&gt;=Mat!$E$71,C63/Mat!$E$71,0)</f>
        <v>140.4291257979576</v>
      </c>
      <c r="F63" s="895">
        <f>SUM(C62:C65)-ERF!B14</f>
        <v>-19510585.579999998</v>
      </c>
      <c r="G63" s="34"/>
      <c r="H63" s="35"/>
      <c r="I63" s="48"/>
      <c r="J63" s="36"/>
      <c r="L63" s="506"/>
      <c r="M63" s="506" t="s">
        <v>2318</v>
      </c>
      <c r="N63" s="507">
        <f t="shared" si="1"/>
        <v>0</v>
      </c>
      <c r="O63" s="507">
        <f t="shared" si="2"/>
        <v>0</v>
      </c>
      <c r="P63" s="507">
        <f t="shared" si="3"/>
        <v>0</v>
      </c>
      <c r="Q63" s="507">
        <f t="shared" si="4"/>
        <v>0</v>
      </c>
      <c r="R63" s="507">
        <f t="shared" si="5"/>
        <v>0</v>
      </c>
      <c r="S63" s="507">
        <f t="shared" si="6"/>
        <v>0</v>
      </c>
      <c r="T63" s="507">
        <f t="shared" si="7"/>
        <v>0</v>
      </c>
      <c r="U63" s="507">
        <f t="shared" si="8"/>
        <v>0</v>
      </c>
      <c r="V63" s="507">
        <f t="shared" si="9"/>
        <v>0</v>
      </c>
      <c r="W63" s="507">
        <f t="shared" si="10"/>
        <v>0</v>
      </c>
      <c r="X63" s="507">
        <f t="shared" si="11"/>
        <v>0</v>
      </c>
      <c r="Y63" s="507">
        <f t="shared" si="12"/>
        <v>0</v>
      </c>
      <c r="Z63" s="11">
        <f t="shared" si="13"/>
        <v>0</v>
      </c>
      <c r="AC63" s="4">
        <v>113</v>
      </c>
      <c r="AD63" s="5" t="s">
        <v>180</v>
      </c>
      <c r="AE63" s="5" t="s">
        <v>172</v>
      </c>
      <c r="AF63" s="5" t="s">
        <v>181</v>
      </c>
      <c r="AG63" s="5" t="s">
        <v>182</v>
      </c>
      <c r="AH63" s="5" t="s">
        <v>18</v>
      </c>
      <c r="AI63" s="5" t="s">
        <v>16</v>
      </c>
      <c r="AJ63" s="5" t="s">
        <v>17</v>
      </c>
      <c r="AK63" s="5" t="s">
        <v>3</v>
      </c>
      <c r="AL63" s="5" t="s">
        <v>18</v>
      </c>
      <c r="AM63" s="6"/>
      <c r="AO63" s="5"/>
      <c r="AP63" s="5"/>
      <c r="AQ63" s="5"/>
      <c r="AR63" s="5"/>
      <c r="AS63" s="5"/>
      <c r="AT63" s="11">
        <f>SUM(C55:C63)</f>
        <v>1316695246.7200003</v>
      </c>
      <c r="AU63" s="1547" t="s">
        <v>4251</v>
      </c>
      <c r="AV63" s="35" t="s">
        <v>3787</v>
      </c>
      <c r="AW63" s="36">
        <v>-4628652</v>
      </c>
      <c r="AY63" s="34"/>
      <c r="AZ63" s="35"/>
      <c r="BA63" s="36"/>
      <c r="BC63" s="34"/>
      <c r="BD63" s="35"/>
      <c r="BE63" s="36"/>
      <c r="BG63" s="34"/>
      <c r="BH63" s="35"/>
      <c r="BI63" s="36"/>
      <c r="BK63" s="34"/>
      <c r="BL63" s="35"/>
      <c r="BM63" s="36"/>
      <c r="BO63" s="34"/>
      <c r="BP63" s="35"/>
      <c r="BQ63" s="36"/>
      <c r="BS63" s="1592"/>
      <c r="BT63" s="35"/>
      <c r="BU63" s="36"/>
      <c r="BW63" s="34"/>
      <c r="BX63" s="35"/>
      <c r="BY63" s="36"/>
      <c r="CA63" s="34"/>
      <c r="CB63" s="35"/>
      <c r="CC63" s="36"/>
      <c r="CE63" s="34"/>
      <c r="CF63" s="35"/>
      <c r="CG63" s="36"/>
      <c r="CI63" s="34"/>
      <c r="CJ63" s="35"/>
      <c r="CK63" s="36"/>
      <c r="CM63" s="34"/>
      <c r="CN63" s="35"/>
      <c r="CO63" s="36"/>
    </row>
    <row r="64" spans="1:94">
      <c r="A64" s="34" t="s">
        <v>4258</v>
      </c>
      <c r="B64" s="35" t="s">
        <v>2322</v>
      </c>
      <c r="C64" s="36">
        <v>30000</v>
      </c>
      <c r="D64" s="37" t="str">
        <f>IF(C64&gt;=Mat!$E$71,"Material","No Mat")</f>
        <v>No Mat</v>
      </c>
      <c r="E64" s="834">
        <f>IF(C64&gt;=Mat!$E$71,C64/Mat!$E$71,0)</f>
        <v>0</v>
      </c>
      <c r="G64" s="34"/>
      <c r="H64" s="35"/>
      <c r="I64" s="48"/>
      <c r="J64" s="36"/>
      <c r="L64" s="506"/>
      <c r="M64" s="506" t="s">
        <v>2216</v>
      </c>
      <c r="N64" s="507">
        <f t="shared" si="1"/>
        <v>0</v>
      </c>
      <c r="O64" s="507">
        <f t="shared" si="2"/>
        <v>0</v>
      </c>
      <c r="P64" s="507">
        <f t="shared" si="3"/>
        <v>0</v>
      </c>
      <c r="Q64" s="507">
        <f t="shared" si="4"/>
        <v>0</v>
      </c>
      <c r="R64" s="507">
        <f t="shared" si="5"/>
        <v>0</v>
      </c>
      <c r="S64" s="507">
        <f t="shared" si="6"/>
        <v>0</v>
      </c>
      <c r="T64" s="507">
        <f t="shared" si="7"/>
        <v>0</v>
      </c>
      <c r="U64" s="507">
        <f t="shared" si="8"/>
        <v>0</v>
      </c>
      <c r="V64" s="507">
        <f t="shared" si="9"/>
        <v>0</v>
      </c>
      <c r="W64" s="507">
        <f t="shared" si="10"/>
        <v>0</v>
      </c>
      <c r="X64" s="507">
        <f t="shared" si="11"/>
        <v>0</v>
      </c>
      <c r="Y64" s="507">
        <f t="shared" si="12"/>
        <v>0</v>
      </c>
      <c r="Z64" s="11">
        <f t="shared" si="13"/>
        <v>0</v>
      </c>
      <c r="AC64" s="4">
        <v>115</v>
      </c>
      <c r="AD64" s="5" t="s">
        <v>183</v>
      </c>
      <c r="AE64" s="5" t="s">
        <v>172</v>
      </c>
      <c r="AF64" s="5" t="s">
        <v>184</v>
      </c>
      <c r="AG64" s="5" t="s">
        <v>185</v>
      </c>
      <c r="AH64" s="5" t="s">
        <v>18</v>
      </c>
      <c r="AI64" s="5" t="s">
        <v>16</v>
      </c>
      <c r="AJ64" s="5" t="s">
        <v>17</v>
      </c>
      <c r="AK64" s="5" t="s">
        <v>3</v>
      </c>
      <c r="AL64" s="5" t="s">
        <v>18</v>
      </c>
      <c r="AM64" s="6"/>
      <c r="AO64" s="5"/>
      <c r="AP64" s="5"/>
      <c r="AQ64" s="5"/>
      <c r="AR64" s="5"/>
      <c r="AS64" s="5"/>
      <c r="AT64" s="11">
        <f>+AT63-'ES F '!B52</f>
        <v>1304618992.1000004</v>
      </c>
      <c r="AU64" s="1547" t="s">
        <v>4252</v>
      </c>
      <c r="AV64" s="35" t="s">
        <v>2232</v>
      </c>
      <c r="AW64" s="36">
        <v>153288.54999999999</v>
      </c>
      <c r="AY64" s="34"/>
      <c r="AZ64" s="35"/>
      <c r="BA64" s="36"/>
      <c r="BC64" s="34"/>
      <c r="BD64" s="35"/>
      <c r="BE64" s="36"/>
      <c r="BG64" s="34"/>
      <c r="BH64" s="35"/>
      <c r="BI64" s="36"/>
      <c r="BK64" s="34"/>
      <c r="BL64" s="35"/>
      <c r="BM64" s="36"/>
      <c r="BO64" s="34"/>
      <c r="BP64" s="35"/>
      <c r="BQ64" s="36"/>
      <c r="BS64" s="1592"/>
      <c r="BT64" s="35"/>
      <c r="BU64" s="36"/>
      <c r="BW64" s="34"/>
      <c r="BX64" s="35"/>
      <c r="BY64" s="36"/>
      <c r="CA64" s="34"/>
      <c r="CB64" s="35"/>
      <c r="CC64" s="36"/>
      <c r="CE64" s="34"/>
      <c r="CF64" s="35"/>
      <c r="CG64" s="36"/>
      <c r="CI64" s="34"/>
      <c r="CJ64" s="35"/>
      <c r="CK64" s="36"/>
      <c r="CM64" s="34"/>
      <c r="CN64" s="35"/>
      <c r="CO64" s="36"/>
    </row>
    <row r="65" spans="1:93">
      <c r="A65" s="34" t="s">
        <v>4259</v>
      </c>
      <c r="B65" s="35" t="s">
        <v>4260</v>
      </c>
      <c r="C65" s="36">
        <v>257840</v>
      </c>
      <c r="D65" s="37" t="str">
        <f>IF(C65&gt;=Mat!$E$71,"Material","No Mat")</f>
        <v>No Mat</v>
      </c>
      <c r="E65" s="834">
        <f>IF(C65&gt;=Mat!$E$71,C65/Mat!$E$71,0)</f>
        <v>0</v>
      </c>
      <c r="F65" s="895"/>
      <c r="G65" s="34"/>
      <c r="H65" s="35"/>
      <c r="I65" s="48"/>
      <c r="J65" s="36"/>
      <c r="L65" s="506"/>
      <c r="M65" s="506" t="s">
        <v>167</v>
      </c>
      <c r="N65" s="507">
        <f t="shared" si="1"/>
        <v>0</v>
      </c>
      <c r="O65" s="507">
        <f t="shared" si="2"/>
        <v>0</v>
      </c>
      <c r="P65" s="507">
        <f t="shared" si="3"/>
        <v>0</v>
      </c>
      <c r="Q65" s="507">
        <f t="shared" si="4"/>
        <v>0</v>
      </c>
      <c r="R65" s="507">
        <f t="shared" si="5"/>
        <v>0</v>
      </c>
      <c r="S65" s="507">
        <f t="shared" si="6"/>
        <v>0</v>
      </c>
      <c r="T65" s="507">
        <f t="shared" si="7"/>
        <v>0</v>
      </c>
      <c r="U65" s="507">
        <f t="shared" si="8"/>
        <v>0</v>
      </c>
      <c r="V65" s="507">
        <f t="shared" si="9"/>
        <v>0</v>
      </c>
      <c r="W65" s="507">
        <f t="shared" si="10"/>
        <v>0</v>
      </c>
      <c r="X65" s="507">
        <f t="shared" si="11"/>
        <v>0</v>
      </c>
      <c r="Y65" s="507">
        <f t="shared" si="12"/>
        <v>0</v>
      </c>
      <c r="Z65" s="11">
        <f t="shared" si="13"/>
        <v>0</v>
      </c>
      <c r="AC65" s="4">
        <v>117</v>
      </c>
      <c r="AD65" s="5" t="s">
        <v>188</v>
      </c>
      <c r="AE65" s="5" t="s">
        <v>186</v>
      </c>
      <c r="AF65" s="5" t="s">
        <v>189</v>
      </c>
      <c r="AG65" s="5" t="s">
        <v>190</v>
      </c>
      <c r="AH65" s="5" t="s">
        <v>18</v>
      </c>
      <c r="AI65" s="5" t="s">
        <v>16</v>
      </c>
      <c r="AJ65" s="5" t="s">
        <v>17</v>
      </c>
      <c r="AK65" s="5" t="s">
        <v>3</v>
      </c>
      <c r="AL65" s="5" t="s">
        <v>18</v>
      </c>
      <c r="AM65" s="6" t="s">
        <v>0</v>
      </c>
      <c r="AO65" s="5"/>
      <c r="AP65" s="5"/>
      <c r="AQ65" s="5"/>
      <c r="AR65" s="5"/>
      <c r="AS65" s="5"/>
      <c r="AT65" s="11">
        <f>+C65-'EP2'!E16-'EP2'!E19</f>
        <v>-279031554.97989994</v>
      </c>
      <c r="AU65" s="1547" t="s">
        <v>4253</v>
      </c>
      <c r="AV65" s="35" t="s">
        <v>2233</v>
      </c>
      <c r="AW65" s="36">
        <v>76591.44</v>
      </c>
      <c r="AY65" s="34"/>
      <c r="AZ65" s="35"/>
      <c r="BA65" s="36"/>
      <c r="BC65" s="34"/>
      <c r="BD65" s="35"/>
      <c r="BE65" s="36"/>
      <c r="BG65" s="34"/>
      <c r="BH65" s="35"/>
      <c r="BI65" s="36"/>
      <c r="BK65" s="34"/>
      <c r="BL65" s="35"/>
      <c r="BM65" s="36"/>
      <c r="BO65" s="34"/>
      <c r="BP65" s="35"/>
      <c r="BQ65" s="36"/>
      <c r="BS65" s="1592"/>
      <c r="BT65" s="35"/>
      <c r="BU65" s="36"/>
      <c r="BW65" s="34"/>
      <c r="BX65" s="35"/>
      <c r="BY65" s="36"/>
      <c r="CA65" s="34"/>
      <c r="CB65" s="35"/>
      <c r="CC65" s="36"/>
      <c r="CE65" s="34"/>
      <c r="CF65" s="35"/>
      <c r="CG65" s="36"/>
      <c r="CI65" s="34"/>
      <c r="CJ65" s="35"/>
      <c r="CK65" s="36"/>
      <c r="CM65" s="34"/>
      <c r="CN65" s="35"/>
      <c r="CO65" s="36"/>
    </row>
    <row r="66" spans="1:93">
      <c r="A66" s="34" t="s">
        <v>4261</v>
      </c>
      <c r="B66" s="35" t="s">
        <v>3775</v>
      </c>
      <c r="C66" s="36">
        <v>614250</v>
      </c>
      <c r="D66" s="37" t="str">
        <f>IF(C66&gt;=Mat!$E$71,"Material","No Mat")</f>
        <v>Material</v>
      </c>
      <c r="E66" s="834">
        <f>IF(C66&gt;=Mat!$E$71,C66/Mat!$E$71,0)</f>
        <v>2.3179588903659254</v>
      </c>
      <c r="F66" s="895">
        <f>SUM(C66:C117)-ERF!B24</f>
        <v>-37501006.670000017</v>
      </c>
      <c r="G66" s="34"/>
      <c r="H66" s="35"/>
      <c r="I66" s="48"/>
      <c r="J66" s="36"/>
      <c r="L66" s="506"/>
      <c r="M66" s="506" t="s">
        <v>170</v>
      </c>
      <c r="N66" s="507">
        <f t="shared" si="1"/>
        <v>0</v>
      </c>
      <c r="O66" s="507">
        <f t="shared" si="2"/>
        <v>0</v>
      </c>
      <c r="P66" s="507">
        <f t="shared" si="3"/>
        <v>0</v>
      </c>
      <c r="Q66" s="507">
        <f t="shared" si="4"/>
        <v>0</v>
      </c>
      <c r="R66" s="507">
        <f t="shared" si="5"/>
        <v>0</v>
      </c>
      <c r="S66" s="507">
        <f t="shared" si="6"/>
        <v>0</v>
      </c>
      <c r="T66" s="507">
        <f t="shared" si="7"/>
        <v>0</v>
      </c>
      <c r="U66" s="507">
        <f t="shared" si="8"/>
        <v>0</v>
      </c>
      <c r="V66" s="507">
        <f t="shared" si="9"/>
        <v>0</v>
      </c>
      <c r="W66" s="507">
        <f t="shared" si="10"/>
        <v>0</v>
      </c>
      <c r="X66" s="507">
        <f t="shared" si="11"/>
        <v>0</v>
      </c>
      <c r="Y66" s="507">
        <f t="shared" si="12"/>
        <v>0</v>
      </c>
      <c r="Z66" s="11">
        <f t="shared" si="13"/>
        <v>0</v>
      </c>
      <c r="AC66" s="4">
        <v>119</v>
      </c>
      <c r="AD66" s="5" t="s">
        <v>193</v>
      </c>
      <c r="AE66" s="5" t="s">
        <v>191</v>
      </c>
      <c r="AF66" s="5" t="s">
        <v>194</v>
      </c>
      <c r="AG66" s="5" t="s">
        <v>195</v>
      </c>
      <c r="AH66" s="5" t="s">
        <v>18</v>
      </c>
      <c r="AI66" s="5" t="s">
        <v>16</v>
      </c>
      <c r="AJ66" s="5" t="s">
        <v>17</v>
      </c>
      <c r="AK66" s="5" t="s">
        <v>3</v>
      </c>
      <c r="AL66" s="5" t="s">
        <v>18</v>
      </c>
      <c r="AM66" s="6"/>
      <c r="AO66" s="5"/>
      <c r="AP66" s="5"/>
      <c r="AQ66" s="5"/>
      <c r="AR66" s="5"/>
      <c r="AS66" s="5"/>
      <c r="AT66" s="11">
        <f>+C66-'EP2'!E20</f>
        <v>-119759582.36989999</v>
      </c>
      <c r="AU66" s="1547" t="s">
        <v>4254</v>
      </c>
      <c r="AV66" s="35" t="s">
        <v>2235</v>
      </c>
      <c r="AW66" s="36">
        <v>26507.29</v>
      </c>
      <c r="AY66" s="34"/>
      <c r="AZ66" s="35"/>
      <c r="BA66" s="36"/>
      <c r="BC66" s="34"/>
      <c r="BD66" s="35"/>
      <c r="BE66" s="36"/>
      <c r="BG66" s="34"/>
      <c r="BH66" s="35"/>
      <c r="BI66" s="36"/>
      <c r="BK66" s="34"/>
      <c r="BL66" s="35"/>
      <c r="BM66" s="36"/>
      <c r="BO66" s="34"/>
      <c r="BP66" s="35"/>
      <c r="BQ66" s="36"/>
      <c r="BS66" s="1592"/>
      <c r="BT66" s="35"/>
      <c r="BU66" s="36"/>
      <c r="BW66" s="34"/>
      <c r="BX66" s="35"/>
      <c r="BY66" s="36"/>
      <c r="CA66" s="34"/>
      <c r="CB66" s="35"/>
      <c r="CC66" s="36"/>
      <c r="CE66" s="34"/>
      <c r="CF66" s="35"/>
      <c r="CG66" s="36"/>
      <c r="CI66" s="34"/>
      <c r="CJ66" s="35"/>
      <c r="CK66" s="36"/>
      <c r="CM66" s="34"/>
      <c r="CN66" s="35"/>
      <c r="CO66" s="36"/>
    </row>
    <row r="67" spans="1:93">
      <c r="A67" s="34" t="s">
        <v>4262</v>
      </c>
      <c r="B67" s="35" t="s">
        <v>3900</v>
      </c>
      <c r="C67" s="36">
        <v>331620.49</v>
      </c>
      <c r="D67" s="37" t="str">
        <f>IF(C67&gt;=Mat!$E$71,"Material","No Mat")</f>
        <v>Material</v>
      </c>
      <c r="E67" s="834">
        <f>IF(C67&gt;=Mat!$E$71,C67/Mat!$E$71,0)</f>
        <v>1.251416626818078</v>
      </c>
      <c r="F67" s="895"/>
      <c r="G67" s="34"/>
      <c r="H67" s="35"/>
      <c r="I67" s="48"/>
      <c r="J67" s="36"/>
      <c r="L67" s="506"/>
      <c r="M67" s="506" t="s">
        <v>175</v>
      </c>
      <c r="N67" s="507">
        <f t="shared" si="1"/>
        <v>0</v>
      </c>
      <c r="O67" s="507">
        <f t="shared" si="2"/>
        <v>0</v>
      </c>
      <c r="P67" s="507">
        <f t="shared" si="3"/>
        <v>5541311.1799999997</v>
      </c>
      <c r="Q67" s="507">
        <f t="shared" si="4"/>
        <v>0</v>
      </c>
      <c r="R67" s="507">
        <f t="shared" si="5"/>
        <v>0</v>
      </c>
      <c r="S67" s="507">
        <f t="shared" si="6"/>
        <v>0</v>
      </c>
      <c r="T67" s="507">
        <f t="shared" si="7"/>
        <v>0</v>
      </c>
      <c r="U67" s="507">
        <f t="shared" si="8"/>
        <v>0</v>
      </c>
      <c r="V67" s="507">
        <f t="shared" si="9"/>
        <v>0</v>
      </c>
      <c r="W67" s="507">
        <f t="shared" si="10"/>
        <v>0</v>
      </c>
      <c r="X67" s="507">
        <f t="shared" si="11"/>
        <v>0</v>
      </c>
      <c r="Y67" s="507">
        <f t="shared" si="12"/>
        <v>0</v>
      </c>
      <c r="Z67" s="11">
        <f t="shared" si="13"/>
        <v>5541311.1799999997</v>
      </c>
      <c r="AC67" s="4">
        <v>121</v>
      </c>
      <c r="AD67" s="5" t="s">
        <v>196</v>
      </c>
      <c r="AE67" s="5" t="s">
        <v>191</v>
      </c>
      <c r="AF67" s="5" t="s">
        <v>197</v>
      </c>
      <c r="AG67" s="5" t="s">
        <v>198</v>
      </c>
      <c r="AH67" s="5" t="s">
        <v>18</v>
      </c>
      <c r="AI67" s="5" t="s">
        <v>16</v>
      </c>
      <c r="AJ67" s="5" t="s">
        <v>17</v>
      </c>
      <c r="AK67" s="5" t="s">
        <v>3</v>
      </c>
      <c r="AL67" s="5" t="s">
        <v>18</v>
      </c>
      <c r="AM67" s="6"/>
      <c r="AO67" s="5"/>
      <c r="AP67" s="5"/>
      <c r="AQ67" s="5"/>
      <c r="AR67" s="5"/>
      <c r="AS67" s="5"/>
      <c r="AU67" s="1547" t="s">
        <v>659</v>
      </c>
      <c r="AV67" s="35" t="s">
        <v>2872</v>
      </c>
      <c r="AW67" s="36">
        <v>4927104.53</v>
      </c>
      <c r="AY67" s="34"/>
      <c r="AZ67" s="35"/>
      <c r="BA67" s="36"/>
      <c r="BC67" s="34"/>
      <c r="BD67" s="35"/>
      <c r="BE67" s="36"/>
      <c r="BG67" s="34"/>
      <c r="BH67" s="35"/>
      <c r="BI67" s="36"/>
      <c r="BK67" s="34"/>
      <c r="BL67" s="35"/>
      <c r="BM67" s="36"/>
      <c r="BO67" s="34"/>
      <c r="BP67" s="35"/>
      <c r="BQ67" s="36"/>
      <c r="BS67" s="1592"/>
      <c r="BT67" s="35"/>
      <c r="BU67" s="36"/>
      <c r="BW67" s="34"/>
      <c r="BX67" s="35"/>
      <c r="BY67" s="36"/>
      <c r="CA67" s="34"/>
      <c r="CB67" s="35"/>
      <c r="CC67" s="36"/>
      <c r="CE67" s="34"/>
      <c r="CF67" s="35"/>
      <c r="CG67" s="36"/>
      <c r="CI67" s="34"/>
      <c r="CJ67" s="35"/>
      <c r="CK67" s="36"/>
      <c r="CM67" s="34"/>
      <c r="CN67" s="35"/>
      <c r="CO67" s="36"/>
    </row>
    <row r="68" spans="1:93">
      <c r="A68" s="34" t="s">
        <v>582</v>
      </c>
      <c r="B68" s="35" t="s">
        <v>2224</v>
      </c>
      <c r="C68" s="36">
        <v>1642410</v>
      </c>
      <c r="D68" s="37" t="str">
        <f>IF(C68&gt;=Mat!$E$71,"Material","No Mat")</f>
        <v>Material</v>
      </c>
      <c r="E68" s="834">
        <f>IF(C68&gt;=Mat!$E$71,C68/Mat!$E$71,0)</f>
        <v>6.1978654637784283</v>
      </c>
      <c r="F68" s="895">
        <f>SUM(C66:C76)</f>
        <v>10010232.859999999</v>
      </c>
      <c r="G68" s="34"/>
      <c r="H68" s="35"/>
      <c r="I68" s="48"/>
      <c r="J68" s="36"/>
      <c r="L68" s="506"/>
      <c r="M68" s="506" t="s">
        <v>178</v>
      </c>
      <c r="N68" s="507">
        <f t="shared" si="1"/>
        <v>0</v>
      </c>
      <c r="O68" s="507">
        <f t="shared" si="2"/>
        <v>0</v>
      </c>
      <c r="P68" s="507">
        <f t="shared" si="3"/>
        <v>0</v>
      </c>
      <c r="Q68" s="507">
        <f t="shared" si="4"/>
        <v>0</v>
      </c>
      <c r="R68" s="507">
        <f t="shared" si="5"/>
        <v>0</v>
      </c>
      <c r="S68" s="507">
        <f t="shared" si="6"/>
        <v>0</v>
      </c>
      <c r="T68" s="507">
        <f t="shared" si="7"/>
        <v>0</v>
      </c>
      <c r="U68" s="507">
        <f t="shared" si="8"/>
        <v>0</v>
      </c>
      <c r="V68" s="507">
        <f t="shared" si="9"/>
        <v>0</v>
      </c>
      <c r="W68" s="507">
        <f t="shared" si="10"/>
        <v>0</v>
      </c>
      <c r="X68" s="507">
        <f t="shared" si="11"/>
        <v>0</v>
      </c>
      <c r="Y68" s="507">
        <f t="shared" si="12"/>
        <v>0</v>
      </c>
      <c r="Z68" s="11">
        <f t="shared" si="13"/>
        <v>0</v>
      </c>
      <c r="AC68" s="4">
        <v>123</v>
      </c>
      <c r="AD68" s="5" t="s">
        <v>201</v>
      </c>
      <c r="AE68" s="5" t="s">
        <v>199</v>
      </c>
      <c r="AF68" s="5" t="s">
        <v>202</v>
      </c>
      <c r="AG68" s="5" t="s">
        <v>0</v>
      </c>
      <c r="AH68" s="5" t="s">
        <v>18</v>
      </c>
      <c r="AI68" s="5" t="s">
        <v>16</v>
      </c>
      <c r="AJ68" s="5" t="s">
        <v>17</v>
      </c>
      <c r="AK68" s="5" t="s">
        <v>3</v>
      </c>
      <c r="AL68" s="5" t="s">
        <v>18</v>
      </c>
      <c r="AM68" s="6"/>
      <c r="AO68" s="5"/>
      <c r="AP68" s="5"/>
      <c r="AQ68" s="5"/>
      <c r="AR68" s="5"/>
      <c r="AS68" s="5"/>
      <c r="AU68" s="1547" t="s">
        <v>699</v>
      </c>
      <c r="AV68" s="35" t="s">
        <v>700</v>
      </c>
      <c r="AW68" s="36">
        <v>54283.21</v>
      </c>
      <c r="AY68" s="34"/>
      <c r="AZ68" s="35"/>
      <c r="BA68" s="36"/>
      <c r="BC68" s="34"/>
      <c r="BD68" s="35"/>
      <c r="BE68" s="36"/>
      <c r="BG68" s="34"/>
      <c r="BH68" s="35"/>
      <c r="BI68" s="36"/>
      <c r="BK68" s="34"/>
      <c r="BL68" s="35"/>
      <c r="BM68" s="36"/>
      <c r="BO68" s="34"/>
      <c r="BP68" s="35"/>
      <c r="BQ68" s="36"/>
      <c r="BS68" s="1592"/>
      <c r="BT68" s="35"/>
      <c r="BU68" s="36"/>
      <c r="BW68" s="34"/>
      <c r="BX68" s="35"/>
      <c r="BY68" s="36"/>
      <c r="CA68" s="34"/>
      <c r="CB68" s="35"/>
      <c r="CC68" s="36"/>
      <c r="CE68" s="34"/>
      <c r="CF68" s="35"/>
      <c r="CG68" s="36"/>
      <c r="CI68" s="34"/>
      <c r="CJ68" s="35"/>
      <c r="CK68" s="36"/>
      <c r="CM68" s="34"/>
      <c r="CN68" s="35"/>
      <c r="CO68" s="36"/>
    </row>
    <row r="69" spans="1:93">
      <c r="A69" s="34" t="s">
        <v>4263</v>
      </c>
      <c r="B69" s="35" t="s">
        <v>3801</v>
      </c>
      <c r="C69" s="36">
        <v>357105</v>
      </c>
      <c r="D69" s="37" t="str">
        <f>IF(C69&gt;=Mat!$E$71,"Material","No Mat")</f>
        <v>Material</v>
      </c>
      <c r="E69" s="834">
        <f>IF(C69&gt;=Mat!$E$71,C69/Mat!$E$71,0)</f>
        <v>1.3475860147238483</v>
      </c>
      <c r="F69" s="895">
        <f>+F68-ERF!B17</f>
        <v>-36810091.590000004</v>
      </c>
      <c r="G69" s="34"/>
      <c r="H69" s="35"/>
      <c r="I69" s="48"/>
      <c r="J69" s="36"/>
      <c r="L69" s="506"/>
      <c r="M69" s="506" t="s">
        <v>181</v>
      </c>
      <c r="N69" s="507">
        <f t="shared" si="1"/>
        <v>0</v>
      </c>
      <c r="O69" s="507">
        <f t="shared" si="2"/>
        <v>0</v>
      </c>
      <c r="P69" s="507">
        <f t="shared" si="3"/>
        <v>0</v>
      </c>
      <c r="Q69" s="507">
        <f t="shared" si="4"/>
        <v>0</v>
      </c>
      <c r="R69" s="507">
        <f t="shared" si="5"/>
        <v>0</v>
      </c>
      <c r="S69" s="507">
        <f t="shared" si="6"/>
        <v>0</v>
      </c>
      <c r="T69" s="507">
        <f t="shared" si="7"/>
        <v>0</v>
      </c>
      <c r="U69" s="507">
        <f t="shared" si="8"/>
        <v>0</v>
      </c>
      <c r="V69" s="507">
        <f t="shared" si="9"/>
        <v>0</v>
      </c>
      <c r="W69" s="507">
        <f t="shared" si="10"/>
        <v>0</v>
      </c>
      <c r="X69" s="507">
        <f t="shared" si="11"/>
        <v>0</v>
      </c>
      <c r="Y69" s="507">
        <f t="shared" si="12"/>
        <v>0</v>
      </c>
      <c r="Z69" s="11">
        <f t="shared" si="13"/>
        <v>0</v>
      </c>
      <c r="AC69" s="4">
        <v>125</v>
      </c>
      <c r="AD69" s="5" t="s">
        <v>207</v>
      </c>
      <c r="AE69" s="5" t="s">
        <v>205</v>
      </c>
      <c r="AF69" s="5" t="s">
        <v>208</v>
      </c>
      <c r="AG69" s="5" t="s">
        <v>209</v>
      </c>
      <c r="AH69" s="5" t="s">
        <v>18</v>
      </c>
      <c r="AI69" s="5" t="s">
        <v>16</v>
      </c>
      <c r="AJ69" s="5" t="s">
        <v>17</v>
      </c>
      <c r="AK69" s="5" t="s">
        <v>3</v>
      </c>
      <c r="AL69" s="5" t="s">
        <v>18</v>
      </c>
      <c r="AM69" s="6"/>
      <c r="AO69" s="5"/>
      <c r="AP69" s="5"/>
      <c r="AQ69" s="5"/>
      <c r="AR69" s="5"/>
      <c r="AS69" s="5"/>
      <c r="AU69" s="1547" t="s">
        <v>4191</v>
      </c>
      <c r="AV69" s="35" t="s">
        <v>3847</v>
      </c>
      <c r="AW69" s="36">
        <v>45048.24</v>
      </c>
      <c r="AY69" s="34"/>
      <c r="AZ69" s="35"/>
      <c r="BA69" s="36"/>
      <c r="BC69" s="34"/>
      <c r="BD69" s="35"/>
      <c r="BE69" s="36"/>
      <c r="BG69" s="34"/>
      <c r="BH69" s="35"/>
      <c r="BI69" s="36"/>
      <c r="BK69" s="34"/>
      <c r="BL69" s="35"/>
      <c r="BM69" s="36"/>
      <c r="BO69" s="34"/>
      <c r="BP69" s="35"/>
      <c r="BQ69" s="36"/>
      <c r="BS69" s="1592"/>
      <c r="BT69" s="35"/>
      <c r="BU69" s="36"/>
      <c r="BW69" s="34"/>
      <c r="BX69" s="35"/>
      <c r="BY69" s="36"/>
      <c r="CA69" s="34"/>
      <c r="CB69" s="35"/>
      <c r="CC69" s="36"/>
      <c r="CE69" s="34"/>
      <c r="CF69" s="35"/>
      <c r="CG69" s="36"/>
      <c r="CI69" s="34"/>
      <c r="CJ69" s="35"/>
      <c r="CK69" s="36"/>
      <c r="CM69" s="34"/>
      <c r="CN69" s="35"/>
      <c r="CO69" s="36"/>
    </row>
    <row r="70" spans="1:93">
      <c r="A70" s="34" t="s">
        <v>602</v>
      </c>
      <c r="B70" s="35" t="s">
        <v>603</v>
      </c>
      <c r="C70" s="36">
        <v>430000</v>
      </c>
      <c r="D70" s="37" t="str">
        <f>IF(C70&gt;=Mat!$E$71,"Material","No Mat")</f>
        <v>Material</v>
      </c>
      <c r="E70" s="834">
        <f>IF(C70&gt;=Mat!$E$71,C70/Mat!$E$71,0)</f>
        <v>1.6226655642773267</v>
      </c>
      <c r="F70" s="895">
        <f>+F69+C116</f>
        <v>-36810091.590000004</v>
      </c>
      <c r="G70" s="34"/>
      <c r="H70" s="35"/>
      <c r="I70" s="48"/>
      <c r="J70" s="36"/>
      <c r="L70" s="506"/>
      <c r="M70" s="506" t="s">
        <v>184</v>
      </c>
      <c r="N70" s="507">
        <f t="shared" si="1"/>
        <v>0</v>
      </c>
      <c r="O70" s="507">
        <f t="shared" si="2"/>
        <v>0</v>
      </c>
      <c r="P70" s="507">
        <f t="shared" si="3"/>
        <v>0</v>
      </c>
      <c r="Q70" s="507">
        <f t="shared" si="4"/>
        <v>0</v>
      </c>
      <c r="R70" s="507">
        <f t="shared" si="5"/>
        <v>0</v>
      </c>
      <c r="S70" s="507">
        <f t="shared" si="6"/>
        <v>0</v>
      </c>
      <c r="T70" s="507">
        <f t="shared" si="7"/>
        <v>0</v>
      </c>
      <c r="U70" s="507">
        <f t="shared" si="8"/>
        <v>0</v>
      </c>
      <c r="V70" s="507">
        <f t="shared" si="9"/>
        <v>0</v>
      </c>
      <c r="W70" s="507">
        <f t="shared" si="10"/>
        <v>0</v>
      </c>
      <c r="X70" s="507">
        <f t="shared" si="11"/>
        <v>0</v>
      </c>
      <c r="Y70" s="507">
        <f t="shared" si="12"/>
        <v>0</v>
      </c>
      <c r="Z70" s="11">
        <f t="shared" si="13"/>
        <v>0</v>
      </c>
      <c r="AC70" s="4">
        <v>127</v>
      </c>
      <c r="AD70" s="5" t="s">
        <v>212</v>
      </c>
      <c r="AE70" s="5" t="s">
        <v>210</v>
      </c>
      <c r="AF70" s="5" t="s">
        <v>213</v>
      </c>
      <c r="AG70" s="5" t="s">
        <v>0</v>
      </c>
      <c r="AH70" s="5" t="s">
        <v>18</v>
      </c>
      <c r="AI70" s="5" t="s">
        <v>12</v>
      </c>
      <c r="AJ70" s="5" t="s">
        <v>17</v>
      </c>
      <c r="AK70" s="5" t="s">
        <v>3</v>
      </c>
      <c r="AL70" s="5" t="s">
        <v>18</v>
      </c>
      <c r="AM70" s="6"/>
      <c r="AO70" s="5"/>
      <c r="AP70" s="5"/>
      <c r="AQ70" s="5"/>
      <c r="AR70" s="5"/>
      <c r="AS70" s="5"/>
      <c r="AU70" s="1547" t="s">
        <v>713</v>
      </c>
      <c r="AV70" s="35" t="s">
        <v>714</v>
      </c>
      <c r="AW70" s="36">
        <v>-5003.83</v>
      </c>
      <c r="AY70" s="34"/>
      <c r="AZ70" s="35"/>
      <c r="BA70" s="36"/>
      <c r="BC70" s="34"/>
      <c r="BD70" s="35"/>
      <c r="BE70" s="36"/>
      <c r="BG70" s="34"/>
      <c r="BH70" s="35"/>
      <c r="BI70" s="36"/>
      <c r="BK70" s="34"/>
      <c r="BL70" s="35"/>
      <c r="BM70" s="36"/>
      <c r="BO70" s="34"/>
      <c r="BP70" s="35"/>
      <c r="BQ70" s="36"/>
      <c r="BS70" s="1592"/>
      <c r="BT70" s="35"/>
      <c r="BU70" s="36"/>
      <c r="BW70" s="34"/>
      <c r="BX70" s="35"/>
      <c r="BY70" s="36"/>
      <c r="CA70" s="34"/>
      <c r="CB70" s="35"/>
      <c r="CC70" s="36"/>
      <c r="CE70" s="34"/>
      <c r="CF70" s="35"/>
      <c r="CG70" s="36"/>
      <c r="CI70" s="34"/>
      <c r="CJ70" s="35"/>
      <c r="CK70" s="36"/>
      <c r="CM70" s="34"/>
      <c r="CN70" s="35"/>
      <c r="CO70" s="36"/>
    </row>
    <row r="71" spans="1:93">
      <c r="A71" s="34" t="s">
        <v>616</v>
      </c>
      <c r="B71" s="35" t="s">
        <v>4270</v>
      </c>
      <c r="C71" s="36">
        <v>155800</v>
      </c>
      <c r="D71" s="37" t="str">
        <f>IF(C71&gt;=Mat!$E$71,"Material","No Mat")</f>
        <v>No Mat</v>
      </c>
      <c r="E71" s="834">
        <f>IF(C71&gt;=Mat!$E$71,C71/Mat!$E$71,0)</f>
        <v>0</v>
      </c>
      <c r="F71" s="895"/>
      <c r="G71" s="34"/>
      <c r="H71" s="35"/>
      <c r="I71" s="48"/>
      <c r="J71" s="36"/>
      <c r="L71" s="506"/>
      <c r="M71" s="506" t="s">
        <v>189</v>
      </c>
      <c r="N71" s="507">
        <f t="shared" si="1"/>
        <v>0</v>
      </c>
      <c r="O71" s="507">
        <f t="shared" si="2"/>
        <v>0</v>
      </c>
      <c r="P71" s="507">
        <f t="shared" si="3"/>
        <v>0</v>
      </c>
      <c r="Q71" s="507">
        <f t="shared" si="4"/>
        <v>0</v>
      </c>
      <c r="R71" s="507">
        <f t="shared" si="5"/>
        <v>0</v>
      </c>
      <c r="S71" s="507">
        <f t="shared" si="6"/>
        <v>0</v>
      </c>
      <c r="T71" s="507">
        <f t="shared" si="7"/>
        <v>0</v>
      </c>
      <c r="U71" s="507">
        <f t="shared" si="8"/>
        <v>0</v>
      </c>
      <c r="V71" s="507">
        <f t="shared" si="9"/>
        <v>0</v>
      </c>
      <c r="W71" s="507">
        <f t="shared" si="10"/>
        <v>0</v>
      </c>
      <c r="X71" s="507">
        <f t="shared" si="11"/>
        <v>0</v>
      </c>
      <c r="Y71" s="507">
        <f t="shared" si="12"/>
        <v>0</v>
      </c>
      <c r="Z71" s="11">
        <f t="shared" si="13"/>
        <v>0</v>
      </c>
      <c r="AC71" s="4">
        <v>129</v>
      </c>
      <c r="AD71" s="5" t="s">
        <v>217</v>
      </c>
      <c r="AE71" s="5" t="s">
        <v>216</v>
      </c>
      <c r="AF71" s="5" t="s">
        <v>218</v>
      </c>
      <c r="AG71" s="5" t="s">
        <v>219</v>
      </c>
      <c r="AH71" s="5" t="s">
        <v>18</v>
      </c>
      <c r="AI71" s="5" t="s">
        <v>16</v>
      </c>
      <c r="AJ71" s="5" t="s">
        <v>17</v>
      </c>
      <c r="AK71" s="5" t="s">
        <v>3</v>
      </c>
      <c r="AL71" s="5" t="s">
        <v>18</v>
      </c>
      <c r="AM71" s="6"/>
      <c r="AO71" s="5"/>
      <c r="AP71" s="5"/>
      <c r="AQ71" s="5"/>
      <c r="AR71" s="5"/>
      <c r="AS71" s="5"/>
      <c r="AU71" s="1547" t="s">
        <v>757</v>
      </c>
      <c r="AV71" s="35" t="s">
        <v>758</v>
      </c>
      <c r="AW71" s="36">
        <v>55675.19</v>
      </c>
      <c r="AY71" s="34"/>
      <c r="AZ71" s="35"/>
      <c r="BA71" s="36"/>
      <c r="BC71" s="34"/>
      <c r="BD71" s="35"/>
      <c r="BE71" s="36"/>
      <c r="BG71" s="34"/>
      <c r="BH71" s="35"/>
      <c r="BI71" s="36"/>
      <c r="BK71" s="34"/>
      <c r="BL71" s="35"/>
      <c r="BM71" s="36"/>
      <c r="BO71" s="34"/>
      <c r="BP71" s="35"/>
      <c r="BQ71" s="36"/>
      <c r="BS71" s="1592"/>
      <c r="BT71" s="35"/>
      <c r="BU71" s="36"/>
      <c r="BW71" s="34"/>
      <c r="BX71" s="35"/>
      <c r="BY71" s="36"/>
      <c r="CA71" s="34"/>
      <c r="CB71" s="35"/>
      <c r="CC71" s="36"/>
      <c r="CE71" s="34"/>
      <c r="CF71" s="35"/>
      <c r="CG71" s="36"/>
      <c r="CI71" s="34"/>
      <c r="CJ71" s="35"/>
      <c r="CK71" s="36"/>
      <c r="CM71" s="34"/>
      <c r="CN71" s="35"/>
      <c r="CO71" s="36"/>
    </row>
    <row r="72" spans="1:93">
      <c r="A72" s="34" t="s">
        <v>629</v>
      </c>
      <c r="B72" s="35" t="s">
        <v>630</v>
      </c>
      <c r="C72" s="36">
        <v>2650100.36</v>
      </c>
      <c r="D72" s="37" t="str">
        <f>IF(C72&gt;=Mat!$E$71,"Material","No Mat")</f>
        <v>Material</v>
      </c>
      <c r="E72" s="834">
        <f>IF(C72&gt;=Mat!$E$71,C72/Mat!$E$71,0)</f>
        <v>10.00052696756034</v>
      </c>
      <c r="G72" s="34"/>
      <c r="H72" s="35"/>
      <c r="I72" s="48"/>
      <c r="J72" s="36"/>
      <c r="L72" s="506"/>
      <c r="M72" s="506" t="s">
        <v>194</v>
      </c>
      <c r="N72" s="507">
        <f t="shared" si="1"/>
        <v>0</v>
      </c>
      <c r="O72" s="507">
        <f t="shared" si="2"/>
        <v>0</v>
      </c>
      <c r="P72" s="507">
        <f t="shared" si="3"/>
        <v>0</v>
      </c>
      <c r="Q72" s="507">
        <f t="shared" si="4"/>
        <v>0</v>
      </c>
      <c r="R72" s="507">
        <f t="shared" si="5"/>
        <v>0</v>
      </c>
      <c r="S72" s="507">
        <f t="shared" si="6"/>
        <v>0</v>
      </c>
      <c r="T72" s="507">
        <f t="shared" si="7"/>
        <v>0</v>
      </c>
      <c r="U72" s="507">
        <f t="shared" si="8"/>
        <v>0</v>
      </c>
      <c r="V72" s="507">
        <f t="shared" si="9"/>
        <v>0</v>
      </c>
      <c r="W72" s="507">
        <f t="shared" si="10"/>
        <v>0</v>
      </c>
      <c r="X72" s="507">
        <f t="shared" si="11"/>
        <v>0</v>
      </c>
      <c r="Y72" s="507">
        <f t="shared" si="12"/>
        <v>0</v>
      </c>
      <c r="Z72" s="11">
        <f t="shared" si="13"/>
        <v>0</v>
      </c>
      <c r="AC72" s="4">
        <v>130</v>
      </c>
      <c r="AD72" s="5" t="s">
        <v>222</v>
      </c>
      <c r="AE72" s="5" t="s">
        <v>220</v>
      </c>
      <c r="AF72" s="5" t="s">
        <v>223</v>
      </c>
      <c r="AG72" s="5" t="s">
        <v>0</v>
      </c>
      <c r="AH72" s="5" t="s">
        <v>18</v>
      </c>
      <c r="AI72" s="5" t="s">
        <v>16</v>
      </c>
      <c r="AJ72" s="5" t="s">
        <v>17</v>
      </c>
      <c r="AK72" s="5" t="s">
        <v>3</v>
      </c>
      <c r="AL72" s="5" t="s">
        <v>18</v>
      </c>
      <c r="AM72" s="6"/>
      <c r="AO72" s="5"/>
      <c r="AP72" s="5"/>
      <c r="AQ72" s="5"/>
      <c r="AR72" s="5"/>
      <c r="AS72" s="5"/>
      <c r="AU72" s="1547" t="s">
        <v>772</v>
      </c>
      <c r="AV72" s="35" t="s">
        <v>2231</v>
      </c>
      <c r="AW72" s="36">
        <v>36961.910000000003</v>
      </c>
      <c r="AY72" s="34"/>
      <c r="AZ72" s="35"/>
      <c r="BA72" s="36"/>
      <c r="BC72" s="34"/>
      <c r="BD72" s="35"/>
      <c r="BE72" s="36"/>
      <c r="BG72" s="34"/>
      <c r="BH72" s="35"/>
      <c r="BI72" s="36"/>
      <c r="BK72" s="34"/>
      <c r="BL72" s="35"/>
      <c r="BM72" s="36"/>
      <c r="BO72" s="34"/>
      <c r="BP72" s="35"/>
      <c r="BQ72" s="36"/>
      <c r="BS72" s="1592"/>
      <c r="BT72" s="35"/>
      <c r="BU72" s="36"/>
      <c r="BW72" s="34"/>
      <c r="BX72" s="35"/>
      <c r="BY72" s="36"/>
      <c r="CA72" s="34"/>
      <c r="CB72" s="35"/>
      <c r="CC72" s="36"/>
      <c r="CE72" s="34"/>
      <c r="CF72" s="35"/>
      <c r="CG72" s="36"/>
      <c r="CI72" s="34"/>
      <c r="CJ72" s="35"/>
      <c r="CK72" s="36"/>
      <c r="CM72" s="34"/>
      <c r="CN72" s="35"/>
      <c r="CO72" s="36"/>
    </row>
    <row r="73" spans="1:93">
      <c r="A73" s="34" t="s">
        <v>632</v>
      </c>
      <c r="B73" s="35" t="s">
        <v>633</v>
      </c>
      <c r="C73" s="36">
        <v>2700676.93</v>
      </c>
      <c r="D73" s="37" t="str">
        <f>IF(C73&gt;=Mat!$E$71,"Material","No Mat")</f>
        <v>Material</v>
      </c>
      <c r="E73" s="834">
        <f>IF(C73&gt;=Mat!$E$71,C73/Mat!$E$71,0)</f>
        <v>10.191384778021416</v>
      </c>
      <c r="G73" s="34"/>
      <c r="H73" s="35"/>
      <c r="I73" s="48"/>
      <c r="J73" s="36"/>
      <c r="L73" s="506"/>
      <c r="M73" s="506" t="s">
        <v>4207</v>
      </c>
      <c r="N73" s="507">
        <f>IFERROR(VLOOKUP(M73,$AV$8:$AW$298,2,FALSE),0)</f>
        <v>0</v>
      </c>
      <c r="O73" s="507">
        <f>IFERROR(VLOOKUP(M73,$AZ$8:$BA$298,2,FALSE),0)</f>
        <v>0</v>
      </c>
      <c r="P73" s="507">
        <f>IFERROR(VLOOKUP(M73,$BD$8:$BE$298,2,FALSE),0)</f>
        <v>0</v>
      </c>
      <c r="Q73" s="507">
        <f t="shared" si="4"/>
        <v>0</v>
      </c>
      <c r="R73" s="507">
        <f t="shared" si="5"/>
        <v>0</v>
      </c>
      <c r="S73" s="507">
        <f t="shared" si="6"/>
        <v>0</v>
      </c>
      <c r="T73" s="507">
        <f t="shared" si="7"/>
        <v>0</v>
      </c>
      <c r="U73" s="507">
        <f t="shared" si="8"/>
        <v>0</v>
      </c>
      <c r="V73" s="507">
        <f t="shared" si="9"/>
        <v>0</v>
      </c>
      <c r="W73" s="507">
        <f t="shared" si="10"/>
        <v>0</v>
      </c>
      <c r="X73" s="507">
        <f t="shared" si="11"/>
        <v>0</v>
      </c>
      <c r="Y73" s="507">
        <f t="shared" si="12"/>
        <v>0</v>
      </c>
      <c r="Z73" s="11"/>
      <c r="AC73" s="4">
        <v>134</v>
      </c>
      <c r="AD73" s="5" t="s">
        <v>227</v>
      </c>
      <c r="AE73" s="5" t="s">
        <v>225</v>
      </c>
      <c r="AF73" s="5" t="s">
        <v>228</v>
      </c>
      <c r="AG73" s="5" t="s">
        <v>0</v>
      </c>
      <c r="AH73" s="5" t="s">
        <v>18</v>
      </c>
      <c r="AI73" s="5" t="s">
        <v>12</v>
      </c>
      <c r="AJ73" s="5" t="s">
        <v>17</v>
      </c>
      <c r="AK73" s="5" t="s">
        <v>139</v>
      </c>
      <c r="AL73" s="5" t="s">
        <v>18</v>
      </c>
      <c r="AM73" s="6"/>
      <c r="AO73" s="5"/>
      <c r="AP73" s="5"/>
      <c r="AQ73" s="5"/>
      <c r="AR73" s="5"/>
      <c r="AS73" s="5"/>
      <c r="AU73" s="1547" t="s">
        <v>4192</v>
      </c>
      <c r="AV73" s="35" t="s">
        <v>2227</v>
      </c>
      <c r="AW73" s="36">
        <v>12130</v>
      </c>
      <c r="AY73" s="34"/>
      <c r="AZ73" s="35"/>
      <c r="BA73" s="36"/>
      <c r="BC73" s="34"/>
      <c r="BD73" s="35"/>
      <c r="BE73" s="36"/>
      <c r="BG73" s="34"/>
      <c r="BH73" s="35"/>
      <c r="BI73" s="36"/>
      <c r="BK73" s="34"/>
      <c r="BL73" s="35"/>
      <c r="BM73" s="36"/>
      <c r="BO73" s="34"/>
      <c r="BP73" s="35"/>
      <c r="BQ73" s="36"/>
      <c r="BS73" s="1592"/>
      <c r="BT73" s="35"/>
      <c r="BU73" s="36"/>
      <c r="BW73" s="34"/>
      <c r="BX73" s="35"/>
      <c r="BY73" s="36"/>
      <c r="CA73" s="34"/>
      <c r="CB73" s="35"/>
      <c r="CC73" s="36"/>
      <c r="CE73" s="34"/>
      <c r="CF73" s="35"/>
      <c r="CG73" s="36"/>
      <c r="CI73" s="34"/>
      <c r="CJ73" s="35"/>
      <c r="CK73" s="36"/>
      <c r="CM73" s="34"/>
      <c r="CN73" s="35"/>
      <c r="CO73" s="36"/>
    </row>
    <row r="74" spans="1:93">
      <c r="A74" s="34" t="s">
        <v>635</v>
      </c>
      <c r="B74" s="35" t="s">
        <v>636</v>
      </c>
      <c r="C74" s="36">
        <v>437355</v>
      </c>
      <c r="D74" s="37" t="str">
        <f>IF(C74&gt;=Mat!$E$71,"Material","No Mat")</f>
        <v>Material</v>
      </c>
      <c r="E74" s="834">
        <f>IF(C74&gt;=Mat!$E$71,C74/Mat!$E$71,0)</f>
        <v>1.6504206927081633</v>
      </c>
      <c r="F74" s="895"/>
      <c r="G74" s="34"/>
      <c r="H74" s="35"/>
      <c r="I74" s="48"/>
      <c r="J74" s="36"/>
      <c r="L74" s="506"/>
      <c r="M74" s="506" t="s">
        <v>197</v>
      </c>
      <c r="N74" s="507">
        <f t="shared" si="1"/>
        <v>0</v>
      </c>
      <c r="O74" s="507">
        <f t="shared" si="2"/>
        <v>0</v>
      </c>
      <c r="P74" s="507">
        <f t="shared" si="3"/>
        <v>0</v>
      </c>
      <c r="Q74" s="507">
        <f t="shared" si="4"/>
        <v>0</v>
      </c>
      <c r="R74" s="507">
        <f t="shared" si="5"/>
        <v>0</v>
      </c>
      <c r="S74" s="507">
        <f t="shared" si="6"/>
        <v>0</v>
      </c>
      <c r="T74" s="507">
        <f t="shared" si="7"/>
        <v>0</v>
      </c>
      <c r="U74" s="507">
        <f t="shared" si="8"/>
        <v>0</v>
      </c>
      <c r="V74" s="507">
        <f t="shared" si="9"/>
        <v>0</v>
      </c>
      <c r="W74" s="507">
        <f t="shared" si="10"/>
        <v>0</v>
      </c>
      <c r="X74" s="507">
        <f t="shared" si="11"/>
        <v>0</v>
      </c>
      <c r="Y74" s="507">
        <f t="shared" si="12"/>
        <v>0</v>
      </c>
      <c r="Z74" s="11">
        <f t="shared" si="13"/>
        <v>0</v>
      </c>
      <c r="AC74" s="4">
        <v>136</v>
      </c>
      <c r="AD74" s="5" t="s">
        <v>233</v>
      </c>
      <c r="AE74" s="5" t="s">
        <v>231</v>
      </c>
      <c r="AF74" s="5" t="s">
        <v>234</v>
      </c>
      <c r="AG74" s="5" t="s">
        <v>0</v>
      </c>
      <c r="AH74" s="5" t="s">
        <v>18</v>
      </c>
      <c r="AI74" s="5" t="s">
        <v>12</v>
      </c>
      <c r="AJ74" s="5" t="s">
        <v>17</v>
      </c>
      <c r="AK74" s="5" t="s">
        <v>139</v>
      </c>
      <c r="AL74" s="5" t="s">
        <v>18</v>
      </c>
      <c r="AM74" s="6"/>
      <c r="AO74" s="5"/>
      <c r="AP74" s="5"/>
      <c r="AQ74" s="5"/>
      <c r="AR74" s="5"/>
      <c r="AS74" s="5"/>
      <c r="AU74" s="1547" t="s">
        <v>783</v>
      </c>
      <c r="AV74" s="35" t="s">
        <v>2223</v>
      </c>
      <c r="AW74" s="36">
        <v>450</v>
      </c>
      <c r="AY74" s="34"/>
      <c r="AZ74" s="35"/>
      <c r="BA74" s="36"/>
      <c r="BC74" s="34"/>
      <c r="BD74" s="35"/>
      <c r="BE74" s="36"/>
      <c r="BG74" s="34"/>
      <c r="BH74" s="35"/>
      <c r="BI74" s="36"/>
      <c r="BK74" s="34"/>
      <c r="BL74" s="35"/>
      <c r="BM74" s="36"/>
      <c r="BO74" s="34"/>
      <c r="BP74" s="35"/>
      <c r="BQ74" s="36"/>
      <c r="BS74" s="1592"/>
      <c r="BT74" s="35"/>
      <c r="BU74" s="36"/>
      <c r="BW74" s="34"/>
      <c r="BX74" s="35"/>
      <c r="BY74" s="36"/>
      <c r="CA74" s="34"/>
      <c r="CB74" s="35"/>
      <c r="CC74" s="36"/>
      <c r="CE74" s="34"/>
      <c r="CF74" s="35"/>
      <c r="CG74" s="36"/>
      <c r="CI74" s="34"/>
      <c r="CJ74" s="35"/>
      <c r="CK74" s="36"/>
      <c r="CM74" s="34"/>
      <c r="CN74" s="35"/>
      <c r="CO74" s="36"/>
    </row>
    <row r="75" spans="1:93">
      <c r="A75" s="34" t="s">
        <v>4252</v>
      </c>
      <c r="B75" s="35" t="s">
        <v>2232</v>
      </c>
      <c r="C75" s="36">
        <v>460724.08</v>
      </c>
      <c r="D75" s="37" t="str">
        <f>IF(C75&gt;=Mat!$E$71,"Material","No Mat")</f>
        <v>Material</v>
      </c>
      <c r="E75" s="834">
        <f>IF(C75&gt;=Mat!$E$71,C75/Mat!$E$71,0)</f>
        <v>1.7386072075566332</v>
      </c>
      <c r="G75" s="34"/>
      <c r="H75" s="35"/>
      <c r="I75" s="48"/>
      <c r="J75" s="36"/>
      <c r="L75" s="506"/>
      <c r="M75" s="506" t="s">
        <v>202</v>
      </c>
      <c r="N75" s="507">
        <f t="shared" si="1"/>
        <v>0</v>
      </c>
      <c r="O75" s="507">
        <f t="shared" si="2"/>
        <v>0</v>
      </c>
      <c r="P75" s="507">
        <f t="shared" si="3"/>
        <v>0</v>
      </c>
      <c r="Q75" s="507">
        <f t="shared" si="4"/>
        <v>0</v>
      </c>
      <c r="R75" s="507">
        <f t="shared" si="5"/>
        <v>0</v>
      </c>
      <c r="S75" s="507">
        <f t="shared" si="6"/>
        <v>0</v>
      </c>
      <c r="T75" s="507">
        <f t="shared" si="7"/>
        <v>0</v>
      </c>
      <c r="U75" s="507">
        <f t="shared" si="8"/>
        <v>0</v>
      </c>
      <c r="V75" s="507">
        <f t="shared" si="9"/>
        <v>0</v>
      </c>
      <c r="W75" s="507">
        <f t="shared" si="10"/>
        <v>0</v>
      </c>
      <c r="X75" s="507">
        <f t="shared" si="11"/>
        <v>0</v>
      </c>
      <c r="Y75" s="507">
        <f t="shared" si="12"/>
        <v>0</v>
      </c>
      <c r="Z75" s="11">
        <f t="shared" si="13"/>
        <v>0</v>
      </c>
      <c r="AC75" s="4">
        <v>138</v>
      </c>
      <c r="AD75" s="5" t="s">
        <v>237</v>
      </c>
      <c r="AE75" s="5" t="s">
        <v>235</v>
      </c>
      <c r="AF75" s="5" t="s">
        <v>236</v>
      </c>
      <c r="AG75" s="5" t="s">
        <v>0</v>
      </c>
      <c r="AH75" s="5" t="s">
        <v>18</v>
      </c>
      <c r="AI75" s="5" t="s">
        <v>12</v>
      </c>
      <c r="AJ75" s="5" t="s">
        <v>17</v>
      </c>
      <c r="AK75" s="5" t="s">
        <v>139</v>
      </c>
      <c r="AL75" s="5" t="s">
        <v>18</v>
      </c>
      <c r="AM75" s="6"/>
      <c r="AO75" s="5"/>
      <c r="AP75" s="5"/>
      <c r="AQ75" s="5"/>
      <c r="AR75" s="5"/>
      <c r="AS75" s="5"/>
      <c r="AU75" s="1547" t="s">
        <v>806</v>
      </c>
      <c r="AV75" s="35" t="s">
        <v>807</v>
      </c>
      <c r="AW75" s="36">
        <v>2850</v>
      </c>
      <c r="AY75" s="34"/>
      <c r="AZ75" s="35"/>
      <c r="BA75" s="36"/>
      <c r="BC75" s="34"/>
      <c r="BD75" s="35"/>
      <c r="BE75" s="36"/>
      <c r="BG75" s="34"/>
      <c r="BH75" s="35"/>
      <c r="BI75" s="36"/>
      <c r="BK75" s="34"/>
      <c r="BL75" s="35"/>
      <c r="BM75" s="36"/>
      <c r="BO75" s="34"/>
      <c r="BP75" s="35"/>
      <c r="BQ75" s="36"/>
      <c r="BS75" s="1592"/>
      <c r="BT75" s="35"/>
      <c r="BU75" s="36"/>
      <c r="BW75" s="34"/>
      <c r="BX75" s="35"/>
      <c r="BY75" s="36"/>
      <c r="CA75" s="34"/>
      <c r="CB75" s="35"/>
      <c r="CC75" s="36"/>
      <c r="CE75" s="34"/>
      <c r="CF75" s="35"/>
      <c r="CG75" s="36"/>
      <c r="CI75" s="34"/>
      <c r="CJ75" s="35"/>
      <c r="CK75" s="36"/>
      <c r="CM75" s="34"/>
      <c r="CN75" s="35"/>
      <c r="CO75" s="36"/>
    </row>
    <row r="76" spans="1:93">
      <c r="A76" s="34" t="s">
        <v>4253</v>
      </c>
      <c r="B76" s="35" t="s">
        <v>2233</v>
      </c>
      <c r="C76" s="36">
        <v>230191</v>
      </c>
      <c r="D76" s="37" t="str">
        <f>IF(C76&gt;=Mat!$E$71,"Material","No Mat")</f>
        <v>No Mat</v>
      </c>
      <c r="E76" s="834">
        <f>IF(C76&gt;=Mat!$E$71,C76/Mat!$E$71,0)</f>
        <v>0</v>
      </c>
      <c r="G76" s="34"/>
      <c r="H76" s="35"/>
      <c r="I76" s="48"/>
      <c r="J76" s="36"/>
      <c r="L76" s="506"/>
      <c r="M76" s="506" t="s">
        <v>2319</v>
      </c>
      <c r="N76" s="507">
        <f t="shared" si="1"/>
        <v>17380</v>
      </c>
      <c r="O76" s="507">
        <f t="shared" si="2"/>
        <v>-17380</v>
      </c>
      <c r="P76" s="507">
        <f t="shared" si="3"/>
        <v>-17380</v>
      </c>
      <c r="Q76" s="507">
        <f t="shared" si="4"/>
        <v>0</v>
      </c>
      <c r="R76" s="507">
        <f t="shared" si="5"/>
        <v>0</v>
      </c>
      <c r="S76" s="507">
        <f t="shared" si="6"/>
        <v>0</v>
      </c>
      <c r="T76" s="507">
        <f t="shared" si="7"/>
        <v>0</v>
      </c>
      <c r="U76" s="507">
        <f t="shared" si="8"/>
        <v>0</v>
      </c>
      <c r="V76" s="507">
        <f t="shared" si="9"/>
        <v>0</v>
      </c>
      <c r="W76" s="507">
        <f t="shared" si="10"/>
        <v>0</v>
      </c>
      <c r="X76" s="507">
        <f t="shared" si="11"/>
        <v>0</v>
      </c>
      <c r="Y76" s="507">
        <f t="shared" si="12"/>
        <v>0</v>
      </c>
      <c r="Z76" s="11">
        <f t="shared" si="13"/>
        <v>-17380</v>
      </c>
      <c r="AC76" s="4">
        <v>140</v>
      </c>
      <c r="AD76" s="5" t="s">
        <v>238</v>
      </c>
      <c r="AE76" s="5" t="s">
        <v>235</v>
      </c>
      <c r="AF76" s="5" t="s">
        <v>239</v>
      </c>
      <c r="AG76" s="5" t="s">
        <v>0</v>
      </c>
      <c r="AH76" s="5" t="s">
        <v>18</v>
      </c>
      <c r="AI76" s="5" t="s">
        <v>12</v>
      </c>
      <c r="AJ76" s="5" t="s">
        <v>17</v>
      </c>
      <c r="AK76" s="5" t="s">
        <v>139</v>
      </c>
      <c r="AL76" s="5" t="s">
        <v>18</v>
      </c>
      <c r="AM76" s="6"/>
      <c r="AO76" s="5"/>
      <c r="AP76" s="5"/>
      <c r="AQ76" s="5"/>
      <c r="AR76" s="5"/>
      <c r="AS76" s="5"/>
      <c r="AU76" s="1547" t="s">
        <v>831</v>
      </c>
      <c r="AV76" s="35" t="s">
        <v>832</v>
      </c>
      <c r="AW76" s="36">
        <v>1190</v>
      </c>
      <c r="AY76" s="34"/>
      <c r="AZ76" s="35"/>
      <c r="BA76" s="36"/>
      <c r="BC76" s="34"/>
      <c r="BD76" s="35"/>
      <c r="BE76" s="36"/>
      <c r="BG76" s="34"/>
      <c r="BH76" s="35"/>
      <c r="BI76" s="36"/>
      <c r="BK76" s="34"/>
      <c r="BL76" s="35"/>
      <c r="BM76" s="36"/>
      <c r="BO76" s="34"/>
      <c r="BP76" s="35"/>
      <c r="BQ76" s="36"/>
      <c r="BS76" s="1592"/>
      <c r="BT76" s="35"/>
      <c r="BU76" s="36"/>
      <c r="BW76" s="34"/>
      <c r="BX76" s="35"/>
      <c r="BY76" s="36"/>
      <c r="CA76" s="34"/>
      <c r="CB76" s="35"/>
      <c r="CC76" s="36"/>
      <c r="CE76" s="34"/>
      <c r="CF76" s="35"/>
      <c r="CG76" s="36"/>
      <c r="CI76" s="34"/>
      <c r="CJ76" s="35"/>
      <c r="CK76" s="36"/>
      <c r="CM76" s="34"/>
      <c r="CN76" s="35"/>
      <c r="CO76" s="36"/>
    </row>
    <row r="77" spans="1:93">
      <c r="A77" s="34" t="s">
        <v>4254</v>
      </c>
      <c r="B77" s="35" t="s">
        <v>2235</v>
      </c>
      <c r="C77" s="36">
        <v>77085.11</v>
      </c>
      <c r="D77" s="37" t="str">
        <f>IF(C77&gt;=Mat!$E$71,"Material","No Mat")</f>
        <v>No Mat</v>
      </c>
      <c r="E77" s="834">
        <f>IF(C77&gt;=Mat!$E$71,C77/Mat!$E$71,0)</f>
        <v>0</v>
      </c>
      <c r="F77" s="895">
        <f>SUM(C77:C92)+C111</f>
        <v>18411516.619999997</v>
      </c>
      <c r="G77" s="34"/>
      <c r="H77" s="35"/>
      <c r="I77" s="48"/>
      <c r="J77" s="36"/>
      <c r="L77" s="506"/>
      <c r="M77" s="506" t="s">
        <v>213</v>
      </c>
      <c r="N77" s="507">
        <f t="shared" si="1"/>
        <v>0</v>
      </c>
      <c r="O77" s="507">
        <f t="shared" si="2"/>
        <v>0</v>
      </c>
      <c r="P77" s="507">
        <f t="shared" si="3"/>
        <v>0</v>
      </c>
      <c r="Q77" s="507">
        <f t="shared" si="4"/>
        <v>0</v>
      </c>
      <c r="R77" s="507">
        <f t="shared" si="5"/>
        <v>0</v>
      </c>
      <c r="S77" s="507">
        <f t="shared" si="6"/>
        <v>0</v>
      </c>
      <c r="T77" s="507">
        <f t="shared" si="7"/>
        <v>0</v>
      </c>
      <c r="U77" s="507">
        <f t="shared" si="8"/>
        <v>0</v>
      </c>
      <c r="V77" s="507">
        <f t="shared" si="9"/>
        <v>0</v>
      </c>
      <c r="W77" s="507">
        <f t="shared" si="10"/>
        <v>0</v>
      </c>
      <c r="X77" s="507">
        <f t="shared" si="11"/>
        <v>0</v>
      </c>
      <c r="Y77" s="507">
        <f t="shared" si="12"/>
        <v>0</v>
      </c>
      <c r="Z77" s="11">
        <f t="shared" si="13"/>
        <v>0</v>
      </c>
      <c r="AC77" s="4">
        <v>142</v>
      </c>
      <c r="AD77" s="5" t="s">
        <v>240</v>
      </c>
      <c r="AE77" s="5" t="s">
        <v>231</v>
      </c>
      <c r="AF77" s="5" t="s">
        <v>241</v>
      </c>
      <c r="AG77" s="5" t="s">
        <v>0</v>
      </c>
      <c r="AH77" s="5" t="s">
        <v>18</v>
      </c>
      <c r="AI77" s="5" t="s">
        <v>12</v>
      </c>
      <c r="AJ77" s="5" t="s">
        <v>17</v>
      </c>
      <c r="AK77" s="5" t="s">
        <v>139</v>
      </c>
      <c r="AL77" s="5" t="s">
        <v>18</v>
      </c>
      <c r="AM77" s="6"/>
      <c r="AO77" s="5"/>
      <c r="AP77" s="5"/>
      <c r="AQ77" s="5"/>
      <c r="AR77" s="5"/>
      <c r="AS77" s="5"/>
      <c r="AU77" s="1547" t="s">
        <v>4255</v>
      </c>
      <c r="AV77" s="35" t="s">
        <v>3944</v>
      </c>
      <c r="AW77" s="36">
        <v>-17380</v>
      </c>
      <c r="AY77" s="34"/>
      <c r="AZ77" s="35"/>
      <c r="BA77" s="36"/>
      <c r="BC77" s="34"/>
      <c r="BD77" s="35"/>
      <c r="BE77" s="36"/>
      <c r="BG77" s="34"/>
      <c r="BH77" s="35"/>
      <c r="BI77" s="36"/>
      <c r="BK77" s="34"/>
      <c r="BL77" s="35"/>
      <c r="BM77" s="36"/>
      <c r="BO77" s="34"/>
      <c r="BP77" s="35"/>
      <c r="BQ77" s="36"/>
      <c r="BS77" s="1592"/>
      <c r="BT77" s="35"/>
      <c r="BU77" s="36"/>
      <c r="BW77" s="34"/>
      <c r="BX77" s="35"/>
      <c r="BY77" s="36"/>
      <c r="CA77" s="34"/>
      <c r="CB77" s="35"/>
      <c r="CC77" s="36"/>
      <c r="CE77" s="34"/>
      <c r="CF77" s="35"/>
      <c r="CG77" s="36"/>
      <c r="CI77" s="34"/>
      <c r="CJ77" s="35"/>
      <c r="CK77" s="36"/>
      <c r="CM77" s="34"/>
      <c r="CN77" s="35"/>
      <c r="CO77" s="36"/>
    </row>
    <row r="78" spans="1:93">
      <c r="A78" s="34" t="s">
        <v>659</v>
      </c>
      <c r="B78" s="35" t="s">
        <v>2872</v>
      </c>
      <c r="C78" s="36">
        <v>14880572.050000001</v>
      </c>
      <c r="D78" s="37" t="str">
        <f>IF(C78&gt;=Mat!$E$71,"Material","No Mat")</f>
        <v>Material</v>
      </c>
      <c r="E78" s="834">
        <f>IF(C78&gt;=Mat!$E$71,C78/Mat!$E$71,0)</f>
        <v>56.153934516936438</v>
      </c>
      <c r="F78" s="895">
        <f>+F77-ERF!B22</f>
        <v>-639403.69999999925</v>
      </c>
      <c r="G78" s="34"/>
      <c r="H78" s="35"/>
      <c r="I78" s="48"/>
      <c r="J78" s="36"/>
      <c r="L78" s="506"/>
      <c r="M78" s="506" t="s">
        <v>2203</v>
      </c>
      <c r="N78" s="507">
        <f t="shared" si="1"/>
        <v>-54283.21</v>
      </c>
      <c r="O78" s="507">
        <f t="shared" si="2"/>
        <v>-54283.21</v>
      </c>
      <c r="P78" s="507">
        <f t="shared" si="3"/>
        <v>-54283.21</v>
      </c>
      <c r="Q78" s="507">
        <f t="shared" si="4"/>
        <v>0</v>
      </c>
      <c r="R78" s="507">
        <f t="shared" si="5"/>
        <v>0</v>
      </c>
      <c r="S78" s="507">
        <f t="shared" si="6"/>
        <v>0</v>
      </c>
      <c r="T78" s="507">
        <f t="shared" si="7"/>
        <v>0</v>
      </c>
      <c r="U78" s="507">
        <f t="shared" si="8"/>
        <v>0</v>
      </c>
      <c r="V78" s="507">
        <f t="shared" si="9"/>
        <v>0</v>
      </c>
      <c r="W78" s="507">
        <f t="shared" si="10"/>
        <v>0</v>
      </c>
      <c r="X78" s="507">
        <f t="shared" si="11"/>
        <v>0</v>
      </c>
      <c r="Y78" s="507">
        <f t="shared" si="12"/>
        <v>0</v>
      </c>
      <c r="Z78" s="11">
        <f t="shared" si="13"/>
        <v>-162849.63</v>
      </c>
      <c r="AC78" s="4">
        <v>144</v>
      </c>
      <c r="AD78" s="5" t="s">
        <v>242</v>
      </c>
      <c r="AE78" s="5" t="s">
        <v>231</v>
      </c>
      <c r="AF78" s="5" t="s">
        <v>243</v>
      </c>
      <c r="AG78" s="5" t="s">
        <v>0</v>
      </c>
      <c r="AH78" s="5" t="s">
        <v>18</v>
      </c>
      <c r="AI78" s="5" t="s">
        <v>12</v>
      </c>
      <c r="AJ78" s="5" t="s">
        <v>17</v>
      </c>
      <c r="AK78" s="5" t="s">
        <v>139</v>
      </c>
      <c r="AL78" s="5" t="s">
        <v>18</v>
      </c>
      <c r="AM78" s="6"/>
      <c r="AO78" s="5"/>
      <c r="AP78" s="5"/>
      <c r="AQ78" s="5"/>
      <c r="AR78" s="5"/>
      <c r="AS78" s="5"/>
      <c r="AU78" s="1547"/>
      <c r="AV78" s="35"/>
      <c r="AW78" s="36"/>
      <c r="AY78" s="34"/>
      <c r="AZ78" s="35"/>
      <c r="BA78" s="36"/>
      <c r="BC78" s="34"/>
      <c r="BD78" s="35"/>
      <c r="BE78" s="36"/>
      <c r="BG78" s="34"/>
      <c r="BH78" s="35"/>
      <c r="BI78" s="36"/>
      <c r="BK78" s="34"/>
      <c r="BL78" s="35"/>
      <c r="BM78" s="36"/>
      <c r="BO78" s="34"/>
      <c r="BP78" s="35"/>
      <c r="BQ78" s="36"/>
      <c r="BS78" s="1592"/>
      <c r="BT78" s="35"/>
      <c r="BU78" s="36"/>
      <c r="BW78" s="34"/>
      <c r="BX78" s="35"/>
      <c r="BY78" s="36"/>
      <c r="CA78" s="34"/>
      <c r="CB78" s="35"/>
      <c r="CC78" s="36"/>
      <c r="CE78" s="34"/>
      <c r="CF78" s="35"/>
      <c r="CG78" s="36"/>
      <c r="CI78" s="34"/>
      <c r="CJ78" s="35"/>
      <c r="CK78" s="36"/>
      <c r="CM78" s="34"/>
      <c r="CN78" s="35"/>
      <c r="CO78" s="36"/>
    </row>
    <row r="79" spans="1:93">
      <c r="A79" s="34" t="s">
        <v>4271</v>
      </c>
      <c r="B79" s="35" t="s">
        <v>2226</v>
      </c>
      <c r="C79" s="36">
        <v>354</v>
      </c>
      <c r="D79" s="37" t="str">
        <f>IF(C79&gt;=Mat!$E$71,"Material","No Mat")</f>
        <v>No Mat</v>
      </c>
      <c r="E79" s="834">
        <f>IF(C79&gt;=Mat!$E$71,C79/Mat!$E$71,0)</f>
        <v>0</v>
      </c>
      <c r="F79" s="895"/>
      <c r="G79" s="34"/>
      <c r="H79" s="35"/>
      <c r="I79" s="48"/>
      <c r="J79" s="36"/>
      <c r="L79" s="506"/>
      <c r="M79" s="506" t="s">
        <v>218</v>
      </c>
      <c r="N79" s="507">
        <f t="shared" ref="N79:N142" si="14">IFERROR(VLOOKUP(M79,$AV$8:$AW$298,2,FALSE),0)</f>
        <v>0</v>
      </c>
      <c r="O79" s="507">
        <f t="shared" ref="O79:O142" si="15">IFERROR(VLOOKUP(M79,$AZ$8:$BA$298,2,FALSE),0)</f>
        <v>0</v>
      </c>
      <c r="P79" s="507">
        <f t="shared" ref="P79:P142" si="16">IFERROR(VLOOKUP(M79,$BD$8:$BE$298,2,FALSE),0)</f>
        <v>0</v>
      </c>
      <c r="Q79" s="507">
        <f t="shared" ref="Q79:Q142" si="17">IFERROR(VLOOKUP($M79,$BH$8:$BI$298,2,FALSE),0)</f>
        <v>0</v>
      </c>
      <c r="R79" s="507">
        <f t="shared" ref="R79:R142" si="18">IFERROR(VLOOKUP($M79,$BL$8:$BM$298,2,FALSE),0)</f>
        <v>0</v>
      </c>
      <c r="S79" s="507">
        <f t="shared" ref="S79:S142" si="19">IFERROR(VLOOKUP($M79,$BP$8:$BQ$298,2,FALSE),0)</f>
        <v>0</v>
      </c>
      <c r="T79" s="507">
        <f t="shared" ref="T79:T142" si="20">IFERROR(VLOOKUP($M79,$BT$8:$BU$298,2,FALSE),0)</f>
        <v>0</v>
      </c>
      <c r="U79" s="507">
        <f t="shared" ref="U79:U142" si="21">IFERROR(VLOOKUP($M79,$BX$8:$BY$298,2,FALSE),0)</f>
        <v>0</v>
      </c>
      <c r="V79" s="507">
        <f t="shared" ref="V79:V142" si="22">IFERROR(VLOOKUP($M79,$CB$8:$CC$298,2,FALSE),0)</f>
        <v>0</v>
      </c>
      <c r="W79" s="507">
        <f t="shared" ref="W79:W142" si="23">IFERROR(VLOOKUP($M79,$CF$8:$CG$298,2,FALSE),0)</f>
        <v>0</v>
      </c>
      <c r="X79" s="507">
        <f t="shared" ref="X79:X142" si="24">IFERROR(VLOOKUP($M79,$CJ$8:$CK$298,2,FALSE),0)</f>
        <v>0</v>
      </c>
      <c r="Y79" s="507">
        <f t="shared" ref="Y79:Y142" si="25">IFERROR(VLOOKUP($M79,$CN$8:$CO$298,2,FALSE),0)</f>
        <v>0</v>
      </c>
      <c r="Z79" s="11">
        <f t="shared" ref="Z79:Z143" si="26">SUM(N79:Y79)</f>
        <v>0</v>
      </c>
      <c r="AC79" s="4">
        <v>146</v>
      </c>
      <c r="AD79" s="5" t="s">
        <v>244</v>
      </c>
      <c r="AE79" s="5" t="s">
        <v>231</v>
      </c>
      <c r="AF79" s="5" t="s">
        <v>245</v>
      </c>
      <c r="AG79" s="5" t="s">
        <v>0</v>
      </c>
      <c r="AH79" s="5" t="s">
        <v>18</v>
      </c>
      <c r="AI79" s="5" t="s">
        <v>12</v>
      </c>
      <c r="AJ79" s="5" t="s">
        <v>17</v>
      </c>
      <c r="AK79" s="5" t="s">
        <v>139</v>
      </c>
      <c r="AL79" s="5" t="s">
        <v>18</v>
      </c>
      <c r="AM79" s="6"/>
      <c r="AO79" s="5"/>
      <c r="AP79" s="5"/>
      <c r="AQ79" s="5"/>
      <c r="AR79" s="5"/>
      <c r="AS79" s="5"/>
      <c r="AU79" s="1547"/>
      <c r="AV79" s="35"/>
      <c r="AW79" s="36"/>
      <c r="AY79" s="34"/>
      <c r="AZ79" s="35"/>
      <c r="BA79" s="36"/>
      <c r="BC79" s="34"/>
      <c r="BD79" s="35"/>
      <c r="BE79" s="36"/>
      <c r="BG79" s="34"/>
      <c r="BH79" s="35"/>
      <c r="BI79" s="36"/>
      <c r="BK79" s="34"/>
      <c r="BL79" s="35"/>
      <c r="BM79" s="36"/>
      <c r="BO79" s="34"/>
      <c r="BP79" s="35"/>
      <c r="BQ79" s="36"/>
      <c r="BS79" s="1592"/>
      <c r="BT79" s="35"/>
      <c r="BU79" s="36"/>
      <c r="BW79" s="34"/>
      <c r="BX79" s="35"/>
      <c r="BY79" s="36"/>
      <c r="CA79" s="34"/>
      <c r="CB79" s="35"/>
      <c r="CC79" s="36"/>
      <c r="CE79" s="34"/>
      <c r="CF79" s="35"/>
      <c r="CG79" s="36"/>
      <c r="CI79" s="34"/>
      <c r="CJ79" s="35"/>
      <c r="CK79" s="36"/>
      <c r="CM79" s="34"/>
      <c r="CN79" s="35"/>
      <c r="CO79" s="36"/>
    </row>
    <row r="80" spans="1:93">
      <c r="A80" s="34" t="s">
        <v>665</v>
      </c>
      <c r="B80" s="35" t="s">
        <v>2222</v>
      </c>
      <c r="C80" s="36">
        <v>594499.5</v>
      </c>
      <c r="D80" s="37" t="str">
        <f>IF(C80&gt;=Mat!$E$71,"Material","No Mat")</f>
        <v>Material</v>
      </c>
      <c r="E80" s="834">
        <f>IF(C80&gt;=Mat!$E$71,C80/Mat!$E$71,0)</f>
        <v>2.2434275968141595</v>
      </c>
      <c r="F80" s="895"/>
      <c r="G80" s="34"/>
      <c r="H80" s="35"/>
      <c r="I80" s="48"/>
      <c r="J80" s="36"/>
      <c r="L80" s="506"/>
      <c r="M80" s="506" t="s">
        <v>223</v>
      </c>
      <c r="N80" s="507">
        <f t="shared" si="14"/>
        <v>0</v>
      </c>
      <c r="O80" s="507">
        <f t="shared" si="15"/>
        <v>0</v>
      </c>
      <c r="P80" s="507">
        <f t="shared" si="16"/>
        <v>0</v>
      </c>
      <c r="Q80" s="507">
        <f t="shared" si="17"/>
        <v>0</v>
      </c>
      <c r="R80" s="507">
        <f t="shared" si="18"/>
        <v>0</v>
      </c>
      <c r="S80" s="507">
        <f t="shared" si="19"/>
        <v>0</v>
      </c>
      <c r="T80" s="507">
        <f t="shared" si="20"/>
        <v>0</v>
      </c>
      <c r="U80" s="507">
        <f t="shared" si="21"/>
        <v>0</v>
      </c>
      <c r="V80" s="507">
        <f t="shared" si="22"/>
        <v>0</v>
      </c>
      <c r="W80" s="507">
        <f t="shared" si="23"/>
        <v>0</v>
      </c>
      <c r="X80" s="507">
        <f t="shared" si="24"/>
        <v>0</v>
      </c>
      <c r="Y80" s="507">
        <f t="shared" si="25"/>
        <v>0</v>
      </c>
      <c r="Z80" s="11">
        <f t="shared" si="26"/>
        <v>0</v>
      </c>
      <c r="AC80" s="4">
        <v>148</v>
      </c>
      <c r="AD80" s="5" t="s">
        <v>246</v>
      </c>
      <c r="AE80" s="5" t="s">
        <v>231</v>
      </c>
      <c r="AF80" s="5" t="s">
        <v>247</v>
      </c>
      <c r="AG80" s="5" t="s">
        <v>0</v>
      </c>
      <c r="AH80" s="5" t="s">
        <v>18</v>
      </c>
      <c r="AI80" s="5" t="s">
        <v>12</v>
      </c>
      <c r="AJ80" s="5" t="s">
        <v>17</v>
      </c>
      <c r="AK80" s="5" t="s">
        <v>139</v>
      </c>
      <c r="AL80" s="5" t="s">
        <v>18</v>
      </c>
      <c r="AM80" s="6"/>
      <c r="AO80" s="5"/>
      <c r="AP80" s="5"/>
      <c r="AQ80" s="5"/>
      <c r="AR80" s="5"/>
      <c r="AS80" s="5"/>
      <c r="AU80" s="1547"/>
      <c r="AV80" s="35"/>
      <c r="AW80" s="36"/>
      <c r="AY80" s="34"/>
      <c r="AZ80" s="35"/>
      <c r="BA80" s="36"/>
      <c r="BC80" s="34"/>
      <c r="BD80" s="35"/>
      <c r="BE80" s="36"/>
      <c r="BG80" s="34"/>
      <c r="BH80" s="35"/>
      <c r="BI80" s="36"/>
      <c r="BK80" s="34"/>
      <c r="BL80" s="35"/>
      <c r="BM80" s="36"/>
      <c r="BO80" s="34"/>
      <c r="BP80" s="35"/>
      <c r="BQ80" s="36"/>
      <c r="BS80" s="1592"/>
      <c r="BT80" s="35"/>
      <c r="BU80" s="36"/>
      <c r="BW80" s="34"/>
      <c r="BX80" s="35"/>
      <c r="BY80" s="36"/>
      <c r="CA80" s="34"/>
      <c r="CB80" s="35"/>
      <c r="CC80" s="36"/>
      <c r="CE80" s="34"/>
      <c r="CF80" s="35"/>
      <c r="CG80" s="36"/>
      <c r="CI80" s="34"/>
      <c r="CJ80" s="35"/>
      <c r="CK80" s="36"/>
      <c r="CM80" s="34"/>
      <c r="CN80" s="35"/>
      <c r="CO80" s="36"/>
    </row>
    <row r="81" spans="1:93">
      <c r="A81" s="34" t="s">
        <v>4272</v>
      </c>
      <c r="B81" s="35" t="s">
        <v>2330</v>
      </c>
      <c r="C81" s="36">
        <v>2200</v>
      </c>
      <c r="D81" s="37" t="str">
        <f>IF(C81&gt;=Mat!$E$71,"Material","No Mat")</f>
        <v>No Mat</v>
      </c>
      <c r="E81" s="834">
        <f>IF(C81&gt;=Mat!$E$71,C81/Mat!$E$71,0)</f>
        <v>0</v>
      </c>
      <c r="F81" s="895"/>
      <c r="G81" s="34"/>
      <c r="H81" s="35"/>
      <c r="I81" s="48"/>
      <c r="J81" s="36"/>
      <c r="L81" s="506"/>
      <c r="M81" s="506" t="s">
        <v>228</v>
      </c>
      <c r="N81" s="507">
        <f t="shared" si="14"/>
        <v>0</v>
      </c>
      <c r="O81" s="507">
        <f t="shared" si="15"/>
        <v>0</v>
      </c>
      <c r="P81" s="507">
        <f t="shared" si="16"/>
        <v>0</v>
      </c>
      <c r="Q81" s="507">
        <f t="shared" si="17"/>
        <v>0</v>
      </c>
      <c r="R81" s="507">
        <f t="shared" si="18"/>
        <v>0</v>
      </c>
      <c r="S81" s="507">
        <f t="shared" si="19"/>
        <v>0</v>
      </c>
      <c r="T81" s="507">
        <f t="shared" si="20"/>
        <v>0</v>
      </c>
      <c r="U81" s="507">
        <f t="shared" si="21"/>
        <v>0</v>
      </c>
      <c r="V81" s="507">
        <f t="shared" si="22"/>
        <v>0</v>
      </c>
      <c r="W81" s="507">
        <f t="shared" si="23"/>
        <v>0</v>
      </c>
      <c r="X81" s="507">
        <f t="shared" si="24"/>
        <v>0</v>
      </c>
      <c r="Y81" s="507">
        <f t="shared" si="25"/>
        <v>0</v>
      </c>
      <c r="Z81" s="11">
        <f t="shared" si="26"/>
        <v>0</v>
      </c>
      <c r="AC81" s="4">
        <v>150</v>
      </c>
      <c r="AD81" s="5" t="s">
        <v>248</v>
      </c>
      <c r="AE81" s="5" t="s">
        <v>231</v>
      </c>
      <c r="AF81" s="5" t="s">
        <v>249</v>
      </c>
      <c r="AG81" s="5" t="s">
        <v>0</v>
      </c>
      <c r="AH81" s="5" t="s">
        <v>18</v>
      </c>
      <c r="AI81" s="5" t="s">
        <v>12</v>
      </c>
      <c r="AJ81" s="5" t="s">
        <v>17</v>
      </c>
      <c r="AK81" s="5" t="s">
        <v>139</v>
      </c>
      <c r="AL81" s="5" t="s">
        <v>18</v>
      </c>
      <c r="AM81" s="6"/>
      <c r="AO81" s="5"/>
      <c r="AP81" s="5"/>
      <c r="AQ81" s="5"/>
      <c r="AR81" s="5"/>
      <c r="AS81" s="5"/>
      <c r="AU81" s="1547"/>
      <c r="AV81" s="35"/>
      <c r="AW81" s="36"/>
      <c r="AY81" s="34"/>
      <c r="AZ81" s="35"/>
      <c r="BA81" s="36"/>
      <c r="BC81" s="34"/>
      <c r="BD81" s="35"/>
      <c r="BE81" s="36"/>
      <c r="BG81" s="34"/>
      <c r="BH81" s="35"/>
      <c r="BI81" s="36"/>
      <c r="BK81" s="34"/>
      <c r="BL81" s="35"/>
      <c r="BM81" s="36"/>
      <c r="BO81" s="34"/>
      <c r="BP81" s="35"/>
      <c r="BQ81" s="36"/>
      <c r="BS81" s="1592"/>
      <c r="BT81" s="35"/>
      <c r="BU81" s="36"/>
      <c r="BW81" s="34"/>
      <c r="BX81" s="35"/>
      <c r="BY81" s="36"/>
      <c r="CA81" s="34"/>
      <c r="CB81" s="35"/>
      <c r="CC81" s="36"/>
      <c r="CE81" s="34"/>
      <c r="CF81" s="35"/>
      <c r="CG81" s="36"/>
      <c r="CI81" s="34"/>
      <c r="CJ81" s="35"/>
      <c r="CK81" s="36"/>
      <c r="CM81" s="34"/>
      <c r="CN81" s="35"/>
      <c r="CO81" s="36"/>
    </row>
    <row r="82" spans="1:93">
      <c r="A82" s="34" t="s">
        <v>699</v>
      </c>
      <c r="B82" s="35" t="s">
        <v>700</v>
      </c>
      <c r="C82" s="36">
        <v>162849.63</v>
      </c>
      <c r="D82" s="37" t="str">
        <f>IF(C82&gt;=Mat!$E$71,"Material","No Mat")</f>
        <v>No Mat</v>
      </c>
      <c r="E82" s="834">
        <f>IF(C82&gt;=Mat!$E$71,C82/Mat!$E$71,0)</f>
        <v>0</v>
      </c>
      <c r="F82" s="895"/>
      <c r="G82" s="34"/>
      <c r="H82" s="35"/>
      <c r="I82" s="48"/>
      <c r="J82" s="36"/>
      <c r="L82" s="506"/>
      <c r="M82" s="506" t="s">
        <v>234</v>
      </c>
      <c r="N82" s="507">
        <f t="shared" si="14"/>
        <v>0</v>
      </c>
      <c r="O82" s="507">
        <f t="shared" si="15"/>
        <v>0</v>
      </c>
      <c r="P82" s="507">
        <f t="shared" si="16"/>
        <v>0</v>
      </c>
      <c r="Q82" s="507">
        <f t="shared" si="17"/>
        <v>0</v>
      </c>
      <c r="R82" s="507">
        <f t="shared" si="18"/>
        <v>0</v>
      </c>
      <c r="S82" s="507">
        <f t="shared" si="19"/>
        <v>0</v>
      </c>
      <c r="T82" s="507">
        <f t="shared" si="20"/>
        <v>0</v>
      </c>
      <c r="U82" s="507">
        <f t="shared" si="21"/>
        <v>0</v>
      </c>
      <c r="V82" s="507">
        <f t="shared" si="22"/>
        <v>0</v>
      </c>
      <c r="W82" s="507">
        <f t="shared" si="23"/>
        <v>0</v>
      </c>
      <c r="X82" s="507">
        <f t="shared" si="24"/>
        <v>0</v>
      </c>
      <c r="Y82" s="507">
        <f t="shared" si="25"/>
        <v>0</v>
      </c>
      <c r="Z82" s="11">
        <f t="shared" si="26"/>
        <v>0</v>
      </c>
      <c r="AC82" s="4">
        <v>152</v>
      </c>
      <c r="AD82" s="5" t="s">
        <v>252</v>
      </c>
      <c r="AE82" s="5" t="s">
        <v>250</v>
      </c>
      <c r="AF82" s="5" t="s">
        <v>253</v>
      </c>
      <c r="AG82" s="5" t="s">
        <v>0</v>
      </c>
      <c r="AH82" s="5" t="s">
        <v>18</v>
      </c>
      <c r="AI82" s="5" t="s">
        <v>12</v>
      </c>
      <c r="AJ82" s="5" t="s">
        <v>17</v>
      </c>
      <c r="AK82" s="5" t="s">
        <v>139</v>
      </c>
      <c r="AL82" s="5" t="s">
        <v>18</v>
      </c>
      <c r="AM82" s="6"/>
      <c r="AO82" s="5"/>
      <c r="AP82" s="5"/>
      <c r="AQ82" s="5"/>
      <c r="AR82" s="5"/>
      <c r="AS82" s="5"/>
      <c r="AU82" s="1547"/>
      <c r="AV82" s="35"/>
      <c r="AW82" s="36"/>
      <c r="AY82" s="34"/>
      <c r="AZ82" s="35"/>
      <c r="BA82" s="36"/>
      <c r="BC82" s="34"/>
      <c r="BD82" s="35"/>
      <c r="BE82" s="36"/>
      <c r="BG82" s="34"/>
      <c r="BH82" s="35"/>
      <c r="BI82" s="36"/>
      <c r="BK82" s="34"/>
      <c r="BL82" s="35"/>
      <c r="BM82" s="36"/>
      <c r="BO82" s="34"/>
      <c r="BP82" s="35"/>
      <c r="BQ82" s="36"/>
      <c r="BS82" s="1592"/>
      <c r="BT82" s="35"/>
      <c r="BU82" s="36"/>
      <c r="BW82" s="34"/>
      <c r="BX82" s="35"/>
      <c r="BY82" s="36"/>
      <c r="CA82" s="34"/>
      <c r="CB82" s="35"/>
      <c r="CC82" s="36"/>
      <c r="CE82" s="34"/>
      <c r="CF82" s="35"/>
      <c r="CG82" s="36"/>
      <c r="CI82" s="34"/>
      <c r="CJ82" s="35"/>
      <c r="CK82" s="36"/>
      <c r="CM82" s="34"/>
      <c r="CN82" s="35"/>
      <c r="CO82" s="36"/>
    </row>
    <row r="83" spans="1:93">
      <c r="A83" s="34" t="s">
        <v>4191</v>
      </c>
      <c r="B83" s="35" t="s">
        <v>3847</v>
      </c>
      <c r="C83" s="36">
        <v>45048.24</v>
      </c>
      <c r="D83" s="37" t="str">
        <f>IF(C83&gt;=Mat!$E$71,"Material","No Mat")</f>
        <v>No Mat</v>
      </c>
      <c r="E83" s="834">
        <f>IF(C83&gt;=Mat!$E$71,C83/Mat!$E$71,0)</f>
        <v>0</v>
      </c>
      <c r="G83" s="34"/>
      <c r="H83" s="35"/>
      <c r="I83" s="48"/>
      <c r="J83" s="36"/>
      <c r="L83" s="506"/>
      <c r="M83" s="506" t="s">
        <v>236</v>
      </c>
      <c r="N83" s="507">
        <f t="shared" si="14"/>
        <v>0</v>
      </c>
      <c r="O83" s="507">
        <f t="shared" si="15"/>
        <v>0</v>
      </c>
      <c r="P83" s="507">
        <f t="shared" si="16"/>
        <v>0</v>
      </c>
      <c r="Q83" s="507">
        <f t="shared" si="17"/>
        <v>0</v>
      </c>
      <c r="R83" s="507">
        <f t="shared" si="18"/>
        <v>0</v>
      </c>
      <c r="S83" s="507">
        <f t="shared" si="19"/>
        <v>0</v>
      </c>
      <c r="T83" s="507">
        <f t="shared" si="20"/>
        <v>0</v>
      </c>
      <c r="U83" s="507">
        <f t="shared" si="21"/>
        <v>0</v>
      </c>
      <c r="V83" s="507">
        <f t="shared" si="22"/>
        <v>0</v>
      </c>
      <c r="W83" s="507">
        <f t="shared" si="23"/>
        <v>0</v>
      </c>
      <c r="X83" s="507">
        <f t="shared" si="24"/>
        <v>0</v>
      </c>
      <c r="Y83" s="507">
        <f t="shared" si="25"/>
        <v>0</v>
      </c>
      <c r="Z83" s="11">
        <f t="shared" si="26"/>
        <v>0</v>
      </c>
      <c r="AC83" s="4">
        <v>154</v>
      </c>
      <c r="AD83" s="5" t="s">
        <v>254</v>
      </c>
      <c r="AE83" s="5" t="s">
        <v>250</v>
      </c>
      <c r="AF83" s="5" t="s">
        <v>255</v>
      </c>
      <c r="AG83" s="5" t="s">
        <v>0</v>
      </c>
      <c r="AH83" s="5" t="s">
        <v>18</v>
      </c>
      <c r="AI83" s="5" t="s">
        <v>12</v>
      </c>
      <c r="AJ83" s="5" t="s">
        <v>17</v>
      </c>
      <c r="AK83" s="5" t="s">
        <v>139</v>
      </c>
      <c r="AL83" s="5" t="s">
        <v>18</v>
      </c>
      <c r="AM83" s="6"/>
      <c r="AO83" s="5"/>
      <c r="AP83" s="5"/>
      <c r="AQ83" s="5"/>
      <c r="AR83" s="5"/>
      <c r="AS83" s="5"/>
      <c r="AU83" s="1547"/>
      <c r="AV83" s="35"/>
      <c r="AW83" s="36"/>
      <c r="AY83" s="34"/>
      <c r="AZ83" s="35"/>
      <c r="BA83" s="36"/>
      <c r="BC83" s="34"/>
      <c r="BD83" s="35"/>
      <c r="BE83" s="36"/>
      <c r="BG83" s="34"/>
      <c r="BH83" s="35"/>
      <c r="BI83" s="36"/>
      <c r="BK83" s="34"/>
      <c r="BL83" s="35"/>
      <c r="BM83" s="36"/>
      <c r="BO83" s="34"/>
      <c r="BP83" s="35"/>
      <c r="BQ83" s="36"/>
      <c r="BS83" s="1592"/>
      <c r="BT83" s="35"/>
      <c r="BU83" s="36"/>
      <c r="BW83" s="34"/>
      <c r="BX83" s="35"/>
      <c r="BY83" s="36"/>
      <c r="CA83" s="34"/>
      <c r="CB83" s="35"/>
      <c r="CC83" s="36"/>
      <c r="CE83" s="34"/>
      <c r="CF83" s="35"/>
      <c r="CG83" s="36"/>
      <c r="CI83" s="34"/>
      <c r="CJ83" s="35"/>
      <c r="CK83" s="36"/>
      <c r="CM83" s="34"/>
      <c r="CN83" s="35"/>
      <c r="CO83" s="36"/>
    </row>
    <row r="84" spans="1:93">
      <c r="A84" s="34" t="s">
        <v>713</v>
      </c>
      <c r="B84" s="35" t="s">
        <v>714</v>
      </c>
      <c r="C84" s="36">
        <v>1543966.74</v>
      </c>
      <c r="D84" s="37" t="str">
        <f>IF(C84&gt;=Mat!$E$71,"Material","No Mat")</f>
        <v>Material</v>
      </c>
      <c r="E84" s="834">
        <f>IF(C84&gt;=Mat!$E$71,C84/Mat!$E$71,0)</f>
        <v>5.8263759567151734</v>
      </c>
      <c r="F84" s="895"/>
      <c r="G84" s="34"/>
      <c r="H84" s="35"/>
      <c r="I84" s="48"/>
      <c r="J84" s="36"/>
      <c r="L84" s="506"/>
      <c r="M84" s="506" t="s">
        <v>239</v>
      </c>
      <c r="N84" s="507">
        <f t="shared" si="14"/>
        <v>0</v>
      </c>
      <c r="O84" s="507">
        <f t="shared" si="15"/>
        <v>0</v>
      </c>
      <c r="P84" s="507">
        <f t="shared" si="16"/>
        <v>0</v>
      </c>
      <c r="Q84" s="507">
        <f t="shared" si="17"/>
        <v>0</v>
      </c>
      <c r="R84" s="507">
        <f t="shared" si="18"/>
        <v>0</v>
      </c>
      <c r="S84" s="507">
        <f t="shared" si="19"/>
        <v>0</v>
      </c>
      <c r="T84" s="507">
        <f t="shared" si="20"/>
        <v>0</v>
      </c>
      <c r="U84" s="507">
        <f t="shared" si="21"/>
        <v>0</v>
      </c>
      <c r="V84" s="507">
        <f t="shared" si="22"/>
        <v>0</v>
      </c>
      <c r="W84" s="507">
        <f t="shared" si="23"/>
        <v>0</v>
      </c>
      <c r="X84" s="507">
        <f t="shared" si="24"/>
        <v>0</v>
      </c>
      <c r="Y84" s="507">
        <f t="shared" si="25"/>
        <v>0</v>
      </c>
      <c r="Z84" s="11">
        <f t="shared" si="26"/>
        <v>0</v>
      </c>
      <c r="AC84" s="4">
        <v>156</v>
      </c>
      <c r="AD84" s="5" t="s">
        <v>256</v>
      </c>
      <c r="AE84" s="5" t="s">
        <v>250</v>
      </c>
      <c r="AF84" s="5" t="s">
        <v>257</v>
      </c>
      <c r="AG84" s="5" t="s">
        <v>0</v>
      </c>
      <c r="AH84" s="5" t="s">
        <v>18</v>
      </c>
      <c r="AI84" s="5" t="s">
        <v>12</v>
      </c>
      <c r="AJ84" s="5" t="s">
        <v>17</v>
      </c>
      <c r="AK84" s="5" t="s">
        <v>139</v>
      </c>
      <c r="AL84" s="5" t="s">
        <v>18</v>
      </c>
      <c r="AM84" s="6"/>
      <c r="AO84" s="5"/>
      <c r="AP84" s="5"/>
      <c r="AQ84" s="5"/>
      <c r="AR84" s="5"/>
      <c r="AS84" s="5"/>
      <c r="AU84" s="1547"/>
      <c r="AV84" s="35"/>
      <c r="AW84" s="36"/>
      <c r="AY84" s="34"/>
      <c r="AZ84" s="35"/>
      <c r="BA84" s="36"/>
      <c r="BC84" s="34"/>
      <c r="BD84" s="35"/>
      <c r="BE84" s="36"/>
      <c r="BG84" s="34"/>
      <c r="BH84" s="35"/>
      <c r="BI84" s="36"/>
      <c r="BK84" s="34"/>
      <c r="BL84" s="35"/>
      <c r="BM84" s="36"/>
      <c r="BO84" s="34"/>
      <c r="BP84" s="35"/>
      <c r="BQ84" s="36"/>
      <c r="BS84" s="1592"/>
      <c r="BT84" s="35"/>
      <c r="BU84" s="36"/>
      <c r="BW84" s="34"/>
      <c r="BX84" s="35"/>
      <c r="BY84" s="36"/>
      <c r="CA84" s="34"/>
      <c r="CB84" s="35"/>
      <c r="CC84" s="36"/>
      <c r="CE84" s="34"/>
      <c r="CF84" s="35"/>
      <c r="CG84" s="36"/>
      <c r="CI84" s="34"/>
      <c r="CJ84" s="35"/>
      <c r="CK84" s="36"/>
      <c r="CM84" s="34"/>
      <c r="CN84" s="35"/>
      <c r="CO84" s="36"/>
    </row>
    <row r="85" spans="1:93">
      <c r="A85" s="34" t="s">
        <v>740</v>
      </c>
      <c r="B85" s="35" t="s">
        <v>2229</v>
      </c>
      <c r="C85" s="36">
        <v>207205</v>
      </c>
      <c r="D85" s="37" t="str">
        <f>IF(C85&gt;=Mat!$E$71,"Material","No Mat")</f>
        <v>No Mat</v>
      </c>
      <c r="E85" s="834">
        <f>IF(C85&gt;=Mat!$E$71,C85/Mat!$E$71,0)</f>
        <v>0</v>
      </c>
      <c r="F85" s="895"/>
      <c r="G85" s="34"/>
      <c r="H85" s="35"/>
      <c r="I85" s="48"/>
      <c r="J85" s="36"/>
      <c r="L85" s="506"/>
      <c r="M85" s="506" t="s">
        <v>241</v>
      </c>
      <c r="N85" s="507">
        <f t="shared" si="14"/>
        <v>0</v>
      </c>
      <c r="O85" s="507">
        <f t="shared" si="15"/>
        <v>0</v>
      </c>
      <c r="P85" s="507">
        <f t="shared" si="16"/>
        <v>0</v>
      </c>
      <c r="Q85" s="507">
        <f t="shared" si="17"/>
        <v>0</v>
      </c>
      <c r="R85" s="507">
        <f t="shared" si="18"/>
        <v>0</v>
      </c>
      <c r="S85" s="507">
        <f t="shared" si="19"/>
        <v>0</v>
      </c>
      <c r="T85" s="507">
        <f t="shared" si="20"/>
        <v>0</v>
      </c>
      <c r="U85" s="507">
        <f t="shared" si="21"/>
        <v>0</v>
      </c>
      <c r="V85" s="507">
        <f t="shared" si="22"/>
        <v>0</v>
      </c>
      <c r="W85" s="507">
        <f t="shared" si="23"/>
        <v>0</v>
      </c>
      <c r="X85" s="507">
        <f t="shared" si="24"/>
        <v>0</v>
      </c>
      <c r="Y85" s="507">
        <f t="shared" si="25"/>
        <v>0</v>
      </c>
      <c r="Z85" s="11">
        <f t="shared" si="26"/>
        <v>0</v>
      </c>
      <c r="AC85" s="4">
        <v>158</v>
      </c>
      <c r="AD85" s="5" t="s">
        <v>258</v>
      </c>
      <c r="AE85" s="5" t="s">
        <v>250</v>
      </c>
      <c r="AF85" s="5" t="s">
        <v>259</v>
      </c>
      <c r="AG85" s="5" t="s">
        <v>0</v>
      </c>
      <c r="AH85" s="5" t="s">
        <v>18</v>
      </c>
      <c r="AI85" s="5" t="s">
        <v>12</v>
      </c>
      <c r="AJ85" s="5" t="s">
        <v>17</v>
      </c>
      <c r="AK85" s="5" t="s">
        <v>139</v>
      </c>
      <c r="AL85" s="5" t="s">
        <v>18</v>
      </c>
      <c r="AM85" s="6"/>
      <c r="AO85" s="5"/>
      <c r="AP85" s="5"/>
      <c r="AQ85" s="5"/>
      <c r="AR85" s="5"/>
      <c r="AS85" s="5"/>
      <c r="AU85" s="1547"/>
      <c r="AV85" s="35"/>
      <c r="AW85" s="36"/>
      <c r="AY85" s="34"/>
      <c r="AZ85" s="35"/>
      <c r="BA85" s="36"/>
      <c r="BC85" s="34"/>
      <c r="BD85" s="35"/>
      <c r="BE85" s="36"/>
      <c r="BG85" s="34"/>
      <c r="BH85" s="35"/>
      <c r="BI85" s="36"/>
      <c r="BK85" s="34"/>
      <c r="BL85" s="35"/>
      <c r="BM85" s="36"/>
      <c r="BO85" s="34"/>
      <c r="BP85" s="35"/>
      <c r="BQ85" s="36"/>
      <c r="BS85" s="1592"/>
      <c r="BT85" s="35"/>
      <c r="BU85" s="36"/>
      <c r="BW85" s="34"/>
      <c r="BX85" s="35"/>
      <c r="BY85" s="36"/>
      <c r="CA85" s="34"/>
      <c r="CB85" s="35"/>
      <c r="CC85" s="36"/>
      <c r="CE85" s="34"/>
      <c r="CF85" s="35"/>
      <c r="CG85" s="36"/>
      <c r="CI85" s="34"/>
      <c r="CJ85" s="35"/>
      <c r="CK85" s="36"/>
      <c r="CM85" s="34"/>
      <c r="CN85" s="35"/>
      <c r="CO85" s="36"/>
    </row>
    <row r="86" spans="1:93">
      <c r="A86" s="34" t="s">
        <v>743</v>
      </c>
      <c r="B86" s="35" t="s">
        <v>744</v>
      </c>
      <c r="C86" s="36">
        <v>1000</v>
      </c>
      <c r="D86" s="37" t="str">
        <f>IF(C86&gt;=Mat!$E$71,"Material","No Mat")</f>
        <v>No Mat</v>
      </c>
      <c r="E86" s="834">
        <f>IF(C86&gt;=Mat!$E$71,C86/Mat!$E$71,0)</f>
        <v>0</v>
      </c>
      <c r="F86" s="895"/>
      <c r="G86" s="34"/>
      <c r="H86" s="35"/>
      <c r="I86" s="48"/>
      <c r="J86" s="36"/>
      <c r="L86" s="506"/>
      <c r="M86" s="506" t="s">
        <v>243</v>
      </c>
      <c r="N86" s="507">
        <f t="shared" si="14"/>
        <v>0</v>
      </c>
      <c r="O86" s="507">
        <f t="shared" si="15"/>
        <v>0</v>
      </c>
      <c r="P86" s="507">
        <f t="shared" si="16"/>
        <v>0</v>
      </c>
      <c r="Q86" s="507">
        <f t="shared" si="17"/>
        <v>0</v>
      </c>
      <c r="R86" s="507">
        <f t="shared" si="18"/>
        <v>0</v>
      </c>
      <c r="S86" s="507">
        <f t="shared" si="19"/>
        <v>0</v>
      </c>
      <c r="T86" s="507">
        <f t="shared" si="20"/>
        <v>0</v>
      </c>
      <c r="U86" s="507">
        <f t="shared" si="21"/>
        <v>0</v>
      </c>
      <c r="V86" s="507">
        <f t="shared" si="22"/>
        <v>0</v>
      </c>
      <c r="W86" s="507">
        <f t="shared" si="23"/>
        <v>0</v>
      </c>
      <c r="X86" s="507">
        <f t="shared" si="24"/>
        <v>0</v>
      </c>
      <c r="Y86" s="507">
        <f t="shared" si="25"/>
        <v>0</v>
      </c>
      <c r="Z86" s="11">
        <f t="shared" si="26"/>
        <v>0</v>
      </c>
      <c r="AC86" s="4">
        <v>160</v>
      </c>
      <c r="AD86" s="5" t="s">
        <v>260</v>
      </c>
      <c r="AE86" s="5" t="s">
        <v>250</v>
      </c>
      <c r="AF86" s="5" t="s">
        <v>261</v>
      </c>
      <c r="AG86" s="5" t="s">
        <v>0</v>
      </c>
      <c r="AH86" s="5" t="s">
        <v>18</v>
      </c>
      <c r="AI86" s="5" t="s">
        <v>12</v>
      </c>
      <c r="AJ86" s="5" t="s">
        <v>17</v>
      </c>
      <c r="AK86" s="5" t="s">
        <v>139</v>
      </c>
      <c r="AL86" s="5" t="s">
        <v>18</v>
      </c>
      <c r="AM86" s="6"/>
      <c r="AO86" s="5"/>
      <c r="AP86" s="5"/>
      <c r="AQ86" s="5"/>
      <c r="AR86" s="5"/>
      <c r="AS86" s="5"/>
      <c r="AU86" s="1547"/>
      <c r="AV86" s="35"/>
      <c r="AW86" s="36"/>
      <c r="AY86" s="34"/>
      <c r="AZ86" s="35"/>
      <c r="BA86" s="36"/>
      <c r="BC86" s="34"/>
      <c r="BD86" s="35"/>
      <c r="BE86" s="36"/>
      <c r="BG86" s="34"/>
      <c r="BH86" s="35"/>
      <c r="BI86" s="36"/>
      <c r="BK86" s="34"/>
      <c r="BL86" s="35"/>
      <c r="BM86" s="36"/>
      <c r="BO86" s="34"/>
      <c r="BP86" s="35"/>
      <c r="BQ86" s="36"/>
      <c r="BS86" s="1592"/>
      <c r="BT86" s="35"/>
      <c r="BU86" s="36"/>
      <c r="BW86" s="34"/>
      <c r="BX86" s="35"/>
      <c r="BY86" s="36"/>
      <c r="CA86" s="34"/>
      <c r="CB86" s="35"/>
      <c r="CC86" s="36"/>
      <c r="CE86" s="34"/>
      <c r="CF86" s="35"/>
      <c r="CG86" s="36"/>
      <c r="CI86" s="34"/>
      <c r="CJ86" s="35"/>
      <c r="CK86" s="36"/>
      <c r="CM86" s="34"/>
      <c r="CN86" s="35"/>
      <c r="CO86" s="36"/>
    </row>
    <row r="87" spans="1:93">
      <c r="A87" s="34" t="s">
        <v>746</v>
      </c>
      <c r="B87" s="35" t="s">
        <v>747</v>
      </c>
      <c r="C87" s="36">
        <v>4573.25</v>
      </c>
      <c r="D87" s="37" t="str">
        <f>IF(C87&gt;=Mat!$E$71,"Material","No Mat")</f>
        <v>No Mat</v>
      </c>
      <c r="E87" s="834">
        <f>IF(C87&gt;=Mat!$E$71,C87/Mat!$E$71,0)</f>
        <v>0</v>
      </c>
      <c r="F87" s="895"/>
      <c r="G87" s="34"/>
      <c r="H87" s="35"/>
      <c r="I87" s="48"/>
      <c r="J87" s="36"/>
      <c r="L87" s="506"/>
      <c r="M87" s="506" t="s">
        <v>245</v>
      </c>
      <c r="N87" s="507">
        <f t="shared" si="14"/>
        <v>0</v>
      </c>
      <c r="O87" s="507">
        <f t="shared" si="15"/>
        <v>0</v>
      </c>
      <c r="P87" s="507">
        <f t="shared" si="16"/>
        <v>0</v>
      </c>
      <c r="Q87" s="507">
        <f t="shared" si="17"/>
        <v>0</v>
      </c>
      <c r="R87" s="507">
        <f t="shared" si="18"/>
        <v>0</v>
      </c>
      <c r="S87" s="507">
        <f t="shared" si="19"/>
        <v>0</v>
      </c>
      <c r="T87" s="507">
        <f t="shared" si="20"/>
        <v>0</v>
      </c>
      <c r="U87" s="507">
        <f t="shared" si="21"/>
        <v>0</v>
      </c>
      <c r="V87" s="507">
        <f t="shared" si="22"/>
        <v>0</v>
      </c>
      <c r="W87" s="507">
        <f t="shared" si="23"/>
        <v>0</v>
      </c>
      <c r="X87" s="507">
        <f t="shared" si="24"/>
        <v>0</v>
      </c>
      <c r="Y87" s="507">
        <f t="shared" si="25"/>
        <v>0</v>
      </c>
      <c r="Z87" s="11">
        <f t="shared" si="26"/>
        <v>0</v>
      </c>
      <c r="AC87" s="4">
        <v>162</v>
      </c>
      <c r="AD87" s="5" t="s">
        <v>262</v>
      </c>
      <c r="AE87" s="5" t="s">
        <v>250</v>
      </c>
      <c r="AF87" s="5" t="s">
        <v>263</v>
      </c>
      <c r="AG87" s="5" t="s">
        <v>0</v>
      </c>
      <c r="AH87" s="5" t="s">
        <v>18</v>
      </c>
      <c r="AI87" s="5" t="s">
        <v>12</v>
      </c>
      <c r="AJ87" s="5" t="s">
        <v>17</v>
      </c>
      <c r="AK87" s="5" t="s">
        <v>139</v>
      </c>
      <c r="AL87" s="5" t="s">
        <v>18</v>
      </c>
      <c r="AM87" s="6"/>
      <c r="AO87" s="5"/>
      <c r="AP87" s="5"/>
      <c r="AQ87" s="5"/>
      <c r="AR87" s="5"/>
      <c r="AS87" s="5"/>
      <c r="AT87" s="11">
        <f>SUM(C72:C87)</f>
        <v>23998400.889999997</v>
      </c>
      <c r="AU87" s="1547"/>
      <c r="AV87" s="35"/>
      <c r="AW87" s="36"/>
      <c r="AY87" s="34"/>
      <c r="AZ87" s="35"/>
      <c r="BA87" s="36"/>
      <c r="BC87" s="34"/>
      <c r="BD87" s="35"/>
      <c r="BE87" s="36"/>
      <c r="BG87" s="34"/>
      <c r="BH87" s="35"/>
      <c r="BI87" s="36"/>
      <c r="BK87" s="34"/>
      <c r="BL87" s="35"/>
      <c r="BM87" s="36"/>
      <c r="BO87" s="34"/>
      <c r="BP87" s="35"/>
      <c r="BQ87" s="36"/>
      <c r="BS87" s="1592"/>
      <c r="BT87" s="35"/>
      <c r="BU87" s="36"/>
      <c r="BW87" s="34"/>
      <c r="BX87" s="35"/>
      <c r="BY87" s="36"/>
      <c r="CA87" s="34"/>
      <c r="CB87" s="35"/>
      <c r="CC87" s="36"/>
      <c r="CE87" s="34"/>
      <c r="CF87" s="35"/>
      <c r="CG87" s="36"/>
      <c r="CI87" s="34"/>
      <c r="CJ87" s="35"/>
      <c r="CK87" s="36"/>
      <c r="CM87" s="34"/>
      <c r="CN87" s="35"/>
      <c r="CO87" s="36"/>
    </row>
    <row r="88" spans="1:93">
      <c r="A88" s="34" t="s">
        <v>757</v>
      </c>
      <c r="B88" s="35" t="s">
        <v>758</v>
      </c>
      <c r="C88" s="36">
        <v>177987.98</v>
      </c>
      <c r="D88" s="37" t="str">
        <f>IF(C88&gt;=Mat!$E$71,"Material","No Mat")</f>
        <v>No Mat</v>
      </c>
      <c r="E88" s="834">
        <f>IF(C88&gt;=Mat!$E$71,C88/Mat!$E$71,0)</f>
        <v>0</v>
      </c>
      <c r="F88" s="895"/>
      <c r="G88" s="34"/>
      <c r="H88" s="35"/>
      <c r="I88" s="48"/>
      <c r="J88" s="36"/>
      <c r="L88" s="506" t="s">
        <v>252</v>
      </c>
      <c r="M88" s="506" t="s">
        <v>247</v>
      </c>
      <c r="N88" s="507">
        <f t="shared" si="14"/>
        <v>0</v>
      </c>
      <c r="O88" s="507">
        <f t="shared" si="15"/>
        <v>0</v>
      </c>
      <c r="P88" s="507">
        <f t="shared" si="16"/>
        <v>0</v>
      </c>
      <c r="Q88" s="507">
        <f t="shared" si="17"/>
        <v>0</v>
      </c>
      <c r="R88" s="507">
        <f t="shared" si="18"/>
        <v>0</v>
      </c>
      <c r="S88" s="507">
        <f t="shared" si="19"/>
        <v>0</v>
      </c>
      <c r="T88" s="507">
        <f t="shared" si="20"/>
        <v>0</v>
      </c>
      <c r="U88" s="507">
        <f t="shared" si="21"/>
        <v>0</v>
      </c>
      <c r="V88" s="507">
        <f t="shared" si="22"/>
        <v>0</v>
      </c>
      <c r="W88" s="507">
        <f t="shared" si="23"/>
        <v>0</v>
      </c>
      <c r="X88" s="507">
        <f t="shared" si="24"/>
        <v>0</v>
      </c>
      <c r="Y88" s="507">
        <f t="shared" si="25"/>
        <v>0</v>
      </c>
      <c r="Z88" s="11">
        <f t="shared" si="26"/>
        <v>0</v>
      </c>
      <c r="AC88" s="4">
        <v>164</v>
      </c>
      <c r="AD88" s="5" t="s">
        <v>264</v>
      </c>
      <c r="AE88" s="5" t="s">
        <v>250</v>
      </c>
      <c r="AF88" s="5" t="s">
        <v>265</v>
      </c>
      <c r="AG88" s="5" t="s">
        <v>0</v>
      </c>
      <c r="AH88" s="5" t="s">
        <v>18</v>
      </c>
      <c r="AI88" s="5" t="s">
        <v>12</v>
      </c>
      <c r="AJ88" s="5" t="s">
        <v>17</v>
      </c>
      <c r="AK88" s="5" t="s">
        <v>139</v>
      </c>
      <c r="AL88" s="5" t="s">
        <v>18</v>
      </c>
      <c r="AM88" s="6"/>
      <c r="AO88" s="5"/>
      <c r="AP88" s="5"/>
      <c r="AQ88" s="5"/>
      <c r="AR88" s="5"/>
      <c r="AS88" s="5"/>
      <c r="AU88" s="1547"/>
      <c r="AV88" s="35"/>
      <c r="AW88" s="36"/>
      <c r="AY88" s="34"/>
      <c r="AZ88" s="35"/>
      <c r="BA88" s="36"/>
      <c r="BC88" s="34"/>
      <c r="BD88" s="35"/>
      <c r="BE88" s="36"/>
      <c r="BG88" s="34"/>
      <c r="BH88" s="35"/>
      <c r="BI88" s="36"/>
      <c r="BK88" s="34"/>
      <c r="BL88" s="35"/>
      <c r="BM88" s="36"/>
      <c r="BO88" s="34"/>
      <c r="BP88" s="35"/>
      <c r="BQ88" s="36"/>
      <c r="BS88" s="1592"/>
      <c r="BT88" s="35"/>
      <c r="BU88" s="36"/>
      <c r="BW88" s="34"/>
      <c r="BX88" s="35"/>
      <c r="BY88" s="36"/>
      <c r="CA88" s="34"/>
      <c r="CB88" s="35"/>
      <c r="CC88" s="36"/>
      <c r="CE88" s="34"/>
      <c r="CF88" s="35"/>
      <c r="CG88" s="36"/>
      <c r="CI88" s="34"/>
      <c r="CJ88" s="35"/>
      <c r="CK88" s="36"/>
      <c r="CM88" s="34"/>
      <c r="CN88" s="35"/>
      <c r="CO88" s="36"/>
    </row>
    <row r="89" spans="1:93">
      <c r="A89" s="34" t="s">
        <v>772</v>
      </c>
      <c r="B89" s="35" t="s">
        <v>2231</v>
      </c>
      <c r="C89" s="36">
        <v>637263.72</v>
      </c>
      <c r="D89" s="37" t="str">
        <f>IF(C89&gt;=Mat!$E$71,"Material","No Mat")</f>
        <v>Material</v>
      </c>
      <c r="E89" s="834">
        <f>IF(C89&gt;=Mat!$E$71,C89/Mat!$E$71,0)</f>
        <v>2.4048044042029497</v>
      </c>
      <c r="F89" s="895"/>
      <c r="G89" s="34"/>
      <c r="H89" s="35"/>
      <c r="I89" s="48"/>
      <c r="J89" s="36"/>
      <c r="L89" s="506"/>
      <c r="M89" s="506" t="s">
        <v>249</v>
      </c>
      <c r="N89" s="507">
        <f t="shared" si="14"/>
        <v>0</v>
      </c>
      <c r="O89" s="507">
        <f t="shared" si="15"/>
        <v>0</v>
      </c>
      <c r="P89" s="507">
        <f t="shared" si="16"/>
        <v>0</v>
      </c>
      <c r="Q89" s="507">
        <f t="shared" si="17"/>
        <v>0</v>
      </c>
      <c r="R89" s="507">
        <f t="shared" si="18"/>
        <v>0</v>
      </c>
      <c r="S89" s="507">
        <f t="shared" si="19"/>
        <v>0</v>
      </c>
      <c r="T89" s="507">
        <f t="shared" si="20"/>
        <v>0</v>
      </c>
      <c r="U89" s="507">
        <f t="shared" si="21"/>
        <v>0</v>
      </c>
      <c r="V89" s="507">
        <f t="shared" si="22"/>
        <v>0</v>
      </c>
      <c r="W89" s="507">
        <f t="shared" si="23"/>
        <v>0</v>
      </c>
      <c r="X89" s="507">
        <f t="shared" si="24"/>
        <v>0</v>
      </c>
      <c r="Y89" s="507">
        <f t="shared" si="25"/>
        <v>0</v>
      </c>
      <c r="Z89" s="11">
        <f t="shared" si="26"/>
        <v>0</v>
      </c>
      <c r="AC89" s="4">
        <v>166</v>
      </c>
      <c r="AD89" s="5" t="s">
        <v>268</v>
      </c>
      <c r="AE89" s="5" t="s">
        <v>266</v>
      </c>
      <c r="AF89" s="5" t="s">
        <v>269</v>
      </c>
      <c r="AG89" s="5" t="s">
        <v>0</v>
      </c>
      <c r="AH89" s="5" t="s">
        <v>18</v>
      </c>
      <c r="AI89" s="5" t="s">
        <v>12</v>
      </c>
      <c r="AJ89" s="5" t="s">
        <v>17</v>
      </c>
      <c r="AK89" s="5" t="s">
        <v>139</v>
      </c>
      <c r="AL89" s="5" t="s">
        <v>18</v>
      </c>
      <c r="AM89" s="6"/>
      <c r="AO89" s="5"/>
      <c r="AP89" s="5"/>
      <c r="AQ89" s="5"/>
      <c r="AR89" s="5"/>
      <c r="AS89" s="5"/>
      <c r="AU89" s="1547"/>
      <c r="AV89" s="35"/>
      <c r="AW89" s="36"/>
      <c r="AY89" s="34"/>
      <c r="AZ89" s="35"/>
      <c r="BA89" s="36"/>
      <c r="BC89" s="34"/>
      <c r="BD89" s="35"/>
      <c r="BE89" s="36"/>
      <c r="BG89" s="34"/>
      <c r="BH89" s="35"/>
      <c r="BI89" s="36"/>
      <c r="BK89" s="34"/>
      <c r="BL89" s="35"/>
      <c r="BM89" s="36"/>
      <c r="BO89" s="34"/>
      <c r="BP89" s="35"/>
      <c r="BQ89" s="36"/>
      <c r="BS89" s="1592"/>
      <c r="BT89" s="35"/>
      <c r="BU89" s="36"/>
      <c r="BW89" s="34"/>
      <c r="BX89" s="35"/>
      <c r="BY89" s="36"/>
      <c r="CA89" s="34"/>
      <c r="CB89" s="35"/>
      <c r="CC89" s="36"/>
      <c r="CE89" s="34"/>
      <c r="CF89" s="35"/>
      <c r="CG89" s="36"/>
      <c r="CI89" s="34"/>
      <c r="CJ89" s="35"/>
      <c r="CK89" s="36"/>
      <c r="CM89" s="34"/>
      <c r="CN89" s="35"/>
      <c r="CO89" s="36"/>
    </row>
    <row r="90" spans="1:93">
      <c r="A90" s="34" t="s">
        <v>4192</v>
      </c>
      <c r="B90" s="35" t="s">
        <v>2227</v>
      </c>
      <c r="C90" s="36">
        <v>35010</v>
      </c>
      <c r="D90" s="37" t="str">
        <f>IF(C90&gt;=Mat!$E$71,"Material","No Mat")</f>
        <v>No Mat</v>
      </c>
      <c r="E90" s="834">
        <f>IF(C90&gt;=Mat!$E$71,C90/Mat!$E$71,0)</f>
        <v>0</v>
      </c>
      <c r="F90" s="895"/>
      <c r="G90" s="34"/>
      <c r="H90" s="35"/>
      <c r="I90" s="48"/>
      <c r="J90" s="36"/>
      <c r="L90" s="506"/>
      <c r="M90" s="506" t="s">
        <v>253</v>
      </c>
      <c r="N90" s="507">
        <f t="shared" si="14"/>
        <v>69561.740000000224</v>
      </c>
      <c r="O90" s="507">
        <f t="shared" si="15"/>
        <v>-968750.02999999933</v>
      </c>
      <c r="P90" s="507">
        <f t="shared" si="16"/>
        <v>-2085890.3899999987</v>
      </c>
      <c r="Q90" s="507">
        <f t="shared" si="17"/>
        <v>0</v>
      </c>
      <c r="R90" s="507">
        <f t="shared" si="18"/>
        <v>0</v>
      </c>
      <c r="S90" s="507">
        <f t="shared" si="19"/>
        <v>0</v>
      </c>
      <c r="T90" s="507">
        <f t="shared" si="20"/>
        <v>0</v>
      </c>
      <c r="U90" s="507">
        <f t="shared" si="21"/>
        <v>0</v>
      </c>
      <c r="V90" s="507">
        <f t="shared" si="22"/>
        <v>0</v>
      </c>
      <c r="W90" s="507">
        <f t="shared" si="23"/>
        <v>0</v>
      </c>
      <c r="X90" s="507">
        <f t="shared" si="24"/>
        <v>0</v>
      </c>
      <c r="Y90" s="507">
        <f t="shared" si="25"/>
        <v>0</v>
      </c>
      <c r="Z90" s="11">
        <f t="shared" si="26"/>
        <v>-2985078.6799999978</v>
      </c>
      <c r="AC90" s="4">
        <v>168</v>
      </c>
      <c r="AD90" s="5" t="s">
        <v>270</v>
      </c>
      <c r="AE90" s="5" t="s">
        <v>266</v>
      </c>
      <c r="AF90" s="5" t="s">
        <v>271</v>
      </c>
      <c r="AG90" s="5" t="s">
        <v>0</v>
      </c>
      <c r="AH90" s="5" t="s">
        <v>18</v>
      </c>
      <c r="AI90" s="5" t="s">
        <v>12</v>
      </c>
      <c r="AJ90" s="5" t="s">
        <v>17</v>
      </c>
      <c r="AK90" s="5" t="s">
        <v>139</v>
      </c>
      <c r="AL90" s="5" t="s">
        <v>18</v>
      </c>
      <c r="AM90" s="6"/>
      <c r="AO90" s="5"/>
      <c r="AP90" s="5"/>
      <c r="AQ90" s="5"/>
      <c r="AR90" s="5"/>
      <c r="AS90" s="5"/>
      <c r="AU90" s="1547"/>
      <c r="AV90" s="35"/>
      <c r="AW90" s="36"/>
      <c r="AY90" s="34"/>
      <c r="AZ90" s="35"/>
      <c r="BA90" s="36"/>
      <c r="BC90" s="34"/>
      <c r="BD90" s="35"/>
      <c r="BE90" s="36"/>
      <c r="BG90" s="34"/>
      <c r="BH90" s="35"/>
      <c r="BI90" s="36"/>
      <c r="BK90" s="34"/>
      <c r="BL90" s="35"/>
      <c r="BM90" s="36"/>
      <c r="BO90" s="34"/>
      <c r="BP90" s="35"/>
      <c r="BQ90" s="36"/>
      <c r="BS90" s="1592"/>
      <c r="BT90" s="35"/>
      <c r="BU90" s="36"/>
      <c r="BW90" s="34"/>
      <c r="BX90" s="35"/>
      <c r="BY90" s="36"/>
      <c r="CA90" s="34"/>
      <c r="CB90" s="35"/>
      <c r="CC90" s="36"/>
      <c r="CE90" s="34"/>
      <c r="CF90" s="35"/>
      <c r="CG90" s="36"/>
      <c r="CI90" s="34"/>
      <c r="CJ90" s="35"/>
      <c r="CK90" s="36"/>
      <c r="CM90" s="34"/>
      <c r="CN90" s="35"/>
      <c r="CO90" s="36"/>
    </row>
    <row r="91" spans="1:93">
      <c r="A91" s="34" t="s">
        <v>783</v>
      </c>
      <c r="B91" s="35" t="s">
        <v>2223</v>
      </c>
      <c r="C91" s="36">
        <v>2051.4</v>
      </c>
      <c r="D91" s="37" t="str">
        <f>IF(C91&gt;=Mat!$E$71,"Material","No Mat")</f>
        <v>No Mat</v>
      </c>
      <c r="E91" s="834">
        <f>IF(C91&gt;=Mat!$E$71,C91/Mat!$E$71,0)</f>
        <v>0</v>
      </c>
      <c r="F91" s="895"/>
      <c r="G91" s="34"/>
      <c r="H91" s="35"/>
      <c r="I91" s="48"/>
      <c r="J91" s="36"/>
      <c r="L91" s="506"/>
      <c r="M91" s="506" t="s">
        <v>255</v>
      </c>
      <c r="N91" s="507">
        <f t="shared" si="14"/>
        <v>0</v>
      </c>
      <c r="O91" s="507">
        <f t="shared" si="15"/>
        <v>0</v>
      </c>
      <c r="P91" s="507">
        <f t="shared" si="16"/>
        <v>0</v>
      </c>
      <c r="Q91" s="507">
        <f t="shared" si="17"/>
        <v>0</v>
      </c>
      <c r="R91" s="507">
        <f t="shared" si="18"/>
        <v>0</v>
      </c>
      <c r="S91" s="507">
        <f t="shared" si="19"/>
        <v>0</v>
      </c>
      <c r="T91" s="507">
        <f t="shared" si="20"/>
        <v>0</v>
      </c>
      <c r="U91" s="507">
        <f t="shared" si="21"/>
        <v>0</v>
      </c>
      <c r="V91" s="507">
        <f t="shared" si="22"/>
        <v>0</v>
      </c>
      <c r="W91" s="507">
        <f t="shared" si="23"/>
        <v>0</v>
      </c>
      <c r="X91" s="507">
        <f t="shared" si="24"/>
        <v>0</v>
      </c>
      <c r="Y91" s="507">
        <f t="shared" si="25"/>
        <v>0</v>
      </c>
      <c r="Z91" s="11">
        <f t="shared" si="26"/>
        <v>0</v>
      </c>
      <c r="AC91" s="4">
        <v>170</v>
      </c>
      <c r="AD91" s="5" t="s">
        <v>272</v>
      </c>
      <c r="AE91" s="5" t="s">
        <v>266</v>
      </c>
      <c r="AF91" s="5" t="s">
        <v>273</v>
      </c>
      <c r="AG91" s="5" t="s">
        <v>0</v>
      </c>
      <c r="AH91" s="5" t="s">
        <v>18</v>
      </c>
      <c r="AI91" s="5" t="s">
        <v>12</v>
      </c>
      <c r="AJ91" s="5" t="s">
        <v>17</v>
      </c>
      <c r="AK91" s="5" t="s">
        <v>139</v>
      </c>
      <c r="AL91" s="5" t="s">
        <v>18</v>
      </c>
      <c r="AM91" s="6"/>
      <c r="AO91" s="5"/>
      <c r="AP91" s="5"/>
      <c r="AQ91" s="5"/>
      <c r="AR91" s="5"/>
      <c r="AS91" s="5"/>
      <c r="AU91" s="1547"/>
      <c r="AV91" s="35"/>
      <c r="AW91" s="36"/>
      <c r="AY91" s="34"/>
      <c r="AZ91" s="35"/>
      <c r="BA91" s="36"/>
      <c r="BC91" s="34"/>
      <c r="BD91" s="35"/>
      <c r="BE91" s="36"/>
      <c r="BG91" s="34"/>
      <c r="BH91" s="35"/>
      <c r="BI91" s="36"/>
      <c r="BK91" s="34"/>
      <c r="BL91" s="35"/>
      <c r="BM91" s="36"/>
      <c r="BO91" s="34"/>
      <c r="BP91" s="35"/>
      <c r="BQ91" s="36"/>
      <c r="BS91" s="1592"/>
      <c r="BT91" s="35"/>
      <c r="BU91" s="36"/>
      <c r="BW91" s="34"/>
      <c r="BX91" s="35"/>
      <c r="BY91" s="36"/>
      <c r="CA91" s="34"/>
      <c r="CB91" s="35"/>
      <c r="CC91" s="36"/>
      <c r="CE91" s="34"/>
      <c r="CF91" s="35"/>
      <c r="CG91" s="36"/>
      <c r="CI91" s="34"/>
      <c r="CJ91" s="35"/>
      <c r="CK91" s="36"/>
      <c r="CM91" s="34"/>
      <c r="CN91" s="35"/>
      <c r="CO91" s="36"/>
    </row>
    <row r="92" spans="1:93">
      <c r="A92" s="34" t="s">
        <v>789</v>
      </c>
      <c r="B92" s="35" t="s">
        <v>790</v>
      </c>
      <c r="C92" s="36">
        <v>39850</v>
      </c>
      <c r="D92" s="37" t="str">
        <f>IF(C92&gt;=Mat!$E$71,"Material","No Mat")</f>
        <v>No Mat</v>
      </c>
      <c r="E92" s="834">
        <f>IF(C92&gt;=Mat!$E$71,C92/Mat!$E$71,0)</f>
        <v>0</v>
      </c>
      <c r="F92" s="895">
        <f>+C92+3259590.49+3259590.49</f>
        <v>6559030.9800000004</v>
      </c>
      <c r="G92" s="34"/>
      <c r="H92" s="35"/>
      <c r="I92" s="48"/>
      <c r="J92" s="36"/>
      <c r="L92" s="506"/>
      <c r="M92" s="506" t="s">
        <v>257</v>
      </c>
      <c r="N92" s="507">
        <f t="shared" si="14"/>
        <v>0</v>
      </c>
      <c r="O92" s="507">
        <f t="shared" si="15"/>
        <v>0</v>
      </c>
      <c r="P92" s="507">
        <f t="shared" si="16"/>
        <v>0</v>
      </c>
      <c r="Q92" s="507">
        <f t="shared" si="17"/>
        <v>0</v>
      </c>
      <c r="R92" s="507">
        <f t="shared" si="18"/>
        <v>0</v>
      </c>
      <c r="S92" s="507">
        <f t="shared" si="19"/>
        <v>0</v>
      </c>
      <c r="T92" s="507">
        <f t="shared" si="20"/>
        <v>0</v>
      </c>
      <c r="U92" s="507">
        <f t="shared" si="21"/>
        <v>0</v>
      </c>
      <c r="V92" s="507">
        <f t="shared" si="22"/>
        <v>0</v>
      </c>
      <c r="W92" s="507">
        <f t="shared" si="23"/>
        <v>0</v>
      </c>
      <c r="X92" s="507">
        <f t="shared" si="24"/>
        <v>0</v>
      </c>
      <c r="Y92" s="507">
        <f t="shared" si="25"/>
        <v>0</v>
      </c>
      <c r="Z92" s="11">
        <f t="shared" si="26"/>
        <v>0</v>
      </c>
      <c r="AC92" s="4">
        <v>172</v>
      </c>
      <c r="AD92" s="5" t="s">
        <v>274</v>
      </c>
      <c r="AE92" s="5" t="s">
        <v>266</v>
      </c>
      <c r="AF92" s="5" t="s">
        <v>275</v>
      </c>
      <c r="AG92" s="5" t="s">
        <v>0</v>
      </c>
      <c r="AH92" s="5" t="s">
        <v>18</v>
      </c>
      <c r="AI92" s="5" t="s">
        <v>12</v>
      </c>
      <c r="AJ92" s="5" t="s">
        <v>17</v>
      </c>
      <c r="AK92" s="5" t="s">
        <v>139</v>
      </c>
      <c r="AL92" s="5" t="s">
        <v>18</v>
      </c>
      <c r="AM92" s="6"/>
      <c r="AO92" s="5"/>
      <c r="AP92" s="5"/>
      <c r="AQ92" s="5"/>
      <c r="AR92" s="5"/>
      <c r="AS92" s="5"/>
      <c r="AU92" s="1547"/>
      <c r="AV92" s="35"/>
      <c r="AW92" s="36"/>
      <c r="AY92" s="34"/>
      <c r="AZ92" s="35"/>
      <c r="BA92" s="36"/>
      <c r="BC92" s="34"/>
      <c r="BD92" s="35"/>
      <c r="BE92" s="36"/>
      <c r="BG92" s="34"/>
      <c r="BH92" s="35"/>
      <c r="BI92" s="36"/>
      <c r="BK92" s="34"/>
      <c r="BL92" s="35"/>
      <c r="BM92" s="36"/>
      <c r="BO92" s="34"/>
      <c r="BP92" s="35"/>
      <c r="BQ92" s="36"/>
      <c r="BS92" s="1592"/>
      <c r="BT92" s="35"/>
      <c r="BU92" s="36"/>
      <c r="BW92" s="34"/>
      <c r="BX92" s="35"/>
      <c r="BY92" s="36"/>
      <c r="CA92" s="34"/>
      <c r="CB92" s="35"/>
      <c r="CC92" s="36"/>
      <c r="CE92" s="34"/>
      <c r="CF92" s="35"/>
      <c r="CG92" s="36"/>
      <c r="CI92" s="34"/>
      <c r="CJ92" s="35"/>
      <c r="CK92" s="36"/>
      <c r="CM92" s="34"/>
      <c r="CN92" s="35"/>
      <c r="CO92" s="36"/>
    </row>
    <row r="93" spans="1:93">
      <c r="A93" s="34" t="s">
        <v>794</v>
      </c>
      <c r="B93" s="35" t="s">
        <v>795</v>
      </c>
      <c r="C93" s="36">
        <v>999500</v>
      </c>
      <c r="D93" s="37" t="str">
        <f>IF(C93&gt;=Mat!$E$71,"Material","No Mat")</f>
        <v>Material</v>
      </c>
      <c r="E93" s="834">
        <f>IF(C93&gt;=Mat!$E$71,C93/Mat!$E$71,0)</f>
        <v>3.7717540267329954</v>
      </c>
      <c r="F93" s="895">
        <f>SUM(C93:C114)-C112-C111</f>
        <v>4772401.33</v>
      </c>
      <c r="G93" s="34"/>
      <c r="H93" s="35"/>
      <c r="I93" s="48"/>
      <c r="J93" s="36"/>
      <c r="L93" s="506"/>
      <c r="M93" s="506" t="s">
        <v>259</v>
      </c>
      <c r="N93" s="507">
        <f t="shared" si="14"/>
        <v>0</v>
      </c>
      <c r="O93" s="507">
        <f t="shared" si="15"/>
        <v>0</v>
      </c>
      <c r="P93" s="507">
        <f t="shared" si="16"/>
        <v>0</v>
      </c>
      <c r="Q93" s="507">
        <f t="shared" si="17"/>
        <v>0</v>
      </c>
      <c r="R93" s="507">
        <f t="shared" si="18"/>
        <v>0</v>
      </c>
      <c r="S93" s="507">
        <f t="shared" si="19"/>
        <v>0</v>
      </c>
      <c r="T93" s="507">
        <f t="shared" si="20"/>
        <v>0</v>
      </c>
      <c r="U93" s="507">
        <f t="shared" si="21"/>
        <v>0</v>
      </c>
      <c r="V93" s="507">
        <f t="shared" si="22"/>
        <v>0</v>
      </c>
      <c r="W93" s="507">
        <f t="shared" si="23"/>
        <v>0</v>
      </c>
      <c r="X93" s="507">
        <f t="shared" si="24"/>
        <v>0</v>
      </c>
      <c r="Y93" s="507">
        <f t="shared" si="25"/>
        <v>0</v>
      </c>
      <c r="Z93" s="11">
        <f t="shared" si="26"/>
        <v>0</v>
      </c>
      <c r="AC93" s="4">
        <v>174</v>
      </c>
      <c r="AD93" s="5" t="s">
        <v>276</v>
      </c>
      <c r="AE93" s="5" t="s">
        <v>266</v>
      </c>
      <c r="AF93" s="5" t="s">
        <v>277</v>
      </c>
      <c r="AG93" s="5" t="s">
        <v>0</v>
      </c>
      <c r="AH93" s="5" t="s">
        <v>18</v>
      </c>
      <c r="AI93" s="5" t="s">
        <v>12</v>
      </c>
      <c r="AJ93" s="5" t="s">
        <v>17</v>
      </c>
      <c r="AK93" s="5" t="s">
        <v>139</v>
      </c>
      <c r="AL93" s="5" t="s">
        <v>18</v>
      </c>
      <c r="AM93" s="6"/>
      <c r="AO93" s="5"/>
      <c r="AP93" s="5"/>
      <c r="AQ93" s="5"/>
      <c r="AR93" s="5"/>
      <c r="AS93" s="5"/>
      <c r="AU93" s="1547"/>
      <c r="AV93" s="35"/>
      <c r="AW93" s="36"/>
      <c r="AY93" s="34"/>
      <c r="AZ93" s="35"/>
      <c r="BA93" s="36"/>
      <c r="BC93" s="34"/>
      <c r="BD93" s="35"/>
      <c r="BE93" s="36"/>
      <c r="BG93" s="34"/>
      <c r="BH93" s="35"/>
      <c r="BI93" s="36"/>
      <c r="BK93" s="34"/>
      <c r="BL93" s="35"/>
      <c r="BM93" s="36"/>
      <c r="BO93" s="34"/>
      <c r="BP93" s="35"/>
      <c r="BQ93" s="36"/>
      <c r="BS93" s="1592"/>
      <c r="BT93" s="35"/>
      <c r="BU93" s="36"/>
      <c r="BW93" s="34"/>
      <c r="BX93" s="35"/>
      <c r="BY93" s="36"/>
      <c r="CA93" s="34"/>
      <c r="CB93" s="35"/>
      <c r="CC93" s="36"/>
      <c r="CE93" s="34"/>
      <c r="CF93" s="35"/>
      <c r="CG93" s="36"/>
      <c r="CI93" s="34"/>
      <c r="CJ93" s="35"/>
      <c r="CK93" s="36"/>
      <c r="CM93" s="34"/>
      <c r="CN93" s="35"/>
      <c r="CO93" s="36"/>
    </row>
    <row r="94" spans="1:93">
      <c r="A94" s="34" t="s">
        <v>797</v>
      </c>
      <c r="B94" s="35" t="s">
        <v>2244</v>
      </c>
      <c r="C94" s="36">
        <v>1074000</v>
      </c>
      <c r="D94" s="37" t="str">
        <f>IF(C94&gt;=Mat!$E$71,"Material","No Mat")</f>
        <v>Material</v>
      </c>
      <c r="E94" s="834">
        <f>IF(C94&gt;=Mat!$E$71,C94/Mat!$E$71,0)</f>
        <v>4.0528902698461602</v>
      </c>
      <c r="F94" s="895">
        <f>+F93-ERF!B19</f>
        <v>178616.59999999963</v>
      </c>
      <c r="G94" s="34"/>
      <c r="H94" s="35"/>
      <c r="I94" s="48"/>
      <c r="J94" s="36"/>
      <c r="L94" s="506"/>
      <c r="M94" s="506" t="s">
        <v>261</v>
      </c>
      <c r="N94" s="507">
        <f t="shared" si="14"/>
        <v>0</v>
      </c>
      <c r="O94" s="507">
        <f t="shared" si="15"/>
        <v>0</v>
      </c>
      <c r="P94" s="507">
        <f t="shared" si="16"/>
        <v>0</v>
      </c>
      <c r="Q94" s="507">
        <f t="shared" si="17"/>
        <v>0</v>
      </c>
      <c r="R94" s="507">
        <f t="shared" si="18"/>
        <v>0</v>
      </c>
      <c r="S94" s="507">
        <f t="shared" si="19"/>
        <v>0</v>
      </c>
      <c r="T94" s="507">
        <f t="shared" si="20"/>
        <v>0</v>
      </c>
      <c r="U94" s="507">
        <f t="shared" si="21"/>
        <v>0</v>
      </c>
      <c r="V94" s="507">
        <f t="shared" si="22"/>
        <v>0</v>
      </c>
      <c r="W94" s="507">
        <f t="shared" si="23"/>
        <v>0</v>
      </c>
      <c r="X94" s="507">
        <f t="shared" si="24"/>
        <v>0</v>
      </c>
      <c r="Y94" s="507">
        <f t="shared" si="25"/>
        <v>0</v>
      </c>
      <c r="Z94" s="11">
        <f t="shared" si="26"/>
        <v>0</v>
      </c>
      <c r="AC94" s="4">
        <v>176</v>
      </c>
      <c r="AD94" s="5" t="s">
        <v>278</v>
      </c>
      <c r="AE94" s="5" t="s">
        <v>266</v>
      </c>
      <c r="AF94" s="5" t="s">
        <v>279</v>
      </c>
      <c r="AG94" s="5" t="s">
        <v>0</v>
      </c>
      <c r="AH94" s="5" t="s">
        <v>18</v>
      </c>
      <c r="AI94" s="5" t="s">
        <v>12</v>
      </c>
      <c r="AJ94" s="5" t="s">
        <v>17</v>
      </c>
      <c r="AK94" s="5" t="s">
        <v>139</v>
      </c>
      <c r="AL94" s="5" t="s">
        <v>18</v>
      </c>
      <c r="AM94" s="6"/>
      <c r="AO94" s="5"/>
      <c r="AP94" s="5"/>
      <c r="AQ94" s="5"/>
      <c r="AR94" s="5"/>
      <c r="AS94" s="5"/>
      <c r="AU94" s="1547"/>
      <c r="AV94" s="35"/>
      <c r="AW94" s="36"/>
      <c r="AY94" s="34"/>
      <c r="AZ94" s="35"/>
      <c r="BA94" s="36"/>
      <c r="BC94" s="34"/>
      <c r="BD94" s="35"/>
      <c r="BE94" s="36"/>
      <c r="BG94" s="34"/>
      <c r="BH94" s="35"/>
      <c r="BI94" s="36"/>
      <c r="BK94" s="34"/>
      <c r="BL94" s="35"/>
      <c r="BM94" s="36"/>
      <c r="BO94" s="34"/>
      <c r="BP94" s="35"/>
      <c r="BQ94" s="36"/>
      <c r="BS94" s="1592"/>
      <c r="BT94" s="35"/>
      <c r="BU94" s="36"/>
      <c r="BW94" s="34"/>
      <c r="BX94" s="35"/>
      <c r="BY94" s="36"/>
      <c r="CA94" s="34"/>
      <c r="CB94" s="35"/>
      <c r="CC94" s="36"/>
      <c r="CE94" s="34"/>
      <c r="CF94" s="35"/>
      <c r="CG94" s="36"/>
      <c r="CI94" s="34"/>
      <c r="CJ94" s="35"/>
      <c r="CK94" s="36"/>
      <c r="CM94" s="34"/>
      <c r="CN94" s="35"/>
      <c r="CO94" s="36"/>
    </row>
    <row r="95" spans="1:93">
      <c r="A95" s="34" t="s">
        <v>806</v>
      </c>
      <c r="B95" s="35" t="s">
        <v>807</v>
      </c>
      <c r="C95" s="36">
        <v>2850</v>
      </c>
      <c r="D95" s="37" t="str">
        <f>IF(C95&gt;=Mat!$E$71,"Material","No Mat")</f>
        <v>No Mat</v>
      </c>
      <c r="E95" s="834">
        <f>IF(C95&gt;=Mat!$E$71,C95/Mat!$E$71,0)</f>
        <v>0</v>
      </c>
      <c r="F95" s="895"/>
      <c r="G95" s="34"/>
      <c r="H95" s="35"/>
      <c r="I95" s="48"/>
      <c r="J95" s="36"/>
      <c r="L95" s="506"/>
      <c r="M95" s="506" t="s">
        <v>263</v>
      </c>
      <c r="N95" s="507">
        <f t="shared" si="14"/>
        <v>0</v>
      </c>
      <c r="O95" s="507">
        <f t="shared" si="15"/>
        <v>0</v>
      </c>
      <c r="P95" s="507">
        <f t="shared" si="16"/>
        <v>0</v>
      </c>
      <c r="Q95" s="507">
        <f t="shared" si="17"/>
        <v>0</v>
      </c>
      <c r="R95" s="507">
        <f t="shared" si="18"/>
        <v>0</v>
      </c>
      <c r="S95" s="507">
        <f t="shared" si="19"/>
        <v>0</v>
      </c>
      <c r="T95" s="507">
        <f t="shared" si="20"/>
        <v>0</v>
      </c>
      <c r="U95" s="507">
        <f t="shared" si="21"/>
        <v>0</v>
      </c>
      <c r="V95" s="507">
        <f t="shared" si="22"/>
        <v>0</v>
      </c>
      <c r="W95" s="507">
        <f t="shared" si="23"/>
        <v>0</v>
      </c>
      <c r="X95" s="507">
        <f t="shared" si="24"/>
        <v>0</v>
      </c>
      <c r="Y95" s="507">
        <f t="shared" si="25"/>
        <v>0</v>
      </c>
      <c r="Z95" s="11">
        <f t="shared" si="26"/>
        <v>0</v>
      </c>
      <c r="AC95" s="4">
        <v>178</v>
      </c>
      <c r="AD95" s="5" t="s">
        <v>285</v>
      </c>
      <c r="AE95" s="5" t="s">
        <v>282</v>
      </c>
      <c r="AF95" s="5" t="s">
        <v>283</v>
      </c>
      <c r="AG95" s="5" t="s">
        <v>0</v>
      </c>
      <c r="AH95" s="5" t="s">
        <v>18</v>
      </c>
      <c r="AI95" s="5" t="s">
        <v>12</v>
      </c>
      <c r="AJ95" s="5" t="s">
        <v>17</v>
      </c>
      <c r="AK95" s="5" t="s">
        <v>139</v>
      </c>
      <c r="AL95" s="5" t="s">
        <v>18</v>
      </c>
      <c r="AM95" s="6"/>
      <c r="AO95" s="5"/>
      <c r="AP95" s="5"/>
      <c r="AQ95" s="5"/>
      <c r="AR95" s="5" t="s">
        <v>0</v>
      </c>
      <c r="AS95" s="5"/>
      <c r="AU95" s="1547"/>
      <c r="AV95" s="35"/>
      <c r="AW95" s="36"/>
      <c r="AY95" s="34"/>
      <c r="AZ95" s="35"/>
      <c r="BA95" s="36"/>
      <c r="BC95" s="34"/>
      <c r="BD95" s="35"/>
      <c r="BE95" s="36"/>
      <c r="BG95" s="34"/>
      <c r="BH95" s="35"/>
      <c r="BI95" s="36"/>
      <c r="BK95" s="34"/>
      <c r="BL95" s="35"/>
      <c r="BM95" s="36"/>
      <c r="BO95" s="34"/>
      <c r="BP95" s="35"/>
      <c r="BQ95" s="36"/>
      <c r="BS95" s="1592"/>
      <c r="BT95" s="35"/>
      <c r="BU95" s="36"/>
      <c r="BW95" s="34"/>
      <c r="BX95" s="35"/>
      <c r="BY95" s="36"/>
      <c r="CA95" s="34"/>
      <c r="CB95" s="35"/>
      <c r="CC95" s="36"/>
      <c r="CE95" s="34"/>
      <c r="CF95" s="35"/>
      <c r="CG95" s="36"/>
      <c r="CI95" s="34"/>
      <c r="CJ95" s="35"/>
      <c r="CK95" s="36"/>
      <c r="CM95" s="34"/>
      <c r="CN95" s="35"/>
      <c r="CO95" s="36"/>
    </row>
    <row r="96" spans="1:93">
      <c r="A96" s="34" t="s">
        <v>3860</v>
      </c>
      <c r="B96" s="35" t="s">
        <v>3861</v>
      </c>
      <c r="C96" s="36">
        <v>1109500</v>
      </c>
      <c r="D96" s="37" t="str">
        <f>IF(C96&gt;=Mat!$E$71,"Material","No Mat")</f>
        <v>Material</v>
      </c>
      <c r="E96" s="834">
        <f>IF(C96&gt;=Mat!$E$71,C96/Mat!$E$71,0)</f>
        <v>4.1868545199202183</v>
      </c>
      <c r="F96" s="895"/>
      <c r="G96" s="34"/>
      <c r="H96" s="35"/>
      <c r="I96" s="48"/>
      <c r="J96" s="36"/>
      <c r="L96" s="506"/>
      <c r="M96" s="506" t="s">
        <v>2320</v>
      </c>
      <c r="N96" s="507">
        <f t="shared" si="14"/>
        <v>0</v>
      </c>
      <c r="O96" s="507">
        <f t="shared" si="15"/>
        <v>0</v>
      </c>
      <c r="P96" s="507">
        <f t="shared" si="16"/>
        <v>0</v>
      </c>
      <c r="Q96" s="507">
        <f t="shared" si="17"/>
        <v>0</v>
      </c>
      <c r="R96" s="507">
        <f t="shared" si="18"/>
        <v>0</v>
      </c>
      <c r="S96" s="507">
        <f t="shared" si="19"/>
        <v>0</v>
      </c>
      <c r="T96" s="507">
        <f t="shared" si="20"/>
        <v>0</v>
      </c>
      <c r="U96" s="507">
        <f t="shared" si="21"/>
        <v>0</v>
      </c>
      <c r="V96" s="507">
        <f t="shared" si="22"/>
        <v>0</v>
      </c>
      <c r="W96" s="507">
        <f t="shared" si="23"/>
        <v>0</v>
      </c>
      <c r="X96" s="507">
        <f t="shared" si="24"/>
        <v>0</v>
      </c>
      <c r="Y96" s="507">
        <f t="shared" si="25"/>
        <v>0</v>
      </c>
      <c r="Z96" s="11">
        <f t="shared" si="26"/>
        <v>0</v>
      </c>
      <c r="AC96" s="4">
        <v>180</v>
      </c>
      <c r="AD96" s="5" t="s">
        <v>286</v>
      </c>
      <c r="AE96" s="5" t="s">
        <v>282</v>
      </c>
      <c r="AF96" s="5" t="s">
        <v>287</v>
      </c>
      <c r="AG96" s="5" t="s">
        <v>0</v>
      </c>
      <c r="AH96" s="5" t="s">
        <v>18</v>
      </c>
      <c r="AI96" s="5" t="s">
        <v>12</v>
      </c>
      <c r="AJ96" s="5" t="s">
        <v>17</v>
      </c>
      <c r="AK96" s="5" t="s">
        <v>139</v>
      </c>
      <c r="AL96" s="5" t="s">
        <v>18</v>
      </c>
      <c r="AM96" s="6"/>
      <c r="AO96" s="5"/>
      <c r="AP96" s="5"/>
      <c r="AQ96" s="5"/>
      <c r="AR96" s="5"/>
      <c r="AS96" s="5"/>
      <c r="AU96" s="1547"/>
      <c r="AV96" s="35"/>
      <c r="AW96" s="36"/>
      <c r="AY96" s="34"/>
      <c r="AZ96" s="35"/>
      <c r="BA96" s="36"/>
      <c r="BC96" s="34"/>
      <c r="BD96" s="35"/>
      <c r="BE96" s="36"/>
      <c r="BG96" s="34"/>
      <c r="BH96" s="35"/>
      <c r="BI96" s="36"/>
      <c r="BK96" s="34"/>
      <c r="BL96" s="35"/>
      <c r="BM96" s="36"/>
      <c r="BO96" s="34"/>
      <c r="BP96" s="35"/>
      <c r="BQ96" s="36"/>
      <c r="BS96" s="1592"/>
      <c r="BT96" s="35"/>
      <c r="BU96" s="36"/>
      <c r="BW96" s="34"/>
      <c r="BX96" s="35"/>
      <c r="BY96" s="36"/>
      <c r="CA96" s="34"/>
      <c r="CB96" s="35"/>
      <c r="CC96" s="36"/>
      <c r="CE96" s="34"/>
      <c r="CF96" s="35"/>
      <c r="CG96" s="36"/>
      <c r="CI96" s="34"/>
      <c r="CJ96" s="35"/>
      <c r="CK96" s="36"/>
      <c r="CM96" s="34"/>
      <c r="CN96" s="35"/>
      <c r="CO96" s="36"/>
    </row>
    <row r="97" spans="1:93">
      <c r="A97" s="34" t="s">
        <v>816</v>
      </c>
      <c r="B97" s="35" t="s">
        <v>2228</v>
      </c>
      <c r="C97" s="36">
        <v>44847.95</v>
      </c>
      <c r="D97" s="37" t="str">
        <f>IF(C97&gt;=Mat!$E$71,"Material","No Mat")</f>
        <v>No Mat</v>
      </c>
      <c r="E97" s="834">
        <f>IF(C97&gt;=Mat!$E$71,C97/Mat!$E$71,0)</f>
        <v>0</v>
      </c>
      <c r="F97" s="895"/>
      <c r="G97" s="34"/>
      <c r="H97" s="35"/>
      <c r="I97" s="48"/>
      <c r="J97" s="36"/>
      <c r="L97" s="506"/>
      <c r="M97" s="506" t="s">
        <v>265</v>
      </c>
      <c r="N97" s="507">
        <f t="shared" si="14"/>
        <v>0</v>
      </c>
      <c r="O97" s="507">
        <f t="shared" si="15"/>
        <v>0</v>
      </c>
      <c r="P97" s="507">
        <f t="shared" si="16"/>
        <v>0</v>
      </c>
      <c r="Q97" s="507">
        <f t="shared" si="17"/>
        <v>0</v>
      </c>
      <c r="R97" s="507">
        <f t="shared" si="18"/>
        <v>0</v>
      </c>
      <c r="S97" s="507">
        <f t="shared" si="19"/>
        <v>0</v>
      </c>
      <c r="T97" s="507">
        <f t="shared" si="20"/>
        <v>0</v>
      </c>
      <c r="U97" s="507">
        <f t="shared" si="21"/>
        <v>0</v>
      </c>
      <c r="V97" s="507">
        <f t="shared" si="22"/>
        <v>0</v>
      </c>
      <c r="W97" s="507">
        <f t="shared" si="23"/>
        <v>0</v>
      </c>
      <c r="X97" s="507">
        <f t="shared" si="24"/>
        <v>0</v>
      </c>
      <c r="Y97" s="507">
        <f t="shared" si="25"/>
        <v>0</v>
      </c>
      <c r="Z97" s="11">
        <f t="shared" si="26"/>
        <v>0</v>
      </c>
      <c r="AC97" s="4">
        <v>182</v>
      </c>
      <c r="AD97" s="5" t="s">
        <v>288</v>
      </c>
      <c r="AE97" s="5" t="s">
        <v>282</v>
      </c>
      <c r="AF97" s="5" t="s">
        <v>289</v>
      </c>
      <c r="AG97" s="5" t="s">
        <v>0</v>
      </c>
      <c r="AH97" s="5" t="s">
        <v>18</v>
      </c>
      <c r="AI97" s="5" t="s">
        <v>12</v>
      </c>
      <c r="AJ97" s="5" t="s">
        <v>17</v>
      </c>
      <c r="AK97" s="5" t="s">
        <v>139</v>
      </c>
      <c r="AL97" s="5" t="s">
        <v>18</v>
      </c>
      <c r="AM97" s="6"/>
      <c r="AO97" s="5"/>
      <c r="AP97" s="5"/>
      <c r="AQ97" s="5"/>
      <c r="AR97" s="5"/>
      <c r="AS97" s="5"/>
      <c r="AU97" s="1547"/>
      <c r="AV97" s="35"/>
      <c r="AW97" s="36"/>
      <c r="AY97" s="34"/>
      <c r="AZ97" s="35"/>
      <c r="BA97" s="36"/>
      <c r="BC97" s="34"/>
      <c r="BD97" s="35"/>
      <c r="BE97" s="36"/>
      <c r="BG97" s="34"/>
      <c r="BH97" s="35"/>
      <c r="BI97" s="36"/>
      <c r="BK97" s="34"/>
      <c r="BL97" s="35"/>
      <c r="BM97" s="36"/>
      <c r="BO97" s="34"/>
      <c r="BP97" s="35"/>
      <c r="BQ97" s="36"/>
      <c r="BS97" s="1592"/>
      <c r="BT97" s="35"/>
      <c r="BU97" s="36"/>
      <c r="BW97" s="34"/>
      <c r="BX97" s="35"/>
      <c r="BY97" s="36"/>
      <c r="CA97" s="34"/>
      <c r="CB97" s="35"/>
      <c r="CC97" s="36"/>
      <c r="CE97" s="34"/>
      <c r="CF97" s="35"/>
      <c r="CG97" s="36"/>
      <c r="CI97" s="34"/>
      <c r="CJ97" s="35"/>
      <c r="CK97" s="36"/>
      <c r="CM97" s="34"/>
      <c r="CN97" s="35"/>
      <c r="CO97" s="36"/>
    </row>
    <row r="98" spans="1:93">
      <c r="A98" s="34" t="s">
        <v>819</v>
      </c>
      <c r="B98" s="35" t="s">
        <v>2248</v>
      </c>
      <c r="C98" s="36">
        <v>3300</v>
      </c>
      <c r="D98" s="37" t="str">
        <f>IF(C98&gt;=Mat!$E$71,"Material","No Mat")</f>
        <v>No Mat</v>
      </c>
      <c r="E98" s="834">
        <f>IF(C98&gt;=Mat!$E$71,C98/Mat!$E$71,0)</f>
        <v>0</v>
      </c>
      <c r="G98" s="34"/>
      <c r="H98" s="35"/>
      <c r="I98" s="48"/>
      <c r="J98" s="36"/>
      <c r="L98" s="506"/>
      <c r="M98" s="506" t="s">
        <v>269</v>
      </c>
      <c r="N98" s="507">
        <f t="shared" si="14"/>
        <v>0</v>
      </c>
      <c r="O98" s="507">
        <f t="shared" si="15"/>
        <v>0</v>
      </c>
      <c r="P98" s="507">
        <f t="shared" si="16"/>
        <v>0</v>
      </c>
      <c r="Q98" s="507">
        <f t="shared" si="17"/>
        <v>0</v>
      </c>
      <c r="R98" s="507">
        <f t="shared" si="18"/>
        <v>0</v>
      </c>
      <c r="S98" s="507">
        <f t="shared" si="19"/>
        <v>0</v>
      </c>
      <c r="T98" s="507">
        <f t="shared" si="20"/>
        <v>0</v>
      </c>
      <c r="U98" s="507">
        <f t="shared" si="21"/>
        <v>0</v>
      </c>
      <c r="V98" s="507">
        <f t="shared" si="22"/>
        <v>0</v>
      </c>
      <c r="W98" s="507">
        <f t="shared" si="23"/>
        <v>0</v>
      </c>
      <c r="X98" s="507">
        <f t="shared" si="24"/>
        <v>0</v>
      </c>
      <c r="Y98" s="507">
        <f t="shared" si="25"/>
        <v>0</v>
      </c>
      <c r="Z98" s="11">
        <f t="shared" si="26"/>
        <v>0</v>
      </c>
      <c r="AC98" s="4">
        <v>184</v>
      </c>
      <c r="AD98" s="5" t="s">
        <v>290</v>
      </c>
      <c r="AE98" s="5" t="s">
        <v>282</v>
      </c>
      <c r="AF98" s="5" t="s">
        <v>291</v>
      </c>
      <c r="AG98" s="5" t="s">
        <v>0</v>
      </c>
      <c r="AH98" s="5" t="s">
        <v>18</v>
      </c>
      <c r="AI98" s="5" t="s">
        <v>12</v>
      </c>
      <c r="AJ98" s="5" t="s">
        <v>17</v>
      </c>
      <c r="AK98" s="5" t="s">
        <v>139</v>
      </c>
      <c r="AL98" s="5" t="s">
        <v>18</v>
      </c>
      <c r="AM98" s="6"/>
      <c r="AO98" s="5"/>
      <c r="AP98" s="5"/>
      <c r="AQ98" s="5"/>
      <c r="AR98" s="5"/>
      <c r="AS98" s="5"/>
      <c r="AU98" s="1547"/>
      <c r="AV98" s="35"/>
      <c r="AW98" s="36"/>
      <c r="AY98" s="34"/>
      <c r="AZ98" s="35"/>
      <c r="BA98" s="36"/>
      <c r="BC98" s="34"/>
      <c r="BD98" s="35"/>
      <c r="BE98" s="36"/>
      <c r="BG98" s="34"/>
      <c r="BH98" s="35"/>
      <c r="BI98" s="36"/>
      <c r="BK98" s="34"/>
      <c r="BL98" s="35"/>
      <c r="BM98" s="36"/>
      <c r="BO98" s="34"/>
      <c r="BP98" s="35"/>
      <c r="BQ98" s="36"/>
      <c r="BS98" s="1592"/>
      <c r="BT98" s="35"/>
      <c r="BU98" s="36"/>
      <c r="BW98" s="34"/>
      <c r="BX98" s="35"/>
      <c r="BY98" s="36"/>
      <c r="CA98" s="34"/>
      <c r="CB98" s="35"/>
      <c r="CC98" s="36"/>
      <c r="CE98" s="34"/>
      <c r="CF98" s="35"/>
      <c r="CG98" s="36"/>
      <c r="CI98" s="34"/>
      <c r="CJ98" s="35"/>
      <c r="CK98" s="36"/>
      <c r="CM98" s="34"/>
      <c r="CN98" s="35"/>
      <c r="CO98" s="36"/>
    </row>
    <row r="99" spans="1:93">
      <c r="A99" s="34" t="s">
        <v>825</v>
      </c>
      <c r="B99" s="35" t="s">
        <v>826</v>
      </c>
      <c r="C99" s="36">
        <v>73066.22</v>
      </c>
      <c r="D99" s="37" t="str">
        <f>IF(C99&gt;=Mat!$E$71,"Material","No Mat")</f>
        <v>No Mat</v>
      </c>
      <c r="E99" s="834">
        <f>IF(C99&gt;=Mat!$E$71,C99/Mat!$E$71,0)</f>
        <v>0</v>
      </c>
      <c r="F99" s="895"/>
      <c r="G99" s="34"/>
      <c r="H99" s="35"/>
      <c r="I99" s="48"/>
      <c r="J99" s="36"/>
      <c r="L99" s="506"/>
      <c r="M99" s="506" t="s">
        <v>271</v>
      </c>
      <c r="N99" s="507">
        <f t="shared" si="14"/>
        <v>0</v>
      </c>
      <c r="O99" s="507">
        <f t="shared" si="15"/>
        <v>0</v>
      </c>
      <c r="P99" s="507">
        <f t="shared" si="16"/>
        <v>0</v>
      </c>
      <c r="Q99" s="507">
        <f t="shared" si="17"/>
        <v>0</v>
      </c>
      <c r="R99" s="507">
        <f t="shared" si="18"/>
        <v>0</v>
      </c>
      <c r="S99" s="507">
        <f t="shared" si="19"/>
        <v>0</v>
      </c>
      <c r="T99" s="507">
        <f t="shared" si="20"/>
        <v>0</v>
      </c>
      <c r="U99" s="507">
        <f t="shared" si="21"/>
        <v>0</v>
      </c>
      <c r="V99" s="507">
        <f t="shared" si="22"/>
        <v>0</v>
      </c>
      <c r="W99" s="507">
        <f t="shared" si="23"/>
        <v>0</v>
      </c>
      <c r="X99" s="507">
        <f t="shared" si="24"/>
        <v>0</v>
      </c>
      <c r="Y99" s="507">
        <f t="shared" si="25"/>
        <v>0</v>
      </c>
      <c r="Z99" s="11">
        <f t="shared" si="26"/>
        <v>0</v>
      </c>
      <c r="AC99" s="4">
        <v>186</v>
      </c>
      <c r="AD99" s="5" t="s">
        <v>292</v>
      </c>
      <c r="AE99" s="5" t="s">
        <v>282</v>
      </c>
      <c r="AF99" s="5" t="s">
        <v>293</v>
      </c>
      <c r="AG99" s="5" t="s">
        <v>0</v>
      </c>
      <c r="AH99" s="5" t="s">
        <v>18</v>
      </c>
      <c r="AI99" s="5" t="s">
        <v>12</v>
      </c>
      <c r="AJ99" s="5" t="s">
        <v>17</v>
      </c>
      <c r="AK99" s="5" t="s">
        <v>139</v>
      </c>
      <c r="AL99" s="5" t="s">
        <v>18</v>
      </c>
      <c r="AM99" s="6"/>
      <c r="AO99" s="5"/>
      <c r="AP99" s="5"/>
      <c r="AQ99" s="5"/>
      <c r="AR99" s="5"/>
      <c r="AS99" s="5"/>
      <c r="AU99" s="1547"/>
      <c r="AV99" s="35"/>
      <c r="AW99" s="36"/>
      <c r="AY99" s="34"/>
      <c r="AZ99" s="35"/>
      <c r="BA99" s="36"/>
      <c r="BC99" s="34"/>
      <c r="BD99" s="35"/>
      <c r="BE99" s="36"/>
      <c r="BG99" s="34"/>
      <c r="BH99" s="35"/>
      <c r="BI99" s="36"/>
      <c r="BK99" s="34"/>
      <c r="BL99" s="35"/>
      <c r="BM99" s="36"/>
      <c r="BO99" s="34"/>
      <c r="BP99" s="35"/>
      <c r="BQ99" s="36"/>
      <c r="BS99" s="1592"/>
      <c r="BT99" s="35"/>
      <c r="BU99" s="36"/>
      <c r="BW99" s="34"/>
      <c r="BX99" s="35"/>
      <c r="BY99" s="36"/>
      <c r="CA99" s="34"/>
      <c r="CB99" s="35"/>
      <c r="CC99" s="36"/>
      <c r="CE99" s="34"/>
      <c r="CF99" s="35"/>
      <c r="CG99" s="36"/>
      <c r="CI99" s="34"/>
      <c r="CJ99" s="35"/>
      <c r="CK99" s="36"/>
      <c r="CM99" s="34"/>
      <c r="CN99" s="35"/>
      <c r="CO99" s="36"/>
    </row>
    <row r="100" spans="1:93">
      <c r="A100" s="34" t="s">
        <v>831</v>
      </c>
      <c r="B100" s="35" t="s">
        <v>832</v>
      </c>
      <c r="C100" s="36">
        <v>8565</v>
      </c>
      <c r="D100" s="37" t="str">
        <f>IF(C100&gt;=Mat!$E$71,"Material","No Mat")</f>
        <v>No Mat</v>
      </c>
      <c r="E100" s="834">
        <f>IF(C100&gt;=Mat!$E$71,C100/Mat!$E$71,0)</f>
        <v>0</v>
      </c>
      <c r="F100" s="895"/>
      <c r="G100" s="34"/>
      <c r="H100" s="35"/>
      <c r="I100" s="48"/>
      <c r="J100" s="36"/>
      <c r="L100" s="506"/>
      <c r="M100" s="506" t="s">
        <v>273</v>
      </c>
      <c r="N100" s="507">
        <f t="shared" si="14"/>
        <v>0</v>
      </c>
      <c r="O100" s="507">
        <f t="shared" si="15"/>
        <v>0</v>
      </c>
      <c r="P100" s="507">
        <f t="shared" si="16"/>
        <v>0</v>
      </c>
      <c r="Q100" s="507">
        <f t="shared" si="17"/>
        <v>0</v>
      </c>
      <c r="R100" s="507">
        <f t="shared" si="18"/>
        <v>0</v>
      </c>
      <c r="S100" s="507">
        <f t="shared" si="19"/>
        <v>0</v>
      </c>
      <c r="T100" s="507">
        <f t="shared" si="20"/>
        <v>0</v>
      </c>
      <c r="U100" s="507">
        <f t="shared" si="21"/>
        <v>0</v>
      </c>
      <c r="V100" s="507">
        <f t="shared" si="22"/>
        <v>0</v>
      </c>
      <c r="W100" s="507">
        <f t="shared" si="23"/>
        <v>0</v>
      </c>
      <c r="X100" s="507">
        <f t="shared" si="24"/>
        <v>0</v>
      </c>
      <c r="Y100" s="507">
        <f t="shared" si="25"/>
        <v>0</v>
      </c>
      <c r="Z100" s="11">
        <f t="shared" si="26"/>
        <v>0</v>
      </c>
      <c r="AC100" s="4">
        <v>188</v>
      </c>
      <c r="AD100" s="5" t="s">
        <v>912</v>
      </c>
      <c r="AE100" s="5" t="s">
        <v>282</v>
      </c>
      <c r="AF100" s="5" t="s">
        <v>913</v>
      </c>
      <c r="AG100" s="5" t="s">
        <v>0</v>
      </c>
      <c r="AH100" s="5" t="s">
        <v>18</v>
      </c>
      <c r="AI100" s="5" t="s">
        <v>12</v>
      </c>
      <c r="AJ100" s="5" t="s">
        <v>17</v>
      </c>
      <c r="AK100" s="5" t="s">
        <v>139</v>
      </c>
      <c r="AL100" s="5" t="s">
        <v>18</v>
      </c>
      <c r="AM100" s="6"/>
      <c r="AO100" s="5"/>
      <c r="AP100" s="5"/>
      <c r="AQ100" s="5"/>
      <c r="AR100" s="5"/>
      <c r="AS100" s="5"/>
      <c r="AU100" s="1547"/>
      <c r="AV100" s="35"/>
      <c r="AW100" s="36"/>
      <c r="AY100" s="34"/>
      <c r="AZ100" s="35"/>
      <c r="BA100" s="36"/>
      <c r="BC100" s="34"/>
      <c r="BD100" s="35"/>
      <c r="BE100" s="36"/>
      <c r="BG100" s="34"/>
      <c r="BH100" s="35"/>
      <c r="BI100" s="36"/>
      <c r="BK100" s="34"/>
      <c r="BL100" s="35"/>
      <c r="BM100" s="36"/>
      <c r="BO100" s="34"/>
      <c r="BP100" s="35"/>
      <c r="BQ100" s="36"/>
      <c r="BS100" s="1592"/>
      <c r="BT100" s="35"/>
      <c r="BU100" s="36"/>
      <c r="BW100" s="34"/>
      <c r="BX100" s="35"/>
      <c r="BY100" s="36"/>
      <c r="CA100" s="34"/>
      <c r="CB100" s="35"/>
      <c r="CC100" s="36"/>
      <c r="CE100" s="34"/>
      <c r="CF100" s="35"/>
      <c r="CG100" s="36"/>
      <c r="CI100" s="34"/>
      <c r="CJ100" s="35"/>
      <c r="CK100" s="36"/>
      <c r="CM100" s="34"/>
      <c r="CN100" s="35"/>
      <c r="CO100" s="36"/>
    </row>
    <row r="101" spans="1:93">
      <c r="A101" s="34" t="s">
        <v>4264</v>
      </c>
      <c r="B101" s="35" t="s">
        <v>3903</v>
      </c>
      <c r="C101" s="36">
        <v>4625</v>
      </c>
      <c r="D101" s="37" t="str">
        <f>IF(C101&gt;=Mat!$E$71,"Material","No Mat")</f>
        <v>No Mat</v>
      </c>
      <c r="E101" s="834">
        <f>IF(C101&gt;=Mat!$E$71,C101/Mat!$E$71,0)</f>
        <v>0</v>
      </c>
      <c r="F101" s="895"/>
      <c r="G101" s="34"/>
      <c r="H101" s="35"/>
      <c r="I101" s="48"/>
      <c r="J101" s="36"/>
      <c r="L101" s="506"/>
      <c r="M101" s="506" t="s">
        <v>275</v>
      </c>
      <c r="N101" s="507">
        <f t="shared" si="14"/>
        <v>0</v>
      </c>
      <c r="O101" s="507">
        <f t="shared" si="15"/>
        <v>0</v>
      </c>
      <c r="P101" s="507">
        <f t="shared" si="16"/>
        <v>0</v>
      </c>
      <c r="Q101" s="507">
        <f t="shared" si="17"/>
        <v>0</v>
      </c>
      <c r="R101" s="507">
        <f t="shared" si="18"/>
        <v>0</v>
      </c>
      <c r="S101" s="507">
        <f t="shared" si="19"/>
        <v>0</v>
      </c>
      <c r="T101" s="507">
        <f t="shared" si="20"/>
        <v>0</v>
      </c>
      <c r="U101" s="507">
        <f t="shared" si="21"/>
        <v>0</v>
      </c>
      <c r="V101" s="507">
        <f t="shared" si="22"/>
        <v>0</v>
      </c>
      <c r="W101" s="507">
        <f t="shared" si="23"/>
        <v>0</v>
      </c>
      <c r="X101" s="507">
        <f t="shared" si="24"/>
        <v>0</v>
      </c>
      <c r="Y101" s="507">
        <f t="shared" si="25"/>
        <v>0</v>
      </c>
      <c r="Z101" s="11">
        <f t="shared" si="26"/>
        <v>0</v>
      </c>
      <c r="AC101" s="4">
        <v>190</v>
      </c>
      <c r="AD101" s="5" t="s">
        <v>294</v>
      </c>
      <c r="AE101" s="5" t="s">
        <v>282</v>
      </c>
      <c r="AF101" s="5" t="s">
        <v>295</v>
      </c>
      <c r="AG101" s="5" t="s">
        <v>0</v>
      </c>
      <c r="AH101" s="5" t="s">
        <v>18</v>
      </c>
      <c r="AI101" s="5" t="s">
        <v>12</v>
      </c>
      <c r="AJ101" s="5" t="s">
        <v>17</v>
      </c>
      <c r="AK101" s="5" t="s">
        <v>139</v>
      </c>
      <c r="AL101" s="5" t="s">
        <v>18</v>
      </c>
      <c r="AM101" s="6"/>
      <c r="AO101" s="5"/>
      <c r="AP101" s="5"/>
      <c r="AQ101" s="5"/>
      <c r="AR101" s="5"/>
      <c r="AS101" s="5"/>
      <c r="AU101" s="1547"/>
      <c r="AV101" s="35"/>
      <c r="AW101" s="36"/>
      <c r="AY101" s="34"/>
      <c r="AZ101" s="35"/>
      <c r="BA101" s="36"/>
      <c r="BC101" s="34"/>
      <c r="BD101" s="35"/>
      <c r="BE101" s="36"/>
      <c r="BG101" s="34"/>
      <c r="BH101" s="35"/>
      <c r="BI101" s="36"/>
      <c r="BK101" s="34"/>
      <c r="BL101" s="35"/>
      <c r="BM101" s="36"/>
      <c r="BO101" s="34"/>
      <c r="BP101" s="35"/>
      <c r="BQ101" s="36"/>
      <c r="BS101" s="1592"/>
      <c r="BT101" s="35"/>
      <c r="BU101" s="36"/>
      <c r="BW101" s="34"/>
      <c r="BX101" s="35"/>
      <c r="BY101" s="36"/>
      <c r="CA101" s="34"/>
      <c r="CB101" s="35"/>
      <c r="CC101" s="36"/>
      <c r="CE101" s="34"/>
      <c r="CF101" s="35"/>
      <c r="CG101" s="36"/>
      <c r="CI101" s="34"/>
      <c r="CJ101" s="35"/>
      <c r="CK101" s="36"/>
      <c r="CM101" s="34"/>
      <c r="CN101" s="35"/>
      <c r="CO101" s="36"/>
    </row>
    <row r="102" spans="1:93">
      <c r="A102" s="34" t="s">
        <v>4273</v>
      </c>
      <c r="B102" s="35" t="s">
        <v>3926</v>
      </c>
      <c r="C102" s="36">
        <v>1191000</v>
      </c>
      <c r="D102" s="37" t="str">
        <f>IF(C102&gt;=Mat!$E$71,"Material","No Mat")</f>
        <v>Material</v>
      </c>
      <c r="E102" s="834">
        <f>IF(C102&gt;=Mat!$E$71,C102/Mat!$E$71,0)</f>
        <v>4.4944062489634797</v>
      </c>
      <c r="F102" s="895"/>
      <c r="G102" s="34"/>
      <c r="H102" s="35"/>
      <c r="I102" s="48"/>
      <c r="J102" s="36"/>
      <c r="L102" s="506"/>
      <c r="M102" s="506" t="s">
        <v>277</v>
      </c>
      <c r="N102" s="507">
        <f t="shared" si="14"/>
        <v>0</v>
      </c>
      <c r="O102" s="507">
        <f t="shared" si="15"/>
        <v>0</v>
      </c>
      <c r="P102" s="507">
        <f t="shared" si="16"/>
        <v>0</v>
      </c>
      <c r="Q102" s="507">
        <f t="shared" si="17"/>
        <v>0</v>
      </c>
      <c r="R102" s="507">
        <f t="shared" si="18"/>
        <v>0</v>
      </c>
      <c r="S102" s="507">
        <f t="shared" si="19"/>
        <v>0</v>
      </c>
      <c r="T102" s="507">
        <f t="shared" si="20"/>
        <v>0</v>
      </c>
      <c r="U102" s="507">
        <f t="shared" si="21"/>
        <v>0</v>
      </c>
      <c r="V102" s="507">
        <f t="shared" si="22"/>
        <v>0</v>
      </c>
      <c r="W102" s="507">
        <f t="shared" si="23"/>
        <v>0</v>
      </c>
      <c r="X102" s="507">
        <f t="shared" si="24"/>
        <v>0</v>
      </c>
      <c r="Y102" s="507">
        <f t="shared" si="25"/>
        <v>0</v>
      </c>
      <c r="Z102" s="11">
        <f t="shared" si="26"/>
        <v>0</v>
      </c>
      <c r="AC102" s="4">
        <v>192</v>
      </c>
      <c r="AD102" s="5" t="s">
        <v>909</v>
      </c>
      <c r="AE102" s="5" t="s">
        <v>282</v>
      </c>
      <c r="AF102" s="5" t="s">
        <v>910</v>
      </c>
      <c r="AG102" s="5" t="s">
        <v>0</v>
      </c>
      <c r="AH102" s="5" t="s">
        <v>18</v>
      </c>
      <c r="AI102" s="5" t="s">
        <v>12</v>
      </c>
      <c r="AJ102" s="5" t="s">
        <v>17</v>
      </c>
      <c r="AK102" s="5" t="s">
        <v>139</v>
      </c>
      <c r="AL102" s="5" t="s">
        <v>18</v>
      </c>
      <c r="AM102" s="6"/>
      <c r="AO102" s="5"/>
      <c r="AP102" s="5"/>
      <c r="AQ102" s="5"/>
      <c r="AR102" s="5"/>
      <c r="AS102" s="5"/>
      <c r="AU102" s="1547"/>
      <c r="AV102" s="35"/>
      <c r="AW102" s="36"/>
      <c r="AY102" s="34"/>
      <c r="AZ102" s="35"/>
      <c r="BA102" s="36"/>
      <c r="BC102" s="34"/>
      <c r="BD102" s="35"/>
      <c r="BE102" s="36"/>
      <c r="BG102" s="34"/>
      <c r="BH102" s="35"/>
      <c r="BI102" s="36"/>
      <c r="BK102" s="34"/>
      <c r="BL102" s="35"/>
      <c r="BM102" s="36"/>
      <c r="BO102" s="34"/>
      <c r="BP102" s="35"/>
      <c r="BQ102" s="36"/>
      <c r="BS102" s="1592"/>
      <c r="BT102" s="35"/>
      <c r="BU102" s="36"/>
      <c r="BW102" s="34"/>
      <c r="BX102" s="35"/>
      <c r="BY102" s="36"/>
      <c r="CA102" s="34"/>
      <c r="CB102" s="35"/>
      <c r="CC102" s="36"/>
      <c r="CE102" s="34"/>
      <c r="CF102" s="35"/>
      <c r="CG102" s="36"/>
      <c r="CI102" s="34"/>
      <c r="CJ102" s="35"/>
      <c r="CK102" s="36"/>
      <c r="CM102" s="34"/>
      <c r="CN102" s="35"/>
      <c r="CO102" s="36"/>
    </row>
    <row r="103" spans="1:93">
      <c r="A103" s="34" t="s">
        <v>4274</v>
      </c>
      <c r="B103" s="35" t="s">
        <v>3928</v>
      </c>
      <c r="C103" s="36">
        <v>203388</v>
      </c>
      <c r="D103" s="37" t="str">
        <f>IF(C103&gt;=Mat!$E$71,"Material","No Mat")</f>
        <v>No Mat</v>
      </c>
      <c r="E103" s="834">
        <f>IF(C103&gt;=Mat!$E$71,C103/Mat!$E$71,0)</f>
        <v>0</v>
      </c>
      <c r="F103" s="895"/>
      <c r="G103" s="34"/>
      <c r="H103" s="35"/>
      <c r="I103" s="48"/>
      <c r="J103" s="36"/>
      <c r="L103" s="506"/>
      <c r="M103" s="506" t="s">
        <v>279</v>
      </c>
      <c r="N103" s="507">
        <f t="shared" si="14"/>
        <v>0</v>
      </c>
      <c r="O103" s="507">
        <f t="shared" si="15"/>
        <v>0</v>
      </c>
      <c r="P103" s="507">
        <f t="shared" si="16"/>
        <v>0</v>
      </c>
      <c r="Q103" s="507">
        <f t="shared" si="17"/>
        <v>0</v>
      </c>
      <c r="R103" s="507">
        <f t="shared" si="18"/>
        <v>0</v>
      </c>
      <c r="S103" s="507">
        <f t="shared" si="19"/>
        <v>0</v>
      </c>
      <c r="T103" s="507">
        <f t="shared" si="20"/>
        <v>0</v>
      </c>
      <c r="U103" s="507">
        <f t="shared" si="21"/>
        <v>0</v>
      </c>
      <c r="V103" s="507">
        <f t="shared" si="22"/>
        <v>0</v>
      </c>
      <c r="W103" s="507">
        <f t="shared" si="23"/>
        <v>0</v>
      </c>
      <c r="X103" s="507">
        <f t="shared" si="24"/>
        <v>0</v>
      </c>
      <c r="Y103" s="507">
        <f t="shared" si="25"/>
        <v>0</v>
      </c>
      <c r="Z103" s="11">
        <f t="shared" si="26"/>
        <v>0</v>
      </c>
      <c r="AC103" s="4">
        <v>194</v>
      </c>
      <c r="AD103" s="5" t="s">
        <v>298</v>
      </c>
      <c r="AE103" s="5" t="s">
        <v>296</v>
      </c>
      <c r="AF103" s="5" t="s">
        <v>299</v>
      </c>
      <c r="AG103" s="5" t="s">
        <v>0</v>
      </c>
      <c r="AH103" s="5" t="s">
        <v>18</v>
      </c>
      <c r="AI103" s="5" t="s">
        <v>12</v>
      </c>
      <c r="AJ103" s="5" t="s">
        <v>17</v>
      </c>
      <c r="AK103" s="5" t="s">
        <v>139</v>
      </c>
      <c r="AL103" s="5" t="s">
        <v>18</v>
      </c>
      <c r="AM103" s="6"/>
      <c r="AO103" s="5"/>
      <c r="AP103" s="5"/>
      <c r="AQ103" s="5"/>
      <c r="AR103" s="5"/>
      <c r="AS103" s="5"/>
      <c r="AU103" s="1547"/>
      <c r="AV103" s="35"/>
      <c r="AW103" s="36"/>
      <c r="AY103" s="34"/>
      <c r="AZ103" s="35"/>
      <c r="BA103" s="36"/>
      <c r="BC103" s="34"/>
      <c r="BD103" s="35"/>
      <c r="BE103" s="36"/>
      <c r="BG103" s="34"/>
      <c r="BH103" s="35"/>
      <c r="BI103" s="36"/>
      <c r="BK103" s="34"/>
      <c r="BL103" s="35"/>
      <c r="BM103" s="36"/>
      <c r="BO103" s="34"/>
      <c r="BP103" s="35"/>
      <c r="BQ103" s="36"/>
      <c r="BS103" s="1592"/>
      <c r="BT103" s="35"/>
      <c r="BU103" s="36"/>
      <c r="BW103" s="34"/>
      <c r="BX103" s="35"/>
      <c r="BY103" s="36"/>
      <c r="CA103" s="34"/>
      <c r="CB103" s="35"/>
      <c r="CC103" s="36"/>
      <c r="CE103" s="34"/>
      <c r="CF103" s="35"/>
      <c r="CG103" s="36"/>
      <c r="CI103" s="34"/>
      <c r="CJ103" s="35"/>
      <c r="CK103" s="36"/>
      <c r="CM103" s="34"/>
      <c r="CN103" s="35"/>
      <c r="CO103" s="36"/>
    </row>
    <row r="104" spans="1:93">
      <c r="A104" s="34" t="s">
        <v>4275</v>
      </c>
      <c r="B104" s="35" t="s">
        <v>3929</v>
      </c>
      <c r="C104" s="36">
        <v>620.62</v>
      </c>
      <c r="D104" s="37" t="str">
        <f>IF(C104&gt;=Mat!$E$71,"Material","No Mat")</f>
        <v>No Mat</v>
      </c>
      <c r="E104" s="834">
        <f>IF(C104&gt;=Mat!$E$71,C104/Mat!$E$71,0)</f>
        <v>0</v>
      </c>
      <c r="F104" s="895"/>
      <c r="G104" s="34"/>
      <c r="H104" s="35"/>
      <c r="I104" s="48"/>
      <c r="J104" s="36"/>
      <c r="L104" s="506"/>
      <c r="M104" s="506" t="s">
        <v>2321</v>
      </c>
      <c r="N104" s="507">
        <f t="shared" si="14"/>
        <v>0</v>
      </c>
      <c r="O104" s="507">
        <f t="shared" si="15"/>
        <v>0</v>
      </c>
      <c r="P104" s="507">
        <f t="shared" si="16"/>
        <v>0</v>
      </c>
      <c r="Q104" s="507">
        <f t="shared" si="17"/>
        <v>0</v>
      </c>
      <c r="R104" s="507">
        <f t="shared" si="18"/>
        <v>0</v>
      </c>
      <c r="S104" s="507">
        <f t="shared" si="19"/>
        <v>0</v>
      </c>
      <c r="T104" s="507">
        <f t="shared" si="20"/>
        <v>0</v>
      </c>
      <c r="U104" s="507">
        <f t="shared" si="21"/>
        <v>0</v>
      </c>
      <c r="V104" s="507">
        <f t="shared" si="22"/>
        <v>0</v>
      </c>
      <c r="W104" s="507">
        <f t="shared" si="23"/>
        <v>0</v>
      </c>
      <c r="X104" s="507">
        <f t="shared" si="24"/>
        <v>0</v>
      </c>
      <c r="Y104" s="507">
        <f t="shared" si="25"/>
        <v>0</v>
      </c>
      <c r="Z104" s="11">
        <f t="shared" si="26"/>
        <v>0</v>
      </c>
      <c r="AC104" s="4">
        <v>196</v>
      </c>
      <c r="AD104" s="5" t="s">
        <v>300</v>
      </c>
      <c r="AE104" s="5" t="s">
        <v>296</v>
      </c>
      <c r="AF104" s="5" t="s">
        <v>297</v>
      </c>
      <c r="AG104" s="5" t="s">
        <v>0</v>
      </c>
      <c r="AH104" s="5" t="s">
        <v>18</v>
      </c>
      <c r="AI104" s="5" t="s">
        <v>12</v>
      </c>
      <c r="AJ104" s="5" t="s">
        <v>17</v>
      </c>
      <c r="AK104" s="5" t="s">
        <v>139</v>
      </c>
      <c r="AL104" s="5" t="s">
        <v>18</v>
      </c>
      <c r="AM104" s="6"/>
      <c r="AO104" s="5"/>
      <c r="AP104" s="5"/>
      <c r="AQ104" s="5"/>
      <c r="AR104" s="5"/>
      <c r="AS104" s="5"/>
      <c r="AU104" s="1547"/>
      <c r="AV104" s="35"/>
      <c r="AW104" s="36"/>
      <c r="AY104" s="34"/>
      <c r="AZ104" s="35"/>
      <c r="BA104" s="36"/>
      <c r="BC104" s="34"/>
      <c r="BD104" s="35"/>
      <c r="BE104" s="36"/>
      <c r="BG104" s="34"/>
      <c r="BH104" s="35"/>
      <c r="BI104" s="36"/>
      <c r="BK104" s="34"/>
      <c r="BL104" s="35"/>
      <c r="BM104" s="36"/>
      <c r="BO104" s="34"/>
      <c r="BP104" s="35"/>
      <c r="BQ104" s="36"/>
      <c r="BS104" s="1592"/>
      <c r="BT104" s="35"/>
      <c r="BU104" s="36"/>
      <c r="BW104" s="34"/>
      <c r="BX104" s="35"/>
      <c r="BY104" s="36"/>
      <c r="CA104" s="34"/>
      <c r="CB104" s="35"/>
      <c r="CC104" s="36"/>
      <c r="CE104" s="34"/>
      <c r="CF104" s="35"/>
      <c r="CG104" s="36"/>
      <c r="CI104" s="34"/>
      <c r="CJ104" s="35"/>
      <c r="CK104" s="36"/>
      <c r="CM104" s="34"/>
      <c r="CN104" s="35"/>
      <c r="CO104" s="36"/>
    </row>
    <row r="105" spans="1:93">
      <c r="A105" s="34" t="s">
        <v>4276</v>
      </c>
      <c r="B105" s="35" t="s">
        <v>3943</v>
      </c>
      <c r="C105" s="36">
        <v>4998.54</v>
      </c>
      <c r="D105" s="37" t="str">
        <f>IF(C105&gt;=Mat!$E$71,"Material","No Mat")</f>
        <v>No Mat</v>
      </c>
      <c r="E105" s="834">
        <f>IF(C105&gt;=Mat!$E$71,C105/Mat!$E$71,0)</f>
        <v>0</v>
      </c>
      <c r="F105" s="895"/>
      <c r="G105" s="34"/>
      <c r="H105" s="35"/>
      <c r="I105" s="48"/>
      <c r="J105" s="36"/>
      <c r="L105" t="s">
        <v>285</v>
      </c>
      <c r="M105" s="506" t="s">
        <v>287</v>
      </c>
      <c r="N105" s="507">
        <f t="shared" si="14"/>
        <v>0</v>
      </c>
      <c r="O105" s="507">
        <f t="shared" si="15"/>
        <v>0</v>
      </c>
      <c r="P105" s="507">
        <f t="shared" si="16"/>
        <v>0</v>
      </c>
      <c r="Q105" s="507">
        <f t="shared" si="17"/>
        <v>0</v>
      </c>
      <c r="R105" s="507">
        <f t="shared" si="18"/>
        <v>0</v>
      </c>
      <c r="S105" s="507">
        <f t="shared" si="19"/>
        <v>0</v>
      </c>
      <c r="T105" s="507">
        <f t="shared" si="20"/>
        <v>0</v>
      </c>
      <c r="U105" s="507">
        <f t="shared" si="21"/>
        <v>0</v>
      </c>
      <c r="V105" s="507">
        <f t="shared" si="22"/>
        <v>0</v>
      </c>
      <c r="W105" s="507">
        <f t="shared" si="23"/>
        <v>0</v>
      </c>
      <c r="X105" s="507">
        <f t="shared" si="24"/>
        <v>0</v>
      </c>
      <c r="Y105" s="507">
        <f t="shared" si="25"/>
        <v>0</v>
      </c>
      <c r="Z105" s="11">
        <f t="shared" si="26"/>
        <v>0</v>
      </c>
      <c r="AC105" s="4">
        <v>198</v>
      </c>
      <c r="AD105" s="5" t="s">
        <v>301</v>
      </c>
      <c r="AE105" s="5" t="s">
        <v>280</v>
      </c>
      <c r="AF105" s="5" t="s">
        <v>302</v>
      </c>
      <c r="AG105" s="5" t="s">
        <v>0</v>
      </c>
      <c r="AH105" s="5" t="s">
        <v>18</v>
      </c>
      <c r="AI105" s="5" t="s">
        <v>12</v>
      </c>
      <c r="AJ105" s="5" t="s">
        <v>17</v>
      </c>
      <c r="AK105" s="5" t="s">
        <v>139</v>
      </c>
      <c r="AL105" s="5" t="s">
        <v>18</v>
      </c>
      <c r="AM105" s="6"/>
      <c r="AO105" s="5"/>
      <c r="AP105" s="5"/>
      <c r="AQ105" s="5"/>
      <c r="AR105" s="5"/>
      <c r="AS105" s="5"/>
      <c r="AT105" s="11">
        <f>SUM(C69:C112)</f>
        <v>30605870.319999993</v>
      </c>
      <c r="AU105" s="1547"/>
      <c r="AV105" s="35"/>
      <c r="AW105" s="36"/>
      <c r="AY105" s="34"/>
      <c r="AZ105" s="35"/>
      <c r="BA105" s="36"/>
      <c r="BC105" s="34"/>
      <c r="BD105" s="35"/>
      <c r="BE105" s="36"/>
      <c r="BG105" s="34"/>
      <c r="BH105" s="35"/>
      <c r="BI105" s="36"/>
      <c r="BK105" s="34"/>
      <c r="BL105" s="35"/>
      <c r="BM105" s="36"/>
      <c r="BO105" s="34"/>
      <c r="BP105" s="35"/>
      <c r="BQ105" s="36"/>
      <c r="BS105" s="1592"/>
      <c r="BT105" s="35"/>
      <c r="BU105" s="36"/>
      <c r="BW105" s="34"/>
      <c r="BX105" s="35"/>
      <c r="BY105" s="36"/>
      <c r="CA105" s="34"/>
      <c r="CB105" s="35"/>
      <c r="CC105" s="36"/>
      <c r="CE105" s="34"/>
      <c r="CF105" s="35"/>
      <c r="CG105" s="36"/>
      <c r="CI105" s="34"/>
      <c r="CJ105" s="35"/>
      <c r="CK105" s="36"/>
      <c r="CM105" s="34"/>
      <c r="CN105" s="35"/>
      <c r="CO105" s="36"/>
    </row>
    <row r="106" spans="1:93">
      <c r="A106" s="34" t="s">
        <v>4255</v>
      </c>
      <c r="B106" s="35" t="s">
        <v>3944</v>
      </c>
      <c r="C106" s="36">
        <v>52140</v>
      </c>
      <c r="D106" s="37" t="str">
        <f>IF(C106&gt;=Mat!$E$71,"Material","No Mat")</f>
        <v>No Mat</v>
      </c>
      <c r="E106" s="834">
        <f>IF(C106&gt;=Mat!$E$71,C106/Mat!$E$71,0)</f>
        <v>0</v>
      </c>
      <c r="F106" s="895"/>
      <c r="G106" s="34"/>
      <c r="H106" s="35"/>
      <c r="I106" s="48"/>
      <c r="J106" s="36"/>
      <c r="L106" s="506"/>
      <c r="M106" s="506" t="s">
        <v>289</v>
      </c>
      <c r="N106" s="507">
        <f t="shared" si="14"/>
        <v>0</v>
      </c>
      <c r="O106" s="507">
        <f t="shared" si="15"/>
        <v>0</v>
      </c>
      <c r="P106" s="507">
        <f t="shared" si="16"/>
        <v>0</v>
      </c>
      <c r="Q106" s="507">
        <f t="shared" si="17"/>
        <v>0</v>
      </c>
      <c r="R106" s="507">
        <f t="shared" si="18"/>
        <v>0</v>
      </c>
      <c r="S106" s="507">
        <f t="shared" si="19"/>
        <v>0</v>
      </c>
      <c r="T106" s="507">
        <f t="shared" si="20"/>
        <v>0</v>
      </c>
      <c r="U106" s="507">
        <f t="shared" si="21"/>
        <v>0</v>
      </c>
      <c r="V106" s="507">
        <f t="shared" si="22"/>
        <v>0</v>
      </c>
      <c r="W106" s="507">
        <f t="shared" si="23"/>
        <v>0</v>
      </c>
      <c r="X106" s="507">
        <f t="shared" si="24"/>
        <v>0</v>
      </c>
      <c r="Y106" s="507">
        <f t="shared" si="25"/>
        <v>0</v>
      </c>
      <c r="Z106" s="11">
        <f t="shared" si="26"/>
        <v>0</v>
      </c>
      <c r="AC106" s="4">
        <v>200</v>
      </c>
      <c r="AD106" s="5" t="s">
        <v>305</v>
      </c>
      <c r="AE106" s="5" t="s">
        <v>303</v>
      </c>
      <c r="AF106" s="5" t="s">
        <v>306</v>
      </c>
      <c r="AG106" s="5" t="s">
        <v>0</v>
      </c>
      <c r="AH106" s="5" t="s">
        <v>18</v>
      </c>
      <c r="AI106" s="5" t="s">
        <v>12</v>
      </c>
      <c r="AJ106" s="5" t="s">
        <v>17</v>
      </c>
      <c r="AK106" s="5" t="s">
        <v>139</v>
      </c>
      <c r="AL106" s="5" t="s">
        <v>18</v>
      </c>
      <c r="AM106" s="6"/>
      <c r="AO106" s="5"/>
      <c r="AP106" s="5"/>
      <c r="AQ106" s="5"/>
      <c r="AR106" s="5"/>
      <c r="AS106" s="5"/>
      <c r="AT106" s="11">
        <f>+AT105-ERF!B24</f>
        <v>-40089287.160000011</v>
      </c>
      <c r="AU106" s="1547"/>
      <c r="AV106" s="35"/>
      <c r="AW106" s="36"/>
      <c r="AY106" s="34"/>
      <c r="AZ106" s="35"/>
      <c r="BA106" s="36"/>
      <c r="BC106" s="34"/>
      <c r="BD106" s="35"/>
      <c r="BE106" s="36"/>
      <c r="BG106" s="34"/>
      <c r="BH106" s="35"/>
      <c r="BI106" s="36"/>
      <c r="BK106" s="34"/>
      <c r="BL106" s="35"/>
      <c r="BM106" s="36"/>
      <c r="BO106" s="34"/>
      <c r="BP106" s="35"/>
      <c r="BQ106" s="36"/>
      <c r="BS106" s="1592"/>
      <c r="BT106" s="35"/>
      <c r="BU106" s="36"/>
      <c r="BW106" s="34"/>
      <c r="BX106" s="35"/>
      <c r="BY106" s="36"/>
      <c r="CA106" s="34"/>
      <c r="CB106" s="35"/>
      <c r="CC106" s="36"/>
      <c r="CE106" s="34"/>
      <c r="CF106" s="35"/>
      <c r="CG106" s="36"/>
      <c r="CI106" s="34"/>
      <c r="CJ106" s="35"/>
      <c r="CK106" s="36"/>
      <c r="CM106" s="34"/>
      <c r="CN106" s="35"/>
      <c r="CO106" s="36"/>
    </row>
    <row r="107" spans="1:93">
      <c r="A107" s="34"/>
      <c r="B107" s="35"/>
      <c r="C107" s="36"/>
      <c r="D107" s="37" t="str">
        <f>IF(C107&gt;=Mat!$E$71,"Material","No Mat")</f>
        <v>No Mat</v>
      </c>
      <c r="E107" s="834">
        <f>IF(C107&gt;=Mat!$E$71,C107/Mat!$E$71,0)</f>
        <v>0</v>
      </c>
      <c r="F107" s="895"/>
      <c r="G107" s="34"/>
      <c r="H107" s="35"/>
      <c r="I107" s="48"/>
      <c r="J107" s="36"/>
      <c r="L107" s="506"/>
      <c r="M107" s="508" t="s">
        <v>2396</v>
      </c>
      <c r="N107" s="507">
        <f t="shared" si="14"/>
        <v>0</v>
      </c>
      <c r="O107" s="507">
        <f t="shared" si="15"/>
        <v>0</v>
      </c>
      <c r="P107" s="507">
        <f t="shared" si="16"/>
        <v>0</v>
      </c>
      <c r="Q107" s="507">
        <f t="shared" si="17"/>
        <v>0</v>
      </c>
      <c r="R107" s="507">
        <f t="shared" si="18"/>
        <v>0</v>
      </c>
      <c r="S107" s="507">
        <f t="shared" si="19"/>
        <v>0</v>
      </c>
      <c r="T107" s="507">
        <f t="shared" si="20"/>
        <v>0</v>
      </c>
      <c r="U107" s="507">
        <f t="shared" si="21"/>
        <v>0</v>
      </c>
      <c r="V107" s="507">
        <f t="shared" si="22"/>
        <v>0</v>
      </c>
      <c r="W107" s="507">
        <f t="shared" si="23"/>
        <v>0</v>
      </c>
      <c r="X107" s="507">
        <f t="shared" si="24"/>
        <v>0</v>
      </c>
      <c r="Y107" s="507">
        <f t="shared" si="25"/>
        <v>0</v>
      </c>
      <c r="AC107" s="4">
        <v>202</v>
      </c>
      <c r="AD107" s="5" t="s">
        <v>307</v>
      </c>
      <c r="AE107" s="5" t="s">
        <v>303</v>
      </c>
      <c r="AF107" s="5" t="s">
        <v>308</v>
      </c>
      <c r="AG107" s="5" t="s">
        <v>0</v>
      </c>
      <c r="AH107" s="5" t="s">
        <v>18</v>
      </c>
      <c r="AI107" s="5" t="s">
        <v>12</v>
      </c>
      <c r="AJ107" s="5" t="s">
        <v>17</v>
      </c>
      <c r="AK107" s="5" t="s">
        <v>139</v>
      </c>
      <c r="AL107" s="5" t="s">
        <v>18</v>
      </c>
      <c r="AM107" s="6"/>
      <c r="AO107" s="5"/>
      <c r="AP107" s="5"/>
      <c r="AQ107" s="5"/>
      <c r="AR107" s="5"/>
      <c r="AS107" s="5"/>
      <c r="AU107" s="1547"/>
      <c r="AV107" s="35"/>
      <c r="AW107" s="36"/>
      <c r="AY107" s="34"/>
      <c r="AZ107" s="35"/>
      <c r="BA107" s="36"/>
      <c r="BC107" s="34"/>
      <c r="BD107" s="35"/>
      <c r="BE107" s="36"/>
      <c r="BG107" s="34"/>
      <c r="BH107" s="35"/>
      <c r="BI107" s="36"/>
      <c r="BK107" s="34"/>
      <c r="BL107" s="35"/>
      <c r="BM107" s="36"/>
      <c r="BO107" s="34"/>
      <c r="BP107" s="35"/>
      <c r="BQ107" s="36"/>
      <c r="BS107" s="1592"/>
      <c r="BT107" s="35"/>
      <c r="BU107" s="36"/>
      <c r="BW107" s="34"/>
      <c r="BX107" s="35"/>
      <c r="BY107" s="36"/>
      <c r="CA107" s="34"/>
      <c r="CB107" s="35"/>
      <c r="CC107" s="36"/>
      <c r="CE107" s="34"/>
      <c r="CF107" s="35"/>
      <c r="CG107" s="36"/>
      <c r="CI107" s="34"/>
      <c r="CJ107" s="35"/>
      <c r="CK107" s="36"/>
      <c r="CM107" s="34"/>
      <c r="CN107" s="35"/>
      <c r="CO107" s="36"/>
    </row>
    <row r="108" spans="1:93">
      <c r="A108" s="34"/>
      <c r="B108" s="35"/>
      <c r="C108" s="36"/>
      <c r="D108" s="37" t="str">
        <f>IF(C108&gt;=Mat!$E$71,"Material","No Mat")</f>
        <v>No Mat</v>
      </c>
      <c r="E108" s="834">
        <f>IF(C108&gt;=Mat!$E$71,C108/Mat!$E$71,0)</f>
        <v>0</v>
      </c>
      <c r="F108" s="895"/>
      <c r="G108" s="34"/>
      <c r="H108" s="35"/>
      <c r="I108" s="48"/>
      <c r="J108" s="36"/>
      <c r="L108" s="506"/>
      <c r="M108" s="506" t="s">
        <v>291</v>
      </c>
      <c r="N108" s="507">
        <f t="shared" si="14"/>
        <v>0</v>
      </c>
      <c r="O108" s="507">
        <f t="shared" si="15"/>
        <v>0</v>
      </c>
      <c r="P108" s="507">
        <f t="shared" si="16"/>
        <v>0</v>
      </c>
      <c r="Q108" s="507">
        <f t="shared" si="17"/>
        <v>0</v>
      </c>
      <c r="R108" s="507">
        <f t="shared" si="18"/>
        <v>0</v>
      </c>
      <c r="S108" s="507">
        <f t="shared" si="19"/>
        <v>0</v>
      </c>
      <c r="T108" s="507">
        <f t="shared" si="20"/>
        <v>0</v>
      </c>
      <c r="U108" s="507">
        <f t="shared" si="21"/>
        <v>0</v>
      </c>
      <c r="V108" s="507">
        <f t="shared" si="22"/>
        <v>0</v>
      </c>
      <c r="W108" s="507">
        <f t="shared" si="23"/>
        <v>0</v>
      </c>
      <c r="X108" s="507">
        <f t="shared" si="24"/>
        <v>0</v>
      </c>
      <c r="Y108" s="507">
        <f t="shared" si="25"/>
        <v>0</v>
      </c>
      <c r="Z108" s="11">
        <f t="shared" si="26"/>
        <v>0</v>
      </c>
      <c r="AC108" s="4">
        <v>204</v>
      </c>
      <c r="AD108" s="5" t="s">
        <v>309</v>
      </c>
      <c r="AE108" s="5" t="s">
        <v>303</v>
      </c>
      <c r="AF108" s="5" t="s">
        <v>310</v>
      </c>
      <c r="AG108" s="5" t="s">
        <v>0</v>
      </c>
      <c r="AH108" s="5" t="s">
        <v>18</v>
      </c>
      <c r="AI108" s="5" t="s">
        <v>12</v>
      </c>
      <c r="AJ108" s="5" t="s">
        <v>17</v>
      </c>
      <c r="AK108" s="5" t="s">
        <v>139</v>
      </c>
      <c r="AL108" s="5" t="s">
        <v>18</v>
      </c>
      <c r="AM108" s="6"/>
      <c r="AO108" s="5"/>
      <c r="AP108" s="5"/>
      <c r="AQ108" s="5"/>
      <c r="AR108" s="5"/>
      <c r="AS108" s="5"/>
      <c r="AT108" s="11">
        <f>SUM(C88:C112)</f>
        <v>5664564.4300000006</v>
      </c>
      <c r="AU108" s="1547"/>
      <c r="AV108" s="35"/>
      <c r="AW108" s="36"/>
      <c r="AY108" s="34"/>
      <c r="AZ108" s="35"/>
      <c r="BA108" s="36"/>
      <c r="BC108" s="34"/>
      <c r="BD108" s="35"/>
      <c r="BE108" s="36"/>
      <c r="BG108" s="34"/>
      <c r="BH108" s="35"/>
      <c r="BI108" s="36"/>
      <c r="BK108" s="34"/>
      <c r="BL108" s="35"/>
      <c r="BM108" s="36"/>
      <c r="BO108" s="34"/>
      <c r="BP108" s="35"/>
      <c r="BQ108" s="36"/>
      <c r="BS108" s="1592"/>
      <c r="BT108" s="35"/>
      <c r="BU108" s="36"/>
      <c r="BW108" s="34"/>
      <c r="BX108" s="35"/>
      <c r="BY108" s="36"/>
      <c r="CA108" s="34"/>
      <c r="CB108" s="35"/>
      <c r="CC108" s="36"/>
      <c r="CE108" s="34"/>
      <c r="CF108" s="35"/>
      <c r="CG108" s="36"/>
      <c r="CI108" s="34"/>
      <c r="CJ108" s="35"/>
      <c r="CK108" s="36"/>
      <c r="CM108" s="34"/>
      <c r="CN108" s="35"/>
      <c r="CO108" s="36"/>
    </row>
    <row r="109" spans="1:93">
      <c r="A109" s="34"/>
      <c r="B109" s="35"/>
      <c r="C109" s="36"/>
      <c r="D109" s="37" t="str">
        <f>IF(C109&gt;=Mat!$E$71,"Material","No Mat")</f>
        <v>No Mat</v>
      </c>
      <c r="E109" s="834">
        <f>IF(C109&gt;=Mat!$E$71,C109/Mat!$E$71,0)</f>
        <v>0</v>
      </c>
      <c r="F109" s="895"/>
      <c r="G109" s="34"/>
      <c r="H109" s="35"/>
      <c r="I109" s="48"/>
      <c r="J109" s="36"/>
      <c r="L109" s="506"/>
      <c r="M109" s="506" t="s">
        <v>293</v>
      </c>
      <c r="N109" s="507">
        <f t="shared" si="14"/>
        <v>0</v>
      </c>
      <c r="O109" s="507">
        <f t="shared" si="15"/>
        <v>0</v>
      </c>
      <c r="P109" s="507">
        <f t="shared" si="16"/>
        <v>0</v>
      </c>
      <c r="Q109" s="507">
        <f t="shared" si="17"/>
        <v>0</v>
      </c>
      <c r="R109" s="507">
        <f t="shared" si="18"/>
        <v>0</v>
      </c>
      <c r="S109" s="507">
        <f t="shared" si="19"/>
        <v>0</v>
      </c>
      <c r="T109" s="507">
        <f t="shared" si="20"/>
        <v>0</v>
      </c>
      <c r="U109" s="507">
        <f t="shared" si="21"/>
        <v>0</v>
      </c>
      <c r="V109" s="507">
        <f t="shared" si="22"/>
        <v>0</v>
      </c>
      <c r="W109" s="507">
        <f t="shared" si="23"/>
        <v>0</v>
      </c>
      <c r="X109" s="507">
        <f t="shared" si="24"/>
        <v>0</v>
      </c>
      <c r="Y109" s="507">
        <f t="shared" si="25"/>
        <v>0</v>
      </c>
      <c r="Z109" s="11">
        <f t="shared" si="26"/>
        <v>0</v>
      </c>
      <c r="AC109" s="4">
        <v>206</v>
      </c>
      <c r="AD109" s="5" t="s">
        <v>313</v>
      </c>
      <c r="AE109" s="5" t="s">
        <v>311</v>
      </c>
      <c r="AF109" s="5" t="s">
        <v>314</v>
      </c>
      <c r="AG109" s="5" t="s">
        <v>0</v>
      </c>
      <c r="AH109" s="5" t="s">
        <v>18</v>
      </c>
      <c r="AI109" s="5" t="s">
        <v>12</v>
      </c>
      <c r="AJ109" s="5" t="s">
        <v>17</v>
      </c>
      <c r="AK109" s="5" t="s">
        <v>139</v>
      </c>
      <c r="AL109" s="5" t="s">
        <v>18</v>
      </c>
      <c r="AM109" s="6"/>
      <c r="AO109" s="5"/>
      <c r="AP109" s="5"/>
      <c r="AQ109" s="5"/>
      <c r="AR109" s="5"/>
      <c r="AS109" s="5"/>
      <c r="AT109" s="11">
        <f>+AT108-ERF!B19</f>
        <v>1070779.7000000002</v>
      </c>
      <c r="AU109" s="1547"/>
      <c r="AV109" s="35"/>
      <c r="AW109" s="36"/>
      <c r="AY109" s="34"/>
      <c r="AZ109" s="35"/>
      <c r="BA109" s="36"/>
      <c r="BC109" s="34"/>
      <c r="BD109" s="35"/>
      <c r="BE109" s="36"/>
      <c r="BG109" s="34"/>
      <c r="BH109" s="35"/>
      <c r="BI109" s="36"/>
      <c r="BK109" s="34"/>
      <c r="BL109" s="35"/>
      <c r="BM109" s="36"/>
      <c r="BO109" s="34"/>
      <c r="BP109" s="35"/>
      <c r="BQ109" s="36"/>
      <c r="BS109" s="1592"/>
      <c r="BT109" s="35"/>
      <c r="BU109" s="36"/>
      <c r="BW109" s="34"/>
      <c r="BX109" s="35"/>
      <c r="BY109" s="36"/>
      <c r="CA109" s="34"/>
      <c r="CB109" s="35"/>
      <c r="CC109" s="36"/>
      <c r="CE109" s="34"/>
      <c r="CF109" s="35"/>
      <c r="CG109" s="36"/>
      <c r="CI109" s="34"/>
      <c r="CJ109" s="35"/>
      <c r="CK109" s="36"/>
      <c r="CM109" s="34"/>
      <c r="CN109" s="35"/>
      <c r="CO109" s="36"/>
    </row>
    <row r="110" spans="1:93">
      <c r="A110" s="34"/>
      <c r="B110" s="35"/>
      <c r="C110" s="36"/>
      <c r="D110" s="37" t="str">
        <f>IF(C110&gt;=Mat!$E$71,"Material","No Mat")</f>
        <v>No Mat</v>
      </c>
      <c r="E110" s="834">
        <f>IF(C110&gt;=Mat!$E$71,C110/Mat!$E$71,0)</f>
        <v>0</v>
      </c>
      <c r="F110" s="895"/>
      <c r="G110" s="34"/>
      <c r="H110" s="35"/>
      <c r="I110" s="48"/>
      <c r="J110" s="36"/>
      <c r="L110" s="506"/>
      <c r="M110" s="506" t="s">
        <v>913</v>
      </c>
      <c r="N110" s="507">
        <f t="shared" si="14"/>
        <v>0</v>
      </c>
      <c r="O110" s="507">
        <f t="shared" si="15"/>
        <v>0</v>
      </c>
      <c r="P110" s="507">
        <f t="shared" si="16"/>
        <v>0</v>
      </c>
      <c r="Q110" s="507">
        <f t="shared" si="17"/>
        <v>0</v>
      </c>
      <c r="R110" s="507">
        <f t="shared" si="18"/>
        <v>0</v>
      </c>
      <c r="S110" s="507">
        <f t="shared" si="19"/>
        <v>0</v>
      </c>
      <c r="T110" s="507">
        <f t="shared" si="20"/>
        <v>0</v>
      </c>
      <c r="U110" s="507">
        <f t="shared" si="21"/>
        <v>0</v>
      </c>
      <c r="V110" s="507">
        <f t="shared" si="22"/>
        <v>0</v>
      </c>
      <c r="W110" s="507">
        <f t="shared" si="23"/>
        <v>0</v>
      </c>
      <c r="X110" s="507">
        <f t="shared" si="24"/>
        <v>0</v>
      </c>
      <c r="Y110" s="507">
        <f t="shared" si="25"/>
        <v>0</v>
      </c>
      <c r="Z110" s="11">
        <f t="shared" si="26"/>
        <v>0</v>
      </c>
      <c r="AC110" s="4">
        <v>208</v>
      </c>
      <c r="AD110" s="5" t="s">
        <v>315</v>
      </c>
      <c r="AE110" s="5" t="s">
        <v>311</v>
      </c>
      <c r="AF110" s="5" t="s">
        <v>316</v>
      </c>
      <c r="AG110" s="5" t="s">
        <v>0</v>
      </c>
      <c r="AH110" s="5" t="s">
        <v>18</v>
      </c>
      <c r="AI110" s="5" t="s">
        <v>12</v>
      </c>
      <c r="AJ110" s="5" t="s">
        <v>17</v>
      </c>
      <c r="AK110" s="5" t="s">
        <v>139</v>
      </c>
      <c r="AL110" s="5" t="s">
        <v>18</v>
      </c>
      <c r="AM110" s="6"/>
      <c r="AO110" s="5"/>
      <c r="AP110" s="5"/>
      <c r="AQ110" s="5"/>
      <c r="AR110" s="5"/>
      <c r="AS110" s="5"/>
      <c r="AU110" s="1547"/>
      <c r="AV110" s="35"/>
      <c r="AW110" s="36"/>
      <c r="AY110" s="34"/>
      <c r="AZ110" s="35"/>
      <c r="BA110" s="36"/>
      <c r="BC110" s="34"/>
      <c r="BD110" s="35"/>
      <c r="BE110" s="36"/>
      <c r="BG110" s="34"/>
      <c r="BH110" s="35"/>
      <c r="BI110" s="36"/>
      <c r="BK110" s="34"/>
      <c r="BL110" s="35"/>
      <c r="BM110" s="36"/>
      <c r="BO110" s="34"/>
      <c r="BP110" s="35"/>
      <c r="BQ110" s="36"/>
      <c r="BS110" s="1592"/>
      <c r="BT110" s="35"/>
      <c r="BU110" s="36"/>
      <c r="BW110" s="34"/>
      <c r="BX110" s="35"/>
      <c r="BY110" s="36"/>
      <c r="CA110" s="34"/>
      <c r="CB110" s="35"/>
      <c r="CC110" s="36"/>
      <c r="CE110" s="34"/>
      <c r="CF110" s="35"/>
      <c r="CG110" s="36"/>
      <c r="CI110" s="34"/>
      <c r="CJ110" s="35"/>
      <c r="CK110" s="36"/>
      <c r="CM110" s="34"/>
      <c r="CN110" s="35"/>
      <c r="CO110" s="36"/>
    </row>
    <row r="111" spans="1:93">
      <c r="A111" s="34"/>
      <c r="B111" s="35"/>
      <c r="C111" s="36"/>
      <c r="D111" s="37" t="str">
        <f>IF(C111&gt;=Mat!$E$71,"Material","No Mat")</f>
        <v>No Mat</v>
      </c>
      <c r="E111" s="834">
        <f>IF(C111&gt;=Mat!$E$71,C111/Mat!$E$71,0)</f>
        <v>0</v>
      </c>
      <c r="F111" s="895"/>
      <c r="G111" s="34"/>
      <c r="H111" s="35"/>
      <c r="I111" s="48"/>
      <c r="J111" s="36"/>
      <c r="L111" s="506"/>
      <c r="M111" s="506" t="s">
        <v>295</v>
      </c>
      <c r="N111" s="507">
        <f t="shared" si="14"/>
        <v>0</v>
      </c>
      <c r="O111" s="507">
        <f t="shared" si="15"/>
        <v>0</v>
      </c>
      <c r="P111" s="507">
        <f t="shared" si="16"/>
        <v>0</v>
      </c>
      <c r="Q111" s="507">
        <f t="shared" si="17"/>
        <v>0</v>
      </c>
      <c r="R111" s="507">
        <f t="shared" si="18"/>
        <v>0</v>
      </c>
      <c r="S111" s="507">
        <f t="shared" si="19"/>
        <v>0</v>
      </c>
      <c r="T111" s="507">
        <f t="shared" si="20"/>
        <v>0</v>
      </c>
      <c r="U111" s="507">
        <f t="shared" si="21"/>
        <v>0</v>
      </c>
      <c r="V111" s="507">
        <f t="shared" si="22"/>
        <v>0</v>
      </c>
      <c r="W111" s="507">
        <f t="shared" si="23"/>
        <v>0</v>
      </c>
      <c r="X111" s="507">
        <f t="shared" si="24"/>
        <v>0</v>
      </c>
      <c r="Y111" s="507">
        <f t="shared" si="25"/>
        <v>0</v>
      </c>
      <c r="Z111" s="11">
        <f t="shared" si="26"/>
        <v>0</v>
      </c>
      <c r="AC111" s="4">
        <v>210</v>
      </c>
      <c r="AD111" s="5" t="s">
        <v>317</v>
      </c>
      <c r="AE111" s="5" t="s">
        <v>311</v>
      </c>
      <c r="AF111" s="5" t="s">
        <v>318</v>
      </c>
      <c r="AG111" s="5" t="s">
        <v>0</v>
      </c>
      <c r="AH111" s="5" t="s">
        <v>18</v>
      </c>
      <c r="AI111" s="5" t="s">
        <v>12</v>
      </c>
      <c r="AJ111" s="5" t="s">
        <v>17</v>
      </c>
      <c r="AK111" s="5" t="s">
        <v>139</v>
      </c>
      <c r="AL111" s="5" t="s">
        <v>18</v>
      </c>
      <c r="AM111" s="6"/>
      <c r="AO111" s="5"/>
      <c r="AP111" s="5"/>
      <c r="AQ111" s="5"/>
      <c r="AR111" s="5"/>
      <c r="AS111" s="5"/>
      <c r="AU111" s="1547"/>
      <c r="AV111" s="35"/>
      <c r="AW111" s="36"/>
      <c r="AY111" s="34"/>
      <c r="AZ111" s="35"/>
      <c r="BA111" s="36"/>
      <c r="BC111" s="34"/>
      <c r="BD111" s="35"/>
      <c r="BE111" s="36"/>
      <c r="BG111" s="34"/>
      <c r="BH111" s="35"/>
      <c r="BI111" s="36"/>
      <c r="BK111" s="34"/>
      <c r="BL111" s="35"/>
      <c r="BM111" s="36"/>
      <c r="BO111" s="34"/>
      <c r="BP111" s="35"/>
      <c r="BQ111" s="36"/>
      <c r="BS111" s="1592"/>
      <c r="BT111" s="35"/>
      <c r="BU111" s="36"/>
      <c r="BW111" s="34"/>
      <c r="BX111" s="35"/>
      <c r="BY111" s="36"/>
      <c r="CA111" s="34"/>
      <c r="CB111" s="35"/>
      <c r="CC111" s="36"/>
      <c r="CE111" s="34"/>
      <c r="CF111" s="35"/>
      <c r="CG111" s="36"/>
      <c r="CI111" s="34"/>
      <c r="CJ111" s="35"/>
      <c r="CK111" s="36"/>
      <c r="CM111" s="34"/>
      <c r="CN111" s="35"/>
      <c r="CO111" s="36"/>
    </row>
    <row r="112" spans="1:93">
      <c r="A112" s="34"/>
      <c r="B112" s="35"/>
      <c r="C112" s="36"/>
      <c r="D112" s="37" t="str">
        <f>IF(C112&gt;=Mat!$E$71,"Material","No Mat")</f>
        <v>No Mat</v>
      </c>
      <c r="E112" s="834">
        <f>IF(C112&gt;=Mat!$E$71,C112/Mat!$E$71,0)</f>
        <v>0</v>
      </c>
      <c r="G112" s="34"/>
      <c r="H112" s="35"/>
      <c r="I112" s="48"/>
      <c r="J112" s="36"/>
      <c r="L112" s="506"/>
      <c r="M112" s="506" t="s">
        <v>910</v>
      </c>
      <c r="N112" s="507">
        <f t="shared" si="14"/>
        <v>0</v>
      </c>
      <c r="O112" s="507">
        <f t="shared" si="15"/>
        <v>0</v>
      </c>
      <c r="P112" s="507">
        <f t="shared" si="16"/>
        <v>0</v>
      </c>
      <c r="Q112" s="507">
        <f t="shared" si="17"/>
        <v>0</v>
      </c>
      <c r="R112" s="507">
        <f t="shared" si="18"/>
        <v>0</v>
      </c>
      <c r="S112" s="507">
        <f t="shared" si="19"/>
        <v>0</v>
      </c>
      <c r="T112" s="507">
        <f t="shared" si="20"/>
        <v>0</v>
      </c>
      <c r="U112" s="507">
        <f t="shared" si="21"/>
        <v>0</v>
      </c>
      <c r="V112" s="507">
        <f t="shared" si="22"/>
        <v>0</v>
      </c>
      <c r="W112" s="507">
        <f t="shared" si="23"/>
        <v>0</v>
      </c>
      <c r="X112" s="507">
        <f t="shared" si="24"/>
        <v>0</v>
      </c>
      <c r="Y112" s="507">
        <f t="shared" si="25"/>
        <v>0</v>
      </c>
      <c r="Z112" s="11">
        <f t="shared" si="26"/>
        <v>0</v>
      </c>
      <c r="AC112" s="4">
        <v>212</v>
      </c>
      <c r="AD112" s="5" t="s">
        <v>319</v>
      </c>
      <c r="AE112" s="5" t="s">
        <v>311</v>
      </c>
      <c r="AF112" s="5" t="s">
        <v>320</v>
      </c>
      <c r="AG112" s="5" t="s">
        <v>0</v>
      </c>
      <c r="AH112" s="5" t="s">
        <v>18</v>
      </c>
      <c r="AI112" s="5" t="s">
        <v>12</v>
      </c>
      <c r="AJ112" s="5" t="s">
        <v>17</v>
      </c>
      <c r="AK112" s="5" t="s">
        <v>139</v>
      </c>
      <c r="AL112" s="5" t="s">
        <v>18</v>
      </c>
      <c r="AM112" s="6"/>
      <c r="AO112" s="5"/>
      <c r="AP112" s="5"/>
      <c r="AQ112" s="5"/>
      <c r="AR112" s="5"/>
      <c r="AS112" s="5"/>
      <c r="AT112" s="11">
        <f>SUM(C88:C112)</f>
        <v>5664564.4300000006</v>
      </c>
      <c r="AU112" s="1547"/>
      <c r="AV112" s="35"/>
      <c r="AW112" s="36"/>
      <c r="AY112" s="34"/>
      <c r="AZ112" s="35"/>
      <c r="BA112" s="36"/>
      <c r="BC112" s="34"/>
      <c r="BD112" s="35"/>
      <c r="BE112" s="36"/>
      <c r="BG112" s="34"/>
      <c r="BH112" s="35"/>
      <c r="BI112" s="36"/>
      <c r="BK112" s="34"/>
      <c r="BL112" s="35"/>
      <c r="BM112" s="36"/>
      <c r="BO112" s="34"/>
      <c r="BP112" s="35"/>
      <c r="BQ112" s="36"/>
      <c r="BS112" s="1592"/>
      <c r="BT112" s="35"/>
      <c r="BU112" s="36"/>
      <c r="BW112" s="34"/>
      <c r="BX112" s="35"/>
      <c r="BY112" s="36"/>
      <c r="CA112" s="34"/>
      <c r="CB112" s="35"/>
      <c r="CC112" s="36"/>
      <c r="CE112" s="34"/>
      <c r="CF112" s="35"/>
      <c r="CG112" s="36"/>
      <c r="CI112" s="34"/>
      <c r="CJ112" s="35"/>
      <c r="CK112" s="36"/>
      <c r="CM112" s="34"/>
      <c r="CN112" s="35"/>
      <c r="CO112" s="36"/>
    </row>
    <row r="113" spans="1:93">
      <c r="A113" s="34"/>
      <c r="B113" s="35"/>
      <c r="C113" s="36"/>
      <c r="D113" s="37" t="str">
        <f>IF(C113&gt;=Mat!$E$71,"Material","No Mat")</f>
        <v>No Mat</v>
      </c>
      <c r="E113" s="834">
        <f>IF(C113&gt;=Mat!$E$71,C113/Mat!$E$71,0)</f>
        <v>0</v>
      </c>
      <c r="F113" s="895"/>
      <c r="G113" s="34"/>
      <c r="H113" s="35"/>
      <c r="I113" s="48"/>
      <c r="J113" s="36"/>
      <c r="L113" s="506"/>
      <c r="M113" s="506" t="s">
        <v>299</v>
      </c>
      <c r="N113" s="507">
        <f t="shared" si="14"/>
        <v>0</v>
      </c>
      <c r="O113" s="507">
        <f t="shared" si="15"/>
        <v>0</v>
      </c>
      <c r="P113" s="507">
        <f t="shared" si="16"/>
        <v>0</v>
      </c>
      <c r="Q113" s="507">
        <f t="shared" si="17"/>
        <v>0</v>
      </c>
      <c r="R113" s="507">
        <f t="shared" si="18"/>
        <v>0</v>
      </c>
      <c r="S113" s="507">
        <f t="shared" si="19"/>
        <v>0</v>
      </c>
      <c r="T113" s="507">
        <f t="shared" si="20"/>
        <v>0</v>
      </c>
      <c r="U113" s="507">
        <f t="shared" si="21"/>
        <v>0</v>
      </c>
      <c r="V113" s="507">
        <f t="shared" si="22"/>
        <v>0</v>
      </c>
      <c r="W113" s="507">
        <f t="shared" si="23"/>
        <v>0</v>
      </c>
      <c r="X113" s="507">
        <f t="shared" si="24"/>
        <v>0</v>
      </c>
      <c r="Y113" s="507">
        <f t="shared" si="25"/>
        <v>0</v>
      </c>
      <c r="Z113" s="11">
        <f t="shared" si="26"/>
        <v>0</v>
      </c>
      <c r="AC113" s="4">
        <v>214</v>
      </c>
      <c r="AD113" s="5" t="s">
        <v>323</v>
      </c>
      <c r="AE113" s="5" t="s">
        <v>321</v>
      </c>
      <c r="AF113" s="5" t="s">
        <v>324</v>
      </c>
      <c r="AG113" s="5" t="s">
        <v>0</v>
      </c>
      <c r="AH113" s="5" t="s">
        <v>18</v>
      </c>
      <c r="AI113" s="5" t="s">
        <v>12</v>
      </c>
      <c r="AJ113" s="5" t="s">
        <v>17</v>
      </c>
      <c r="AK113" s="5" t="s">
        <v>139</v>
      </c>
      <c r="AL113" s="5" t="s">
        <v>18</v>
      </c>
      <c r="AM113" s="6"/>
      <c r="AO113" s="5"/>
      <c r="AP113" s="5"/>
      <c r="AQ113" s="5"/>
      <c r="AR113" s="5"/>
      <c r="AS113" s="5"/>
      <c r="AT113" s="11">
        <f>AT112-ERF!B19</f>
        <v>1070779.7000000002</v>
      </c>
      <c r="AU113" s="1547"/>
      <c r="AV113" s="35"/>
      <c r="AW113" s="36"/>
      <c r="AY113" s="34"/>
      <c r="AZ113" s="35"/>
      <c r="BA113" s="36"/>
      <c r="BC113" s="34"/>
      <c r="BD113" s="35"/>
      <c r="BE113" s="36"/>
      <c r="BG113" s="34"/>
      <c r="BH113" s="35"/>
      <c r="BI113" s="36"/>
      <c r="BK113" s="34"/>
      <c r="BL113" s="35"/>
      <c r="BM113" s="36"/>
      <c r="BO113" s="34"/>
      <c r="BP113" s="35"/>
      <c r="BQ113" s="36"/>
      <c r="BS113" s="1592"/>
      <c r="BT113" s="35"/>
      <c r="BU113" s="36"/>
      <c r="BW113" s="34"/>
      <c r="BX113" s="35"/>
      <c r="BY113" s="36"/>
      <c r="CA113" s="34"/>
      <c r="CB113" s="35"/>
      <c r="CC113" s="36"/>
      <c r="CE113" s="34"/>
      <c r="CF113" s="35"/>
      <c r="CG113" s="36"/>
      <c r="CI113" s="34"/>
      <c r="CJ113" s="35"/>
      <c r="CK113" s="36"/>
      <c r="CM113" s="34"/>
      <c r="CN113" s="35"/>
      <c r="CO113" s="36"/>
    </row>
    <row r="114" spans="1:93">
      <c r="A114" s="34"/>
      <c r="B114" s="35"/>
      <c r="C114" s="36"/>
      <c r="D114" s="37" t="str">
        <f>IF(C114&gt;=Mat!$E$71,"Material","No Mat")</f>
        <v>No Mat</v>
      </c>
      <c r="E114" s="834">
        <f>IF(C114&gt;=Mat!$E$71,C114/Mat!$E$71,0)</f>
        <v>0</v>
      </c>
      <c r="F114" s="895"/>
      <c r="G114" s="34"/>
      <c r="H114" s="35"/>
      <c r="I114" s="48"/>
      <c r="J114" s="36"/>
      <c r="L114" s="506"/>
      <c r="M114" s="506" t="s">
        <v>297</v>
      </c>
      <c r="N114" s="507">
        <f t="shared" si="14"/>
        <v>0</v>
      </c>
      <c r="O114" s="507">
        <f t="shared" si="15"/>
        <v>0</v>
      </c>
      <c r="P114" s="507">
        <f t="shared" si="16"/>
        <v>0</v>
      </c>
      <c r="Q114" s="507">
        <f t="shared" si="17"/>
        <v>0</v>
      </c>
      <c r="R114" s="507">
        <f t="shared" si="18"/>
        <v>0</v>
      </c>
      <c r="S114" s="507">
        <f t="shared" si="19"/>
        <v>0</v>
      </c>
      <c r="T114" s="507">
        <f t="shared" si="20"/>
        <v>0</v>
      </c>
      <c r="U114" s="507">
        <f t="shared" si="21"/>
        <v>0</v>
      </c>
      <c r="V114" s="507">
        <f t="shared" si="22"/>
        <v>0</v>
      </c>
      <c r="W114" s="507">
        <f t="shared" si="23"/>
        <v>0</v>
      </c>
      <c r="X114" s="507">
        <f t="shared" si="24"/>
        <v>0</v>
      </c>
      <c r="Y114" s="507">
        <f t="shared" si="25"/>
        <v>0</v>
      </c>
      <c r="Z114" s="11">
        <f t="shared" si="26"/>
        <v>0</v>
      </c>
      <c r="AC114" s="4">
        <v>216</v>
      </c>
      <c r="AD114" s="5" t="s">
        <v>325</v>
      </c>
      <c r="AE114" s="5" t="s">
        <v>321</v>
      </c>
      <c r="AF114" s="5" t="s">
        <v>326</v>
      </c>
      <c r="AG114" s="5" t="s">
        <v>0</v>
      </c>
      <c r="AH114" s="5" t="s">
        <v>18</v>
      </c>
      <c r="AI114" s="5" t="s">
        <v>12</v>
      </c>
      <c r="AJ114" s="5" t="s">
        <v>17</v>
      </c>
      <c r="AK114" s="5" t="s">
        <v>139</v>
      </c>
      <c r="AL114" s="5" t="s">
        <v>18</v>
      </c>
      <c r="AM114" s="6"/>
      <c r="AO114" s="5"/>
      <c r="AP114" s="5"/>
      <c r="AQ114" s="5"/>
      <c r="AR114" s="5"/>
      <c r="AS114" s="5"/>
      <c r="AU114" s="1547"/>
      <c r="AV114" s="35"/>
      <c r="AW114" s="36"/>
      <c r="AY114" s="34"/>
      <c r="AZ114" s="35"/>
      <c r="BA114" s="36"/>
      <c r="BC114" s="34"/>
      <c r="BD114" s="35"/>
      <c r="BE114" s="36"/>
      <c r="BG114" s="34"/>
      <c r="BH114" s="35"/>
      <c r="BI114" s="36"/>
      <c r="BK114" s="34"/>
      <c r="BL114" s="35"/>
      <c r="BM114" s="36"/>
      <c r="BO114" s="34"/>
      <c r="BP114" s="35"/>
      <c r="BQ114" s="36"/>
      <c r="BS114" s="1592"/>
      <c r="BT114" s="35"/>
      <c r="BU114" s="36"/>
      <c r="BW114" s="34"/>
      <c r="BX114" s="35"/>
      <c r="BY114" s="36"/>
      <c r="CA114" s="34"/>
      <c r="CB114" s="35"/>
      <c r="CC114" s="36"/>
      <c r="CE114" s="34"/>
      <c r="CF114" s="35"/>
      <c r="CG114" s="36"/>
      <c r="CI114" s="34"/>
      <c r="CJ114" s="35"/>
      <c r="CK114" s="36"/>
      <c r="CM114" s="34"/>
      <c r="CN114" s="35"/>
      <c r="CO114" s="36"/>
    </row>
    <row r="115" spans="1:93">
      <c r="A115" s="34"/>
      <c r="B115" s="35"/>
      <c r="C115" s="36"/>
      <c r="D115" s="37" t="str">
        <f>IF(C115&gt;=Mat!$E$71,"Material","No Mat")</f>
        <v>No Mat</v>
      </c>
      <c r="E115" s="834">
        <f>IF(C115&gt;=Mat!$E$71,C115/Mat!$E$71,0)</f>
        <v>0</v>
      </c>
      <c r="G115" s="34"/>
      <c r="H115" s="35"/>
      <c r="I115" s="48"/>
      <c r="J115" s="36"/>
      <c r="L115" s="506"/>
      <c r="M115" s="506" t="s">
        <v>302</v>
      </c>
      <c r="N115" s="507">
        <f t="shared" si="14"/>
        <v>0</v>
      </c>
      <c r="O115" s="507">
        <f t="shared" si="15"/>
        <v>0</v>
      </c>
      <c r="P115" s="507">
        <f t="shared" si="16"/>
        <v>0</v>
      </c>
      <c r="Q115" s="507">
        <f t="shared" si="17"/>
        <v>0</v>
      </c>
      <c r="R115" s="507">
        <f t="shared" si="18"/>
        <v>0</v>
      </c>
      <c r="S115" s="507">
        <f t="shared" si="19"/>
        <v>0</v>
      </c>
      <c r="T115" s="507">
        <f t="shared" si="20"/>
        <v>0</v>
      </c>
      <c r="U115" s="507">
        <f t="shared" si="21"/>
        <v>0</v>
      </c>
      <c r="V115" s="507">
        <f t="shared" si="22"/>
        <v>0</v>
      </c>
      <c r="W115" s="507">
        <f t="shared" si="23"/>
        <v>0</v>
      </c>
      <c r="X115" s="507">
        <f t="shared" si="24"/>
        <v>0</v>
      </c>
      <c r="Y115" s="507">
        <f t="shared" si="25"/>
        <v>0</v>
      </c>
      <c r="Z115" s="11">
        <f t="shared" si="26"/>
        <v>0</v>
      </c>
      <c r="AC115" s="4">
        <v>218</v>
      </c>
      <c r="AD115" s="5" t="s">
        <v>327</v>
      </c>
      <c r="AE115" s="5" t="s">
        <v>321</v>
      </c>
      <c r="AF115" s="5" t="s">
        <v>328</v>
      </c>
      <c r="AG115" s="5" t="s">
        <v>0</v>
      </c>
      <c r="AH115" s="5" t="s">
        <v>18</v>
      </c>
      <c r="AI115" s="5" t="s">
        <v>12</v>
      </c>
      <c r="AJ115" s="5" t="s">
        <v>17</v>
      </c>
      <c r="AK115" s="5" t="s">
        <v>139</v>
      </c>
      <c r="AL115" s="5" t="s">
        <v>18</v>
      </c>
      <c r="AM115" s="6"/>
      <c r="AO115" s="5"/>
      <c r="AP115" s="5"/>
      <c r="AQ115" s="5"/>
      <c r="AR115" s="5"/>
      <c r="AS115" s="5"/>
      <c r="AU115" s="1547"/>
      <c r="AV115" s="35"/>
      <c r="AW115" s="36"/>
      <c r="AY115" s="34"/>
      <c r="AZ115" s="35"/>
      <c r="BA115" s="36"/>
      <c r="BC115" s="34"/>
      <c r="BD115" s="35"/>
      <c r="BE115" s="36"/>
      <c r="BG115" s="34"/>
      <c r="BH115" s="35"/>
      <c r="BI115" s="36"/>
      <c r="BK115" s="34"/>
      <c r="BL115" s="35"/>
      <c r="BM115" s="36"/>
      <c r="BO115" s="34"/>
      <c r="BP115" s="35"/>
      <c r="BQ115" s="36"/>
      <c r="BS115" s="1592"/>
      <c r="BT115" s="35"/>
      <c r="BU115" s="36"/>
      <c r="BW115" s="34"/>
      <c r="BX115" s="35"/>
      <c r="BY115" s="36"/>
      <c r="CA115" s="34"/>
      <c r="CB115" s="35"/>
      <c r="CC115" s="36"/>
      <c r="CE115" s="34"/>
      <c r="CF115" s="35"/>
      <c r="CG115" s="36"/>
      <c r="CI115" s="34"/>
      <c r="CJ115" s="35"/>
      <c r="CK115" s="36"/>
      <c r="CM115" s="34"/>
      <c r="CN115" s="35"/>
      <c r="CO115" s="36"/>
    </row>
    <row r="116" spans="1:93">
      <c r="A116" s="34"/>
      <c r="B116" s="35"/>
      <c r="C116" s="36"/>
      <c r="D116" s="37" t="str">
        <f>IF(C116&gt;=Mat!$E$71,"Material","No Mat")</f>
        <v>No Mat</v>
      </c>
      <c r="E116" s="834">
        <f>IF(C116&gt;=Mat!$E$71,C116/Mat!$E$71,0)</f>
        <v>0</v>
      </c>
      <c r="G116" s="34"/>
      <c r="H116" s="35"/>
      <c r="I116" s="48"/>
      <c r="J116" s="36"/>
      <c r="L116" s="506"/>
      <c r="M116" s="506" t="s">
        <v>306</v>
      </c>
      <c r="N116" s="507">
        <f t="shared" si="14"/>
        <v>0</v>
      </c>
      <c r="O116" s="507">
        <f t="shared" si="15"/>
        <v>0</v>
      </c>
      <c r="P116" s="507">
        <f t="shared" si="16"/>
        <v>0</v>
      </c>
      <c r="Q116" s="507">
        <f t="shared" si="17"/>
        <v>0</v>
      </c>
      <c r="R116" s="507">
        <f t="shared" si="18"/>
        <v>0</v>
      </c>
      <c r="S116" s="507">
        <f t="shared" si="19"/>
        <v>0</v>
      </c>
      <c r="T116" s="507">
        <f t="shared" si="20"/>
        <v>0</v>
      </c>
      <c r="U116" s="507">
        <f t="shared" si="21"/>
        <v>0</v>
      </c>
      <c r="V116" s="507">
        <f t="shared" si="22"/>
        <v>0</v>
      </c>
      <c r="W116" s="507">
        <f t="shared" si="23"/>
        <v>0</v>
      </c>
      <c r="X116" s="507">
        <f t="shared" si="24"/>
        <v>0</v>
      </c>
      <c r="Y116" s="507">
        <f t="shared" si="25"/>
        <v>0</v>
      </c>
      <c r="Z116" s="11">
        <f t="shared" si="26"/>
        <v>0</v>
      </c>
      <c r="AC116" s="4">
        <v>220</v>
      </c>
      <c r="AD116" s="5" t="s">
        <v>329</v>
      </c>
      <c r="AE116" s="5" t="s">
        <v>321</v>
      </c>
      <c r="AF116" s="5" t="s">
        <v>330</v>
      </c>
      <c r="AG116" s="5" t="s">
        <v>0</v>
      </c>
      <c r="AH116" s="5" t="s">
        <v>18</v>
      </c>
      <c r="AI116" s="5" t="s">
        <v>12</v>
      </c>
      <c r="AJ116" s="5" t="s">
        <v>17</v>
      </c>
      <c r="AK116" s="5" t="s">
        <v>139</v>
      </c>
      <c r="AL116" s="5" t="s">
        <v>18</v>
      </c>
      <c r="AM116" s="6"/>
      <c r="AO116" s="5"/>
      <c r="AP116" s="5"/>
      <c r="AQ116" s="5"/>
      <c r="AR116" s="5"/>
      <c r="AS116" s="5"/>
      <c r="AT116" s="11">
        <f>SUM(C68:C117)</f>
        <v>32248280.319999993</v>
      </c>
      <c r="AU116" s="1547"/>
      <c r="AV116" s="35"/>
      <c r="AW116" s="36"/>
      <c r="AY116" s="34"/>
      <c r="AZ116" s="35"/>
      <c r="BA116" s="36"/>
      <c r="BC116" s="34"/>
      <c r="BD116" s="35"/>
      <c r="BE116" s="36"/>
      <c r="BG116" s="34"/>
      <c r="BH116" s="35"/>
      <c r="BI116" s="36"/>
      <c r="BK116" s="34"/>
      <c r="BL116" s="35"/>
      <c r="BM116" s="36"/>
      <c r="BO116" s="34"/>
      <c r="BP116" s="35"/>
      <c r="BQ116" s="36"/>
      <c r="BS116" s="1592"/>
      <c r="BT116" s="35"/>
      <c r="BU116" s="36"/>
      <c r="BW116" s="34"/>
      <c r="BX116" s="35"/>
      <c r="BY116" s="36"/>
      <c r="CA116" s="34"/>
      <c r="CB116" s="35"/>
      <c r="CC116" s="36"/>
      <c r="CE116" s="34"/>
      <c r="CF116" s="35"/>
      <c r="CG116" s="36"/>
      <c r="CI116" s="34"/>
      <c r="CJ116" s="35"/>
      <c r="CK116" s="36"/>
      <c r="CM116" s="34"/>
      <c r="CN116" s="35"/>
      <c r="CO116" s="36"/>
    </row>
    <row r="117" spans="1:93">
      <c r="A117" s="34"/>
      <c r="B117" s="35"/>
      <c r="C117" s="36"/>
      <c r="D117" s="37" t="str">
        <f>IF(C117&gt;=Mat!$E$71,"Material","No Mat")</f>
        <v>No Mat</v>
      </c>
      <c r="E117" s="834">
        <f>IF(C117&gt;=Mat!$E$71,C117/Mat!$E$71,0)</f>
        <v>0</v>
      </c>
      <c r="G117" s="34"/>
      <c r="H117" s="35"/>
      <c r="I117" s="48"/>
      <c r="J117" s="36"/>
      <c r="L117" s="506"/>
      <c r="M117" s="506" t="s">
        <v>308</v>
      </c>
      <c r="N117" s="507">
        <f t="shared" si="14"/>
        <v>0</v>
      </c>
      <c r="O117" s="507">
        <f t="shared" si="15"/>
        <v>0</v>
      </c>
      <c r="P117" s="507">
        <f t="shared" si="16"/>
        <v>0</v>
      </c>
      <c r="Q117" s="507">
        <f t="shared" si="17"/>
        <v>0</v>
      </c>
      <c r="R117" s="507">
        <f t="shared" si="18"/>
        <v>0</v>
      </c>
      <c r="S117" s="507">
        <f t="shared" si="19"/>
        <v>0</v>
      </c>
      <c r="T117" s="507">
        <f t="shared" si="20"/>
        <v>0</v>
      </c>
      <c r="U117" s="507">
        <f t="shared" si="21"/>
        <v>0</v>
      </c>
      <c r="V117" s="507">
        <f t="shared" si="22"/>
        <v>0</v>
      </c>
      <c r="W117" s="507">
        <f t="shared" si="23"/>
        <v>0</v>
      </c>
      <c r="X117" s="507">
        <f t="shared" si="24"/>
        <v>0</v>
      </c>
      <c r="Y117" s="507">
        <f t="shared" si="25"/>
        <v>0</v>
      </c>
      <c r="Z117" s="11">
        <f t="shared" si="26"/>
        <v>0</v>
      </c>
      <c r="AC117" s="4">
        <v>222</v>
      </c>
      <c r="AD117" s="5" t="s">
        <v>331</v>
      </c>
      <c r="AE117" s="5" t="s">
        <v>321</v>
      </c>
      <c r="AF117" s="5" t="s">
        <v>332</v>
      </c>
      <c r="AG117" s="5" t="s">
        <v>0</v>
      </c>
      <c r="AH117" s="5" t="s">
        <v>18</v>
      </c>
      <c r="AI117" s="5" t="s">
        <v>12</v>
      </c>
      <c r="AJ117" s="5" t="s">
        <v>17</v>
      </c>
      <c r="AK117" s="5" t="s">
        <v>139</v>
      </c>
      <c r="AL117" s="5" t="s">
        <v>18</v>
      </c>
      <c r="AM117" s="6"/>
      <c r="AO117" s="5"/>
      <c r="AP117" s="5"/>
      <c r="AQ117" s="5"/>
      <c r="AR117" s="5"/>
      <c r="AS117" s="5"/>
      <c r="AT117" s="11">
        <f>+AT116-ERF!B24</f>
        <v>-38446877.160000011</v>
      </c>
      <c r="AU117" s="1547"/>
      <c r="AV117" s="35"/>
      <c r="AW117" s="36"/>
      <c r="AY117" s="34"/>
      <c r="AZ117" s="35"/>
      <c r="BA117" s="36"/>
      <c r="BC117" s="34"/>
      <c r="BD117" s="35"/>
      <c r="BE117" s="36"/>
      <c r="BG117" s="34"/>
      <c r="BH117" s="35"/>
      <c r="BI117" s="36"/>
      <c r="BK117" s="34"/>
      <c r="BL117" s="35"/>
      <c r="BM117" s="36"/>
      <c r="BO117" s="34"/>
      <c r="BP117" s="35"/>
      <c r="BQ117" s="36"/>
      <c r="BS117" s="1592"/>
      <c r="BT117" s="35"/>
      <c r="BU117" s="36"/>
      <c r="BW117" s="34"/>
      <c r="BX117" s="35"/>
      <c r="BY117" s="36"/>
      <c r="CA117" s="34"/>
      <c r="CB117" s="35"/>
      <c r="CC117" s="36"/>
      <c r="CE117" s="34"/>
      <c r="CF117" s="35"/>
      <c r="CG117" s="36"/>
      <c r="CI117" s="34"/>
      <c r="CJ117" s="35"/>
      <c r="CK117" s="36"/>
      <c r="CM117" s="34"/>
      <c r="CN117" s="35"/>
      <c r="CO117" s="36"/>
    </row>
    <row r="118" spans="1:93">
      <c r="A118" s="34"/>
      <c r="B118" s="35"/>
      <c r="C118" s="36"/>
      <c r="D118" s="37" t="str">
        <f>IF(C118&gt;=Mat!$E$71,"Material","No Mat")</f>
        <v>No Mat</v>
      </c>
      <c r="E118" s="834">
        <f>IF(C118&gt;=Mat!$E$71,C118/Mat!$E$71,0)</f>
        <v>0</v>
      </c>
      <c r="F118" s="895"/>
      <c r="G118" s="34"/>
      <c r="H118" s="35"/>
      <c r="I118" s="48"/>
      <c r="J118" s="36"/>
      <c r="L118" s="506"/>
      <c r="M118" s="506" t="s">
        <v>310</v>
      </c>
      <c r="N118" s="507">
        <f t="shared" si="14"/>
        <v>0</v>
      </c>
      <c r="O118" s="507">
        <f t="shared" si="15"/>
        <v>0</v>
      </c>
      <c r="P118" s="507">
        <f t="shared" si="16"/>
        <v>0</v>
      </c>
      <c r="Q118" s="507">
        <f t="shared" si="17"/>
        <v>0</v>
      </c>
      <c r="R118" s="507">
        <f t="shared" si="18"/>
        <v>0</v>
      </c>
      <c r="S118" s="507">
        <f t="shared" si="19"/>
        <v>0</v>
      </c>
      <c r="T118" s="507">
        <f t="shared" si="20"/>
        <v>0</v>
      </c>
      <c r="U118" s="507">
        <f t="shared" si="21"/>
        <v>0</v>
      </c>
      <c r="V118" s="507">
        <f t="shared" si="22"/>
        <v>0</v>
      </c>
      <c r="W118" s="507">
        <f t="shared" si="23"/>
        <v>0</v>
      </c>
      <c r="X118" s="507">
        <f t="shared" si="24"/>
        <v>0</v>
      </c>
      <c r="Y118" s="507">
        <f t="shared" si="25"/>
        <v>0</v>
      </c>
      <c r="Z118" s="11">
        <f t="shared" si="26"/>
        <v>0</v>
      </c>
      <c r="AC118" s="4">
        <v>224</v>
      </c>
      <c r="AD118" s="5" t="s">
        <v>333</v>
      </c>
      <c r="AE118" s="5" t="s">
        <v>321</v>
      </c>
      <c r="AF118" s="5" t="s">
        <v>334</v>
      </c>
      <c r="AG118" s="5" t="s">
        <v>0</v>
      </c>
      <c r="AH118" s="5" t="s">
        <v>18</v>
      </c>
      <c r="AI118" s="5" t="s">
        <v>12</v>
      </c>
      <c r="AJ118" s="5" t="s">
        <v>17</v>
      </c>
      <c r="AK118" s="5" t="s">
        <v>139</v>
      </c>
      <c r="AL118" s="5" t="s">
        <v>18</v>
      </c>
      <c r="AM118" s="6"/>
      <c r="AO118" s="5"/>
      <c r="AP118" s="5"/>
      <c r="AQ118" s="5"/>
      <c r="AR118" s="5"/>
      <c r="AS118" s="5"/>
      <c r="AU118" s="1547"/>
      <c r="AV118" s="35"/>
      <c r="AW118" s="36"/>
      <c r="AY118" s="34"/>
      <c r="AZ118" s="35"/>
      <c r="BA118" s="36"/>
      <c r="BC118" s="34"/>
      <c r="BD118" s="35"/>
      <c r="BE118" s="36"/>
      <c r="BG118" s="34"/>
      <c r="BH118" s="35"/>
      <c r="BI118" s="36"/>
      <c r="BK118" s="34"/>
      <c r="BL118" s="35"/>
      <c r="BM118" s="36"/>
      <c r="BO118" s="34"/>
      <c r="BP118" s="35"/>
      <c r="BQ118" s="36"/>
      <c r="BS118" s="1592"/>
      <c r="BT118" s="35"/>
      <c r="BU118" s="36"/>
      <c r="BW118" s="34"/>
      <c r="BX118" s="35"/>
      <c r="BY118" s="36"/>
      <c r="CA118" s="34"/>
      <c r="CB118" s="35"/>
      <c r="CC118" s="36"/>
      <c r="CE118" s="34"/>
      <c r="CF118" s="35"/>
      <c r="CG118" s="36"/>
      <c r="CI118" s="34"/>
      <c r="CJ118" s="35"/>
      <c r="CK118" s="36"/>
      <c r="CM118" s="34"/>
      <c r="CN118" s="35"/>
      <c r="CO118" s="36"/>
    </row>
    <row r="119" spans="1:93">
      <c r="A119" s="34"/>
      <c r="B119" s="35"/>
      <c r="C119" s="36"/>
      <c r="D119" s="37" t="str">
        <f>IF(C119&gt;=Mat!$E$71,"Material","No Mat")</f>
        <v>No Mat</v>
      </c>
      <c r="E119" s="834">
        <f>IF(C119&gt;=Mat!$E$71,C119/Mat!$E$71,0)</f>
        <v>0</v>
      </c>
      <c r="F119" s="895"/>
      <c r="G119" s="34"/>
      <c r="H119" s="35"/>
      <c r="I119" s="48"/>
      <c r="J119" s="36"/>
      <c r="L119" s="506"/>
      <c r="M119" s="506" t="s">
        <v>314</v>
      </c>
      <c r="N119" s="507">
        <f t="shared" si="14"/>
        <v>0</v>
      </c>
      <c r="O119" s="507">
        <f t="shared" si="15"/>
        <v>0</v>
      </c>
      <c r="P119" s="507">
        <f t="shared" si="16"/>
        <v>0</v>
      </c>
      <c r="Q119" s="507">
        <f t="shared" si="17"/>
        <v>0</v>
      </c>
      <c r="R119" s="507">
        <f t="shared" si="18"/>
        <v>0</v>
      </c>
      <c r="S119" s="507">
        <f t="shared" si="19"/>
        <v>0</v>
      </c>
      <c r="T119" s="507">
        <f t="shared" si="20"/>
        <v>0</v>
      </c>
      <c r="U119" s="507">
        <f t="shared" si="21"/>
        <v>0</v>
      </c>
      <c r="V119" s="507">
        <f t="shared" si="22"/>
        <v>0</v>
      </c>
      <c r="W119" s="507">
        <f t="shared" si="23"/>
        <v>0</v>
      </c>
      <c r="X119" s="507">
        <f t="shared" si="24"/>
        <v>0</v>
      </c>
      <c r="Y119" s="507">
        <f t="shared" si="25"/>
        <v>0</v>
      </c>
      <c r="Z119" s="11">
        <f t="shared" si="26"/>
        <v>0</v>
      </c>
      <c r="AC119" s="4">
        <v>226</v>
      </c>
      <c r="AD119" s="5" t="s">
        <v>335</v>
      </c>
      <c r="AE119" s="5" t="s">
        <v>321</v>
      </c>
      <c r="AF119" s="5" t="s">
        <v>336</v>
      </c>
      <c r="AG119" s="5" t="s">
        <v>0</v>
      </c>
      <c r="AH119" s="5" t="s">
        <v>18</v>
      </c>
      <c r="AI119" s="5" t="s">
        <v>12</v>
      </c>
      <c r="AJ119" s="5" t="s">
        <v>17</v>
      </c>
      <c r="AK119" s="5" t="s">
        <v>139</v>
      </c>
      <c r="AL119" s="5" t="s">
        <v>18</v>
      </c>
      <c r="AM119" s="6"/>
      <c r="AO119" s="5"/>
      <c r="AP119" s="5"/>
      <c r="AQ119" s="5"/>
      <c r="AR119" s="5"/>
      <c r="AS119" s="5"/>
      <c r="AU119" s="1547"/>
      <c r="AV119" s="35"/>
      <c r="AW119" s="36"/>
      <c r="AY119" s="34"/>
      <c r="AZ119" s="35"/>
      <c r="BA119" s="36"/>
      <c r="BC119" s="34"/>
      <c r="BD119" s="35"/>
      <c r="BE119" s="36"/>
      <c r="BG119" s="34"/>
      <c r="BH119" s="35"/>
      <c r="BI119" s="36"/>
      <c r="BK119" s="34"/>
      <c r="BL119" s="35"/>
      <c r="BM119" s="36"/>
      <c r="BO119" s="34"/>
      <c r="BP119" s="35"/>
      <c r="BQ119" s="36"/>
      <c r="BS119" s="1592"/>
      <c r="BT119" s="35"/>
      <c r="BU119" s="36"/>
      <c r="BW119" s="34"/>
      <c r="BX119" s="35"/>
      <c r="BY119" s="36"/>
      <c r="CA119" s="34"/>
      <c r="CB119" s="35"/>
      <c r="CC119" s="36"/>
      <c r="CE119" s="34"/>
      <c r="CF119" s="35"/>
      <c r="CG119" s="36"/>
      <c r="CI119" s="34"/>
      <c r="CJ119" s="35"/>
      <c r="CK119" s="36"/>
      <c r="CM119" s="34"/>
      <c r="CN119" s="35"/>
      <c r="CO119" s="36"/>
    </row>
    <row r="120" spans="1:93">
      <c r="A120" s="34"/>
      <c r="B120" s="35"/>
      <c r="C120" s="36"/>
      <c r="D120" s="37" t="str">
        <f>IF(C120&gt;=Mat!$E$71,"Material","No Mat")</f>
        <v>No Mat</v>
      </c>
      <c r="E120" s="834">
        <f>IF(C120&gt;=Mat!$E$71,C120/Mat!$E$71,0)</f>
        <v>0</v>
      </c>
      <c r="F120" s="1754"/>
      <c r="G120" s="34"/>
      <c r="H120" s="35"/>
      <c r="I120" s="48"/>
      <c r="J120" s="36"/>
      <c r="L120" s="506"/>
      <c r="M120" s="506" t="s">
        <v>316</v>
      </c>
      <c r="N120" s="507">
        <f t="shared" si="14"/>
        <v>0</v>
      </c>
      <c r="O120" s="507">
        <f t="shared" si="15"/>
        <v>0</v>
      </c>
      <c r="P120" s="507">
        <f t="shared" si="16"/>
        <v>0</v>
      </c>
      <c r="Q120" s="507">
        <f t="shared" si="17"/>
        <v>0</v>
      </c>
      <c r="R120" s="507">
        <f t="shared" si="18"/>
        <v>0</v>
      </c>
      <c r="S120" s="507">
        <f t="shared" si="19"/>
        <v>0</v>
      </c>
      <c r="T120" s="507">
        <f t="shared" si="20"/>
        <v>0</v>
      </c>
      <c r="U120" s="507">
        <f t="shared" si="21"/>
        <v>0</v>
      </c>
      <c r="V120" s="507">
        <f t="shared" si="22"/>
        <v>0</v>
      </c>
      <c r="W120" s="507">
        <f t="shared" si="23"/>
        <v>0</v>
      </c>
      <c r="X120" s="507">
        <f t="shared" si="24"/>
        <v>0</v>
      </c>
      <c r="Y120" s="507">
        <f t="shared" si="25"/>
        <v>0</v>
      </c>
      <c r="Z120" s="11">
        <f t="shared" si="26"/>
        <v>0</v>
      </c>
      <c r="AC120" s="4">
        <v>228</v>
      </c>
      <c r="AD120" s="5" t="s">
        <v>337</v>
      </c>
      <c r="AE120" s="5" t="s">
        <v>321</v>
      </c>
      <c r="AF120" s="5" t="s">
        <v>338</v>
      </c>
      <c r="AG120" s="5" t="s">
        <v>0</v>
      </c>
      <c r="AH120" s="5" t="s">
        <v>18</v>
      </c>
      <c r="AI120" s="5" t="s">
        <v>12</v>
      </c>
      <c r="AJ120" s="5" t="s">
        <v>17</v>
      </c>
      <c r="AK120" s="5" t="s">
        <v>139</v>
      </c>
      <c r="AL120" s="5" t="s">
        <v>18</v>
      </c>
      <c r="AM120" s="6"/>
      <c r="AO120" s="5"/>
      <c r="AP120" s="5"/>
      <c r="AQ120" s="5"/>
      <c r="AR120" s="5"/>
      <c r="AS120" s="5"/>
      <c r="AU120" s="1547"/>
      <c r="AV120" s="35"/>
      <c r="AW120" s="36"/>
      <c r="AY120" s="34"/>
      <c r="AZ120" s="35"/>
      <c r="BA120" s="36"/>
      <c r="BC120" s="34"/>
      <c r="BD120" s="35"/>
      <c r="BE120" s="36"/>
      <c r="BG120" s="34"/>
      <c r="BH120" s="35"/>
      <c r="BI120" s="36"/>
      <c r="BK120" s="34"/>
      <c r="BL120" s="35"/>
      <c r="BM120" s="36"/>
      <c r="BO120" s="34"/>
      <c r="BP120" s="35"/>
      <c r="BQ120" s="36"/>
      <c r="BS120" s="1592"/>
      <c r="BT120" s="35"/>
      <c r="BU120" s="36"/>
      <c r="BW120" s="34"/>
      <c r="BX120" s="35"/>
      <c r="BY120" s="36"/>
      <c r="CA120" s="34"/>
      <c r="CB120" s="35"/>
      <c r="CC120" s="36"/>
      <c r="CE120" s="34"/>
      <c r="CF120" s="35"/>
      <c r="CG120" s="36"/>
      <c r="CI120" s="34"/>
      <c r="CJ120" s="35"/>
      <c r="CK120" s="36"/>
      <c r="CM120" s="34"/>
      <c r="CN120" s="35"/>
      <c r="CO120" s="36"/>
    </row>
    <row r="121" spans="1:93">
      <c r="A121" s="34"/>
      <c r="B121" s="35"/>
      <c r="C121" s="36"/>
      <c r="D121" s="37" t="str">
        <f>IF(C121&gt;=Mat!$E$71,"Material","No Mat")</f>
        <v>No Mat</v>
      </c>
      <c r="E121" s="834">
        <f>IF(C121&gt;=Mat!$E$71,C121/Mat!$E$71,0)</f>
        <v>0</v>
      </c>
      <c r="F121" s="895"/>
      <c r="G121" s="34"/>
      <c r="H121" s="35"/>
      <c r="I121" s="48"/>
      <c r="J121" s="36"/>
      <c r="L121" s="506"/>
      <c r="M121" s="506" t="s">
        <v>318</v>
      </c>
      <c r="N121" s="507">
        <f t="shared" si="14"/>
        <v>0</v>
      </c>
      <c r="O121" s="507">
        <f t="shared" si="15"/>
        <v>0</v>
      </c>
      <c r="P121" s="507">
        <f t="shared" si="16"/>
        <v>0</v>
      </c>
      <c r="Q121" s="507">
        <f t="shared" si="17"/>
        <v>0</v>
      </c>
      <c r="R121" s="507">
        <f t="shared" si="18"/>
        <v>0</v>
      </c>
      <c r="S121" s="507">
        <f t="shared" si="19"/>
        <v>0</v>
      </c>
      <c r="T121" s="507">
        <f t="shared" si="20"/>
        <v>0</v>
      </c>
      <c r="U121" s="507">
        <f t="shared" si="21"/>
        <v>0</v>
      </c>
      <c r="V121" s="507">
        <f t="shared" si="22"/>
        <v>0</v>
      </c>
      <c r="W121" s="507">
        <f t="shared" si="23"/>
        <v>0</v>
      </c>
      <c r="X121" s="507">
        <f t="shared" si="24"/>
        <v>0</v>
      </c>
      <c r="Y121" s="507">
        <f t="shared" si="25"/>
        <v>0</v>
      </c>
      <c r="Z121" s="11">
        <f t="shared" si="26"/>
        <v>0</v>
      </c>
      <c r="AC121" s="4">
        <v>230</v>
      </c>
      <c r="AD121" s="5" t="s">
        <v>339</v>
      </c>
      <c r="AE121" s="5" t="s">
        <v>321</v>
      </c>
      <c r="AF121" s="5" t="s">
        <v>340</v>
      </c>
      <c r="AG121" s="5" t="s">
        <v>0</v>
      </c>
      <c r="AH121" s="5" t="s">
        <v>18</v>
      </c>
      <c r="AI121" s="5" t="s">
        <v>12</v>
      </c>
      <c r="AJ121" s="5" t="s">
        <v>17</v>
      </c>
      <c r="AK121" s="5" t="s">
        <v>139</v>
      </c>
      <c r="AL121" s="5" t="s">
        <v>18</v>
      </c>
      <c r="AM121" s="6"/>
      <c r="AO121" s="5"/>
      <c r="AP121" s="5"/>
      <c r="AQ121" s="5"/>
      <c r="AR121" s="5"/>
      <c r="AS121" s="5"/>
      <c r="AU121" s="1547"/>
      <c r="AV121" s="35"/>
      <c r="AW121" s="36"/>
      <c r="AY121" s="34"/>
      <c r="AZ121" s="35"/>
      <c r="BA121" s="36"/>
      <c r="BC121" s="34"/>
      <c r="BD121" s="35"/>
      <c r="BE121" s="36"/>
      <c r="BG121" s="34"/>
      <c r="BH121" s="35"/>
      <c r="BI121" s="36"/>
      <c r="BK121" s="34"/>
      <c r="BL121" s="35"/>
      <c r="BM121" s="36"/>
      <c r="BO121" s="34"/>
      <c r="BP121" s="35"/>
      <c r="BQ121" s="36"/>
      <c r="BS121" s="1592"/>
      <c r="BT121" s="35"/>
      <c r="BU121" s="36"/>
      <c r="BW121" s="34"/>
      <c r="BX121" s="35"/>
      <c r="BY121" s="36"/>
      <c r="CA121" s="34"/>
      <c r="CB121" s="35"/>
      <c r="CC121" s="36"/>
      <c r="CE121" s="34"/>
      <c r="CF121" s="35"/>
      <c r="CG121" s="36"/>
      <c r="CI121" s="34"/>
      <c r="CJ121" s="35"/>
      <c r="CK121" s="36"/>
      <c r="CM121" s="34"/>
      <c r="CN121" s="35"/>
      <c r="CO121" s="36"/>
    </row>
    <row r="122" spans="1:93">
      <c r="A122" s="34"/>
      <c r="B122" s="35"/>
      <c r="C122" s="36"/>
      <c r="D122" s="37" t="str">
        <f>IF(C122&gt;=Mat!$E$71,"Material","No Mat")</f>
        <v>No Mat</v>
      </c>
      <c r="E122" s="834">
        <f>IF(C122&gt;=Mat!$E$71,C122/Mat!$E$71,0)</f>
        <v>0</v>
      </c>
      <c r="F122" s="895"/>
      <c r="G122" s="34"/>
      <c r="H122" s="35"/>
      <c r="I122" s="48"/>
      <c r="J122" s="36"/>
      <c r="L122" s="506"/>
      <c r="M122" s="506" t="s">
        <v>320</v>
      </c>
      <c r="N122" s="507">
        <f t="shared" si="14"/>
        <v>0</v>
      </c>
      <c r="O122" s="507">
        <f t="shared" si="15"/>
        <v>0</v>
      </c>
      <c r="P122" s="507">
        <f t="shared" si="16"/>
        <v>0</v>
      </c>
      <c r="Q122" s="507">
        <f t="shared" si="17"/>
        <v>0</v>
      </c>
      <c r="R122" s="507">
        <f t="shared" si="18"/>
        <v>0</v>
      </c>
      <c r="S122" s="507">
        <f t="shared" si="19"/>
        <v>0</v>
      </c>
      <c r="T122" s="507">
        <f t="shared" si="20"/>
        <v>0</v>
      </c>
      <c r="U122" s="507">
        <f t="shared" si="21"/>
        <v>0</v>
      </c>
      <c r="V122" s="507">
        <f t="shared" si="22"/>
        <v>0</v>
      </c>
      <c r="W122" s="507">
        <f t="shared" si="23"/>
        <v>0</v>
      </c>
      <c r="X122" s="507">
        <f t="shared" si="24"/>
        <v>0</v>
      </c>
      <c r="Y122" s="507">
        <f t="shared" si="25"/>
        <v>0</v>
      </c>
      <c r="Z122" s="11">
        <f t="shared" si="26"/>
        <v>0</v>
      </c>
      <c r="AC122" s="4">
        <v>232</v>
      </c>
      <c r="AD122" s="5" t="s">
        <v>341</v>
      </c>
      <c r="AE122" s="5" t="s">
        <v>321</v>
      </c>
      <c r="AF122" s="5" t="s">
        <v>342</v>
      </c>
      <c r="AG122" s="5" t="s">
        <v>0</v>
      </c>
      <c r="AH122" s="5" t="s">
        <v>18</v>
      </c>
      <c r="AI122" s="5" t="s">
        <v>12</v>
      </c>
      <c r="AJ122" s="5" t="s">
        <v>17</v>
      </c>
      <c r="AK122" s="5" t="s">
        <v>139</v>
      </c>
      <c r="AL122" s="5" t="s">
        <v>18</v>
      </c>
      <c r="AM122" s="6"/>
      <c r="AO122" s="5"/>
      <c r="AP122" s="5"/>
      <c r="AQ122" s="5"/>
      <c r="AR122" s="5"/>
      <c r="AS122" s="5"/>
      <c r="AU122" s="1547"/>
      <c r="AV122" s="35"/>
      <c r="AW122" s="36"/>
      <c r="AY122" s="34"/>
      <c r="AZ122" s="35"/>
      <c r="BA122" s="36"/>
      <c r="BC122" s="34"/>
      <c r="BD122" s="35"/>
      <c r="BE122" s="36"/>
      <c r="BG122" s="34"/>
      <c r="BH122" s="35"/>
      <c r="BI122" s="36"/>
      <c r="BK122" s="34"/>
      <c r="BL122" s="35"/>
      <c r="BM122" s="36"/>
      <c r="BO122" s="34"/>
      <c r="BP122" s="35"/>
      <c r="BQ122" s="36"/>
      <c r="BS122" s="1592"/>
      <c r="BT122" s="35"/>
      <c r="BU122" s="36"/>
      <c r="BW122" s="34"/>
      <c r="BX122" s="35"/>
      <c r="BY122" s="36"/>
      <c r="CA122" s="34"/>
      <c r="CB122" s="35"/>
      <c r="CC122" s="36"/>
      <c r="CE122" s="34"/>
      <c r="CF122" s="35"/>
      <c r="CG122" s="36"/>
      <c r="CI122" s="34"/>
      <c r="CJ122" s="35"/>
      <c r="CK122" s="36"/>
      <c r="CM122" s="34"/>
      <c r="CN122" s="35"/>
      <c r="CO122" s="36"/>
    </row>
    <row r="123" spans="1:93">
      <c r="A123" s="34"/>
      <c r="B123" s="35"/>
      <c r="C123" s="36"/>
      <c r="D123" s="37" t="str">
        <f>IF(C123&gt;=Mat!$E$71,"Material","No Mat")</f>
        <v>No Mat</v>
      </c>
      <c r="E123" s="834">
        <f>IF(C123&gt;=Mat!$E$71,C123/Mat!$E$71,0)</f>
        <v>0</v>
      </c>
      <c r="F123" s="895"/>
      <c r="G123" s="34"/>
      <c r="H123" s="35"/>
      <c r="I123" s="48"/>
      <c r="J123" s="36"/>
      <c r="L123" s="506"/>
      <c r="M123" s="506" t="s">
        <v>324</v>
      </c>
      <c r="N123" s="507">
        <f t="shared" si="14"/>
        <v>0</v>
      </c>
      <c r="O123" s="507">
        <f t="shared" si="15"/>
        <v>0</v>
      </c>
      <c r="P123" s="507">
        <f t="shared" si="16"/>
        <v>0</v>
      </c>
      <c r="Q123" s="507">
        <f t="shared" si="17"/>
        <v>0</v>
      </c>
      <c r="R123" s="507">
        <f t="shared" si="18"/>
        <v>0</v>
      </c>
      <c r="S123" s="507">
        <f t="shared" si="19"/>
        <v>0</v>
      </c>
      <c r="T123" s="507">
        <f t="shared" si="20"/>
        <v>0</v>
      </c>
      <c r="U123" s="507">
        <f t="shared" si="21"/>
        <v>0</v>
      </c>
      <c r="V123" s="507">
        <f t="shared" si="22"/>
        <v>0</v>
      </c>
      <c r="W123" s="507">
        <f t="shared" si="23"/>
        <v>0</v>
      </c>
      <c r="X123" s="507">
        <f t="shared" si="24"/>
        <v>0</v>
      </c>
      <c r="Y123" s="507">
        <f t="shared" si="25"/>
        <v>0</v>
      </c>
      <c r="Z123" s="11">
        <f t="shared" si="26"/>
        <v>0</v>
      </c>
      <c r="AC123" s="4">
        <v>234</v>
      </c>
      <c r="AD123" s="5" t="s">
        <v>343</v>
      </c>
      <c r="AE123" s="5" t="s">
        <v>225</v>
      </c>
      <c r="AF123" s="5" t="s">
        <v>344</v>
      </c>
      <c r="AG123" s="5" t="s">
        <v>0</v>
      </c>
      <c r="AH123" s="5" t="s">
        <v>18</v>
      </c>
      <c r="AI123" s="5" t="s">
        <v>12</v>
      </c>
      <c r="AJ123" s="5" t="s">
        <v>17</v>
      </c>
      <c r="AK123" s="5" t="s">
        <v>139</v>
      </c>
      <c r="AL123" s="5" t="s">
        <v>18</v>
      </c>
      <c r="AM123" s="6"/>
      <c r="AO123" s="5"/>
      <c r="AP123" s="5"/>
      <c r="AQ123" s="5"/>
      <c r="AR123" s="5"/>
      <c r="AS123" s="5"/>
      <c r="AU123" s="1547"/>
      <c r="AV123" s="35"/>
      <c r="AW123" s="36"/>
      <c r="AY123" s="34"/>
      <c r="AZ123" s="35"/>
      <c r="BA123" s="36"/>
      <c r="BC123" s="34"/>
      <c r="BD123" s="35"/>
      <c r="BE123" s="36"/>
      <c r="BG123" s="34"/>
      <c r="BH123" s="35"/>
      <c r="BI123" s="36"/>
      <c r="BK123" s="34"/>
      <c r="BL123" s="35"/>
      <c r="BM123" s="36"/>
      <c r="BO123" s="34"/>
      <c r="BP123" s="35"/>
      <c r="BQ123" s="36"/>
      <c r="BS123" s="1592"/>
      <c r="BT123" s="35"/>
      <c r="BU123" s="36"/>
      <c r="BW123" s="34"/>
      <c r="BX123" s="35"/>
      <c r="BY123" s="36"/>
      <c r="CA123" s="34"/>
      <c r="CB123" s="35"/>
      <c r="CC123" s="36"/>
      <c r="CE123" s="34"/>
      <c r="CF123" s="35"/>
      <c r="CG123" s="36"/>
      <c r="CI123" s="34"/>
      <c r="CJ123" s="35"/>
      <c r="CK123" s="36"/>
      <c r="CM123" s="34"/>
      <c r="CN123" s="35"/>
      <c r="CO123" s="36"/>
    </row>
    <row r="124" spans="1:93">
      <c r="A124" s="34"/>
      <c r="B124" s="35"/>
      <c r="C124" s="36"/>
      <c r="D124" s="37" t="str">
        <f>IF(C124&gt;=Mat!$E$71,"Material","No Mat")</f>
        <v>No Mat</v>
      </c>
      <c r="E124" s="834">
        <f>IF(C124&gt;=Mat!$E$71,C124/Mat!$E$71,0)</f>
        <v>0</v>
      </c>
      <c r="F124" s="895"/>
      <c r="G124" s="34"/>
      <c r="H124" s="35"/>
      <c r="I124" s="48"/>
      <c r="J124" s="36"/>
      <c r="L124" s="506"/>
      <c r="M124" s="506" t="s">
        <v>326</v>
      </c>
      <c r="N124" s="507">
        <f t="shared" si="14"/>
        <v>0</v>
      </c>
      <c r="O124" s="507">
        <f t="shared" si="15"/>
        <v>0</v>
      </c>
      <c r="P124" s="507">
        <f t="shared" si="16"/>
        <v>0</v>
      </c>
      <c r="Q124" s="507">
        <f t="shared" si="17"/>
        <v>0</v>
      </c>
      <c r="R124" s="507">
        <f t="shared" si="18"/>
        <v>0</v>
      </c>
      <c r="S124" s="507">
        <f t="shared" si="19"/>
        <v>0</v>
      </c>
      <c r="T124" s="507">
        <f t="shared" si="20"/>
        <v>0</v>
      </c>
      <c r="U124" s="507">
        <f t="shared" si="21"/>
        <v>0</v>
      </c>
      <c r="V124" s="507">
        <f t="shared" si="22"/>
        <v>0</v>
      </c>
      <c r="W124" s="507">
        <f t="shared" si="23"/>
        <v>0</v>
      </c>
      <c r="X124" s="507">
        <f t="shared" si="24"/>
        <v>0</v>
      </c>
      <c r="Y124" s="507">
        <f t="shared" si="25"/>
        <v>0</v>
      </c>
      <c r="Z124" s="11">
        <f t="shared" si="26"/>
        <v>0</v>
      </c>
      <c r="AC124" s="4">
        <v>236</v>
      </c>
      <c r="AD124" s="5" t="s">
        <v>345</v>
      </c>
      <c r="AE124" s="5" t="s">
        <v>225</v>
      </c>
      <c r="AF124" s="5" t="s">
        <v>346</v>
      </c>
      <c r="AG124" s="5" t="s">
        <v>0</v>
      </c>
      <c r="AH124" s="5" t="s">
        <v>18</v>
      </c>
      <c r="AI124" s="5" t="s">
        <v>12</v>
      </c>
      <c r="AJ124" s="5" t="s">
        <v>17</v>
      </c>
      <c r="AK124" s="5" t="s">
        <v>139</v>
      </c>
      <c r="AL124" s="5" t="s">
        <v>18</v>
      </c>
      <c r="AM124" s="6"/>
      <c r="AO124" s="5"/>
      <c r="AP124" s="5"/>
      <c r="AQ124" s="5"/>
      <c r="AR124" s="5"/>
      <c r="AS124" s="5"/>
      <c r="AU124" s="1547"/>
      <c r="AV124" s="35"/>
      <c r="AW124" s="36"/>
      <c r="AY124" s="34"/>
      <c r="AZ124" s="35"/>
      <c r="BA124" s="36"/>
      <c r="BC124" s="34"/>
      <c r="BD124" s="35"/>
      <c r="BE124" s="36"/>
      <c r="BG124" s="34"/>
      <c r="BH124" s="35"/>
      <c r="BI124" s="36"/>
      <c r="BK124" s="34"/>
      <c r="BL124" s="35"/>
      <c r="BM124" s="36"/>
      <c r="BO124" s="34"/>
      <c r="BP124" s="35"/>
      <c r="BQ124" s="36"/>
      <c r="BS124" s="1592"/>
      <c r="BT124" s="35"/>
      <c r="BU124" s="36"/>
      <c r="BW124" s="34"/>
      <c r="BX124" s="35"/>
      <c r="BY124" s="36"/>
      <c r="CA124" s="34"/>
      <c r="CB124" s="35"/>
      <c r="CC124" s="36"/>
      <c r="CE124" s="34"/>
      <c r="CF124" s="35"/>
      <c r="CG124" s="36"/>
      <c r="CI124" s="34"/>
      <c r="CJ124" s="35"/>
      <c r="CK124" s="36"/>
      <c r="CM124" s="34"/>
      <c r="CN124" s="35"/>
      <c r="CO124" s="36"/>
    </row>
    <row r="125" spans="1:93">
      <c r="A125" s="34"/>
      <c r="B125" s="35"/>
      <c r="C125" s="36"/>
      <c r="D125" s="37" t="str">
        <f>IF(C125&gt;=Mat!$E$71,"Material","No Mat")</f>
        <v>No Mat</v>
      </c>
      <c r="E125" s="834">
        <f>IF(C125&gt;=Mat!$E$71,C125/Mat!$E$71,0)</f>
        <v>0</v>
      </c>
      <c r="F125" s="895"/>
      <c r="G125" s="34"/>
      <c r="H125" s="35"/>
      <c r="I125" s="48"/>
      <c r="J125" s="36"/>
      <c r="L125" s="506"/>
      <c r="M125" s="506" t="s">
        <v>328</v>
      </c>
      <c r="N125" s="507">
        <f t="shared" si="14"/>
        <v>0</v>
      </c>
      <c r="O125" s="507">
        <f t="shared" si="15"/>
        <v>0</v>
      </c>
      <c r="P125" s="507">
        <f t="shared" si="16"/>
        <v>0</v>
      </c>
      <c r="Q125" s="507">
        <f t="shared" si="17"/>
        <v>0</v>
      </c>
      <c r="R125" s="507">
        <f t="shared" si="18"/>
        <v>0</v>
      </c>
      <c r="S125" s="507">
        <f t="shared" si="19"/>
        <v>0</v>
      </c>
      <c r="T125" s="507">
        <f t="shared" si="20"/>
        <v>0</v>
      </c>
      <c r="U125" s="507">
        <f t="shared" si="21"/>
        <v>0</v>
      </c>
      <c r="V125" s="507">
        <f t="shared" si="22"/>
        <v>0</v>
      </c>
      <c r="W125" s="507">
        <f t="shared" si="23"/>
        <v>0</v>
      </c>
      <c r="X125" s="507">
        <f t="shared" si="24"/>
        <v>0</v>
      </c>
      <c r="Y125" s="507">
        <f t="shared" si="25"/>
        <v>0</v>
      </c>
      <c r="Z125" s="11">
        <f t="shared" si="26"/>
        <v>0</v>
      </c>
      <c r="AC125" s="4">
        <v>238</v>
      </c>
      <c r="AD125" s="5" t="s">
        <v>347</v>
      </c>
      <c r="AE125" s="5" t="s">
        <v>225</v>
      </c>
      <c r="AF125" s="5" t="s">
        <v>348</v>
      </c>
      <c r="AG125" s="5" t="s">
        <v>0</v>
      </c>
      <c r="AH125" s="5" t="s">
        <v>18</v>
      </c>
      <c r="AI125" s="5" t="s">
        <v>12</v>
      </c>
      <c r="AJ125" s="5" t="s">
        <v>17</v>
      </c>
      <c r="AK125" s="5" t="s">
        <v>139</v>
      </c>
      <c r="AL125" s="5" t="s">
        <v>18</v>
      </c>
      <c r="AM125" s="6"/>
      <c r="AO125" s="5"/>
      <c r="AP125" s="5"/>
      <c r="AQ125" s="5"/>
      <c r="AR125" s="5"/>
      <c r="AS125" s="5"/>
      <c r="AU125" s="1547"/>
      <c r="AV125" s="35"/>
      <c r="AW125" s="36"/>
      <c r="AY125" s="34"/>
      <c r="AZ125" s="35"/>
      <c r="BA125" s="36"/>
      <c r="BC125" s="34"/>
      <c r="BD125" s="35"/>
      <c r="BE125" s="36"/>
      <c r="BG125" s="34"/>
      <c r="BH125" s="35"/>
      <c r="BI125" s="36"/>
      <c r="BK125" s="34"/>
      <c r="BL125" s="35"/>
      <c r="BM125" s="36"/>
      <c r="BO125" s="34"/>
      <c r="BP125" s="35"/>
      <c r="BQ125" s="36"/>
      <c r="BS125" s="1592"/>
      <c r="BT125" s="35"/>
      <c r="BU125" s="36"/>
      <c r="BW125" s="34"/>
      <c r="BX125" s="35"/>
      <c r="BY125" s="36"/>
      <c r="CA125" s="34"/>
      <c r="CB125" s="35"/>
      <c r="CC125" s="36"/>
      <c r="CE125" s="34"/>
      <c r="CF125" s="35"/>
      <c r="CG125" s="36"/>
      <c r="CI125" s="34"/>
      <c r="CJ125" s="35"/>
      <c r="CK125" s="36"/>
      <c r="CM125" s="34"/>
      <c r="CN125" s="35"/>
      <c r="CO125" s="36"/>
    </row>
    <row r="126" spans="1:93">
      <c r="A126" s="34"/>
      <c r="B126" s="35"/>
      <c r="C126" s="36"/>
      <c r="D126" s="37" t="str">
        <f>IF(C126&gt;=Mat!$E$71,"Material","No Mat")</f>
        <v>No Mat</v>
      </c>
      <c r="E126" s="834">
        <f>IF(C126&gt;=Mat!$E$71,C126/Mat!$E$71,0)</f>
        <v>0</v>
      </c>
      <c r="F126" s="895"/>
      <c r="G126" s="34"/>
      <c r="H126" s="35"/>
      <c r="I126" s="48"/>
      <c r="J126" s="36"/>
      <c r="L126" s="506"/>
      <c r="M126" s="506" t="s">
        <v>330</v>
      </c>
      <c r="N126" s="507">
        <f t="shared" si="14"/>
        <v>0</v>
      </c>
      <c r="O126" s="507">
        <f t="shared" si="15"/>
        <v>0</v>
      </c>
      <c r="P126" s="507">
        <f t="shared" si="16"/>
        <v>0</v>
      </c>
      <c r="Q126" s="507">
        <f t="shared" si="17"/>
        <v>0</v>
      </c>
      <c r="R126" s="507">
        <f t="shared" si="18"/>
        <v>0</v>
      </c>
      <c r="S126" s="507">
        <f t="shared" si="19"/>
        <v>0</v>
      </c>
      <c r="T126" s="507">
        <f t="shared" si="20"/>
        <v>0</v>
      </c>
      <c r="U126" s="507">
        <f t="shared" si="21"/>
        <v>0</v>
      </c>
      <c r="V126" s="507">
        <f t="shared" si="22"/>
        <v>0</v>
      </c>
      <c r="W126" s="507">
        <f t="shared" si="23"/>
        <v>0</v>
      </c>
      <c r="X126" s="507">
        <f t="shared" si="24"/>
        <v>0</v>
      </c>
      <c r="Y126" s="507">
        <f t="shared" si="25"/>
        <v>0</v>
      </c>
      <c r="Z126" s="11">
        <f t="shared" si="26"/>
        <v>0</v>
      </c>
      <c r="AC126" s="4">
        <v>240</v>
      </c>
      <c r="AD126" s="5" t="s">
        <v>355</v>
      </c>
      <c r="AE126" s="5" t="s">
        <v>353</v>
      </c>
      <c r="AF126" s="5" t="s">
        <v>356</v>
      </c>
      <c r="AG126" s="5" t="s">
        <v>0</v>
      </c>
      <c r="AH126" s="5" t="s">
        <v>18</v>
      </c>
      <c r="AI126" s="5" t="s">
        <v>12</v>
      </c>
      <c r="AJ126" s="5" t="s">
        <v>17</v>
      </c>
      <c r="AK126" s="5" t="s">
        <v>139</v>
      </c>
      <c r="AL126" s="5" t="s">
        <v>18</v>
      </c>
      <c r="AM126" s="6"/>
      <c r="AO126" s="5"/>
      <c r="AP126" s="5"/>
      <c r="AQ126" s="5"/>
      <c r="AR126" s="5"/>
      <c r="AS126" s="5"/>
      <c r="AU126" s="1547"/>
      <c r="AV126" s="35"/>
      <c r="AW126" s="36"/>
      <c r="AY126" s="34"/>
      <c r="AZ126" s="35"/>
      <c r="BA126" s="36"/>
      <c r="BC126" s="34"/>
      <c r="BD126" s="35"/>
      <c r="BE126" s="36"/>
      <c r="BG126" s="34"/>
      <c r="BH126" s="35"/>
      <c r="BI126" s="36"/>
      <c r="BK126" s="34"/>
      <c r="BL126" s="35"/>
      <c r="BM126" s="36"/>
      <c r="BO126" s="34"/>
      <c r="BP126" s="35"/>
      <c r="BQ126" s="36"/>
      <c r="BS126" s="1592"/>
      <c r="BT126" s="35"/>
      <c r="BU126" s="36"/>
      <c r="BW126" s="34"/>
      <c r="BX126" s="35"/>
      <c r="BY126" s="36"/>
      <c r="CA126" s="34"/>
      <c r="CB126" s="35"/>
      <c r="CC126" s="36"/>
      <c r="CE126" s="34"/>
      <c r="CF126" s="35"/>
      <c r="CG126" s="36"/>
      <c r="CI126" s="34"/>
      <c r="CJ126" s="35"/>
      <c r="CK126" s="36"/>
      <c r="CM126" s="34"/>
      <c r="CN126" s="35"/>
      <c r="CO126" s="36"/>
    </row>
    <row r="127" spans="1:93">
      <c r="A127" s="34"/>
      <c r="B127" s="35"/>
      <c r="C127" s="36"/>
      <c r="D127" s="37" t="str">
        <f>IF(C127&gt;=Mat!$E$71,"Material","No Mat")</f>
        <v>No Mat</v>
      </c>
      <c r="E127" s="834">
        <f>IF(C127&gt;=Mat!$E$71,C127/Mat!$E$71,0)</f>
        <v>0</v>
      </c>
      <c r="F127" s="895"/>
      <c r="G127" s="34"/>
      <c r="H127" s="35"/>
      <c r="I127" s="48"/>
      <c r="J127" s="36"/>
      <c r="L127" s="506"/>
      <c r="M127" s="506" t="s">
        <v>332</v>
      </c>
      <c r="N127" s="507">
        <f t="shared" si="14"/>
        <v>0</v>
      </c>
      <c r="O127" s="507">
        <f t="shared" si="15"/>
        <v>0</v>
      </c>
      <c r="P127" s="507">
        <f t="shared" si="16"/>
        <v>0</v>
      </c>
      <c r="Q127" s="507">
        <f t="shared" si="17"/>
        <v>0</v>
      </c>
      <c r="R127" s="507">
        <f t="shared" si="18"/>
        <v>0</v>
      </c>
      <c r="S127" s="507">
        <f t="shared" si="19"/>
        <v>0</v>
      </c>
      <c r="T127" s="507">
        <f t="shared" si="20"/>
        <v>0</v>
      </c>
      <c r="U127" s="507">
        <f t="shared" si="21"/>
        <v>0</v>
      </c>
      <c r="V127" s="507">
        <f t="shared" si="22"/>
        <v>0</v>
      </c>
      <c r="W127" s="507">
        <f t="shared" si="23"/>
        <v>0</v>
      </c>
      <c r="X127" s="507">
        <f t="shared" si="24"/>
        <v>0</v>
      </c>
      <c r="Y127" s="507">
        <f t="shared" si="25"/>
        <v>0</v>
      </c>
      <c r="Z127" s="11">
        <f t="shared" si="26"/>
        <v>0</v>
      </c>
      <c r="AC127" s="4">
        <v>242</v>
      </c>
      <c r="AD127" s="5" t="s">
        <v>357</v>
      </c>
      <c r="AE127" s="5" t="s">
        <v>353</v>
      </c>
      <c r="AF127" s="5" t="s">
        <v>358</v>
      </c>
      <c r="AG127" s="5" t="s">
        <v>0</v>
      </c>
      <c r="AH127" s="5" t="s">
        <v>18</v>
      </c>
      <c r="AI127" s="5" t="s">
        <v>12</v>
      </c>
      <c r="AJ127" s="5" t="s">
        <v>17</v>
      </c>
      <c r="AK127" s="5" t="s">
        <v>139</v>
      </c>
      <c r="AL127" s="5" t="s">
        <v>18</v>
      </c>
      <c r="AM127" s="6"/>
      <c r="AO127" s="5"/>
      <c r="AP127" s="5"/>
      <c r="AQ127" s="5"/>
      <c r="AR127" s="5"/>
      <c r="AS127" s="5"/>
      <c r="AU127" s="1547"/>
      <c r="AV127" s="35"/>
      <c r="AW127" s="36"/>
      <c r="AY127" s="34"/>
      <c r="AZ127" s="35"/>
      <c r="BA127" s="36"/>
      <c r="BC127" s="34"/>
      <c r="BD127" s="35"/>
      <c r="BE127" s="36"/>
      <c r="BG127" s="34"/>
      <c r="BH127" s="35"/>
      <c r="BI127" s="36"/>
      <c r="BK127" s="34"/>
      <c r="BL127" s="35"/>
      <c r="BM127" s="36"/>
      <c r="BO127" s="34"/>
      <c r="BP127" s="35"/>
      <c r="BQ127" s="36"/>
      <c r="BS127" s="1592"/>
      <c r="BT127" s="35"/>
      <c r="BU127" s="36"/>
      <c r="BW127" s="34"/>
      <c r="BX127" s="35"/>
      <c r="BY127" s="36"/>
      <c r="CA127" s="34"/>
      <c r="CB127" s="35"/>
      <c r="CC127" s="36"/>
      <c r="CE127" s="34"/>
      <c r="CF127" s="35"/>
      <c r="CG127" s="36"/>
      <c r="CI127" s="34"/>
      <c r="CJ127" s="35"/>
      <c r="CK127" s="36"/>
      <c r="CM127" s="34"/>
      <c r="CN127" s="35"/>
      <c r="CO127" s="36"/>
    </row>
    <row r="128" spans="1:93">
      <c r="A128" s="34"/>
      <c r="B128" s="35"/>
      <c r="C128" s="36"/>
      <c r="D128" s="37" t="str">
        <f>IF(C128&gt;=Mat!$E$71,"Material","No Mat")</f>
        <v>No Mat</v>
      </c>
      <c r="E128" s="834">
        <f>IF(C128&gt;=Mat!$E$71,C128/Mat!$E$71,0)</f>
        <v>0</v>
      </c>
      <c r="G128" s="34"/>
      <c r="H128" s="35"/>
      <c r="I128" s="48"/>
      <c r="J128" s="36"/>
      <c r="L128" s="506"/>
      <c r="M128" s="506" t="s">
        <v>334</v>
      </c>
      <c r="N128" s="507">
        <f t="shared" si="14"/>
        <v>0</v>
      </c>
      <c r="O128" s="507">
        <f t="shared" si="15"/>
        <v>0</v>
      </c>
      <c r="P128" s="507">
        <f t="shared" si="16"/>
        <v>0</v>
      </c>
      <c r="Q128" s="507">
        <f t="shared" si="17"/>
        <v>0</v>
      </c>
      <c r="R128" s="507">
        <f t="shared" si="18"/>
        <v>0</v>
      </c>
      <c r="S128" s="507">
        <f t="shared" si="19"/>
        <v>0</v>
      </c>
      <c r="T128" s="507">
        <f t="shared" si="20"/>
        <v>0</v>
      </c>
      <c r="U128" s="507">
        <f t="shared" si="21"/>
        <v>0</v>
      </c>
      <c r="V128" s="507">
        <f t="shared" si="22"/>
        <v>0</v>
      </c>
      <c r="W128" s="507">
        <f t="shared" si="23"/>
        <v>0</v>
      </c>
      <c r="X128" s="507">
        <f t="shared" si="24"/>
        <v>0</v>
      </c>
      <c r="Y128" s="507">
        <f t="shared" si="25"/>
        <v>0</v>
      </c>
      <c r="Z128" s="11">
        <f t="shared" si="26"/>
        <v>0</v>
      </c>
      <c r="AC128" s="4">
        <v>244</v>
      </c>
      <c r="AD128" s="5" t="s">
        <v>359</v>
      </c>
      <c r="AE128" s="5" t="s">
        <v>353</v>
      </c>
      <c r="AF128" s="5" t="s">
        <v>360</v>
      </c>
      <c r="AG128" s="5" t="s">
        <v>0</v>
      </c>
      <c r="AH128" s="5" t="s">
        <v>18</v>
      </c>
      <c r="AI128" s="5" t="s">
        <v>12</v>
      </c>
      <c r="AJ128" s="5" t="s">
        <v>17</v>
      </c>
      <c r="AK128" s="5" t="s">
        <v>139</v>
      </c>
      <c r="AL128" s="5" t="s">
        <v>18</v>
      </c>
      <c r="AM128" s="6"/>
      <c r="AO128" s="5"/>
      <c r="AP128" s="5"/>
      <c r="AQ128" s="5"/>
      <c r="AR128" s="5"/>
      <c r="AS128" s="5"/>
      <c r="AU128" s="1547"/>
      <c r="AV128" s="35"/>
      <c r="AW128" s="36"/>
      <c r="AY128" s="34"/>
      <c r="AZ128" s="35"/>
      <c r="BA128" s="36"/>
      <c r="BC128" s="34"/>
      <c r="BD128" s="35"/>
      <c r="BE128" s="36"/>
      <c r="BG128" s="34"/>
      <c r="BH128" s="35"/>
      <c r="BI128" s="36"/>
      <c r="BK128" s="34"/>
      <c r="BL128" s="35"/>
      <c r="BM128" s="36"/>
      <c r="BO128" s="34"/>
      <c r="BP128" s="35"/>
      <c r="BQ128" s="36"/>
      <c r="BS128" s="1592"/>
      <c r="BT128" s="35"/>
      <c r="BU128" s="36"/>
      <c r="BW128" s="34"/>
      <c r="BX128" s="35"/>
      <c r="BY128" s="36"/>
      <c r="CA128" s="34"/>
      <c r="CB128" s="35"/>
      <c r="CC128" s="36"/>
      <c r="CE128" s="34"/>
      <c r="CF128" s="35"/>
      <c r="CG128" s="36"/>
      <c r="CI128" s="34"/>
      <c r="CJ128" s="35"/>
      <c r="CK128" s="36"/>
      <c r="CM128" s="34"/>
      <c r="CN128" s="35"/>
      <c r="CO128" s="36"/>
    </row>
    <row r="129" spans="1:93">
      <c r="A129" s="34"/>
      <c r="B129" s="35"/>
      <c r="C129" s="36"/>
      <c r="D129" s="37" t="str">
        <f>IF(C129&gt;=Mat!$E$71,"Material","No Mat")</f>
        <v>No Mat</v>
      </c>
      <c r="E129" s="834">
        <f>IF(C129&gt;=Mat!$E$71,C129/Mat!$E$71,0)</f>
        <v>0</v>
      </c>
      <c r="F129" s="895"/>
      <c r="G129" s="34"/>
      <c r="H129" s="35"/>
      <c r="I129" s="48"/>
      <c r="J129" s="36"/>
      <c r="L129" s="506"/>
      <c r="M129" s="506" t="s">
        <v>336</v>
      </c>
      <c r="N129" s="507">
        <f t="shared" si="14"/>
        <v>0</v>
      </c>
      <c r="O129" s="507">
        <f t="shared" si="15"/>
        <v>0</v>
      </c>
      <c r="P129" s="507">
        <f t="shared" si="16"/>
        <v>0</v>
      </c>
      <c r="Q129" s="507">
        <f t="shared" si="17"/>
        <v>0</v>
      </c>
      <c r="R129" s="507">
        <f t="shared" si="18"/>
        <v>0</v>
      </c>
      <c r="S129" s="507">
        <f t="shared" si="19"/>
        <v>0</v>
      </c>
      <c r="T129" s="507">
        <f t="shared" si="20"/>
        <v>0</v>
      </c>
      <c r="U129" s="507">
        <f t="shared" si="21"/>
        <v>0</v>
      </c>
      <c r="V129" s="507">
        <f t="shared" si="22"/>
        <v>0</v>
      </c>
      <c r="W129" s="507">
        <f t="shared" si="23"/>
        <v>0</v>
      </c>
      <c r="X129" s="507">
        <f t="shared" si="24"/>
        <v>0</v>
      </c>
      <c r="Y129" s="507">
        <f t="shared" si="25"/>
        <v>0</v>
      </c>
      <c r="Z129" s="11">
        <f t="shared" si="26"/>
        <v>0</v>
      </c>
      <c r="AC129" s="4">
        <v>246</v>
      </c>
      <c r="AD129" s="5" t="s">
        <v>361</v>
      </c>
      <c r="AE129" s="5" t="s">
        <v>353</v>
      </c>
      <c r="AF129" s="5" t="s">
        <v>362</v>
      </c>
      <c r="AG129" s="5" t="s">
        <v>0</v>
      </c>
      <c r="AH129" s="5" t="s">
        <v>18</v>
      </c>
      <c r="AI129" s="5" t="s">
        <v>12</v>
      </c>
      <c r="AJ129" s="5" t="s">
        <v>17</v>
      </c>
      <c r="AK129" s="5" t="s">
        <v>139</v>
      </c>
      <c r="AL129" s="5" t="s">
        <v>18</v>
      </c>
      <c r="AM129" s="6"/>
      <c r="AO129" s="5"/>
      <c r="AP129" s="5"/>
      <c r="AQ129" s="5"/>
      <c r="AR129" s="5"/>
      <c r="AS129" s="5"/>
      <c r="AU129" s="1547"/>
      <c r="AV129" s="35"/>
      <c r="AW129" s="36"/>
      <c r="AY129" s="34"/>
      <c r="AZ129" s="35"/>
      <c r="BA129" s="36"/>
      <c r="BC129" s="34"/>
      <c r="BD129" s="35"/>
      <c r="BE129" s="36"/>
      <c r="BG129" s="34"/>
      <c r="BH129" s="35"/>
      <c r="BI129" s="36"/>
      <c r="BK129" s="34"/>
      <c r="BL129" s="35"/>
      <c r="BM129" s="36"/>
      <c r="BO129" s="34"/>
      <c r="BP129" s="35"/>
      <c r="BQ129" s="36"/>
      <c r="BS129" s="1592"/>
      <c r="BT129" s="35"/>
      <c r="BU129" s="36"/>
      <c r="BW129" s="34"/>
      <c r="BX129" s="35"/>
      <c r="BY129" s="36"/>
      <c r="CA129" s="34"/>
      <c r="CB129" s="35"/>
      <c r="CC129" s="36"/>
      <c r="CE129" s="34"/>
      <c r="CF129" s="35"/>
      <c r="CG129" s="36"/>
      <c r="CI129" s="34"/>
      <c r="CJ129" s="35"/>
      <c r="CK129" s="36"/>
      <c r="CM129" s="34"/>
      <c r="CN129" s="35"/>
      <c r="CO129" s="36"/>
    </row>
    <row r="130" spans="1:93">
      <c r="A130" s="34"/>
      <c r="B130" s="35"/>
      <c r="C130" s="36"/>
      <c r="D130" s="37" t="str">
        <f>IF(C130&gt;=Mat!$E$71,"Material","No Mat")</f>
        <v>No Mat</v>
      </c>
      <c r="E130" s="834">
        <f>IF(C130&gt;=Mat!$E$71,C130/Mat!$E$71,0)</f>
        <v>0</v>
      </c>
      <c r="F130" s="895"/>
      <c r="G130" s="34"/>
      <c r="H130" s="35"/>
      <c r="I130" s="48"/>
      <c r="J130" s="36"/>
      <c r="L130" s="506"/>
      <c r="M130" s="506" t="s">
        <v>338</v>
      </c>
      <c r="N130" s="507">
        <f t="shared" si="14"/>
        <v>0</v>
      </c>
      <c r="O130" s="507">
        <f t="shared" si="15"/>
        <v>0</v>
      </c>
      <c r="P130" s="507">
        <f t="shared" si="16"/>
        <v>0</v>
      </c>
      <c r="Q130" s="507">
        <f t="shared" si="17"/>
        <v>0</v>
      </c>
      <c r="R130" s="507">
        <f t="shared" si="18"/>
        <v>0</v>
      </c>
      <c r="S130" s="507">
        <f t="shared" si="19"/>
        <v>0</v>
      </c>
      <c r="T130" s="507">
        <f t="shared" si="20"/>
        <v>0</v>
      </c>
      <c r="U130" s="507">
        <f t="shared" si="21"/>
        <v>0</v>
      </c>
      <c r="V130" s="507">
        <f t="shared" si="22"/>
        <v>0</v>
      </c>
      <c r="W130" s="507">
        <f t="shared" si="23"/>
        <v>0</v>
      </c>
      <c r="X130" s="507">
        <f t="shared" si="24"/>
        <v>0</v>
      </c>
      <c r="Y130" s="507">
        <f t="shared" si="25"/>
        <v>0</v>
      </c>
      <c r="Z130" s="11">
        <f t="shared" si="26"/>
        <v>0</v>
      </c>
      <c r="AC130" s="4">
        <v>248</v>
      </c>
      <c r="AD130" s="5" t="s">
        <v>363</v>
      </c>
      <c r="AE130" s="5" t="s">
        <v>353</v>
      </c>
      <c r="AF130" s="5" t="s">
        <v>364</v>
      </c>
      <c r="AG130" s="5" t="s">
        <v>0</v>
      </c>
      <c r="AH130" s="5" t="s">
        <v>18</v>
      </c>
      <c r="AI130" s="5" t="s">
        <v>12</v>
      </c>
      <c r="AJ130" s="5" t="s">
        <v>17</v>
      </c>
      <c r="AK130" s="5" t="s">
        <v>139</v>
      </c>
      <c r="AL130" s="5" t="s">
        <v>18</v>
      </c>
      <c r="AM130" s="6"/>
      <c r="AO130" s="5"/>
      <c r="AP130" s="5"/>
      <c r="AQ130" s="5"/>
      <c r="AR130" s="5"/>
      <c r="AS130" s="5"/>
      <c r="AU130" s="1547"/>
      <c r="AV130" s="35"/>
      <c r="AW130" s="36"/>
      <c r="AY130" s="34"/>
      <c r="AZ130" s="35"/>
      <c r="BA130" s="36"/>
      <c r="BC130" s="34"/>
      <c r="BD130" s="35"/>
      <c r="BE130" s="36"/>
      <c r="BG130" s="34"/>
      <c r="BH130" s="35"/>
      <c r="BI130" s="36"/>
      <c r="BK130" s="34"/>
      <c r="BL130" s="35"/>
      <c r="BM130" s="36"/>
      <c r="BO130" s="34"/>
      <c r="BP130" s="35"/>
      <c r="BQ130" s="36"/>
      <c r="BS130" s="1592"/>
      <c r="BT130" s="35"/>
      <c r="BU130" s="36"/>
      <c r="BW130" s="34"/>
      <c r="BX130" s="35"/>
      <c r="BY130" s="36"/>
      <c r="CA130" s="34"/>
      <c r="CB130" s="35"/>
      <c r="CC130" s="36"/>
      <c r="CE130" s="34"/>
      <c r="CF130" s="35"/>
      <c r="CG130" s="36"/>
      <c r="CI130" s="34"/>
      <c r="CJ130" s="35"/>
      <c r="CK130" s="36"/>
      <c r="CM130" s="34"/>
      <c r="CN130" s="35"/>
      <c r="CO130" s="36"/>
    </row>
    <row r="131" spans="1:93">
      <c r="A131" s="34"/>
      <c r="B131" s="35"/>
      <c r="C131" s="36"/>
      <c r="D131" s="37" t="str">
        <f>IF(C131&gt;=Mat!$E$71,"Material","No Mat")</f>
        <v>No Mat</v>
      </c>
      <c r="E131" s="834">
        <f>IF(C131&gt;=Mat!$E$71,C131/Mat!$E$71,0)</f>
        <v>0</v>
      </c>
      <c r="F131" s="895"/>
      <c r="G131" s="34"/>
      <c r="H131" s="35"/>
      <c r="I131" s="48"/>
      <c r="J131" s="36"/>
      <c r="L131" s="506"/>
      <c r="M131" s="506" t="s">
        <v>340</v>
      </c>
      <c r="N131" s="507">
        <f t="shared" si="14"/>
        <v>0</v>
      </c>
      <c r="O131" s="507">
        <f t="shared" si="15"/>
        <v>0</v>
      </c>
      <c r="P131" s="507">
        <f t="shared" si="16"/>
        <v>0</v>
      </c>
      <c r="Q131" s="507">
        <f t="shared" si="17"/>
        <v>0</v>
      </c>
      <c r="R131" s="507">
        <f t="shared" si="18"/>
        <v>0</v>
      </c>
      <c r="S131" s="507">
        <f t="shared" si="19"/>
        <v>0</v>
      </c>
      <c r="T131" s="507">
        <f t="shared" si="20"/>
        <v>0</v>
      </c>
      <c r="U131" s="507">
        <f t="shared" si="21"/>
        <v>0</v>
      </c>
      <c r="V131" s="507">
        <f t="shared" si="22"/>
        <v>0</v>
      </c>
      <c r="W131" s="507">
        <f t="shared" si="23"/>
        <v>0</v>
      </c>
      <c r="X131" s="507">
        <f t="shared" si="24"/>
        <v>0</v>
      </c>
      <c r="Y131" s="507">
        <f t="shared" si="25"/>
        <v>0</v>
      </c>
      <c r="Z131" s="11">
        <f t="shared" si="26"/>
        <v>0</v>
      </c>
      <c r="AC131" s="4">
        <v>250</v>
      </c>
      <c r="AD131" s="5" t="s">
        <v>365</v>
      </c>
      <c r="AE131" s="5" t="s">
        <v>353</v>
      </c>
      <c r="AF131" s="5" t="s">
        <v>366</v>
      </c>
      <c r="AG131" s="5" t="s">
        <v>0</v>
      </c>
      <c r="AH131" s="5" t="s">
        <v>18</v>
      </c>
      <c r="AI131" s="5" t="s">
        <v>12</v>
      </c>
      <c r="AJ131" s="5" t="s">
        <v>17</v>
      </c>
      <c r="AK131" s="5" t="s">
        <v>139</v>
      </c>
      <c r="AL131" s="5" t="s">
        <v>18</v>
      </c>
      <c r="AM131" s="6"/>
      <c r="AO131" s="5"/>
      <c r="AP131" s="5"/>
      <c r="AQ131" s="5"/>
      <c r="AR131" s="5"/>
      <c r="AS131" s="5"/>
      <c r="AU131" s="1547"/>
      <c r="AV131" s="35"/>
      <c r="AW131" s="36"/>
      <c r="AY131" s="34"/>
      <c r="AZ131" s="35"/>
      <c r="BA131" s="36"/>
      <c r="BC131" s="34"/>
      <c r="BD131" s="35"/>
      <c r="BE131" s="36"/>
      <c r="BG131" s="34"/>
      <c r="BH131" s="35"/>
      <c r="BI131" s="36"/>
      <c r="BK131" s="34"/>
      <c r="BL131" s="35"/>
      <c r="BM131" s="36"/>
      <c r="BO131" s="34"/>
      <c r="BP131" s="35"/>
      <c r="BQ131" s="36"/>
      <c r="BS131" s="1592"/>
      <c r="BT131" s="35"/>
      <c r="BU131" s="36"/>
      <c r="BW131" s="34"/>
      <c r="BX131" s="35"/>
      <c r="BY131" s="36"/>
      <c r="CA131" s="34"/>
      <c r="CB131" s="35"/>
      <c r="CC131" s="36"/>
      <c r="CE131" s="34"/>
      <c r="CF131" s="35"/>
      <c r="CG131" s="36"/>
      <c r="CI131" s="34"/>
      <c r="CJ131" s="35"/>
      <c r="CK131" s="36"/>
      <c r="CM131" s="34"/>
      <c r="CN131" s="35"/>
      <c r="CO131" s="36"/>
    </row>
    <row r="132" spans="1:93">
      <c r="A132" s="34"/>
      <c r="B132" s="35"/>
      <c r="C132" s="36"/>
      <c r="D132" s="37" t="str">
        <f>IF(C132&gt;=Mat!$E$71,"Material","No Mat")</f>
        <v>No Mat</v>
      </c>
      <c r="E132" s="834">
        <f>IF(C132&gt;=Mat!$E$71,C132/Mat!$E$71,0)</f>
        <v>0</v>
      </c>
      <c r="G132" s="34"/>
      <c r="H132" s="35"/>
      <c r="I132" s="48"/>
      <c r="J132" s="36"/>
      <c r="L132" s="506"/>
      <c r="M132" s="506" t="s">
        <v>342</v>
      </c>
      <c r="N132" s="507">
        <f t="shared" si="14"/>
        <v>0</v>
      </c>
      <c r="O132" s="507">
        <f t="shared" si="15"/>
        <v>0</v>
      </c>
      <c r="P132" s="507">
        <f t="shared" si="16"/>
        <v>0</v>
      </c>
      <c r="Q132" s="507">
        <f t="shared" si="17"/>
        <v>0</v>
      </c>
      <c r="R132" s="507">
        <f t="shared" si="18"/>
        <v>0</v>
      </c>
      <c r="S132" s="507">
        <f t="shared" si="19"/>
        <v>0</v>
      </c>
      <c r="T132" s="507">
        <f t="shared" si="20"/>
        <v>0</v>
      </c>
      <c r="U132" s="507">
        <f t="shared" si="21"/>
        <v>0</v>
      </c>
      <c r="V132" s="507">
        <f t="shared" si="22"/>
        <v>0</v>
      </c>
      <c r="W132" s="507">
        <f t="shared" si="23"/>
        <v>0</v>
      </c>
      <c r="X132" s="507">
        <f t="shared" si="24"/>
        <v>0</v>
      </c>
      <c r="Y132" s="507">
        <f t="shared" si="25"/>
        <v>0</v>
      </c>
      <c r="Z132" s="11">
        <f t="shared" si="26"/>
        <v>0</v>
      </c>
      <c r="AC132" s="4">
        <v>252</v>
      </c>
      <c r="AD132" s="5" t="s">
        <v>367</v>
      </c>
      <c r="AE132" s="5" t="s">
        <v>353</v>
      </c>
      <c r="AF132" s="5" t="s">
        <v>368</v>
      </c>
      <c r="AG132" s="5" t="s">
        <v>0</v>
      </c>
      <c r="AH132" s="5" t="s">
        <v>18</v>
      </c>
      <c r="AI132" s="5" t="s">
        <v>12</v>
      </c>
      <c r="AJ132" s="5" t="s">
        <v>17</v>
      </c>
      <c r="AK132" s="5" t="s">
        <v>139</v>
      </c>
      <c r="AL132" s="5" t="s">
        <v>18</v>
      </c>
      <c r="AM132" s="6"/>
      <c r="AO132" s="5"/>
      <c r="AP132" s="5"/>
      <c r="AQ132" s="5"/>
      <c r="AR132" s="5"/>
      <c r="AS132" s="5"/>
      <c r="AU132" s="1547"/>
      <c r="AV132" s="35"/>
      <c r="AW132" s="36"/>
      <c r="AY132" s="34"/>
      <c r="AZ132" s="35"/>
      <c r="BA132" s="36"/>
      <c r="BC132" s="34"/>
      <c r="BD132" s="35"/>
      <c r="BE132" s="36"/>
      <c r="BG132" s="34"/>
      <c r="BH132" s="35"/>
      <c r="BI132" s="36"/>
      <c r="BK132" s="34"/>
      <c r="BL132" s="35"/>
      <c r="BM132" s="36"/>
      <c r="BO132" s="34"/>
      <c r="BP132" s="35"/>
      <c r="BQ132" s="36"/>
      <c r="BS132" s="1592"/>
      <c r="BT132" s="35"/>
      <c r="BU132" s="36"/>
      <c r="BW132" s="34"/>
      <c r="BX132" s="35"/>
      <c r="BY132" s="36"/>
      <c r="CA132" s="34"/>
      <c r="CB132" s="35"/>
      <c r="CC132" s="36"/>
      <c r="CE132" s="34"/>
      <c r="CF132" s="35"/>
      <c r="CG132" s="36"/>
      <c r="CI132" s="34"/>
      <c r="CJ132" s="35"/>
      <c r="CK132" s="36"/>
      <c r="CM132" s="34"/>
      <c r="CN132" s="35"/>
      <c r="CO132" s="36"/>
    </row>
    <row r="133" spans="1:93">
      <c r="A133" s="34"/>
      <c r="B133" s="35"/>
      <c r="C133" s="36"/>
      <c r="D133" s="37" t="str">
        <f>IF(C133&gt;=Mat!$E$71,"Material","No Mat")</f>
        <v>No Mat</v>
      </c>
      <c r="E133" s="834">
        <f>IF(C133&gt;=Mat!$E$71,C133/Mat!$E$71,0)</f>
        <v>0</v>
      </c>
      <c r="F133" s="895"/>
      <c r="G133" s="34"/>
      <c r="H133" s="35"/>
      <c r="I133" s="48"/>
      <c r="J133" s="36"/>
      <c r="L133" s="506"/>
      <c r="M133" s="506" t="s">
        <v>344</v>
      </c>
      <c r="N133" s="507">
        <f t="shared" si="14"/>
        <v>0</v>
      </c>
      <c r="O133" s="507">
        <f t="shared" si="15"/>
        <v>0</v>
      </c>
      <c r="P133" s="507">
        <f t="shared" si="16"/>
        <v>0</v>
      </c>
      <c r="Q133" s="507">
        <f t="shared" si="17"/>
        <v>0</v>
      </c>
      <c r="R133" s="507">
        <f t="shared" si="18"/>
        <v>0</v>
      </c>
      <c r="S133" s="507">
        <f t="shared" si="19"/>
        <v>0</v>
      </c>
      <c r="T133" s="507">
        <f t="shared" si="20"/>
        <v>0</v>
      </c>
      <c r="U133" s="507">
        <f t="shared" si="21"/>
        <v>0</v>
      </c>
      <c r="V133" s="507">
        <f t="shared" si="22"/>
        <v>0</v>
      </c>
      <c r="W133" s="507">
        <f t="shared" si="23"/>
        <v>0</v>
      </c>
      <c r="X133" s="507">
        <f t="shared" si="24"/>
        <v>0</v>
      </c>
      <c r="Y133" s="507">
        <f t="shared" si="25"/>
        <v>0</v>
      </c>
      <c r="Z133" s="11">
        <f t="shared" si="26"/>
        <v>0</v>
      </c>
      <c r="AC133" s="4">
        <v>254</v>
      </c>
      <c r="AD133" s="5" t="s">
        <v>902</v>
      </c>
      <c r="AE133" s="5" t="s">
        <v>353</v>
      </c>
      <c r="AF133" s="5" t="s">
        <v>903</v>
      </c>
      <c r="AG133" s="5" t="s">
        <v>0</v>
      </c>
      <c r="AH133" s="5" t="s">
        <v>18</v>
      </c>
      <c r="AI133" s="5" t="s">
        <v>12</v>
      </c>
      <c r="AJ133" s="5" t="s">
        <v>17</v>
      </c>
      <c r="AK133" s="5" t="s">
        <v>139</v>
      </c>
      <c r="AL133" s="5" t="s">
        <v>18</v>
      </c>
      <c r="AM133" s="6"/>
      <c r="AO133" s="5"/>
      <c r="AP133" s="5"/>
      <c r="AQ133" s="5"/>
      <c r="AR133" s="5"/>
      <c r="AS133" s="5"/>
      <c r="AU133" s="1547"/>
      <c r="AV133" s="35"/>
      <c r="AW133" s="36"/>
      <c r="AY133" s="34"/>
      <c r="AZ133" s="35"/>
      <c r="BA133" s="36"/>
      <c r="BC133" s="34"/>
      <c r="BD133" s="35"/>
      <c r="BE133" s="36"/>
      <c r="BG133" s="34"/>
      <c r="BH133" s="35"/>
      <c r="BI133" s="36"/>
      <c r="BK133" s="34"/>
      <c r="BL133" s="35"/>
      <c r="BM133" s="36"/>
      <c r="BO133" s="34"/>
      <c r="BP133" s="35"/>
      <c r="BQ133" s="36"/>
      <c r="BS133" s="1592"/>
      <c r="BT133" s="35"/>
      <c r="BU133" s="36"/>
      <c r="BW133" s="34"/>
      <c r="BX133" s="35"/>
      <c r="BY133" s="36"/>
      <c r="CA133" s="34"/>
      <c r="CB133" s="35"/>
      <c r="CC133" s="36"/>
      <c r="CE133" s="34"/>
      <c r="CF133" s="35"/>
      <c r="CG133" s="36"/>
      <c r="CI133" s="34"/>
      <c r="CJ133" s="35"/>
      <c r="CK133" s="36"/>
      <c r="CM133" s="34"/>
      <c r="CN133" s="35"/>
      <c r="CO133" s="36"/>
    </row>
    <row r="134" spans="1:93">
      <c r="A134" s="34"/>
      <c r="B134" s="35"/>
      <c r="C134" s="36"/>
      <c r="D134" s="37" t="str">
        <f>IF(C134&gt;=Mat!$E$71,"Material","No Mat")</f>
        <v>No Mat</v>
      </c>
      <c r="E134" s="834">
        <f>IF(C134&gt;=Mat!$E$71,C134/Mat!$E$71,0)</f>
        <v>0</v>
      </c>
      <c r="F134" s="895"/>
      <c r="G134" s="34"/>
      <c r="H134" s="35"/>
      <c r="I134" s="48"/>
      <c r="J134" s="36"/>
      <c r="L134" s="506"/>
      <c r="M134" s="506" t="s">
        <v>346</v>
      </c>
      <c r="N134" s="507">
        <f t="shared" si="14"/>
        <v>0</v>
      </c>
      <c r="O134" s="507">
        <f t="shared" si="15"/>
        <v>0</v>
      </c>
      <c r="P134" s="507">
        <f t="shared" si="16"/>
        <v>0</v>
      </c>
      <c r="Q134" s="507">
        <f t="shared" si="17"/>
        <v>0</v>
      </c>
      <c r="R134" s="507">
        <f t="shared" si="18"/>
        <v>0</v>
      </c>
      <c r="S134" s="507">
        <f t="shared" si="19"/>
        <v>0</v>
      </c>
      <c r="T134" s="507">
        <f t="shared" si="20"/>
        <v>0</v>
      </c>
      <c r="U134" s="507">
        <f t="shared" si="21"/>
        <v>0</v>
      </c>
      <c r="V134" s="507">
        <f t="shared" si="22"/>
        <v>0</v>
      </c>
      <c r="W134" s="507">
        <f t="shared" si="23"/>
        <v>0</v>
      </c>
      <c r="X134" s="507">
        <f t="shared" si="24"/>
        <v>0</v>
      </c>
      <c r="Y134" s="507">
        <f t="shared" si="25"/>
        <v>0</v>
      </c>
      <c r="Z134" s="11">
        <f t="shared" si="26"/>
        <v>0</v>
      </c>
      <c r="AC134" s="4">
        <v>256</v>
      </c>
      <c r="AD134" s="5" t="s">
        <v>369</v>
      </c>
      <c r="AE134" s="5" t="s">
        <v>351</v>
      </c>
      <c r="AF134" s="5" t="s">
        <v>370</v>
      </c>
      <c r="AG134" s="5" t="s">
        <v>0</v>
      </c>
      <c r="AH134" s="5" t="s">
        <v>18</v>
      </c>
      <c r="AI134" s="5" t="s">
        <v>12</v>
      </c>
      <c r="AJ134" s="5" t="s">
        <v>17</v>
      </c>
      <c r="AK134" s="5" t="s">
        <v>139</v>
      </c>
      <c r="AL134" s="5" t="s">
        <v>18</v>
      </c>
      <c r="AM134" s="6"/>
      <c r="AO134" s="5"/>
      <c r="AP134" s="5"/>
      <c r="AQ134" s="5"/>
      <c r="AR134" s="5"/>
      <c r="AS134" s="5"/>
      <c r="AU134" s="1547"/>
      <c r="AV134" s="35"/>
      <c r="AW134" s="36"/>
      <c r="AY134" s="34"/>
      <c r="AZ134" s="35"/>
      <c r="BA134" s="36"/>
      <c r="BC134" s="34"/>
      <c r="BD134" s="35"/>
      <c r="BE134" s="36"/>
      <c r="BG134" s="34"/>
      <c r="BH134" s="35"/>
      <c r="BI134" s="36"/>
      <c r="BK134" s="34"/>
      <c r="BL134" s="35"/>
      <c r="BM134" s="36"/>
      <c r="BO134" s="34"/>
      <c r="BP134" s="35"/>
      <c r="BQ134" s="36"/>
      <c r="BS134" s="1592"/>
      <c r="BT134" s="35"/>
      <c r="BU134" s="36"/>
      <c r="BW134" s="34"/>
      <c r="BX134" s="35"/>
      <c r="BY134" s="36"/>
      <c r="CA134" s="34"/>
      <c r="CB134" s="35"/>
      <c r="CC134" s="36"/>
      <c r="CE134" s="34"/>
      <c r="CF134" s="35"/>
      <c r="CG134" s="36"/>
      <c r="CI134" s="34"/>
      <c r="CJ134" s="35"/>
      <c r="CK134" s="36"/>
      <c r="CM134" s="34"/>
      <c r="CN134" s="35"/>
      <c r="CO134" s="36"/>
    </row>
    <row r="135" spans="1:93">
      <c r="A135" s="34"/>
      <c r="B135" s="35"/>
      <c r="C135" s="36"/>
      <c r="D135" s="37" t="str">
        <f>IF(C135&gt;=Mat!$E$71,"Material","No Mat")</f>
        <v>No Mat</v>
      </c>
      <c r="E135" s="834">
        <f>IF(C135&gt;=Mat!$E$71,C135/Mat!$E$71,0)</f>
        <v>0</v>
      </c>
      <c r="G135" s="34"/>
      <c r="H135" s="35"/>
      <c r="I135" s="48"/>
      <c r="J135" s="36"/>
      <c r="L135" s="506"/>
      <c r="M135" s="506" t="s">
        <v>348</v>
      </c>
      <c r="N135" s="507">
        <f t="shared" si="14"/>
        <v>0</v>
      </c>
      <c r="O135" s="507">
        <f t="shared" si="15"/>
        <v>0</v>
      </c>
      <c r="P135" s="507">
        <f t="shared" si="16"/>
        <v>0</v>
      </c>
      <c r="Q135" s="507">
        <f t="shared" si="17"/>
        <v>0</v>
      </c>
      <c r="R135" s="507">
        <f t="shared" si="18"/>
        <v>0</v>
      </c>
      <c r="S135" s="507">
        <f t="shared" si="19"/>
        <v>0</v>
      </c>
      <c r="T135" s="507">
        <f t="shared" si="20"/>
        <v>0</v>
      </c>
      <c r="U135" s="507">
        <f t="shared" si="21"/>
        <v>0</v>
      </c>
      <c r="V135" s="507">
        <f t="shared" si="22"/>
        <v>0</v>
      </c>
      <c r="W135" s="507">
        <f t="shared" si="23"/>
        <v>0</v>
      </c>
      <c r="X135" s="507">
        <f t="shared" si="24"/>
        <v>0</v>
      </c>
      <c r="Y135" s="507">
        <f t="shared" si="25"/>
        <v>0</v>
      </c>
      <c r="Z135" s="11">
        <f t="shared" si="26"/>
        <v>0</v>
      </c>
      <c r="AC135" s="4">
        <v>258</v>
      </c>
      <c r="AD135" s="5" t="s">
        <v>371</v>
      </c>
      <c r="AE135" s="5" t="s">
        <v>349</v>
      </c>
      <c r="AF135" s="5" t="s">
        <v>372</v>
      </c>
      <c r="AG135" s="5" t="s">
        <v>0</v>
      </c>
      <c r="AH135" s="5" t="s">
        <v>18</v>
      </c>
      <c r="AI135" s="5" t="s">
        <v>12</v>
      </c>
      <c r="AJ135" s="5" t="s">
        <v>17</v>
      </c>
      <c r="AK135" s="5" t="s">
        <v>139</v>
      </c>
      <c r="AL135" s="5" t="s">
        <v>18</v>
      </c>
      <c r="AM135" s="6"/>
      <c r="AO135" s="5"/>
      <c r="AP135" s="5"/>
      <c r="AQ135" s="5"/>
      <c r="AR135" s="5"/>
      <c r="AS135" s="5"/>
      <c r="AU135" s="1547"/>
      <c r="AV135" s="35"/>
      <c r="AW135" s="36"/>
      <c r="AY135" s="34"/>
      <c r="AZ135" s="35"/>
      <c r="BA135" s="36"/>
      <c r="BC135" s="34"/>
      <c r="BD135" s="35"/>
      <c r="BE135" s="36"/>
      <c r="BG135" s="34"/>
      <c r="BH135" s="35"/>
      <c r="BI135" s="36"/>
      <c r="BK135" s="34"/>
      <c r="BL135" s="35"/>
      <c r="BM135" s="36"/>
      <c r="BO135" s="34"/>
      <c r="BP135" s="35"/>
      <c r="BQ135" s="36"/>
      <c r="BS135" s="1592"/>
      <c r="BT135" s="35"/>
      <c r="BU135" s="36"/>
      <c r="BW135" s="34"/>
      <c r="BX135" s="35"/>
      <c r="BY135" s="36"/>
      <c r="CA135" s="34"/>
      <c r="CB135" s="35"/>
      <c r="CC135" s="36"/>
      <c r="CE135" s="34"/>
      <c r="CF135" s="35"/>
      <c r="CG135" s="36"/>
      <c r="CI135" s="34"/>
      <c r="CJ135" s="35"/>
      <c r="CK135" s="36"/>
      <c r="CM135" s="34"/>
      <c r="CN135" s="35"/>
      <c r="CO135" s="36"/>
    </row>
    <row r="136" spans="1:93">
      <c r="A136" s="34"/>
      <c r="B136" s="35"/>
      <c r="C136" s="36"/>
      <c r="D136" s="37" t="str">
        <f>IF(C136&gt;=Mat!$E$71,"Material","No Mat")</f>
        <v>No Mat</v>
      </c>
      <c r="E136" s="834">
        <f>IF(C136&gt;=Mat!$E$71,C136/Mat!$E$71,0)</f>
        <v>0</v>
      </c>
      <c r="G136" s="34"/>
      <c r="H136" s="35"/>
      <c r="I136" s="48"/>
      <c r="J136" s="36"/>
      <c r="L136" s="506"/>
      <c r="M136" s="506" t="s">
        <v>356</v>
      </c>
      <c r="N136" s="507">
        <f t="shared" si="14"/>
        <v>0</v>
      </c>
      <c r="O136" s="507">
        <f t="shared" si="15"/>
        <v>0</v>
      </c>
      <c r="P136" s="507">
        <f t="shared" si="16"/>
        <v>0</v>
      </c>
      <c r="Q136" s="507">
        <f t="shared" si="17"/>
        <v>0</v>
      </c>
      <c r="R136" s="507">
        <f t="shared" si="18"/>
        <v>0</v>
      </c>
      <c r="S136" s="507">
        <f t="shared" si="19"/>
        <v>0</v>
      </c>
      <c r="T136" s="507">
        <f t="shared" si="20"/>
        <v>0</v>
      </c>
      <c r="U136" s="507">
        <f t="shared" si="21"/>
        <v>0</v>
      </c>
      <c r="V136" s="507">
        <f t="shared" si="22"/>
        <v>0</v>
      </c>
      <c r="W136" s="507">
        <f t="shared" si="23"/>
        <v>0</v>
      </c>
      <c r="X136" s="507">
        <f t="shared" si="24"/>
        <v>0</v>
      </c>
      <c r="Y136" s="507">
        <f t="shared" si="25"/>
        <v>0</v>
      </c>
      <c r="Z136" s="11">
        <f t="shared" si="26"/>
        <v>0</v>
      </c>
      <c r="AC136" s="4">
        <v>275</v>
      </c>
      <c r="AD136" s="5" t="s">
        <v>375</v>
      </c>
      <c r="AE136" s="5" t="s">
        <v>373</v>
      </c>
      <c r="AF136" s="5" t="s">
        <v>376</v>
      </c>
      <c r="AG136" s="5" t="s">
        <v>0</v>
      </c>
      <c r="AH136" s="5" t="s">
        <v>18</v>
      </c>
      <c r="AI136" s="5" t="s">
        <v>12</v>
      </c>
      <c r="AJ136" s="5" t="s">
        <v>17</v>
      </c>
      <c r="AK136" s="5" t="s">
        <v>139</v>
      </c>
      <c r="AL136" s="5" t="s">
        <v>18</v>
      </c>
      <c r="AM136" s="6"/>
      <c r="AO136" s="5"/>
      <c r="AP136" s="5"/>
      <c r="AQ136" s="5"/>
      <c r="AR136" s="5"/>
      <c r="AS136" s="5"/>
      <c r="AU136" s="1547"/>
      <c r="AV136" s="35"/>
      <c r="AW136" s="36"/>
      <c r="AY136" s="34"/>
      <c r="AZ136" s="35"/>
      <c r="BA136" s="36"/>
      <c r="BC136" s="34"/>
      <c r="BD136" s="35"/>
      <c r="BE136" s="36"/>
      <c r="BG136" s="34"/>
      <c r="BH136" s="35"/>
      <c r="BI136" s="36"/>
      <c r="BK136" s="34"/>
      <c r="BL136" s="35"/>
      <c r="BM136" s="36"/>
      <c r="BO136" s="34"/>
      <c r="BP136" s="35"/>
      <c r="BQ136" s="36"/>
      <c r="BS136" s="1592"/>
      <c r="BT136" s="35"/>
      <c r="BU136" s="36"/>
      <c r="BW136" s="34"/>
      <c r="BX136" s="35"/>
      <c r="BY136" s="36"/>
      <c r="CA136" s="34"/>
      <c r="CB136" s="35"/>
      <c r="CC136" s="36"/>
      <c r="CE136" s="34"/>
      <c r="CF136" s="35"/>
      <c r="CG136" s="36"/>
      <c r="CI136" s="34"/>
      <c r="CJ136" s="35"/>
      <c r="CK136" s="36"/>
      <c r="CM136" s="34"/>
      <c r="CN136" s="35"/>
      <c r="CO136" s="36"/>
    </row>
    <row r="137" spans="1:93">
      <c r="A137" s="34"/>
      <c r="B137" s="35"/>
      <c r="C137" s="36"/>
      <c r="D137" s="37" t="str">
        <f>IF(C137&gt;=Mat!$E$71,"Material","No Mat")</f>
        <v>No Mat</v>
      </c>
      <c r="E137" s="834">
        <f>IF(C137&gt;=Mat!$E$71,C137/Mat!$E$71,0)</f>
        <v>0</v>
      </c>
      <c r="G137" s="34"/>
      <c r="H137" s="35"/>
      <c r="I137" s="48"/>
      <c r="J137" s="36"/>
      <c r="L137" s="506"/>
      <c r="M137" s="506" t="s">
        <v>1991</v>
      </c>
      <c r="N137" s="507">
        <f t="shared" si="14"/>
        <v>0</v>
      </c>
      <c r="O137" s="507">
        <f t="shared" si="15"/>
        <v>0</v>
      </c>
      <c r="P137" s="507">
        <f t="shared" si="16"/>
        <v>0</v>
      </c>
      <c r="Q137" s="507">
        <f t="shared" si="17"/>
        <v>0</v>
      </c>
      <c r="R137" s="507">
        <f t="shared" si="18"/>
        <v>0</v>
      </c>
      <c r="S137" s="507">
        <f t="shared" si="19"/>
        <v>0</v>
      </c>
      <c r="T137" s="507">
        <f t="shared" si="20"/>
        <v>0</v>
      </c>
      <c r="U137" s="507">
        <f t="shared" si="21"/>
        <v>0</v>
      </c>
      <c r="V137" s="507">
        <f t="shared" si="22"/>
        <v>0</v>
      </c>
      <c r="W137" s="507">
        <f t="shared" si="23"/>
        <v>0</v>
      </c>
      <c r="X137" s="507">
        <f t="shared" si="24"/>
        <v>0</v>
      </c>
      <c r="Y137" s="507">
        <f t="shared" si="25"/>
        <v>0</v>
      </c>
      <c r="Z137" s="11">
        <f t="shared" si="26"/>
        <v>0</v>
      </c>
      <c r="AC137" s="4">
        <v>279</v>
      </c>
      <c r="AD137" s="5" t="s">
        <v>377</v>
      </c>
      <c r="AE137" s="5" t="s">
        <v>373</v>
      </c>
      <c r="AF137" s="5" t="s">
        <v>378</v>
      </c>
      <c r="AG137" s="5" t="s">
        <v>0</v>
      </c>
      <c r="AH137" s="5" t="s">
        <v>18</v>
      </c>
      <c r="AI137" s="5" t="s">
        <v>12</v>
      </c>
      <c r="AJ137" s="5" t="s">
        <v>17</v>
      </c>
      <c r="AK137" s="5" t="s">
        <v>139</v>
      </c>
      <c r="AL137" s="5" t="s">
        <v>18</v>
      </c>
      <c r="AM137" s="6"/>
      <c r="AO137" s="5"/>
      <c r="AP137" s="5"/>
      <c r="AQ137" s="5"/>
      <c r="AR137" s="5"/>
      <c r="AS137" s="5"/>
      <c r="AU137" s="1547"/>
      <c r="AV137" s="35"/>
      <c r="AW137" s="36"/>
      <c r="AY137" s="34"/>
      <c r="AZ137" s="35"/>
      <c r="BA137" s="36"/>
      <c r="BC137" s="34"/>
      <c r="BD137" s="35"/>
      <c r="BE137" s="36"/>
      <c r="BG137" s="34"/>
      <c r="BH137" s="35"/>
      <c r="BI137" s="36"/>
      <c r="BK137" s="34"/>
      <c r="BL137" s="35"/>
      <c r="BM137" s="36"/>
      <c r="BO137" s="34"/>
      <c r="BP137" s="35"/>
      <c r="BQ137" s="36"/>
      <c r="BS137" s="1592"/>
      <c r="BT137" s="35"/>
      <c r="BU137" s="36"/>
      <c r="BW137" s="34"/>
      <c r="BX137" s="35"/>
      <c r="BY137" s="36"/>
      <c r="CA137" s="34"/>
      <c r="CB137" s="35"/>
      <c r="CC137" s="36"/>
      <c r="CE137" s="34"/>
      <c r="CF137" s="35"/>
      <c r="CG137" s="36"/>
      <c r="CI137" s="34"/>
      <c r="CJ137" s="35"/>
      <c r="CK137" s="36"/>
      <c r="CM137" s="34"/>
      <c r="CN137" s="35"/>
      <c r="CO137" s="36"/>
    </row>
    <row r="138" spans="1:93">
      <c r="A138" s="34"/>
      <c r="B138" s="35"/>
      <c r="C138" s="36"/>
      <c r="D138" s="37" t="str">
        <f>IF(C138&gt;=Mat!$E$71,"Material","No Mat")</f>
        <v>No Mat</v>
      </c>
      <c r="E138" s="834">
        <f>IF(C138&gt;=Mat!$E$71,C138/Mat!$E$71,0)</f>
        <v>0</v>
      </c>
      <c r="G138" s="34"/>
      <c r="H138" s="35"/>
      <c r="I138" s="48"/>
      <c r="J138" s="36"/>
      <c r="L138" s="506"/>
      <c r="M138" s="506" t="s">
        <v>360</v>
      </c>
      <c r="N138" s="507">
        <f t="shared" si="14"/>
        <v>0</v>
      </c>
      <c r="O138" s="507">
        <f t="shared" si="15"/>
        <v>0</v>
      </c>
      <c r="P138" s="507">
        <f t="shared" si="16"/>
        <v>0</v>
      </c>
      <c r="Q138" s="507">
        <f t="shared" si="17"/>
        <v>0</v>
      </c>
      <c r="R138" s="507">
        <f t="shared" si="18"/>
        <v>0</v>
      </c>
      <c r="S138" s="507">
        <f t="shared" si="19"/>
        <v>0</v>
      </c>
      <c r="T138" s="507">
        <f t="shared" si="20"/>
        <v>0</v>
      </c>
      <c r="U138" s="507">
        <f t="shared" si="21"/>
        <v>0</v>
      </c>
      <c r="V138" s="507">
        <f t="shared" si="22"/>
        <v>0</v>
      </c>
      <c r="W138" s="507">
        <f t="shared" si="23"/>
        <v>0</v>
      </c>
      <c r="X138" s="507">
        <f t="shared" si="24"/>
        <v>0</v>
      </c>
      <c r="Y138" s="507">
        <f t="shared" si="25"/>
        <v>0</v>
      </c>
      <c r="Z138" s="11">
        <f t="shared" si="26"/>
        <v>0</v>
      </c>
      <c r="AC138" s="4">
        <v>281</v>
      </c>
      <c r="AD138" s="5" t="s">
        <v>379</v>
      </c>
      <c r="AE138" s="5" t="s">
        <v>373</v>
      </c>
      <c r="AF138" s="5" t="s">
        <v>380</v>
      </c>
      <c r="AG138" s="5" t="s">
        <v>0</v>
      </c>
      <c r="AH138" s="5" t="s">
        <v>18</v>
      </c>
      <c r="AI138" s="5" t="s">
        <v>12</v>
      </c>
      <c r="AJ138" s="5" t="s">
        <v>17</v>
      </c>
      <c r="AK138" s="5" t="s">
        <v>139</v>
      </c>
      <c r="AL138" s="5" t="s">
        <v>18</v>
      </c>
      <c r="AM138" s="6"/>
      <c r="AO138" s="5"/>
      <c r="AP138" s="5"/>
      <c r="AQ138" s="5"/>
      <c r="AR138" s="5"/>
      <c r="AS138" s="5"/>
      <c r="AU138" s="1547"/>
      <c r="AV138" s="35"/>
      <c r="AW138" s="36"/>
      <c r="AY138" s="34"/>
      <c r="AZ138" s="35"/>
      <c r="BA138" s="36"/>
      <c r="BC138" s="34"/>
      <c r="BD138" s="35"/>
      <c r="BE138" s="36"/>
      <c r="BG138" s="34"/>
      <c r="BH138" s="35"/>
      <c r="BI138" s="36"/>
      <c r="BK138" s="34"/>
      <c r="BL138" s="35"/>
      <c r="BM138" s="36"/>
      <c r="BO138" s="34"/>
      <c r="BP138" s="35"/>
      <c r="BQ138" s="36"/>
      <c r="BS138" s="1592"/>
      <c r="BT138" s="35"/>
      <c r="BU138" s="36"/>
      <c r="BW138" s="34"/>
      <c r="BX138" s="35"/>
      <c r="BY138" s="36"/>
      <c r="CA138" s="34"/>
      <c r="CB138" s="35"/>
      <c r="CC138" s="36"/>
      <c r="CE138" s="34"/>
      <c r="CF138" s="35"/>
      <c r="CG138" s="36"/>
      <c r="CI138" s="34"/>
      <c r="CJ138" s="35"/>
      <c r="CK138" s="36"/>
      <c r="CM138" s="34"/>
      <c r="CN138" s="35"/>
      <c r="CO138" s="36"/>
    </row>
    <row r="139" spans="1:93">
      <c r="A139" s="34"/>
      <c r="B139" s="35"/>
      <c r="C139" s="36"/>
      <c r="D139" s="37" t="str">
        <f>IF(C139&gt;=Mat!$E$71,"Material","No Mat")</f>
        <v>No Mat</v>
      </c>
      <c r="E139" s="834">
        <f>IF(C139&gt;=Mat!$E$71,C139/Mat!$E$71,0)</f>
        <v>0</v>
      </c>
      <c r="G139" s="34"/>
      <c r="H139" s="35"/>
      <c r="I139" s="48"/>
      <c r="J139" s="36"/>
      <c r="L139" s="506"/>
      <c r="M139" s="506" t="s">
        <v>362</v>
      </c>
      <c r="N139" s="507">
        <f t="shared" si="14"/>
        <v>0</v>
      </c>
      <c r="O139" s="507">
        <f t="shared" si="15"/>
        <v>0</v>
      </c>
      <c r="P139" s="507">
        <f t="shared" si="16"/>
        <v>0</v>
      </c>
      <c r="Q139" s="507">
        <f t="shared" si="17"/>
        <v>0</v>
      </c>
      <c r="R139" s="507">
        <f t="shared" si="18"/>
        <v>0</v>
      </c>
      <c r="S139" s="507">
        <f t="shared" si="19"/>
        <v>0</v>
      </c>
      <c r="T139" s="507">
        <f t="shared" si="20"/>
        <v>0</v>
      </c>
      <c r="U139" s="507">
        <f t="shared" si="21"/>
        <v>0</v>
      </c>
      <c r="V139" s="507">
        <f t="shared" si="22"/>
        <v>0</v>
      </c>
      <c r="W139" s="507">
        <f t="shared" si="23"/>
        <v>0</v>
      </c>
      <c r="X139" s="507">
        <f t="shared" si="24"/>
        <v>0</v>
      </c>
      <c r="Y139" s="507">
        <f t="shared" si="25"/>
        <v>0</v>
      </c>
      <c r="Z139" s="11">
        <f t="shared" si="26"/>
        <v>0</v>
      </c>
      <c r="AC139" s="4">
        <v>283</v>
      </c>
      <c r="AD139" s="5" t="s">
        <v>381</v>
      </c>
      <c r="AE139" s="5" t="s">
        <v>225</v>
      </c>
      <c r="AF139" s="5" t="s">
        <v>382</v>
      </c>
      <c r="AG139" s="5" t="s">
        <v>0</v>
      </c>
      <c r="AH139" s="5" t="s">
        <v>18</v>
      </c>
      <c r="AI139" s="5" t="s">
        <v>12</v>
      </c>
      <c r="AJ139" s="5" t="s">
        <v>17</v>
      </c>
      <c r="AK139" s="5" t="s">
        <v>139</v>
      </c>
      <c r="AL139" s="5" t="s">
        <v>18</v>
      </c>
      <c r="AM139" s="6"/>
      <c r="AO139" s="5"/>
      <c r="AP139" s="5"/>
      <c r="AQ139" s="5"/>
      <c r="AR139" s="5"/>
      <c r="AS139" s="5"/>
      <c r="AU139" s="1547"/>
      <c r="AV139" s="35"/>
      <c r="AW139" s="36"/>
      <c r="AY139" s="34"/>
      <c r="AZ139" s="35"/>
      <c r="BA139" s="36"/>
      <c r="BC139" s="34"/>
      <c r="BD139" s="35"/>
      <c r="BE139" s="36"/>
      <c r="BG139" s="34"/>
      <c r="BH139" s="35"/>
      <c r="BI139" s="36"/>
      <c r="BK139" s="34"/>
      <c r="BL139" s="35"/>
      <c r="BM139" s="36"/>
      <c r="BO139" s="34"/>
      <c r="BP139" s="35"/>
      <c r="BQ139" s="36"/>
      <c r="BS139" s="1592"/>
      <c r="BT139" s="35"/>
      <c r="BU139" s="36"/>
      <c r="BW139" s="34"/>
      <c r="BX139" s="35"/>
      <c r="BY139" s="36"/>
      <c r="CA139" s="34"/>
      <c r="CB139" s="35"/>
      <c r="CC139" s="36"/>
      <c r="CE139" s="34"/>
      <c r="CF139" s="35"/>
      <c r="CG139" s="36"/>
      <c r="CI139" s="34"/>
      <c r="CJ139" s="35"/>
      <c r="CK139" s="36"/>
      <c r="CM139" s="34"/>
      <c r="CN139" s="35"/>
      <c r="CO139" s="36"/>
    </row>
    <row r="140" spans="1:93">
      <c r="A140" s="34"/>
      <c r="B140" s="35"/>
      <c r="C140" s="36"/>
      <c r="D140" s="37" t="str">
        <f>IF(C140&gt;=Mat!$E$71,"Material","No Mat")</f>
        <v>No Mat</v>
      </c>
      <c r="E140" s="834">
        <f>IF(C140&gt;=Mat!$E$71,C140/Mat!$E$71,0)</f>
        <v>0</v>
      </c>
      <c r="G140" s="34"/>
      <c r="H140" s="35"/>
      <c r="I140" s="48"/>
      <c r="J140" s="36"/>
      <c r="L140" s="506"/>
      <c r="M140" s="506" t="s">
        <v>364</v>
      </c>
      <c r="N140" s="507">
        <f t="shared" si="14"/>
        <v>0</v>
      </c>
      <c r="O140" s="507">
        <f t="shared" si="15"/>
        <v>0</v>
      </c>
      <c r="P140" s="507">
        <f t="shared" si="16"/>
        <v>0</v>
      </c>
      <c r="Q140" s="507">
        <f t="shared" si="17"/>
        <v>0</v>
      </c>
      <c r="R140" s="507">
        <f t="shared" si="18"/>
        <v>0</v>
      </c>
      <c r="S140" s="507">
        <f t="shared" si="19"/>
        <v>0</v>
      </c>
      <c r="T140" s="507">
        <f t="shared" si="20"/>
        <v>0</v>
      </c>
      <c r="U140" s="507">
        <f t="shared" si="21"/>
        <v>0</v>
      </c>
      <c r="V140" s="507">
        <f t="shared" si="22"/>
        <v>0</v>
      </c>
      <c r="W140" s="507">
        <f t="shared" si="23"/>
        <v>0</v>
      </c>
      <c r="X140" s="507">
        <f t="shared" si="24"/>
        <v>0</v>
      </c>
      <c r="Y140" s="507">
        <f t="shared" si="25"/>
        <v>0</v>
      </c>
      <c r="Z140" s="11">
        <f t="shared" si="26"/>
        <v>0</v>
      </c>
      <c r="AC140" s="4">
        <v>285</v>
      </c>
      <c r="AD140" s="5" t="s">
        <v>383</v>
      </c>
      <c r="AE140" s="5" t="s">
        <v>225</v>
      </c>
      <c r="AF140" s="5" t="s">
        <v>384</v>
      </c>
      <c r="AG140" s="5" t="s">
        <v>0</v>
      </c>
      <c r="AH140" s="5" t="s">
        <v>18</v>
      </c>
      <c r="AI140" s="5" t="s">
        <v>12</v>
      </c>
      <c r="AJ140" s="5" t="s">
        <v>17</v>
      </c>
      <c r="AK140" s="5" t="s">
        <v>139</v>
      </c>
      <c r="AL140" s="5" t="s">
        <v>18</v>
      </c>
      <c r="AM140" s="6"/>
      <c r="AO140" s="5"/>
      <c r="AP140" s="5"/>
      <c r="AQ140" s="5"/>
      <c r="AR140" s="5"/>
      <c r="AS140" s="5"/>
      <c r="AU140" s="1547"/>
      <c r="AV140" s="35"/>
      <c r="AW140" s="36"/>
      <c r="AY140" s="34"/>
      <c r="AZ140" s="35"/>
      <c r="BA140" s="36"/>
      <c r="BC140" s="34"/>
      <c r="BD140" s="35"/>
      <c r="BE140" s="36"/>
      <c r="BG140" s="34"/>
      <c r="BH140" s="35"/>
      <c r="BI140" s="36"/>
      <c r="BK140" s="34"/>
      <c r="BL140" s="35"/>
      <c r="BM140" s="36"/>
      <c r="BO140" s="34"/>
      <c r="BP140" s="35"/>
      <c r="BQ140" s="36"/>
      <c r="BS140" s="1592"/>
      <c r="BT140" s="35"/>
      <c r="BU140" s="36"/>
      <c r="BW140" s="34"/>
      <c r="BX140" s="35"/>
      <c r="BY140" s="36"/>
      <c r="CA140" s="34"/>
      <c r="CB140" s="35"/>
      <c r="CC140" s="36"/>
      <c r="CE140" s="34"/>
      <c r="CF140" s="35"/>
      <c r="CG140" s="36"/>
      <c r="CI140" s="34"/>
      <c r="CJ140" s="35"/>
      <c r="CK140" s="36"/>
      <c r="CM140" s="34"/>
      <c r="CN140" s="35"/>
      <c r="CO140" s="36"/>
    </row>
    <row r="141" spans="1:93">
      <c r="A141" s="34"/>
      <c r="B141" s="35"/>
      <c r="C141" s="36"/>
      <c r="D141" s="37" t="str">
        <f>IF(C141&gt;=Mat!$E$71,"Material","No Mat")</f>
        <v>No Mat</v>
      </c>
      <c r="E141" s="834">
        <f>IF(C141&gt;=Mat!$E$71,C141/Mat!$E$71,0)</f>
        <v>0</v>
      </c>
      <c r="G141" s="34"/>
      <c r="H141" s="35"/>
      <c r="I141" s="48"/>
      <c r="J141" s="36"/>
      <c r="L141" s="506"/>
      <c r="M141" s="506" t="s">
        <v>366</v>
      </c>
      <c r="N141" s="507">
        <f t="shared" si="14"/>
        <v>0</v>
      </c>
      <c r="O141" s="507">
        <f t="shared" si="15"/>
        <v>0</v>
      </c>
      <c r="P141" s="507">
        <f t="shared" si="16"/>
        <v>0</v>
      </c>
      <c r="Q141" s="507">
        <f t="shared" si="17"/>
        <v>0</v>
      </c>
      <c r="R141" s="507">
        <f t="shared" si="18"/>
        <v>0</v>
      </c>
      <c r="S141" s="507">
        <f t="shared" si="19"/>
        <v>0</v>
      </c>
      <c r="T141" s="507">
        <f t="shared" si="20"/>
        <v>0</v>
      </c>
      <c r="U141" s="507">
        <f t="shared" si="21"/>
        <v>0</v>
      </c>
      <c r="V141" s="507">
        <f t="shared" si="22"/>
        <v>0</v>
      </c>
      <c r="W141" s="507">
        <f t="shared" si="23"/>
        <v>0</v>
      </c>
      <c r="X141" s="507">
        <f t="shared" si="24"/>
        <v>0</v>
      </c>
      <c r="Y141" s="507">
        <f t="shared" si="25"/>
        <v>0</v>
      </c>
      <c r="Z141" s="11">
        <f t="shared" si="26"/>
        <v>0</v>
      </c>
      <c r="AC141" s="4">
        <v>287</v>
      </c>
      <c r="AD141" s="5" t="s">
        <v>389</v>
      </c>
      <c r="AE141" s="5" t="s">
        <v>387</v>
      </c>
      <c r="AF141" s="5" t="s">
        <v>911</v>
      </c>
      <c r="AG141" s="5" t="s">
        <v>0</v>
      </c>
      <c r="AH141" s="5" t="s">
        <v>18</v>
      </c>
      <c r="AI141" s="5" t="s">
        <v>12</v>
      </c>
      <c r="AJ141" s="5" t="s">
        <v>17</v>
      </c>
      <c r="AK141" s="5" t="s">
        <v>139</v>
      </c>
      <c r="AL141" s="5" t="s">
        <v>18</v>
      </c>
      <c r="AM141" s="6"/>
      <c r="AO141" s="5"/>
      <c r="AP141" s="5"/>
      <c r="AQ141" s="5"/>
      <c r="AR141" s="5"/>
      <c r="AS141" s="5"/>
      <c r="AU141" s="1547"/>
      <c r="AV141" s="35"/>
      <c r="AW141" s="36"/>
      <c r="AY141" s="34"/>
      <c r="AZ141" s="35"/>
      <c r="BA141" s="36"/>
      <c r="BC141" s="34"/>
      <c r="BD141" s="35"/>
      <c r="BE141" s="36"/>
      <c r="BG141" s="34"/>
      <c r="BH141" s="35"/>
      <c r="BI141" s="36"/>
      <c r="BK141" s="34"/>
      <c r="BL141" s="35"/>
      <c r="BM141" s="36"/>
      <c r="BO141" s="34"/>
      <c r="BP141" s="35"/>
      <c r="BQ141" s="36"/>
      <c r="BS141" s="1592"/>
      <c r="BT141" s="35"/>
      <c r="BU141" s="36"/>
      <c r="BW141" s="34"/>
      <c r="BX141" s="35"/>
      <c r="BY141" s="36"/>
      <c r="CA141" s="34"/>
      <c r="CB141" s="35"/>
      <c r="CC141" s="36"/>
      <c r="CE141" s="34"/>
      <c r="CF141" s="35"/>
      <c r="CG141" s="36"/>
      <c r="CI141" s="34"/>
      <c r="CJ141" s="35"/>
      <c r="CK141" s="36"/>
      <c r="CM141" s="34"/>
      <c r="CN141" s="35"/>
      <c r="CO141" s="36"/>
    </row>
    <row r="142" spans="1:93">
      <c r="A142" s="34"/>
      <c r="B142" s="35"/>
      <c r="C142" s="36"/>
      <c r="D142" s="37" t="str">
        <f>IF(C142&gt;=Mat!$E$71,"Material","No Mat")</f>
        <v>No Mat</v>
      </c>
      <c r="E142" s="834">
        <f>IF(C142&gt;=Mat!$E$71,C142/Mat!$E$71,0)</f>
        <v>0</v>
      </c>
      <c r="G142" s="34"/>
      <c r="H142" s="35"/>
      <c r="I142" s="48"/>
      <c r="J142" s="36"/>
      <c r="L142" s="506"/>
      <c r="M142" s="506" t="s">
        <v>368</v>
      </c>
      <c r="N142" s="507">
        <f t="shared" si="14"/>
        <v>0</v>
      </c>
      <c r="O142" s="507">
        <f t="shared" si="15"/>
        <v>0</v>
      </c>
      <c r="P142" s="507">
        <f t="shared" si="16"/>
        <v>0</v>
      </c>
      <c r="Q142" s="507">
        <f t="shared" si="17"/>
        <v>0</v>
      </c>
      <c r="R142" s="507">
        <f t="shared" si="18"/>
        <v>0</v>
      </c>
      <c r="S142" s="507">
        <f t="shared" si="19"/>
        <v>0</v>
      </c>
      <c r="T142" s="507">
        <f t="shared" si="20"/>
        <v>0</v>
      </c>
      <c r="U142" s="507">
        <f t="shared" si="21"/>
        <v>0</v>
      </c>
      <c r="V142" s="507">
        <f t="shared" si="22"/>
        <v>0</v>
      </c>
      <c r="W142" s="507">
        <f t="shared" si="23"/>
        <v>0</v>
      </c>
      <c r="X142" s="507">
        <f t="shared" si="24"/>
        <v>0</v>
      </c>
      <c r="Y142" s="507">
        <f t="shared" si="25"/>
        <v>0</v>
      </c>
      <c r="Z142" s="11">
        <f t="shared" si="26"/>
        <v>0</v>
      </c>
      <c r="AC142" s="4">
        <v>289</v>
      </c>
      <c r="AD142" s="5" t="s">
        <v>393</v>
      </c>
      <c r="AE142" s="5" t="s">
        <v>391</v>
      </c>
      <c r="AF142" s="5" t="s">
        <v>394</v>
      </c>
      <c r="AG142" s="5" t="s">
        <v>0</v>
      </c>
      <c r="AH142" s="5" t="s">
        <v>18</v>
      </c>
      <c r="AI142" s="5" t="s">
        <v>12</v>
      </c>
      <c r="AJ142" s="5" t="s">
        <v>17</v>
      </c>
      <c r="AK142" s="5" t="s">
        <v>139</v>
      </c>
      <c r="AL142" s="5" t="s">
        <v>18</v>
      </c>
      <c r="AM142" s="6"/>
      <c r="AO142" s="5"/>
      <c r="AP142" s="5"/>
      <c r="AQ142" s="5"/>
      <c r="AR142" s="5"/>
      <c r="AS142" s="5"/>
      <c r="AU142" s="1547"/>
      <c r="AV142" s="35"/>
      <c r="AW142" s="36"/>
      <c r="AY142" s="34"/>
      <c r="AZ142" s="35"/>
      <c r="BA142" s="36"/>
      <c r="BC142" s="34"/>
      <c r="BD142" s="35"/>
      <c r="BE142" s="36"/>
      <c r="BG142" s="34"/>
      <c r="BH142" s="35"/>
      <c r="BI142" s="36"/>
      <c r="BK142" s="34"/>
      <c r="BL142" s="35"/>
      <c r="BM142" s="36"/>
      <c r="BO142" s="34"/>
      <c r="BP142" s="35"/>
      <c r="BQ142" s="36"/>
      <c r="BS142" s="1592"/>
      <c r="BT142" s="35"/>
      <c r="BU142" s="36"/>
      <c r="BW142" s="34"/>
      <c r="BX142" s="35"/>
      <c r="BY142" s="36"/>
      <c r="CA142" s="34"/>
      <c r="CB142" s="35"/>
      <c r="CC142" s="36"/>
      <c r="CE142" s="34"/>
      <c r="CF142" s="35"/>
      <c r="CG142" s="36"/>
      <c r="CI142" s="34"/>
      <c r="CJ142" s="35"/>
      <c r="CK142" s="36"/>
      <c r="CM142" s="34"/>
      <c r="CN142" s="35"/>
      <c r="CO142" s="36"/>
    </row>
    <row r="143" spans="1:93">
      <c r="A143" s="34"/>
      <c r="B143" s="35"/>
      <c r="C143" s="36"/>
      <c r="D143" s="37" t="str">
        <f>IF(C143&gt;=Mat!$E$71,"Material","No Mat")</f>
        <v>No Mat</v>
      </c>
      <c r="E143" s="834">
        <f>IF(C143&gt;=Mat!$E$71,C143/Mat!$E$71,0)</f>
        <v>0</v>
      </c>
      <c r="G143" s="34"/>
      <c r="H143" s="35"/>
      <c r="I143" s="48"/>
      <c r="J143" s="36"/>
      <c r="L143" s="506"/>
      <c r="M143" s="506" t="s">
        <v>903</v>
      </c>
      <c r="N143" s="507">
        <f t="shared" ref="N143:N206" si="27">IFERROR(VLOOKUP(M143,$AV$8:$AW$298,2,FALSE),0)</f>
        <v>0</v>
      </c>
      <c r="O143" s="507">
        <f t="shared" ref="O143:O206" si="28">IFERROR(VLOOKUP(M143,$AZ$8:$BA$298,2,FALSE),0)</f>
        <v>0</v>
      </c>
      <c r="P143" s="507">
        <f t="shared" ref="P143:P206" si="29">IFERROR(VLOOKUP(M143,$BD$8:$BE$298,2,FALSE),0)</f>
        <v>0</v>
      </c>
      <c r="Q143" s="507">
        <f t="shared" ref="Q143:Q206" si="30">IFERROR(VLOOKUP($M143,$BH$8:$BI$298,2,FALSE),0)</f>
        <v>0</v>
      </c>
      <c r="R143" s="507">
        <f t="shared" ref="R143:R206" si="31">IFERROR(VLOOKUP($M143,$BL$8:$BM$298,2,FALSE),0)</f>
        <v>0</v>
      </c>
      <c r="S143" s="507">
        <f t="shared" ref="S143:S206" si="32">IFERROR(VLOOKUP($M143,$BP$8:$BQ$298,2,FALSE),0)</f>
        <v>0</v>
      </c>
      <c r="T143" s="507">
        <f t="shared" ref="T143:T206" si="33">IFERROR(VLOOKUP($M143,$BT$8:$BU$298,2,FALSE),0)</f>
        <v>0</v>
      </c>
      <c r="U143" s="507">
        <f t="shared" ref="U143:U206" si="34">IFERROR(VLOOKUP($M143,$BX$8:$BY$298,2,FALSE),0)</f>
        <v>0</v>
      </c>
      <c r="V143" s="507">
        <f t="shared" ref="V143:V206" si="35">IFERROR(VLOOKUP($M143,$CB$8:$CC$298,2,FALSE),0)</f>
        <v>0</v>
      </c>
      <c r="W143" s="507">
        <f t="shared" ref="W143:W206" si="36">IFERROR(VLOOKUP($M143,$CF$8:$CG$298,2,FALSE),0)</f>
        <v>0</v>
      </c>
      <c r="X143" s="507">
        <f t="shared" ref="X143:X206" si="37">IFERROR(VLOOKUP($M143,$CJ$8:$CK$298,2,FALSE),0)</f>
        <v>0</v>
      </c>
      <c r="Y143" s="507">
        <f t="shared" ref="Y143:Y206" si="38">IFERROR(VLOOKUP($M143,$CN$8:$CO$298,2,FALSE),0)</f>
        <v>0</v>
      </c>
      <c r="Z143" s="11">
        <f t="shared" si="26"/>
        <v>0</v>
      </c>
      <c r="AC143" s="4">
        <v>291</v>
      </c>
      <c r="AD143" s="5" t="s">
        <v>395</v>
      </c>
      <c r="AE143" s="5" t="s">
        <v>391</v>
      </c>
      <c r="AF143" s="5" t="s">
        <v>396</v>
      </c>
      <c r="AG143" s="5" t="s">
        <v>0</v>
      </c>
      <c r="AH143" s="5" t="s">
        <v>18</v>
      </c>
      <c r="AI143" s="5" t="s">
        <v>12</v>
      </c>
      <c r="AJ143" s="5" t="s">
        <v>17</v>
      </c>
      <c r="AK143" s="5" t="s">
        <v>139</v>
      </c>
      <c r="AL143" s="5" t="s">
        <v>18</v>
      </c>
      <c r="AM143" s="6"/>
      <c r="AO143" s="5"/>
      <c r="AP143" s="5"/>
      <c r="AQ143" s="5"/>
      <c r="AR143" s="5"/>
      <c r="AS143" s="5"/>
      <c r="AU143" s="1547"/>
      <c r="AV143" s="35"/>
      <c r="AW143" s="36"/>
      <c r="AY143" s="34"/>
      <c r="AZ143" s="35"/>
      <c r="BA143" s="36"/>
      <c r="BC143" s="34"/>
      <c r="BD143" s="35"/>
      <c r="BE143" s="36"/>
      <c r="BG143" s="34"/>
      <c r="BH143" s="35"/>
      <c r="BI143" s="36"/>
      <c r="BK143" s="34"/>
      <c r="BL143" s="35"/>
      <c r="BM143" s="36"/>
      <c r="BO143" s="34"/>
      <c r="BP143" s="35"/>
      <c r="BQ143" s="36"/>
      <c r="BS143" s="1592"/>
      <c r="BT143" s="35"/>
      <c r="BU143" s="36"/>
      <c r="BW143" s="34"/>
      <c r="BX143" s="35"/>
      <c r="BY143" s="36"/>
      <c r="CA143" s="34"/>
      <c r="CB143" s="35"/>
      <c r="CC143" s="36"/>
      <c r="CE143" s="34"/>
      <c r="CF143" s="35"/>
      <c r="CG143" s="36"/>
      <c r="CI143" s="34"/>
      <c r="CJ143" s="35"/>
      <c r="CK143" s="36"/>
      <c r="CM143" s="34"/>
      <c r="CN143" s="35"/>
      <c r="CO143" s="36"/>
    </row>
    <row r="144" spans="1:93">
      <c r="A144" s="34"/>
      <c r="B144" s="35"/>
      <c r="C144" s="36"/>
      <c r="D144" s="37" t="str">
        <f>IF(C144&gt;=Mat!$E$71,"Material","No Mat")</f>
        <v>No Mat</v>
      </c>
      <c r="E144" s="834">
        <f>IF(C144&gt;=Mat!$E$71,C144/Mat!$E$71,0)</f>
        <v>0</v>
      </c>
      <c r="G144" s="34"/>
      <c r="H144" s="35"/>
      <c r="I144" s="48"/>
      <c r="J144" s="36"/>
      <c r="L144" s="506"/>
      <c r="M144" s="506" t="s">
        <v>1971</v>
      </c>
      <c r="N144" s="507">
        <f t="shared" si="27"/>
        <v>0</v>
      </c>
      <c r="O144" s="507">
        <f t="shared" si="28"/>
        <v>0</v>
      </c>
      <c r="P144" s="507">
        <f t="shared" si="29"/>
        <v>0</v>
      </c>
      <c r="Q144" s="507">
        <f t="shared" si="30"/>
        <v>0</v>
      </c>
      <c r="R144" s="507">
        <f t="shared" si="31"/>
        <v>0</v>
      </c>
      <c r="S144" s="507">
        <f t="shared" si="32"/>
        <v>0</v>
      </c>
      <c r="T144" s="507">
        <f t="shared" si="33"/>
        <v>0</v>
      </c>
      <c r="U144" s="507">
        <f t="shared" si="34"/>
        <v>0</v>
      </c>
      <c r="V144" s="507">
        <f t="shared" si="35"/>
        <v>0</v>
      </c>
      <c r="W144" s="507">
        <f t="shared" si="36"/>
        <v>0</v>
      </c>
      <c r="X144" s="507">
        <f t="shared" si="37"/>
        <v>0</v>
      </c>
      <c r="Y144" s="507">
        <f t="shared" si="38"/>
        <v>0</v>
      </c>
      <c r="Z144" s="11">
        <f t="shared" ref="Z144:Z207" si="39">SUM(N144:Y144)</f>
        <v>0</v>
      </c>
      <c r="AC144" s="4">
        <v>293</v>
      </c>
      <c r="AD144" s="5" t="s">
        <v>397</v>
      </c>
      <c r="AE144" s="5" t="s">
        <v>391</v>
      </c>
      <c r="AF144" s="5" t="s">
        <v>398</v>
      </c>
      <c r="AG144" s="5" t="s">
        <v>0</v>
      </c>
      <c r="AH144" s="5" t="s">
        <v>18</v>
      </c>
      <c r="AI144" s="5" t="s">
        <v>12</v>
      </c>
      <c r="AJ144" s="5" t="s">
        <v>17</v>
      </c>
      <c r="AK144" s="5" t="s">
        <v>139</v>
      </c>
      <c r="AL144" s="5" t="s">
        <v>18</v>
      </c>
      <c r="AM144" s="6"/>
      <c r="AO144" s="5"/>
      <c r="AP144" s="5"/>
      <c r="AQ144" s="5"/>
      <c r="AR144" s="5"/>
      <c r="AS144" s="5"/>
      <c r="AU144" s="1547"/>
      <c r="AV144" s="35"/>
      <c r="AW144" s="36"/>
      <c r="AY144" s="34"/>
      <c r="AZ144" s="35"/>
      <c r="BA144" s="36"/>
      <c r="BC144" s="34"/>
      <c r="BD144" s="35"/>
      <c r="BE144" s="36"/>
      <c r="BG144" s="34"/>
      <c r="BH144" s="35"/>
      <c r="BI144" s="36"/>
      <c r="BK144" s="34"/>
      <c r="BL144" s="35"/>
      <c r="BM144" s="36"/>
      <c r="BO144" s="34"/>
      <c r="BP144" s="35"/>
      <c r="BQ144" s="36"/>
      <c r="BS144" s="1592"/>
      <c r="BT144" s="35"/>
      <c r="BU144" s="36"/>
      <c r="BW144" s="34"/>
      <c r="BX144" s="35"/>
      <c r="BY144" s="36"/>
      <c r="CA144" s="34"/>
      <c r="CB144" s="35"/>
      <c r="CC144" s="36"/>
      <c r="CE144" s="34"/>
      <c r="CF144" s="35"/>
      <c r="CG144" s="36"/>
      <c r="CI144" s="34"/>
      <c r="CJ144" s="35"/>
      <c r="CK144" s="36"/>
      <c r="CM144" s="34"/>
      <c r="CN144" s="35"/>
      <c r="CO144" s="36"/>
    </row>
    <row r="145" spans="1:93">
      <c r="A145" s="1785"/>
      <c r="B145" s="35"/>
      <c r="C145" s="36"/>
      <c r="D145" s="37" t="str">
        <f>IF(C145&gt;=Mat!$E$71,"Material","No Mat")</f>
        <v>No Mat</v>
      </c>
      <c r="E145" s="834">
        <f>IF(C145&gt;=Mat!$E$71,C145/Mat!$E$71,0)</f>
        <v>0</v>
      </c>
      <c r="G145" s="34"/>
      <c r="H145" s="35"/>
      <c r="I145" s="48"/>
      <c r="J145" s="36"/>
      <c r="L145" s="506"/>
      <c r="M145" s="506" t="s">
        <v>2217</v>
      </c>
      <c r="N145" s="507">
        <f t="shared" si="27"/>
        <v>0</v>
      </c>
      <c r="O145" s="507">
        <f t="shared" si="28"/>
        <v>0</v>
      </c>
      <c r="P145" s="507">
        <f t="shared" si="29"/>
        <v>0</v>
      </c>
      <c r="Q145" s="507">
        <f t="shared" si="30"/>
        <v>0</v>
      </c>
      <c r="R145" s="507">
        <f t="shared" si="31"/>
        <v>0</v>
      </c>
      <c r="S145" s="507">
        <f t="shared" si="32"/>
        <v>0</v>
      </c>
      <c r="T145" s="507">
        <f t="shared" si="33"/>
        <v>0</v>
      </c>
      <c r="U145" s="507">
        <f t="shared" si="34"/>
        <v>0</v>
      </c>
      <c r="V145" s="507">
        <f t="shared" si="35"/>
        <v>0</v>
      </c>
      <c r="W145" s="507">
        <f t="shared" si="36"/>
        <v>0</v>
      </c>
      <c r="X145" s="507">
        <f t="shared" si="37"/>
        <v>0</v>
      </c>
      <c r="Y145" s="507">
        <f t="shared" si="38"/>
        <v>0</v>
      </c>
      <c r="Z145" s="11">
        <f t="shared" si="39"/>
        <v>0</v>
      </c>
      <c r="AC145" s="4">
        <v>295</v>
      </c>
      <c r="AD145" s="5" t="s">
        <v>399</v>
      </c>
      <c r="AE145" s="5" t="s">
        <v>391</v>
      </c>
      <c r="AF145" s="5" t="s">
        <v>400</v>
      </c>
      <c r="AG145" s="5" t="s">
        <v>0</v>
      </c>
      <c r="AH145" s="5" t="s">
        <v>18</v>
      </c>
      <c r="AI145" s="5" t="s">
        <v>12</v>
      </c>
      <c r="AJ145" s="5" t="s">
        <v>17</v>
      </c>
      <c r="AK145" s="5" t="s">
        <v>139</v>
      </c>
      <c r="AL145" s="5" t="s">
        <v>18</v>
      </c>
      <c r="AM145" s="6"/>
      <c r="AO145" s="5"/>
      <c r="AP145" s="5"/>
      <c r="AQ145" s="5"/>
      <c r="AR145" s="5"/>
      <c r="AS145" s="5"/>
      <c r="AU145" s="1547"/>
      <c r="AV145" s="35"/>
      <c r="AW145" s="36"/>
      <c r="AY145" s="34"/>
      <c r="AZ145" s="35"/>
      <c r="BA145" s="36"/>
      <c r="BC145" s="34"/>
      <c r="BD145" s="35"/>
      <c r="BE145" s="36"/>
      <c r="BG145" s="34"/>
      <c r="BH145" s="35"/>
      <c r="BI145" s="36"/>
      <c r="BK145" s="34"/>
      <c r="BL145" s="35"/>
      <c r="BM145" s="36"/>
      <c r="BO145" s="34"/>
      <c r="BP145" s="35"/>
      <c r="BQ145" s="36"/>
      <c r="BS145" s="1592"/>
      <c r="BT145" s="35"/>
      <c r="BU145" s="36"/>
      <c r="BW145" s="34"/>
      <c r="BX145" s="35"/>
      <c r="BY145" s="36"/>
      <c r="CA145" s="34"/>
      <c r="CB145" s="35"/>
      <c r="CC145" s="36"/>
      <c r="CE145" s="34"/>
      <c r="CF145" s="35"/>
      <c r="CG145" s="36"/>
      <c r="CI145" s="34"/>
      <c r="CJ145" s="35"/>
      <c r="CK145" s="36"/>
      <c r="CM145" s="34"/>
      <c r="CN145" s="35"/>
      <c r="CO145" s="36"/>
    </row>
    <row r="146" spans="1:93">
      <c r="A146" s="34"/>
      <c r="B146" s="35"/>
      <c r="C146" s="36"/>
      <c r="D146" s="37" t="str">
        <f>IF(C146&gt;=Mat!$E$71,"Material","No Mat")</f>
        <v>No Mat</v>
      </c>
      <c r="E146" s="834">
        <f>IF(C146&gt;=Mat!$E$71,C146/Mat!$E$71,0)</f>
        <v>0</v>
      </c>
      <c r="G146" s="34"/>
      <c r="H146" s="35"/>
      <c r="I146" s="48"/>
      <c r="J146" s="36"/>
      <c r="L146" s="506"/>
      <c r="M146" s="506" t="s">
        <v>372</v>
      </c>
      <c r="N146" s="507">
        <f t="shared" si="27"/>
        <v>0</v>
      </c>
      <c r="O146" s="507">
        <f t="shared" si="28"/>
        <v>0</v>
      </c>
      <c r="P146" s="507">
        <f t="shared" si="29"/>
        <v>0</v>
      </c>
      <c r="Q146" s="507">
        <f t="shared" si="30"/>
        <v>0</v>
      </c>
      <c r="R146" s="507">
        <f t="shared" si="31"/>
        <v>0</v>
      </c>
      <c r="S146" s="507">
        <f t="shared" si="32"/>
        <v>0</v>
      </c>
      <c r="T146" s="507">
        <f t="shared" si="33"/>
        <v>0</v>
      </c>
      <c r="U146" s="507">
        <f t="shared" si="34"/>
        <v>0</v>
      </c>
      <c r="V146" s="507">
        <f t="shared" si="35"/>
        <v>0</v>
      </c>
      <c r="W146" s="507">
        <f t="shared" si="36"/>
        <v>0</v>
      </c>
      <c r="X146" s="507">
        <f t="shared" si="37"/>
        <v>0</v>
      </c>
      <c r="Y146" s="507">
        <f t="shared" si="38"/>
        <v>0</v>
      </c>
      <c r="Z146" s="11">
        <f t="shared" si="39"/>
        <v>0</v>
      </c>
      <c r="AC146" s="4">
        <v>297</v>
      </c>
      <c r="AD146" s="5" t="s">
        <v>401</v>
      </c>
      <c r="AE146" s="5" t="s">
        <v>391</v>
      </c>
      <c r="AF146" s="5" t="s">
        <v>402</v>
      </c>
      <c r="AG146" s="5" t="s">
        <v>0</v>
      </c>
      <c r="AH146" s="5" t="s">
        <v>18</v>
      </c>
      <c r="AI146" s="5" t="s">
        <v>12</v>
      </c>
      <c r="AJ146" s="5" t="s">
        <v>17</v>
      </c>
      <c r="AK146" s="5" t="s">
        <v>139</v>
      </c>
      <c r="AL146" s="5" t="s">
        <v>18</v>
      </c>
      <c r="AM146" s="6"/>
      <c r="AO146" s="5"/>
      <c r="AP146" s="5"/>
      <c r="AQ146" s="5"/>
      <c r="AR146" s="5"/>
      <c r="AS146" s="5"/>
      <c r="AU146" s="1547"/>
      <c r="AV146" s="35"/>
      <c r="AW146" s="36"/>
      <c r="AY146" s="34"/>
      <c r="AZ146" s="35"/>
      <c r="BA146" s="36"/>
      <c r="BC146" s="34"/>
      <c r="BD146" s="35"/>
      <c r="BE146" s="36"/>
      <c r="BG146" s="34"/>
      <c r="BH146" s="35"/>
      <c r="BI146" s="36"/>
      <c r="BK146" s="34"/>
      <c r="BL146" s="35"/>
      <c r="BM146" s="36"/>
      <c r="BO146" s="34"/>
      <c r="BP146" s="35"/>
      <c r="BQ146" s="36"/>
      <c r="BS146" s="1592"/>
      <c r="BT146" s="35"/>
      <c r="BU146" s="36"/>
      <c r="BW146" s="34"/>
      <c r="BX146" s="35"/>
      <c r="BY146" s="36"/>
      <c r="CA146" s="34"/>
      <c r="CB146" s="35"/>
      <c r="CC146" s="36"/>
      <c r="CE146" s="34"/>
      <c r="CF146" s="35"/>
      <c r="CG146" s="36"/>
      <c r="CI146" s="34"/>
      <c r="CJ146" s="35"/>
      <c r="CK146" s="36"/>
      <c r="CM146" s="34"/>
      <c r="CN146" s="35"/>
      <c r="CO146" s="36"/>
    </row>
    <row r="147" spans="1:93">
      <c r="A147" s="34"/>
      <c r="B147" s="35"/>
      <c r="C147" s="36"/>
      <c r="D147" s="37" t="str">
        <f>IF(C147&gt;=Mat!$E$71,"Material","No Mat")</f>
        <v>No Mat</v>
      </c>
      <c r="E147" s="834">
        <f>IF(C147&gt;=Mat!$E$71,C147/Mat!$E$71,0)</f>
        <v>0</v>
      </c>
      <c r="G147" s="34"/>
      <c r="H147" s="35"/>
      <c r="I147" s="48"/>
      <c r="J147" s="36"/>
      <c r="L147" s="506"/>
      <c r="M147" s="506" t="s">
        <v>376</v>
      </c>
      <c r="N147" s="507">
        <f t="shared" si="27"/>
        <v>0</v>
      </c>
      <c r="O147" s="507">
        <f t="shared" si="28"/>
        <v>0</v>
      </c>
      <c r="P147" s="507">
        <f t="shared" si="29"/>
        <v>0</v>
      </c>
      <c r="Q147" s="507">
        <f t="shared" si="30"/>
        <v>0</v>
      </c>
      <c r="R147" s="507">
        <f t="shared" si="31"/>
        <v>0</v>
      </c>
      <c r="S147" s="507">
        <f t="shared" si="32"/>
        <v>0</v>
      </c>
      <c r="T147" s="507">
        <f t="shared" si="33"/>
        <v>0</v>
      </c>
      <c r="U147" s="507">
        <f t="shared" si="34"/>
        <v>0</v>
      </c>
      <c r="V147" s="507">
        <f t="shared" si="35"/>
        <v>0</v>
      </c>
      <c r="W147" s="507">
        <f t="shared" si="36"/>
        <v>0</v>
      </c>
      <c r="X147" s="507">
        <f t="shared" si="37"/>
        <v>0</v>
      </c>
      <c r="Y147" s="507">
        <f t="shared" si="38"/>
        <v>0</v>
      </c>
      <c r="Z147" s="11">
        <f t="shared" si="39"/>
        <v>0</v>
      </c>
      <c r="AC147" s="4">
        <v>299</v>
      </c>
      <c r="AD147" s="5" t="s">
        <v>403</v>
      </c>
      <c r="AE147" s="5" t="s">
        <v>391</v>
      </c>
      <c r="AF147" s="5" t="s">
        <v>404</v>
      </c>
      <c r="AG147" s="5" t="s">
        <v>0</v>
      </c>
      <c r="AH147" s="5" t="s">
        <v>18</v>
      </c>
      <c r="AI147" s="5" t="s">
        <v>12</v>
      </c>
      <c r="AJ147" s="5" t="s">
        <v>17</v>
      </c>
      <c r="AK147" s="5" t="s">
        <v>139</v>
      </c>
      <c r="AL147" s="5" t="s">
        <v>18</v>
      </c>
      <c r="AM147" s="6"/>
      <c r="AO147" s="5"/>
      <c r="AP147" s="5"/>
      <c r="AQ147" s="5"/>
      <c r="AR147" s="5"/>
      <c r="AS147" s="5"/>
      <c r="AU147" s="1547"/>
      <c r="AV147" s="35"/>
      <c r="AW147" s="36"/>
      <c r="AY147" s="34"/>
      <c r="AZ147" s="35"/>
      <c r="BA147" s="36"/>
      <c r="BC147" s="34"/>
      <c r="BD147" s="35"/>
      <c r="BE147" s="36"/>
      <c r="BG147" s="34"/>
      <c r="BH147" s="35"/>
      <c r="BI147" s="36"/>
      <c r="BK147" s="34"/>
      <c r="BL147" s="35"/>
      <c r="BM147" s="36"/>
      <c r="BO147" s="34"/>
      <c r="BP147" s="35"/>
      <c r="BQ147" s="36"/>
      <c r="BS147" s="1592"/>
      <c r="BT147" s="35"/>
      <c r="BU147" s="36"/>
      <c r="BW147" s="34"/>
      <c r="BX147" s="35"/>
      <c r="BY147" s="36"/>
      <c r="CA147" s="34"/>
      <c r="CB147" s="35"/>
      <c r="CC147" s="36"/>
      <c r="CE147" s="34"/>
      <c r="CF147" s="35"/>
      <c r="CG147" s="36"/>
      <c r="CI147" s="34"/>
      <c r="CJ147" s="35"/>
      <c r="CK147" s="36"/>
      <c r="CM147" s="34"/>
      <c r="CN147" s="35"/>
      <c r="CO147" s="36"/>
    </row>
    <row r="148" spans="1:93">
      <c r="A148" s="34"/>
      <c r="B148" s="35"/>
      <c r="C148" s="36"/>
      <c r="D148" s="37" t="str">
        <f>IF(C148&gt;=Mat!$E$71,"Material","No Mat")</f>
        <v>No Mat</v>
      </c>
      <c r="E148" s="834">
        <f>IF(C148&gt;=Mat!$E$71,C148/Mat!$E$71,0)</f>
        <v>0</v>
      </c>
      <c r="G148" s="34"/>
      <c r="H148" s="35"/>
      <c r="I148" s="48"/>
      <c r="J148" s="36"/>
      <c r="L148" s="506"/>
      <c r="M148" s="506" t="s">
        <v>378</v>
      </c>
      <c r="N148" s="507">
        <f t="shared" si="27"/>
        <v>0</v>
      </c>
      <c r="O148" s="507">
        <f t="shared" si="28"/>
        <v>0</v>
      </c>
      <c r="P148" s="507">
        <f t="shared" si="29"/>
        <v>0</v>
      </c>
      <c r="Q148" s="507">
        <f t="shared" si="30"/>
        <v>0</v>
      </c>
      <c r="R148" s="507">
        <f t="shared" si="31"/>
        <v>0</v>
      </c>
      <c r="S148" s="507">
        <f t="shared" si="32"/>
        <v>0</v>
      </c>
      <c r="T148" s="507">
        <f t="shared" si="33"/>
        <v>0</v>
      </c>
      <c r="U148" s="507">
        <f t="shared" si="34"/>
        <v>0</v>
      </c>
      <c r="V148" s="507">
        <f t="shared" si="35"/>
        <v>0</v>
      </c>
      <c r="W148" s="507">
        <f t="shared" si="36"/>
        <v>0</v>
      </c>
      <c r="X148" s="507">
        <f t="shared" si="37"/>
        <v>0</v>
      </c>
      <c r="Y148" s="507">
        <f t="shared" si="38"/>
        <v>0</v>
      </c>
      <c r="Z148" s="11">
        <f t="shared" si="39"/>
        <v>0</v>
      </c>
      <c r="AC148" s="4">
        <v>301</v>
      </c>
      <c r="AD148" s="5" t="s">
        <v>407</v>
      </c>
      <c r="AE148" s="5" t="s">
        <v>405</v>
      </c>
      <c r="AF148" s="5" t="s">
        <v>408</v>
      </c>
      <c r="AG148" s="5" t="s">
        <v>0</v>
      </c>
      <c r="AH148" s="5" t="s">
        <v>18</v>
      </c>
      <c r="AI148" s="5" t="s">
        <v>12</v>
      </c>
      <c r="AJ148" s="5" t="s">
        <v>17</v>
      </c>
      <c r="AK148" s="5" t="s">
        <v>139</v>
      </c>
      <c r="AL148" s="5" t="s">
        <v>18</v>
      </c>
      <c r="AM148" s="6"/>
      <c r="AO148" s="5"/>
      <c r="AP148" s="5"/>
      <c r="AQ148" s="5"/>
      <c r="AR148" s="5"/>
      <c r="AS148" s="5"/>
      <c r="AU148" s="1547"/>
      <c r="AV148" s="35"/>
      <c r="AW148" s="36"/>
      <c r="AY148" s="34"/>
      <c r="AZ148" s="35"/>
      <c r="BA148" s="36"/>
      <c r="BC148" s="34"/>
      <c r="BD148" s="35"/>
      <c r="BE148" s="36"/>
      <c r="BG148" s="34"/>
      <c r="BH148" s="35"/>
      <c r="BI148" s="36"/>
      <c r="BK148" s="34"/>
      <c r="BL148" s="35"/>
      <c r="BM148" s="36"/>
      <c r="BO148" s="34"/>
      <c r="BP148" s="35"/>
      <c r="BQ148" s="36"/>
      <c r="BS148" s="1592"/>
      <c r="BT148" s="35"/>
      <c r="BU148" s="36"/>
      <c r="BW148" s="34"/>
      <c r="BX148" s="35"/>
      <c r="BY148" s="36"/>
      <c r="CA148" s="34"/>
      <c r="CB148" s="35"/>
      <c r="CC148" s="36"/>
      <c r="CE148" s="34"/>
      <c r="CF148" s="35"/>
      <c r="CG148" s="36"/>
      <c r="CI148" s="34"/>
      <c r="CJ148" s="35"/>
      <c r="CK148" s="36"/>
      <c r="CM148" s="34"/>
      <c r="CN148" s="35"/>
      <c r="CO148" s="36"/>
    </row>
    <row r="149" spans="1:93">
      <c r="A149" s="34"/>
      <c r="B149" s="35"/>
      <c r="C149" s="36"/>
      <c r="D149" s="37" t="str">
        <f>IF(C149&gt;=Mat!$E$71,"Material","No Mat")</f>
        <v>No Mat</v>
      </c>
      <c r="E149" s="834">
        <f>IF(C149&gt;=Mat!$E$71,C149/Mat!$E$71,0)</f>
        <v>0</v>
      </c>
      <c r="G149" s="34"/>
      <c r="H149" s="35"/>
      <c r="I149" s="48"/>
      <c r="J149" s="36"/>
      <c r="L149" s="506"/>
      <c r="M149" s="506" t="s">
        <v>380</v>
      </c>
      <c r="N149" s="507">
        <f t="shared" si="27"/>
        <v>0</v>
      </c>
      <c r="O149" s="507">
        <f t="shared" si="28"/>
        <v>0</v>
      </c>
      <c r="P149" s="507">
        <f t="shared" si="29"/>
        <v>0</v>
      </c>
      <c r="Q149" s="507">
        <f t="shared" si="30"/>
        <v>0</v>
      </c>
      <c r="R149" s="507">
        <f t="shared" si="31"/>
        <v>0</v>
      </c>
      <c r="S149" s="507">
        <f t="shared" si="32"/>
        <v>0</v>
      </c>
      <c r="T149" s="507">
        <f t="shared" si="33"/>
        <v>0</v>
      </c>
      <c r="U149" s="507">
        <f t="shared" si="34"/>
        <v>0</v>
      </c>
      <c r="V149" s="507">
        <f t="shared" si="35"/>
        <v>0</v>
      </c>
      <c r="W149" s="507">
        <f t="shared" si="36"/>
        <v>0</v>
      </c>
      <c r="X149" s="507">
        <f t="shared" si="37"/>
        <v>0</v>
      </c>
      <c r="Y149" s="507">
        <f t="shared" si="38"/>
        <v>0</v>
      </c>
      <c r="Z149" s="11">
        <f t="shared" si="39"/>
        <v>0</v>
      </c>
      <c r="AC149" s="4">
        <v>303</v>
      </c>
      <c r="AD149" s="5" t="s">
        <v>409</v>
      </c>
      <c r="AE149" s="5" t="s">
        <v>405</v>
      </c>
      <c r="AF149" s="5" t="s">
        <v>410</v>
      </c>
      <c r="AG149" s="5" t="s">
        <v>0</v>
      </c>
      <c r="AH149" s="5" t="s">
        <v>18</v>
      </c>
      <c r="AI149" s="5" t="s">
        <v>12</v>
      </c>
      <c r="AJ149" s="5" t="s">
        <v>17</v>
      </c>
      <c r="AK149" s="5" t="s">
        <v>139</v>
      </c>
      <c r="AL149" s="5" t="s">
        <v>18</v>
      </c>
      <c r="AM149" s="6"/>
      <c r="AO149" s="5"/>
      <c r="AP149" s="5"/>
      <c r="AQ149" s="5"/>
      <c r="AR149" s="5" t="s">
        <v>0</v>
      </c>
      <c r="AS149" s="5"/>
      <c r="AU149" s="1547"/>
      <c r="AV149" s="35"/>
      <c r="AW149" s="36"/>
      <c r="AY149" s="34"/>
      <c r="AZ149" s="35"/>
      <c r="BA149" s="36"/>
      <c r="BC149" s="34"/>
      <c r="BD149" s="35"/>
      <c r="BE149" s="36"/>
      <c r="BG149" s="34"/>
      <c r="BH149" s="35"/>
      <c r="BI149" s="36"/>
      <c r="BK149" s="34"/>
      <c r="BL149" s="35"/>
      <c r="BM149" s="36"/>
      <c r="BO149" s="34"/>
      <c r="BP149" s="35"/>
      <c r="BQ149" s="36"/>
      <c r="BS149" s="1592"/>
      <c r="BT149" s="35"/>
      <c r="BU149" s="36"/>
      <c r="BW149" s="34"/>
      <c r="BX149" s="35"/>
      <c r="BY149" s="36"/>
      <c r="CA149" s="34"/>
      <c r="CB149" s="35"/>
      <c r="CC149" s="36"/>
      <c r="CE149" s="34"/>
      <c r="CF149" s="35"/>
      <c r="CG149" s="36"/>
      <c r="CI149" s="34"/>
      <c r="CJ149" s="35"/>
      <c r="CK149" s="36"/>
      <c r="CM149" s="34"/>
      <c r="CN149" s="35"/>
      <c r="CO149" s="36"/>
    </row>
    <row r="150" spans="1:93">
      <c r="A150" s="1785"/>
      <c r="B150" s="35"/>
      <c r="C150" s="36"/>
      <c r="D150" s="37" t="str">
        <f>IF(C150&gt;=Mat!$E$71,"Material","No Mat")</f>
        <v>No Mat</v>
      </c>
      <c r="E150" s="834">
        <f>IF(C150&gt;=Mat!$E$71,C150/Mat!$E$71,0)</f>
        <v>0</v>
      </c>
      <c r="F150" s="895"/>
      <c r="G150" s="34"/>
      <c r="H150" s="35"/>
      <c r="I150" s="48"/>
      <c r="J150" s="36"/>
      <c r="L150" s="506"/>
      <c r="M150" s="506" t="s">
        <v>382</v>
      </c>
      <c r="N150" s="507">
        <f t="shared" si="27"/>
        <v>0</v>
      </c>
      <c r="O150" s="507">
        <f t="shared" si="28"/>
        <v>0</v>
      </c>
      <c r="P150" s="507">
        <f t="shared" si="29"/>
        <v>0</v>
      </c>
      <c r="Q150" s="507">
        <f t="shared" si="30"/>
        <v>0</v>
      </c>
      <c r="R150" s="507">
        <f t="shared" si="31"/>
        <v>0</v>
      </c>
      <c r="S150" s="507">
        <f t="shared" si="32"/>
        <v>0</v>
      </c>
      <c r="T150" s="507">
        <f t="shared" si="33"/>
        <v>0</v>
      </c>
      <c r="U150" s="507">
        <f t="shared" si="34"/>
        <v>0</v>
      </c>
      <c r="V150" s="507">
        <f t="shared" si="35"/>
        <v>0</v>
      </c>
      <c r="W150" s="507">
        <f t="shared" si="36"/>
        <v>0</v>
      </c>
      <c r="X150" s="507">
        <f t="shared" si="37"/>
        <v>0</v>
      </c>
      <c r="Y150" s="507">
        <f t="shared" si="38"/>
        <v>0</v>
      </c>
      <c r="Z150" s="11">
        <f t="shared" si="39"/>
        <v>0</v>
      </c>
      <c r="AC150" s="4">
        <v>305</v>
      </c>
      <c r="AD150" s="5" t="s">
        <v>412</v>
      </c>
      <c r="AE150" s="5" t="s">
        <v>405</v>
      </c>
      <c r="AF150" s="5" t="s">
        <v>413</v>
      </c>
      <c r="AG150" s="5" t="s">
        <v>0</v>
      </c>
      <c r="AH150" s="5" t="s">
        <v>18</v>
      </c>
      <c r="AI150" s="5" t="s">
        <v>12</v>
      </c>
      <c r="AJ150" s="5" t="s">
        <v>17</v>
      </c>
      <c r="AK150" s="5" t="s">
        <v>139</v>
      </c>
      <c r="AL150" s="5" t="s">
        <v>18</v>
      </c>
      <c r="AM150" s="6"/>
      <c r="AO150" s="5"/>
      <c r="AP150" s="5"/>
      <c r="AQ150" s="5"/>
      <c r="AR150" s="5"/>
      <c r="AS150" s="5"/>
      <c r="AU150" s="1547"/>
      <c r="AV150" s="35"/>
      <c r="AW150" s="36"/>
      <c r="AY150" s="34"/>
      <c r="AZ150" s="35"/>
      <c r="BA150" s="36"/>
      <c r="BC150" s="34"/>
      <c r="BD150" s="35"/>
      <c r="BE150" s="36"/>
      <c r="BG150" s="34"/>
      <c r="BH150" s="35"/>
      <c r="BI150" s="36"/>
      <c r="BK150" s="34"/>
      <c r="BL150" s="35"/>
      <c r="BM150" s="36"/>
      <c r="BO150" s="34"/>
      <c r="BP150" s="35"/>
      <c r="BQ150" s="36"/>
      <c r="BS150" s="1592"/>
      <c r="BT150" s="35"/>
      <c r="BU150" s="36"/>
      <c r="BW150" s="34"/>
      <c r="BX150" s="35"/>
      <c r="BY150" s="36"/>
      <c r="CA150" s="34"/>
      <c r="CB150" s="35"/>
      <c r="CC150" s="36"/>
      <c r="CE150" s="34"/>
      <c r="CF150" s="35"/>
      <c r="CG150" s="36"/>
      <c r="CI150" s="34"/>
      <c r="CJ150" s="35"/>
      <c r="CK150" s="36"/>
      <c r="CM150" s="34"/>
      <c r="CN150" s="35"/>
      <c r="CO150" s="36"/>
    </row>
    <row r="151" spans="1:93">
      <c r="A151" s="34"/>
      <c r="B151" s="35"/>
      <c r="C151" s="36"/>
      <c r="D151" s="37" t="str">
        <f>IF(C151&gt;=Mat!$E$71,"Material","No Mat")</f>
        <v>No Mat</v>
      </c>
      <c r="E151" s="834">
        <f>IF(C151&gt;=Mat!$E$71,C151/Mat!$E$71,0)</f>
        <v>0</v>
      </c>
      <c r="F151" s="895"/>
      <c r="G151" s="34"/>
      <c r="H151" s="35"/>
      <c r="I151" s="48"/>
      <c r="J151" s="36"/>
      <c r="L151" s="506"/>
      <c r="M151" s="506" t="s">
        <v>384</v>
      </c>
      <c r="N151" s="507">
        <f t="shared" si="27"/>
        <v>0</v>
      </c>
      <c r="O151" s="507">
        <f t="shared" si="28"/>
        <v>0</v>
      </c>
      <c r="P151" s="507">
        <f t="shared" si="29"/>
        <v>0</v>
      </c>
      <c r="Q151" s="507">
        <f t="shared" si="30"/>
        <v>0</v>
      </c>
      <c r="R151" s="507">
        <f t="shared" si="31"/>
        <v>0</v>
      </c>
      <c r="S151" s="507">
        <f t="shared" si="32"/>
        <v>0</v>
      </c>
      <c r="T151" s="507">
        <f t="shared" si="33"/>
        <v>0</v>
      </c>
      <c r="U151" s="507">
        <f t="shared" si="34"/>
        <v>0</v>
      </c>
      <c r="V151" s="507">
        <f t="shared" si="35"/>
        <v>0</v>
      </c>
      <c r="W151" s="507">
        <f t="shared" si="36"/>
        <v>0</v>
      </c>
      <c r="X151" s="507">
        <f t="shared" si="37"/>
        <v>0</v>
      </c>
      <c r="Y151" s="507">
        <f t="shared" si="38"/>
        <v>0</v>
      </c>
      <c r="Z151" s="11">
        <f t="shared" si="39"/>
        <v>0</v>
      </c>
      <c r="AC151" s="4">
        <v>307</v>
      </c>
      <c r="AD151" s="5" t="s">
        <v>414</v>
      </c>
      <c r="AE151" s="5" t="s">
        <v>405</v>
      </c>
      <c r="AF151" s="5" t="s">
        <v>415</v>
      </c>
      <c r="AG151" s="5" t="s">
        <v>0</v>
      </c>
      <c r="AH151" s="5" t="s">
        <v>18</v>
      </c>
      <c r="AI151" s="5" t="s">
        <v>12</v>
      </c>
      <c r="AJ151" s="5" t="s">
        <v>17</v>
      </c>
      <c r="AK151" s="5" t="s">
        <v>139</v>
      </c>
      <c r="AL151" s="5" t="s">
        <v>18</v>
      </c>
      <c r="AM151" s="6"/>
      <c r="AO151" s="5"/>
      <c r="AP151" s="5"/>
      <c r="AQ151" s="5"/>
      <c r="AR151" s="5"/>
      <c r="AS151" s="5"/>
      <c r="AU151" s="1547"/>
      <c r="AV151" s="35"/>
      <c r="AW151" s="36"/>
      <c r="AY151" s="34"/>
      <c r="AZ151" s="35"/>
      <c r="BA151" s="36"/>
      <c r="BC151" s="34"/>
      <c r="BD151" s="35"/>
      <c r="BE151" s="36"/>
      <c r="BG151" s="34"/>
      <c r="BH151" s="35"/>
      <c r="BI151" s="36"/>
      <c r="BK151" s="34"/>
      <c r="BL151" s="35"/>
      <c r="BM151" s="36"/>
      <c r="BO151" s="34"/>
      <c r="BP151" s="35"/>
      <c r="BQ151" s="36"/>
      <c r="BS151" s="1592"/>
      <c r="BT151" s="35"/>
      <c r="BU151" s="36"/>
      <c r="BW151" s="34"/>
      <c r="BX151" s="35"/>
      <c r="BY151" s="36"/>
      <c r="CA151" s="34"/>
      <c r="CB151" s="35"/>
      <c r="CC151" s="36"/>
      <c r="CE151" s="34"/>
      <c r="CF151" s="35"/>
      <c r="CG151" s="36"/>
      <c r="CI151" s="34"/>
      <c r="CJ151" s="35"/>
      <c r="CK151" s="36"/>
      <c r="CM151" s="34"/>
      <c r="CN151" s="35"/>
      <c r="CO151" s="36"/>
    </row>
    <row r="152" spans="1:93">
      <c r="A152" s="34"/>
      <c r="B152" s="35"/>
      <c r="C152" s="36"/>
      <c r="D152" s="37" t="str">
        <f>IF(C152&gt;=Mat!$E$71,"Material","No Mat")</f>
        <v>No Mat</v>
      </c>
      <c r="E152" s="834">
        <f>IF(C152&gt;=Mat!$E$71,C152/Mat!$E$71,0)</f>
        <v>0</v>
      </c>
      <c r="F152" s="895"/>
      <c r="G152" s="34"/>
      <c r="H152" s="35"/>
      <c r="I152" s="48"/>
      <c r="J152" s="36"/>
      <c r="L152" s="506"/>
      <c r="M152" s="506" t="s">
        <v>911</v>
      </c>
      <c r="N152" s="507">
        <f t="shared" si="27"/>
        <v>0</v>
      </c>
      <c r="O152" s="507">
        <f t="shared" si="28"/>
        <v>0</v>
      </c>
      <c r="P152" s="507">
        <f t="shared" si="29"/>
        <v>0</v>
      </c>
      <c r="Q152" s="507">
        <f t="shared" si="30"/>
        <v>0</v>
      </c>
      <c r="R152" s="507">
        <f t="shared" si="31"/>
        <v>0</v>
      </c>
      <c r="S152" s="507">
        <f t="shared" si="32"/>
        <v>0</v>
      </c>
      <c r="T152" s="507">
        <f t="shared" si="33"/>
        <v>0</v>
      </c>
      <c r="U152" s="507">
        <f t="shared" si="34"/>
        <v>0</v>
      </c>
      <c r="V152" s="507">
        <f t="shared" si="35"/>
        <v>0</v>
      </c>
      <c r="W152" s="507">
        <f t="shared" si="36"/>
        <v>0</v>
      </c>
      <c r="X152" s="507">
        <f t="shared" si="37"/>
        <v>0</v>
      </c>
      <c r="Y152" s="507">
        <f t="shared" si="38"/>
        <v>0</v>
      </c>
      <c r="Z152" s="11">
        <f t="shared" si="39"/>
        <v>0</v>
      </c>
      <c r="AC152" s="4">
        <v>309</v>
      </c>
      <c r="AD152" s="5" t="s">
        <v>416</v>
      </c>
      <c r="AE152" s="5" t="s">
        <v>405</v>
      </c>
      <c r="AF152" s="5" t="s">
        <v>417</v>
      </c>
      <c r="AG152" s="5" t="s">
        <v>0</v>
      </c>
      <c r="AH152" s="5" t="s">
        <v>18</v>
      </c>
      <c r="AI152" s="5" t="s">
        <v>12</v>
      </c>
      <c r="AJ152" s="5" t="s">
        <v>17</v>
      </c>
      <c r="AK152" s="5" t="s">
        <v>139</v>
      </c>
      <c r="AL152" s="5" t="s">
        <v>18</v>
      </c>
      <c r="AM152" s="6"/>
      <c r="AO152" s="5"/>
      <c r="AP152" s="5"/>
      <c r="AQ152" s="5"/>
      <c r="AR152" s="5"/>
      <c r="AS152" s="5"/>
      <c r="AU152" s="1547"/>
      <c r="AV152" s="35"/>
      <c r="AW152" s="36"/>
      <c r="AY152" s="34"/>
      <c r="AZ152" s="35"/>
      <c r="BA152" s="36"/>
      <c r="BC152" s="34"/>
      <c r="BD152" s="35"/>
      <c r="BE152" s="36"/>
      <c r="BG152" s="34"/>
      <c r="BH152" s="35"/>
      <c r="BI152" s="36"/>
      <c r="BK152" s="34"/>
      <c r="BL152" s="35"/>
      <c r="BM152" s="36"/>
      <c r="BO152" s="34"/>
      <c r="BP152" s="35"/>
      <c r="BQ152" s="36"/>
      <c r="BS152" s="1592"/>
      <c r="BT152" s="35"/>
      <c r="BU152" s="36"/>
      <c r="BW152" s="34"/>
      <c r="BX152" s="35"/>
      <c r="BY152" s="36"/>
      <c r="CA152" s="34"/>
      <c r="CB152" s="35"/>
      <c r="CC152" s="36"/>
      <c r="CE152" s="34"/>
      <c r="CF152" s="35"/>
      <c r="CG152" s="36"/>
      <c r="CI152" s="34"/>
      <c r="CJ152" s="35"/>
      <c r="CK152" s="36"/>
      <c r="CM152" s="34"/>
      <c r="CN152" s="35"/>
      <c r="CO152" s="36"/>
    </row>
    <row r="153" spans="1:93">
      <c r="A153" s="34"/>
      <c r="B153" s="35"/>
      <c r="C153" s="36"/>
      <c r="D153" s="37" t="str">
        <f>IF(C153&gt;=Mat!$E$71,"Material","No Mat")</f>
        <v>No Mat</v>
      </c>
      <c r="E153" s="834">
        <f>IF(C153&gt;=Mat!$E$71,C153/Mat!$E$71,0)</f>
        <v>0</v>
      </c>
      <c r="G153" s="34"/>
      <c r="H153" s="35"/>
      <c r="I153" s="48"/>
      <c r="J153" s="36"/>
      <c r="L153" s="506"/>
      <c r="M153" s="506" t="s">
        <v>394</v>
      </c>
      <c r="N153" s="507">
        <f t="shared" si="27"/>
        <v>0</v>
      </c>
      <c r="O153" s="507">
        <f t="shared" si="28"/>
        <v>0</v>
      </c>
      <c r="P153" s="507">
        <f t="shared" si="29"/>
        <v>0</v>
      </c>
      <c r="Q153" s="507">
        <f t="shared" si="30"/>
        <v>0</v>
      </c>
      <c r="R153" s="507">
        <f t="shared" si="31"/>
        <v>0</v>
      </c>
      <c r="S153" s="507">
        <f t="shared" si="32"/>
        <v>0</v>
      </c>
      <c r="T153" s="507">
        <f t="shared" si="33"/>
        <v>0</v>
      </c>
      <c r="U153" s="507">
        <f t="shared" si="34"/>
        <v>0</v>
      </c>
      <c r="V153" s="507">
        <f t="shared" si="35"/>
        <v>0</v>
      </c>
      <c r="W153" s="507">
        <f t="shared" si="36"/>
        <v>0</v>
      </c>
      <c r="X153" s="507">
        <f t="shared" si="37"/>
        <v>0</v>
      </c>
      <c r="Y153" s="507">
        <f t="shared" si="38"/>
        <v>0</v>
      </c>
      <c r="Z153" s="11">
        <f t="shared" si="39"/>
        <v>0</v>
      </c>
      <c r="AC153" s="4">
        <v>311</v>
      </c>
      <c r="AD153" s="5" t="s">
        <v>422</v>
      </c>
      <c r="AE153" s="5" t="s">
        <v>420</v>
      </c>
      <c r="AF153" s="5" t="s">
        <v>423</v>
      </c>
      <c r="AG153" s="5" t="s">
        <v>0</v>
      </c>
      <c r="AH153" s="5" t="s">
        <v>18</v>
      </c>
      <c r="AI153" s="5" t="s">
        <v>12</v>
      </c>
      <c r="AJ153" s="5" t="s">
        <v>17</v>
      </c>
      <c r="AK153" s="5" t="s">
        <v>139</v>
      </c>
      <c r="AL153" s="5" t="s">
        <v>18</v>
      </c>
      <c r="AM153" s="6"/>
      <c r="AO153" s="5"/>
      <c r="AP153" s="5"/>
      <c r="AQ153" s="5"/>
      <c r="AR153" s="5"/>
      <c r="AS153" s="5"/>
      <c r="AU153" s="1547"/>
      <c r="AV153" s="35"/>
      <c r="AW153" s="36"/>
      <c r="AY153" s="34"/>
      <c r="AZ153" s="35"/>
      <c r="BA153" s="36"/>
      <c r="BC153" s="34"/>
      <c r="BD153" s="35"/>
      <c r="BE153" s="36"/>
      <c r="BG153" s="34"/>
      <c r="BH153" s="35"/>
      <c r="BI153" s="36"/>
      <c r="BK153" s="34"/>
      <c r="BL153" s="35"/>
      <c r="BM153" s="36"/>
      <c r="BO153" s="34"/>
      <c r="BP153" s="35"/>
      <c r="BQ153" s="36"/>
      <c r="BS153" s="1592"/>
      <c r="BT153" s="35"/>
      <c r="BU153" s="36"/>
      <c r="BW153" s="34"/>
      <c r="BX153" s="35"/>
      <c r="BY153" s="36"/>
      <c r="CA153" s="34"/>
      <c r="CB153" s="35"/>
      <c r="CC153" s="36"/>
      <c r="CE153" s="34"/>
      <c r="CF153" s="35"/>
      <c r="CG153" s="36"/>
      <c r="CI153" s="34"/>
      <c r="CJ153" s="35"/>
      <c r="CK153" s="36"/>
      <c r="CM153" s="34"/>
      <c r="CN153" s="35"/>
      <c r="CO153" s="36"/>
    </row>
    <row r="154" spans="1:93">
      <c r="A154" s="34"/>
      <c r="B154" s="35"/>
      <c r="C154" s="36"/>
      <c r="D154" s="37" t="str">
        <f>IF(C154&gt;=Mat!$E$71,"Material","No Mat")</f>
        <v>No Mat</v>
      </c>
      <c r="E154" s="834">
        <f>IF(C154&gt;=Mat!$E$71,C154/Mat!$E$71,0)</f>
        <v>0</v>
      </c>
      <c r="G154" s="34"/>
      <c r="H154" s="35"/>
      <c r="I154" s="48"/>
      <c r="J154" s="36"/>
      <c r="L154" s="506"/>
      <c r="M154" s="506" t="s">
        <v>396</v>
      </c>
      <c r="N154" s="507">
        <f t="shared" si="27"/>
        <v>0</v>
      </c>
      <c r="O154" s="507">
        <f t="shared" si="28"/>
        <v>0</v>
      </c>
      <c r="P154" s="507">
        <f t="shared" si="29"/>
        <v>0</v>
      </c>
      <c r="Q154" s="507">
        <f t="shared" si="30"/>
        <v>0</v>
      </c>
      <c r="R154" s="507">
        <f t="shared" si="31"/>
        <v>0</v>
      </c>
      <c r="S154" s="507">
        <f t="shared" si="32"/>
        <v>0</v>
      </c>
      <c r="T154" s="507">
        <f t="shared" si="33"/>
        <v>0</v>
      </c>
      <c r="U154" s="507">
        <f t="shared" si="34"/>
        <v>0</v>
      </c>
      <c r="V154" s="507">
        <f t="shared" si="35"/>
        <v>0</v>
      </c>
      <c r="W154" s="507">
        <f t="shared" si="36"/>
        <v>0</v>
      </c>
      <c r="X154" s="507">
        <f t="shared" si="37"/>
        <v>0</v>
      </c>
      <c r="Y154" s="507">
        <f t="shared" si="38"/>
        <v>0</v>
      </c>
      <c r="Z154" s="11">
        <f t="shared" si="39"/>
        <v>0</v>
      </c>
      <c r="AC154" s="4">
        <v>313</v>
      </c>
      <c r="AD154" s="5" t="s">
        <v>424</v>
      </c>
      <c r="AE154" s="5" t="s">
        <v>420</v>
      </c>
      <c r="AF154" s="5" t="s">
        <v>425</v>
      </c>
      <c r="AG154" s="5" t="s">
        <v>0</v>
      </c>
      <c r="AH154" s="5" t="s">
        <v>18</v>
      </c>
      <c r="AI154" s="5" t="s">
        <v>12</v>
      </c>
      <c r="AJ154" s="5" t="s">
        <v>17</v>
      </c>
      <c r="AK154" s="5" t="s">
        <v>139</v>
      </c>
      <c r="AL154" s="5" t="s">
        <v>18</v>
      </c>
      <c r="AM154" s="6"/>
      <c r="AO154" s="5"/>
      <c r="AP154" s="5"/>
      <c r="AQ154" s="5"/>
      <c r="AR154" s="5"/>
      <c r="AS154" s="5"/>
      <c r="AU154" s="1547"/>
      <c r="AV154" s="35"/>
      <c r="AW154" s="36"/>
      <c r="AY154" s="34"/>
      <c r="AZ154" s="35"/>
      <c r="BA154" s="36"/>
      <c r="BC154" s="34"/>
      <c r="BD154" s="35"/>
      <c r="BE154" s="36"/>
      <c r="BG154" s="34"/>
      <c r="BH154" s="35"/>
      <c r="BI154" s="36"/>
      <c r="BK154" s="34"/>
      <c r="BL154" s="35"/>
      <c r="BM154" s="36"/>
      <c r="BO154" s="34"/>
      <c r="BP154" s="35"/>
      <c r="BQ154" s="36"/>
      <c r="BS154" s="1592"/>
      <c r="BT154" s="35"/>
      <c r="BU154" s="36"/>
      <c r="BW154" s="34"/>
      <c r="BX154" s="35"/>
      <c r="BY154" s="36"/>
      <c r="CA154" s="34"/>
      <c r="CB154" s="35"/>
      <c r="CC154" s="36"/>
      <c r="CE154" s="34"/>
      <c r="CF154" s="35"/>
      <c r="CG154" s="36"/>
      <c r="CI154" s="34"/>
      <c r="CJ154" s="35"/>
      <c r="CK154" s="36"/>
      <c r="CM154" s="34"/>
      <c r="CN154" s="35"/>
      <c r="CO154" s="36"/>
    </row>
    <row r="155" spans="1:93">
      <c r="A155" s="34"/>
      <c r="B155" s="35"/>
      <c r="C155" s="36"/>
      <c r="D155" s="37" t="str">
        <f>IF(C155&gt;=Mat!$E$71,"Material","No Mat")</f>
        <v>No Mat</v>
      </c>
      <c r="E155" s="834">
        <f>IF(C155&gt;=Mat!$E$71,C155/Mat!$E$71,0)</f>
        <v>0</v>
      </c>
      <c r="G155" s="34"/>
      <c r="H155" s="35"/>
      <c r="I155" s="48"/>
      <c r="J155" s="36"/>
      <c r="L155" s="506"/>
      <c r="M155" s="506" t="s">
        <v>398</v>
      </c>
      <c r="N155" s="507">
        <f t="shared" si="27"/>
        <v>0</v>
      </c>
      <c r="O155" s="507">
        <f t="shared" si="28"/>
        <v>0</v>
      </c>
      <c r="P155" s="507">
        <f t="shared" si="29"/>
        <v>0</v>
      </c>
      <c r="Q155" s="507">
        <f t="shared" si="30"/>
        <v>0</v>
      </c>
      <c r="R155" s="507">
        <f t="shared" si="31"/>
        <v>0</v>
      </c>
      <c r="S155" s="507">
        <f t="shared" si="32"/>
        <v>0</v>
      </c>
      <c r="T155" s="507">
        <f t="shared" si="33"/>
        <v>0</v>
      </c>
      <c r="U155" s="507">
        <f t="shared" si="34"/>
        <v>0</v>
      </c>
      <c r="V155" s="507">
        <f t="shared" si="35"/>
        <v>0</v>
      </c>
      <c r="W155" s="507">
        <f t="shared" si="36"/>
        <v>0</v>
      </c>
      <c r="X155" s="507">
        <f t="shared" si="37"/>
        <v>0</v>
      </c>
      <c r="Y155" s="507">
        <f t="shared" si="38"/>
        <v>0</v>
      </c>
      <c r="Z155" s="11">
        <f t="shared" si="39"/>
        <v>0</v>
      </c>
      <c r="AC155" s="4">
        <v>315</v>
      </c>
      <c r="AD155" s="5" t="s">
        <v>426</v>
      </c>
      <c r="AE155" s="5" t="s">
        <v>420</v>
      </c>
      <c r="AF155" s="5" t="s">
        <v>427</v>
      </c>
      <c r="AG155" s="5" t="s">
        <v>0</v>
      </c>
      <c r="AH155" s="5" t="s">
        <v>18</v>
      </c>
      <c r="AI155" s="5" t="s">
        <v>12</v>
      </c>
      <c r="AJ155" s="5" t="s">
        <v>17</v>
      </c>
      <c r="AK155" s="5" t="s">
        <v>139</v>
      </c>
      <c r="AL155" s="5" t="s">
        <v>18</v>
      </c>
      <c r="AM155" s="6"/>
      <c r="AO155" s="5"/>
      <c r="AP155" s="5"/>
      <c r="AQ155" s="5"/>
      <c r="AR155" s="5"/>
      <c r="AS155" s="5"/>
      <c r="AU155" s="1547"/>
      <c r="AV155" s="35"/>
      <c r="AW155" s="36"/>
      <c r="AY155" s="34"/>
      <c r="AZ155" s="35"/>
      <c r="BA155" s="36"/>
      <c r="BC155" s="34"/>
      <c r="BD155" s="35"/>
      <c r="BE155" s="36"/>
      <c r="BG155" s="34"/>
      <c r="BH155" s="35"/>
      <c r="BI155" s="36"/>
      <c r="BK155" s="34"/>
      <c r="BL155" s="35"/>
      <c r="BM155" s="36"/>
      <c r="BO155" s="34"/>
      <c r="BP155" s="35"/>
      <c r="BQ155" s="36"/>
      <c r="BS155" s="1592"/>
      <c r="BT155" s="35"/>
      <c r="BU155" s="36"/>
      <c r="BW155" s="34"/>
      <c r="BX155" s="35"/>
      <c r="BY155" s="36"/>
      <c r="CA155" s="34"/>
      <c r="CB155" s="35"/>
      <c r="CC155" s="36"/>
      <c r="CE155" s="34"/>
      <c r="CF155" s="35"/>
      <c r="CG155" s="36"/>
      <c r="CI155" s="34"/>
      <c r="CJ155" s="35"/>
      <c r="CK155" s="36"/>
      <c r="CM155" s="34"/>
      <c r="CN155" s="35"/>
      <c r="CO155" s="36"/>
    </row>
    <row r="156" spans="1:93">
      <c r="A156" s="34"/>
      <c r="B156" s="35"/>
      <c r="C156" s="36"/>
      <c r="D156" s="37" t="str">
        <f>IF(C156&gt;=Mat!$E$71,"Material","No Mat")</f>
        <v>No Mat</v>
      </c>
      <c r="E156" s="834">
        <f>IF(C156&gt;=Mat!$E$71,C156/Mat!$E$71,0)</f>
        <v>0</v>
      </c>
      <c r="G156" s="34"/>
      <c r="H156" s="35"/>
      <c r="I156" s="48"/>
      <c r="J156" s="36"/>
      <c r="L156" s="506"/>
      <c r="M156" s="506" t="s">
        <v>400</v>
      </c>
      <c r="N156" s="507">
        <f t="shared" si="27"/>
        <v>0</v>
      </c>
      <c r="O156" s="507">
        <f t="shared" si="28"/>
        <v>0</v>
      </c>
      <c r="P156" s="507">
        <f t="shared" si="29"/>
        <v>0</v>
      </c>
      <c r="Q156" s="507">
        <f t="shared" si="30"/>
        <v>0</v>
      </c>
      <c r="R156" s="507">
        <f t="shared" si="31"/>
        <v>0</v>
      </c>
      <c r="S156" s="507">
        <f t="shared" si="32"/>
        <v>0</v>
      </c>
      <c r="T156" s="507">
        <f t="shared" si="33"/>
        <v>0</v>
      </c>
      <c r="U156" s="507">
        <f t="shared" si="34"/>
        <v>0</v>
      </c>
      <c r="V156" s="507">
        <f t="shared" si="35"/>
        <v>0</v>
      </c>
      <c r="W156" s="507">
        <f t="shared" si="36"/>
        <v>0</v>
      </c>
      <c r="X156" s="507">
        <f t="shared" si="37"/>
        <v>0</v>
      </c>
      <c r="Y156" s="507">
        <f t="shared" si="38"/>
        <v>0</v>
      </c>
      <c r="Z156" s="11">
        <f t="shared" si="39"/>
        <v>0</v>
      </c>
      <c r="AC156" s="4">
        <v>317</v>
      </c>
      <c r="AD156" s="5" t="s">
        <v>431</v>
      </c>
      <c r="AE156" s="5" t="s">
        <v>429</v>
      </c>
      <c r="AF156" s="5" t="s">
        <v>432</v>
      </c>
      <c r="AG156" s="5" t="s">
        <v>0</v>
      </c>
      <c r="AH156" s="5" t="s">
        <v>18</v>
      </c>
      <c r="AI156" s="5" t="s">
        <v>12</v>
      </c>
      <c r="AJ156" s="5" t="s">
        <v>17</v>
      </c>
      <c r="AK156" s="5" t="s">
        <v>284</v>
      </c>
      <c r="AL156" s="5" t="s">
        <v>18</v>
      </c>
      <c r="AM156" s="6"/>
      <c r="AO156" s="5"/>
      <c r="AP156" s="5"/>
      <c r="AQ156" s="5"/>
      <c r="AR156" s="5"/>
      <c r="AS156" s="5"/>
      <c r="AU156" s="1547"/>
      <c r="AV156" s="35"/>
      <c r="AW156" s="36"/>
      <c r="AY156" s="34"/>
      <c r="AZ156" s="35"/>
      <c r="BA156" s="36"/>
      <c r="BC156" s="34"/>
      <c r="BD156" s="35"/>
      <c r="BE156" s="36"/>
      <c r="BG156" s="34"/>
      <c r="BH156" s="35"/>
      <c r="BI156" s="36"/>
      <c r="BK156" s="34"/>
      <c r="BL156" s="35"/>
      <c r="BM156" s="36"/>
      <c r="BO156" s="34"/>
      <c r="BP156" s="35"/>
      <c r="BQ156" s="36"/>
      <c r="BS156" s="1592"/>
      <c r="BT156" s="35"/>
      <c r="BU156" s="36"/>
      <c r="BW156" s="34"/>
      <c r="BX156" s="35"/>
      <c r="BY156" s="36"/>
      <c r="CA156" s="34"/>
      <c r="CB156" s="35"/>
      <c r="CC156" s="36"/>
      <c r="CE156" s="34"/>
      <c r="CF156" s="35"/>
      <c r="CG156" s="36"/>
      <c r="CI156" s="34"/>
      <c r="CJ156" s="35"/>
      <c r="CK156" s="36"/>
      <c r="CM156" s="34"/>
      <c r="CN156" s="35"/>
      <c r="CO156" s="36"/>
    </row>
    <row r="157" spans="1:93">
      <c r="A157" s="34"/>
      <c r="B157" s="35"/>
      <c r="C157" s="36"/>
      <c r="D157" s="37" t="str">
        <f>IF(C157&gt;=Mat!$E$71,"Material","No Mat")</f>
        <v>No Mat</v>
      </c>
      <c r="E157" s="834">
        <f>IF(C157&gt;=Mat!$E$71,C157/Mat!$E$71,0)</f>
        <v>0</v>
      </c>
      <c r="G157" s="34"/>
      <c r="H157" s="35"/>
      <c r="I157" s="48"/>
      <c r="J157" s="36"/>
      <c r="L157" s="506"/>
      <c r="M157" s="506" t="s">
        <v>402</v>
      </c>
      <c r="N157" s="507">
        <f t="shared" si="27"/>
        <v>0</v>
      </c>
      <c r="O157" s="507">
        <f t="shared" si="28"/>
        <v>0</v>
      </c>
      <c r="P157" s="507">
        <f t="shared" si="29"/>
        <v>0</v>
      </c>
      <c r="Q157" s="507">
        <f t="shared" si="30"/>
        <v>0</v>
      </c>
      <c r="R157" s="507">
        <f t="shared" si="31"/>
        <v>0</v>
      </c>
      <c r="S157" s="507">
        <f t="shared" si="32"/>
        <v>0</v>
      </c>
      <c r="T157" s="507">
        <f t="shared" si="33"/>
        <v>0</v>
      </c>
      <c r="U157" s="507">
        <f t="shared" si="34"/>
        <v>0</v>
      </c>
      <c r="V157" s="507">
        <f t="shared" si="35"/>
        <v>0</v>
      </c>
      <c r="W157" s="507">
        <f t="shared" si="36"/>
        <v>0</v>
      </c>
      <c r="X157" s="507">
        <f t="shared" si="37"/>
        <v>0</v>
      </c>
      <c r="Y157" s="507">
        <f t="shared" si="38"/>
        <v>0</v>
      </c>
      <c r="Z157" s="11">
        <f t="shared" si="39"/>
        <v>0</v>
      </c>
      <c r="AC157" s="4">
        <v>319</v>
      </c>
      <c r="AD157" s="5" t="s">
        <v>435</v>
      </c>
      <c r="AE157" s="5" t="s">
        <v>433</v>
      </c>
      <c r="AF157" s="5" t="s">
        <v>436</v>
      </c>
      <c r="AG157" s="5" t="s">
        <v>0</v>
      </c>
      <c r="AH157" s="5" t="s">
        <v>18</v>
      </c>
      <c r="AI157" s="5" t="s">
        <v>12</v>
      </c>
      <c r="AJ157" s="5" t="s">
        <v>17</v>
      </c>
      <c r="AK157" s="5" t="s">
        <v>284</v>
      </c>
      <c r="AL157" s="5" t="s">
        <v>18</v>
      </c>
      <c r="AM157" s="6"/>
      <c r="AO157" s="5"/>
      <c r="AP157" s="5"/>
      <c r="AQ157" s="5"/>
      <c r="AR157" s="5"/>
      <c r="AS157" s="5"/>
      <c r="AU157" s="1547"/>
      <c r="AV157" s="35"/>
      <c r="AW157" s="36"/>
      <c r="AY157" s="34"/>
      <c r="AZ157" s="35"/>
      <c r="BA157" s="36"/>
      <c r="BC157" s="34"/>
      <c r="BD157" s="35"/>
      <c r="BE157" s="36"/>
      <c r="BG157" s="34"/>
      <c r="BH157" s="35"/>
      <c r="BI157" s="36"/>
      <c r="BK157" s="34"/>
      <c r="BL157" s="35"/>
      <c r="BM157" s="36"/>
      <c r="BO157" s="34"/>
      <c r="BP157" s="35"/>
      <c r="BQ157" s="36"/>
      <c r="BS157" s="1592"/>
      <c r="BT157" s="35"/>
      <c r="BU157" s="36"/>
      <c r="BW157" s="34"/>
      <c r="BX157" s="35"/>
      <c r="BY157" s="36"/>
      <c r="CA157" s="34"/>
      <c r="CB157" s="35"/>
      <c r="CC157" s="36"/>
      <c r="CE157" s="34"/>
      <c r="CF157" s="35"/>
      <c r="CG157" s="36"/>
      <c r="CI157" s="34"/>
      <c r="CJ157" s="35"/>
      <c r="CK157" s="36"/>
      <c r="CM157" s="34"/>
      <c r="CN157" s="35"/>
      <c r="CO157" s="36"/>
    </row>
    <row r="158" spans="1:93">
      <c r="A158" s="34"/>
      <c r="B158" s="35"/>
      <c r="C158" s="36"/>
      <c r="D158" s="37" t="str">
        <f>IF(C158&gt;=Mat!$E$71,"Material","No Mat")</f>
        <v>No Mat</v>
      </c>
      <c r="E158" s="834">
        <f>IF(C158&gt;=Mat!$E$71,C158/Mat!$E$71,0)</f>
        <v>0</v>
      </c>
      <c r="G158" s="34"/>
      <c r="H158" s="35"/>
      <c r="I158" s="48"/>
      <c r="J158" s="36"/>
      <c r="L158" s="506"/>
      <c r="M158" s="506" t="s">
        <v>404</v>
      </c>
      <c r="N158" s="507">
        <f t="shared" si="27"/>
        <v>0</v>
      </c>
      <c r="O158" s="507">
        <f t="shared" si="28"/>
        <v>0</v>
      </c>
      <c r="P158" s="507">
        <f t="shared" si="29"/>
        <v>0</v>
      </c>
      <c r="Q158" s="507">
        <f t="shared" si="30"/>
        <v>0</v>
      </c>
      <c r="R158" s="507">
        <f t="shared" si="31"/>
        <v>0</v>
      </c>
      <c r="S158" s="507">
        <f t="shared" si="32"/>
        <v>0</v>
      </c>
      <c r="T158" s="507">
        <f t="shared" si="33"/>
        <v>0</v>
      </c>
      <c r="U158" s="507">
        <f t="shared" si="34"/>
        <v>0</v>
      </c>
      <c r="V158" s="507">
        <f t="shared" si="35"/>
        <v>0</v>
      </c>
      <c r="W158" s="507">
        <f t="shared" si="36"/>
        <v>0</v>
      </c>
      <c r="X158" s="507">
        <f t="shared" si="37"/>
        <v>0</v>
      </c>
      <c r="Y158" s="507">
        <f t="shared" si="38"/>
        <v>0</v>
      </c>
      <c r="Z158" s="11">
        <f t="shared" si="39"/>
        <v>0</v>
      </c>
      <c r="AC158" s="4">
        <v>321</v>
      </c>
      <c r="AD158" s="5" t="s">
        <v>437</v>
      </c>
      <c r="AE158" s="5" t="s">
        <v>433</v>
      </c>
      <c r="AF158" s="5" t="s">
        <v>438</v>
      </c>
      <c r="AG158" s="5" t="s">
        <v>0</v>
      </c>
      <c r="AH158" s="5" t="s">
        <v>18</v>
      </c>
      <c r="AI158" s="5" t="s">
        <v>12</v>
      </c>
      <c r="AJ158" s="5" t="s">
        <v>17</v>
      </c>
      <c r="AK158" s="5" t="s">
        <v>284</v>
      </c>
      <c r="AL158" s="5" t="s">
        <v>18</v>
      </c>
      <c r="AM158" s="6"/>
      <c r="AO158" s="5"/>
      <c r="AP158" s="5"/>
      <c r="AQ158" s="5"/>
      <c r="AR158" s="5"/>
      <c r="AS158" s="5"/>
      <c r="AU158" s="1547"/>
      <c r="AV158" s="35"/>
      <c r="AW158" s="36"/>
      <c r="AY158" s="34"/>
      <c r="AZ158" s="35"/>
      <c r="BA158" s="36"/>
      <c r="BC158" s="34"/>
      <c r="BD158" s="35"/>
      <c r="BE158" s="36"/>
      <c r="BG158" s="34"/>
      <c r="BH158" s="35"/>
      <c r="BI158" s="36"/>
      <c r="BK158" s="34"/>
      <c r="BL158" s="35"/>
      <c r="BM158" s="36"/>
      <c r="BO158" s="34"/>
      <c r="BP158" s="35"/>
      <c r="BQ158" s="36"/>
      <c r="BS158" s="1592"/>
      <c r="BT158" s="35"/>
      <c r="BU158" s="36"/>
      <c r="BW158" s="34"/>
      <c r="BX158" s="35"/>
      <c r="BY158" s="36"/>
      <c r="CA158" s="34"/>
      <c r="CB158" s="35"/>
      <c r="CC158" s="36"/>
      <c r="CE158" s="34"/>
      <c r="CF158" s="35"/>
      <c r="CG158" s="36"/>
      <c r="CI158" s="34"/>
      <c r="CJ158" s="35"/>
      <c r="CK158" s="36"/>
      <c r="CM158" s="34"/>
      <c r="CN158" s="35"/>
      <c r="CO158" s="36"/>
    </row>
    <row r="159" spans="1:93">
      <c r="A159" s="34"/>
      <c r="B159" s="35"/>
      <c r="C159" s="36"/>
      <c r="D159" s="37" t="str">
        <f>IF(C159&gt;=Mat!$E$71,"Material","No Mat")</f>
        <v>No Mat</v>
      </c>
      <c r="E159" s="834">
        <f>IF(C159&gt;=Mat!$E$71,C159/Mat!$E$71,0)</f>
        <v>0</v>
      </c>
      <c r="G159" s="34"/>
      <c r="H159" s="35"/>
      <c r="I159" s="48"/>
      <c r="J159" s="36"/>
      <c r="L159" s="506"/>
      <c r="M159" s="506" t="s">
        <v>408</v>
      </c>
      <c r="N159" s="507">
        <f t="shared" si="27"/>
        <v>0</v>
      </c>
      <c r="O159" s="507">
        <f t="shared" si="28"/>
        <v>0</v>
      </c>
      <c r="P159" s="507">
        <f t="shared" si="29"/>
        <v>0</v>
      </c>
      <c r="Q159" s="507">
        <f t="shared" si="30"/>
        <v>0</v>
      </c>
      <c r="R159" s="507">
        <f t="shared" si="31"/>
        <v>0</v>
      </c>
      <c r="S159" s="507">
        <f t="shared" si="32"/>
        <v>0</v>
      </c>
      <c r="T159" s="507">
        <f t="shared" si="33"/>
        <v>0</v>
      </c>
      <c r="U159" s="507">
        <f t="shared" si="34"/>
        <v>0</v>
      </c>
      <c r="V159" s="507">
        <f t="shared" si="35"/>
        <v>0</v>
      </c>
      <c r="W159" s="507">
        <f t="shared" si="36"/>
        <v>0</v>
      </c>
      <c r="X159" s="507">
        <f t="shared" si="37"/>
        <v>0</v>
      </c>
      <c r="Y159" s="507">
        <f t="shared" si="38"/>
        <v>0</v>
      </c>
      <c r="Z159" s="11">
        <f t="shared" si="39"/>
        <v>0</v>
      </c>
      <c r="AC159" s="4">
        <v>323</v>
      </c>
      <c r="AD159" s="5" t="s">
        <v>443</v>
      </c>
      <c r="AE159" s="5" t="s">
        <v>441</v>
      </c>
      <c r="AF159" s="5" t="s">
        <v>444</v>
      </c>
      <c r="AG159" s="5" t="s">
        <v>0</v>
      </c>
      <c r="AH159" s="5" t="s">
        <v>18</v>
      </c>
      <c r="AI159" s="5" t="s">
        <v>12</v>
      </c>
      <c r="AJ159" s="5" t="s">
        <v>17</v>
      </c>
      <c r="AK159" s="5" t="s">
        <v>284</v>
      </c>
      <c r="AL159" s="5" t="s">
        <v>18</v>
      </c>
      <c r="AM159" s="6"/>
      <c r="AO159" s="5"/>
      <c r="AP159" s="5"/>
      <c r="AQ159" s="5"/>
      <c r="AR159" s="5"/>
      <c r="AS159" s="5"/>
      <c r="AU159" s="1547"/>
      <c r="AV159" s="35"/>
      <c r="AW159" s="36"/>
      <c r="AY159" s="34"/>
      <c r="AZ159" s="35"/>
      <c r="BA159" s="36"/>
      <c r="BC159" s="34"/>
      <c r="BD159" s="35"/>
      <c r="BE159" s="36"/>
      <c r="BG159" s="34"/>
      <c r="BH159" s="35"/>
      <c r="BI159" s="36"/>
      <c r="BK159" s="34"/>
      <c r="BL159" s="35"/>
      <c r="BM159" s="36"/>
      <c r="BO159" s="34"/>
      <c r="BP159" s="35"/>
      <c r="BQ159" s="36"/>
      <c r="BS159" s="1592"/>
      <c r="BT159" s="35"/>
      <c r="BU159" s="36"/>
      <c r="BW159" s="34"/>
      <c r="BX159" s="35"/>
      <c r="BY159" s="36"/>
      <c r="CA159" s="34"/>
      <c r="CB159" s="35"/>
      <c r="CC159" s="36"/>
      <c r="CE159" s="34"/>
      <c r="CF159" s="35"/>
      <c r="CG159" s="36"/>
      <c r="CI159" s="34"/>
      <c r="CJ159" s="35"/>
      <c r="CK159" s="36"/>
      <c r="CM159" s="34"/>
      <c r="CN159" s="35"/>
      <c r="CO159" s="36"/>
    </row>
    <row r="160" spans="1:93">
      <c r="A160" s="34"/>
      <c r="B160" s="35"/>
      <c r="C160" s="36"/>
      <c r="D160" s="37" t="str">
        <f>IF(C160&gt;=Mat!$E$71,"Material","No Mat")</f>
        <v>No Mat</v>
      </c>
      <c r="E160" s="834">
        <f>IF(C160&gt;=Mat!$E$71,C160/Mat!$E$71,0)</f>
        <v>0</v>
      </c>
      <c r="G160" s="34"/>
      <c r="H160" s="35"/>
      <c r="I160" s="48"/>
      <c r="J160" s="36"/>
      <c r="L160" s="506"/>
      <c r="M160" s="506" t="s">
        <v>410</v>
      </c>
      <c r="N160" s="507">
        <f t="shared" si="27"/>
        <v>0</v>
      </c>
      <c r="O160" s="507">
        <f t="shared" si="28"/>
        <v>0</v>
      </c>
      <c r="P160" s="507">
        <f t="shared" si="29"/>
        <v>0</v>
      </c>
      <c r="Q160" s="507">
        <f t="shared" si="30"/>
        <v>0</v>
      </c>
      <c r="R160" s="507">
        <f t="shared" si="31"/>
        <v>0</v>
      </c>
      <c r="S160" s="507">
        <f t="shared" si="32"/>
        <v>0</v>
      </c>
      <c r="T160" s="507">
        <f t="shared" si="33"/>
        <v>0</v>
      </c>
      <c r="U160" s="507">
        <f t="shared" si="34"/>
        <v>0</v>
      </c>
      <c r="V160" s="507">
        <f t="shared" si="35"/>
        <v>0</v>
      </c>
      <c r="W160" s="507">
        <f t="shared" si="36"/>
        <v>0</v>
      </c>
      <c r="X160" s="507">
        <f t="shared" si="37"/>
        <v>0</v>
      </c>
      <c r="Y160" s="507">
        <f t="shared" si="38"/>
        <v>0</v>
      </c>
      <c r="Z160" s="11">
        <f t="shared" si="39"/>
        <v>0</v>
      </c>
      <c r="AC160" s="4">
        <v>325</v>
      </c>
      <c r="AD160" s="5" t="s">
        <v>445</v>
      </c>
      <c r="AE160" s="5" t="s">
        <v>441</v>
      </c>
      <c r="AF160" s="5" t="s">
        <v>446</v>
      </c>
      <c r="AG160" s="5" t="s">
        <v>447</v>
      </c>
      <c r="AH160" s="5" t="s">
        <v>18</v>
      </c>
      <c r="AI160" s="5" t="s">
        <v>12</v>
      </c>
      <c r="AJ160" s="5" t="s">
        <v>17</v>
      </c>
      <c r="AK160" s="5" t="s">
        <v>284</v>
      </c>
      <c r="AL160" s="5" t="s">
        <v>18</v>
      </c>
      <c r="AM160" s="6"/>
      <c r="AO160" s="5"/>
      <c r="AP160" s="5"/>
      <c r="AQ160" s="5"/>
      <c r="AR160" s="5"/>
      <c r="AS160" s="5"/>
      <c r="AU160" s="1547"/>
      <c r="AV160" s="35"/>
      <c r="AW160" s="36"/>
      <c r="AY160" s="34"/>
      <c r="AZ160" s="35"/>
      <c r="BA160" s="36"/>
      <c r="BC160" s="34"/>
      <c r="BD160" s="35"/>
      <c r="BE160" s="36"/>
      <c r="BG160" s="34"/>
      <c r="BH160" s="35"/>
      <c r="BI160" s="36"/>
      <c r="BK160" s="34"/>
      <c r="BL160" s="35"/>
      <c r="BM160" s="36"/>
      <c r="BO160" s="34"/>
      <c r="BP160" s="35"/>
      <c r="BQ160" s="36"/>
      <c r="BS160" s="1592"/>
      <c r="BT160" s="35"/>
      <c r="BU160" s="36"/>
      <c r="BW160" s="34"/>
      <c r="BX160" s="35"/>
      <c r="BY160" s="36"/>
      <c r="CA160" s="34"/>
      <c r="CB160" s="35"/>
      <c r="CC160" s="36"/>
      <c r="CE160" s="34"/>
      <c r="CF160" s="35"/>
      <c r="CG160" s="36"/>
      <c r="CI160" s="34"/>
      <c r="CJ160" s="35"/>
      <c r="CK160" s="36"/>
      <c r="CM160" s="34"/>
      <c r="CN160" s="35"/>
      <c r="CO160" s="36"/>
    </row>
    <row r="161" spans="1:93">
      <c r="A161" s="34"/>
      <c r="B161" s="35"/>
      <c r="C161" s="36"/>
      <c r="D161" s="37" t="str">
        <f>IF(C161&gt;=Mat!$E$71,"Material","No Mat")</f>
        <v>No Mat</v>
      </c>
      <c r="E161" s="834">
        <f>IF(C161&gt;=Mat!$E$71,C161/Mat!$E$71,0)</f>
        <v>0</v>
      </c>
      <c r="G161" s="34"/>
      <c r="H161" s="35"/>
      <c r="I161" s="48"/>
      <c r="J161" s="36"/>
      <c r="L161" s="506"/>
      <c r="M161" s="506" t="s">
        <v>413</v>
      </c>
      <c r="N161" s="507">
        <f t="shared" si="27"/>
        <v>0</v>
      </c>
      <c r="O161" s="507">
        <f t="shared" si="28"/>
        <v>0</v>
      </c>
      <c r="P161" s="507">
        <f t="shared" si="29"/>
        <v>0</v>
      </c>
      <c r="Q161" s="507">
        <f t="shared" si="30"/>
        <v>0</v>
      </c>
      <c r="R161" s="507">
        <f t="shared" si="31"/>
        <v>0</v>
      </c>
      <c r="S161" s="507">
        <f t="shared" si="32"/>
        <v>0</v>
      </c>
      <c r="T161" s="507">
        <f t="shared" si="33"/>
        <v>0</v>
      </c>
      <c r="U161" s="507">
        <f t="shared" si="34"/>
        <v>0</v>
      </c>
      <c r="V161" s="507">
        <f t="shared" si="35"/>
        <v>0</v>
      </c>
      <c r="W161" s="507">
        <f t="shared" si="36"/>
        <v>0</v>
      </c>
      <c r="X161" s="507">
        <f t="shared" si="37"/>
        <v>0</v>
      </c>
      <c r="Y161" s="507">
        <f t="shared" si="38"/>
        <v>0</v>
      </c>
      <c r="Z161" s="11">
        <f t="shared" si="39"/>
        <v>0</v>
      </c>
      <c r="AC161" s="4">
        <v>327</v>
      </c>
      <c r="AD161" s="5" t="s">
        <v>448</v>
      </c>
      <c r="AE161" s="5" t="s">
        <v>441</v>
      </c>
      <c r="AF161" s="5" t="s">
        <v>449</v>
      </c>
      <c r="AG161" s="5" t="s">
        <v>450</v>
      </c>
      <c r="AH161" s="5" t="s">
        <v>18</v>
      </c>
      <c r="AI161" s="5" t="s">
        <v>12</v>
      </c>
      <c r="AJ161" s="5" t="s">
        <v>17</v>
      </c>
      <c r="AK161" s="5" t="s">
        <v>284</v>
      </c>
      <c r="AL161" s="5" t="s">
        <v>18</v>
      </c>
      <c r="AM161" s="6"/>
      <c r="AO161" s="5"/>
      <c r="AP161" s="5"/>
      <c r="AQ161" s="5"/>
      <c r="AR161" s="5"/>
      <c r="AS161" s="5"/>
      <c r="AU161" s="1547"/>
      <c r="AV161" s="35"/>
      <c r="AW161" s="36"/>
      <c r="AY161" s="34"/>
      <c r="AZ161" s="35"/>
      <c r="BA161" s="36"/>
      <c r="BC161" s="34"/>
      <c r="BD161" s="35"/>
      <c r="BE161" s="36"/>
      <c r="BG161" s="34"/>
      <c r="BH161" s="35"/>
      <c r="BI161" s="36"/>
      <c r="BK161" s="34"/>
      <c r="BL161" s="35"/>
      <c r="BM161" s="36"/>
      <c r="BO161" s="34"/>
      <c r="BP161" s="35"/>
      <c r="BQ161" s="36"/>
      <c r="BS161" s="1592"/>
      <c r="BT161" s="35"/>
      <c r="BU161" s="36"/>
      <c r="BW161" s="34"/>
      <c r="BX161" s="35"/>
      <c r="BY161" s="36"/>
      <c r="CA161" s="34"/>
      <c r="CB161" s="35"/>
      <c r="CC161" s="36"/>
      <c r="CE161" s="34"/>
      <c r="CF161" s="35"/>
      <c r="CG161" s="36"/>
      <c r="CI161" s="34"/>
      <c r="CJ161" s="35"/>
      <c r="CK161" s="36"/>
      <c r="CM161" s="34"/>
      <c r="CN161" s="35"/>
      <c r="CO161" s="36"/>
    </row>
    <row r="162" spans="1:93">
      <c r="A162" s="34"/>
      <c r="B162" s="35"/>
      <c r="C162" s="36"/>
      <c r="D162" s="37" t="str">
        <f>IF(C162&gt;=Mat!$E$71,"Material","No Mat")</f>
        <v>No Mat</v>
      </c>
      <c r="E162" s="834">
        <f>IF(C162&gt;=Mat!$E$71,C162/Mat!$E$71,0)</f>
        <v>0</v>
      </c>
      <c r="G162" s="34"/>
      <c r="H162" s="35"/>
      <c r="I162" s="48"/>
      <c r="J162" s="36"/>
      <c r="L162" s="506"/>
      <c r="M162" s="506" t="s">
        <v>415</v>
      </c>
      <c r="N162" s="507">
        <f t="shared" si="27"/>
        <v>0</v>
      </c>
      <c r="O162" s="507">
        <f t="shared" si="28"/>
        <v>0</v>
      </c>
      <c r="P162" s="507">
        <f t="shared" si="29"/>
        <v>0</v>
      </c>
      <c r="Q162" s="507">
        <f t="shared" si="30"/>
        <v>0</v>
      </c>
      <c r="R162" s="507">
        <f t="shared" si="31"/>
        <v>0</v>
      </c>
      <c r="S162" s="507">
        <f t="shared" si="32"/>
        <v>0</v>
      </c>
      <c r="T162" s="507">
        <f t="shared" si="33"/>
        <v>0</v>
      </c>
      <c r="U162" s="507">
        <f t="shared" si="34"/>
        <v>0</v>
      </c>
      <c r="V162" s="507">
        <f t="shared" si="35"/>
        <v>0</v>
      </c>
      <c r="W162" s="507">
        <f t="shared" si="36"/>
        <v>0</v>
      </c>
      <c r="X162" s="507">
        <f t="shared" si="37"/>
        <v>0</v>
      </c>
      <c r="Y162" s="507">
        <f t="shared" si="38"/>
        <v>0</v>
      </c>
      <c r="Z162" s="11">
        <f t="shared" si="39"/>
        <v>0</v>
      </c>
      <c r="AC162" s="4">
        <v>329</v>
      </c>
      <c r="AD162" s="5" t="s">
        <v>451</v>
      </c>
      <c r="AE162" s="5" t="s">
        <v>441</v>
      </c>
      <c r="AF162" s="5" t="s">
        <v>452</v>
      </c>
      <c r="AG162" s="5" t="s">
        <v>453</v>
      </c>
      <c r="AH162" s="5" t="s">
        <v>18</v>
      </c>
      <c r="AI162" s="5" t="s">
        <v>12</v>
      </c>
      <c r="AJ162" s="5" t="s">
        <v>17</v>
      </c>
      <c r="AK162" s="5" t="s">
        <v>284</v>
      </c>
      <c r="AL162" s="5" t="s">
        <v>18</v>
      </c>
      <c r="AM162" s="6"/>
      <c r="AO162" s="5"/>
      <c r="AP162" s="5"/>
      <c r="AQ162" s="5"/>
      <c r="AR162" s="5"/>
      <c r="AS162" s="5"/>
      <c r="AU162" s="1547"/>
      <c r="AV162" s="35"/>
      <c r="AW162" s="36"/>
      <c r="AY162" s="34"/>
      <c r="AZ162" s="35"/>
      <c r="BA162" s="36"/>
      <c r="BC162" s="34"/>
      <c r="BD162" s="35"/>
      <c r="BE162" s="36"/>
      <c r="BG162" s="34"/>
      <c r="BH162" s="35"/>
      <c r="BI162" s="36"/>
      <c r="BK162" s="34"/>
      <c r="BL162" s="35"/>
      <c r="BM162" s="36"/>
      <c r="BO162" s="34"/>
      <c r="BP162" s="35"/>
      <c r="BQ162" s="36"/>
      <c r="BS162" s="1592"/>
      <c r="BT162" s="35"/>
      <c r="BU162" s="36"/>
      <c r="BW162" s="34"/>
      <c r="BX162" s="35"/>
      <c r="BY162" s="36"/>
      <c r="CA162" s="34"/>
      <c r="CB162" s="35"/>
      <c r="CC162" s="36"/>
      <c r="CE162" s="34"/>
      <c r="CF162" s="35"/>
      <c r="CG162" s="36"/>
      <c r="CI162" s="34"/>
      <c r="CJ162" s="35"/>
      <c r="CK162" s="36"/>
      <c r="CM162" s="34"/>
      <c r="CN162" s="35"/>
      <c r="CO162" s="36"/>
    </row>
    <row r="163" spans="1:93">
      <c r="A163" s="34"/>
      <c r="B163" s="35"/>
      <c r="C163" s="36"/>
      <c r="D163" s="37" t="str">
        <f>IF(C163&gt;=Mat!$E$71,"Material","No Mat")</f>
        <v>No Mat</v>
      </c>
      <c r="E163" s="834">
        <f>IF(C163&gt;=Mat!$E$71,C163/Mat!$E$71,0)</f>
        <v>0</v>
      </c>
      <c r="G163" s="34"/>
      <c r="H163" s="35"/>
      <c r="I163" s="48"/>
      <c r="J163" s="36"/>
      <c r="L163" s="506"/>
      <c r="M163" s="506" t="s">
        <v>417</v>
      </c>
      <c r="N163" s="507">
        <f t="shared" si="27"/>
        <v>0</v>
      </c>
      <c r="O163" s="507">
        <f t="shared" si="28"/>
        <v>0</v>
      </c>
      <c r="P163" s="507">
        <f t="shared" si="29"/>
        <v>0</v>
      </c>
      <c r="Q163" s="507">
        <f t="shared" si="30"/>
        <v>0</v>
      </c>
      <c r="R163" s="507">
        <f t="shared" si="31"/>
        <v>0</v>
      </c>
      <c r="S163" s="507">
        <f t="shared" si="32"/>
        <v>0</v>
      </c>
      <c r="T163" s="507">
        <f t="shared" si="33"/>
        <v>0</v>
      </c>
      <c r="U163" s="507">
        <f t="shared" si="34"/>
        <v>0</v>
      </c>
      <c r="V163" s="507">
        <f t="shared" si="35"/>
        <v>0</v>
      </c>
      <c r="W163" s="507">
        <f t="shared" si="36"/>
        <v>0</v>
      </c>
      <c r="X163" s="507">
        <f t="shared" si="37"/>
        <v>0</v>
      </c>
      <c r="Y163" s="507">
        <f t="shared" si="38"/>
        <v>0</v>
      </c>
      <c r="Z163" s="11">
        <f t="shared" si="39"/>
        <v>0</v>
      </c>
      <c r="AC163" s="4">
        <v>331</v>
      </c>
      <c r="AD163" s="5" t="s">
        <v>454</v>
      </c>
      <c r="AE163" s="5" t="s">
        <v>441</v>
      </c>
      <c r="AF163" s="5" t="s">
        <v>455</v>
      </c>
      <c r="AG163" s="5" t="s">
        <v>456</v>
      </c>
      <c r="AH163" s="5" t="s">
        <v>18</v>
      </c>
      <c r="AI163" s="5" t="s">
        <v>12</v>
      </c>
      <c r="AJ163" s="5" t="s">
        <v>17</v>
      </c>
      <c r="AK163" s="5" t="s">
        <v>284</v>
      </c>
      <c r="AL163" s="5" t="s">
        <v>18</v>
      </c>
      <c r="AM163" s="6"/>
      <c r="AO163" s="5"/>
      <c r="AP163" s="5"/>
      <c r="AQ163" s="5"/>
      <c r="AR163" s="5"/>
      <c r="AS163" s="5"/>
      <c r="AU163" s="1547"/>
      <c r="AV163" s="35"/>
      <c r="AW163" s="36"/>
      <c r="AY163" s="34"/>
      <c r="AZ163" s="35"/>
      <c r="BA163" s="36"/>
      <c r="BC163" s="34"/>
      <c r="BD163" s="35"/>
      <c r="BE163" s="36"/>
      <c r="BG163" s="34"/>
      <c r="BH163" s="35"/>
      <c r="BI163" s="36"/>
      <c r="BK163" s="34"/>
      <c r="BL163" s="35"/>
      <c r="BM163" s="36"/>
      <c r="BO163" s="34"/>
      <c r="BP163" s="35"/>
      <c r="BQ163" s="36"/>
      <c r="BS163" s="1592"/>
      <c r="BT163" s="35"/>
      <c r="BU163" s="36"/>
      <c r="BW163" s="34"/>
      <c r="BX163" s="35"/>
      <c r="BY163" s="36"/>
      <c r="CA163" s="34"/>
      <c r="CB163" s="35"/>
      <c r="CC163" s="36"/>
      <c r="CE163" s="34"/>
      <c r="CF163" s="35"/>
      <c r="CG163" s="36"/>
      <c r="CI163" s="34"/>
      <c r="CJ163" s="35"/>
      <c r="CK163" s="36"/>
      <c r="CM163" s="34"/>
      <c r="CN163" s="35"/>
      <c r="CO163" s="36"/>
    </row>
    <row r="164" spans="1:93">
      <c r="A164" s="34"/>
      <c r="B164" s="35"/>
      <c r="C164" s="36"/>
      <c r="D164" s="37" t="str">
        <f>IF(C164&gt;=Mat!$E$71,"Material","No Mat")</f>
        <v>No Mat</v>
      </c>
      <c r="E164" s="834">
        <f>IF(C164&gt;=Mat!$E$71,C164/Mat!$E$71,0)</f>
        <v>0</v>
      </c>
      <c r="G164" s="34"/>
      <c r="H164" s="35"/>
      <c r="I164" s="48"/>
      <c r="J164" s="36"/>
      <c r="L164" s="506"/>
      <c r="M164" s="506" t="s">
        <v>423</v>
      </c>
      <c r="N164" s="507">
        <f t="shared" si="27"/>
        <v>0</v>
      </c>
      <c r="O164" s="507">
        <f t="shared" si="28"/>
        <v>0</v>
      </c>
      <c r="P164" s="507">
        <f t="shared" si="29"/>
        <v>0</v>
      </c>
      <c r="Q164" s="507">
        <f t="shared" si="30"/>
        <v>0</v>
      </c>
      <c r="R164" s="507">
        <f t="shared" si="31"/>
        <v>0</v>
      </c>
      <c r="S164" s="507">
        <f t="shared" si="32"/>
        <v>0</v>
      </c>
      <c r="T164" s="507">
        <f t="shared" si="33"/>
        <v>0</v>
      </c>
      <c r="U164" s="507">
        <f t="shared" si="34"/>
        <v>0</v>
      </c>
      <c r="V164" s="507">
        <f t="shared" si="35"/>
        <v>0</v>
      </c>
      <c r="W164" s="507">
        <f t="shared" si="36"/>
        <v>0</v>
      </c>
      <c r="X164" s="507">
        <f t="shared" si="37"/>
        <v>0</v>
      </c>
      <c r="Y164" s="507">
        <f t="shared" si="38"/>
        <v>0</v>
      </c>
      <c r="Z164" s="11">
        <f t="shared" si="39"/>
        <v>0</v>
      </c>
      <c r="AC164" s="4">
        <v>333</v>
      </c>
      <c r="AD164" s="5" t="s">
        <v>457</v>
      </c>
      <c r="AE164" s="5" t="s">
        <v>441</v>
      </c>
      <c r="AF164" s="5" t="s">
        <v>458</v>
      </c>
      <c r="AG164" s="5" t="s">
        <v>459</v>
      </c>
      <c r="AH164" s="5" t="s">
        <v>18</v>
      </c>
      <c r="AI164" s="5" t="s">
        <v>12</v>
      </c>
      <c r="AJ164" s="5" t="s">
        <v>17</v>
      </c>
      <c r="AK164" s="5" t="s">
        <v>284</v>
      </c>
      <c r="AL164" s="5" t="s">
        <v>18</v>
      </c>
      <c r="AM164" s="6"/>
      <c r="AO164" s="5"/>
      <c r="AP164" s="5"/>
      <c r="AQ164" s="5"/>
      <c r="AR164" s="5"/>
      <c r="AS164" s="5"/>
      <c r="AU164" s="1547"/>
      <c r="AV164" s="35"/>
      <c r="AW164" s="36"/>
      <c r="AY164" s="34"/>
      <c r="AZ164" s="35"/>
      <c r="BA164" s="36"/>
      <c r="BC164" s="34"/>
      <c r="BD164" s="35"/>
      <c r="BE164" s="36"/>
      <c r="BG164" s="34"/>
      <c r="BH164" s="35"/>
      <c r="BI164" s="36"/>
      <c r="BK164" s="34"/>
      <c r="BL164" s="35"/>
      <c r="BM164" s="36"/>
      <c r="BO164" s="34"/>
      <c r="BP164" s="35"/>
      <c r="BQ164" s="36"/>
      <c r="BS164" s="1592"/>
      <c r="BT164" s="35"/>
      <c r="BU164" s="36"/>
      <c r="BW164" s="34"/>
      <c r="BX164" s="35"/>
      <c r="BY164" s="36"/>
      <c r="CA164" s="34"/>
      <c r="CB164" s="35"/>
      <c r="CC164" s="36"/>
      <c r="CE164" s="34"/>
      <c r="CF164" s="35"/>
      <c r="CG164" s="36"/>
      <c r="CI164" s="34"/>
      <c r="CJ164" s="35"/>
      <c r="CK164" s="36"/>
      <c r="CM164" s="34"/>
      <c r="CN164" s="35"/>
      <c r="CO164" s="36"/>
    </row>
    <row r="165" spans="1:93">
      <c r="A165" s="34"/>
      <c r="B165" s="35"/>
      <c r="C165" s="36"/>
      <c r="D165" s="37" t="str">
        <f>IF(C165&gt;=Mat!$E$71,"Material","No Mat")</f>
        <v>No Mat</v>
      </c>
      <c r="E165" s="834">
        <f>IF(C165&gt;=Mat!$E$71,C165/Mat!$E$71,0)</f>
        <v>0</v>
      </c>
      <c r="G165" s="34"/>
      <c r="H165" s="35"/>
      <c r="I165" s="48"/>
      <c r="J165" s="36"/>
      <c r="L165" s="506"/>
      <c r="M165" s="506" t="s">
        <v>425</v>
      </c>
      <c r="N165" s="507">
        <f t="shared" si="27"/>
        <v>0</v>
      </c>
      <c r="O165" s="507">
        <f t="shared" si="28"/>
        <v>0</v>
      </c>
      <c r="P165" s="507">
        <f t="shared" si="29"/>
        <v>0</v>
      </c>
      <c r="Q165" s="507">
        <f t="shared" si="30"/>
        <v>0</v>
      </c>
      <c r="R165" s="507">
        <f t="shared" si="31"/>
        <v>0</v>
      </c>
      <c r="S165" s="507">
        <f t="shared" si="32"/>
        <v>0</v>
      </c>
      <c r="T165" s="507">
        <f t="shared" si="33"/>
        <v>0</v>
      </c>
      <c r="U165" s="507">
        <f t="shared" si="34"/>
        <v>0</v>
      </c>
      <c r="V165" s="507">
        <f t="shared" si="35"/>
        <v>0</v>
      </c>
      <c r="W165" s="507">
        <f t="shared" si="36"/>
        <v>0</v>
      </c>
      <c r="X165" s="507">
        <f t="shared" si="37"/>
        <v>0</v>
      </c>
      <c r="Y165" s="507">
        <f t="shared" si="38"/>
        <v>0</v>
      </c>
      <c r="Z165" s="11">
        <f t="shared" si="39"/>
        <v>0</v>
      </c>
      <c r="AC165" s="4">
        <v>335</v>
      </c>
      <c r="AD165" s="5" t="s">
        <v>460</v>
      </c>
      <c r="AE165" s="5" t="s">
        <v>441</v>
      </c>
      <c r="AF165" s="5" t="s">
        <v>461</v>
      </c>
      <c r="AG165" s="5" t="s">
        <v>462</v>
      </c>
      <c r="AH165" s="5" t="s">
        <v>18</v>
      </c>
      <c r="AI165" s="5" t="s">
        <v>12</v>
      </c>
      <c r="AJ165" s="5" t="s">
        <v>17</v>
      </c>
      <c r="AK165" s="5" t="s">
        <v>284</v>
      </c>
      <c r="AL165" s="5" t="s">
        <v>18</v>
      </c>
      <c r="AM165" s="6"/>
      <c r="AO165" s="5"/>
      <c r="AP165" s="5"/>
      <c r="AQ165" s="5"/>
      <c r="AR165" s="5"/>
      <c r="AS165" s="5"/>
      <c r="AU165" s="1547"/>
      <c r="AV165" s="35"/>
      <c r="AW165" s="36"/>
      <c r="AY165" s="34"/>
      <c r="AZ165" s="35"/>
      <c r="BA165" s="36"/>
      <c r="BC165" s="34"/>
      <c r="BD165" s="35"/>
      <c r="BE165" s="36"/>
      <c r="BG165" s="34"/>
      <c r="BH165" s="35"/>
      <c r="BI165" s="36"/>
      <c r="BK165" s="34"/>
      <c r="BL165" s="35"/>
      <c r="BM165" s="36"/>
      <c r="BO165" s="34"/>
      <c r="BP165" s="35"/>
      <c r="BQ165" s="36"/>
      <c r="BS165" s="1592"/>
      <c r="BT165" s="35"/>
      <c r="BU165" s="36"/>
      <c r="BW165" s="34"/>
      <c r="BX165" s="35"/>
      <c r="BY165" s="36"/>
      <c r="CA165" s="34"/>
      <c r="CB165" s="35"/>
      <c r="CC165" s="36"/>
      <c r="CE165" s="34"/>
      <c r="CF165" s="35"/>
      <c r="CG165" s="36"/>
      <c r="CI165" s="34"/>
      <c r="CJ165" s="35"/>
      <c r="CK165" s="36"/>
      <c r="CM165" s="34"/>
      <c r="CN165" s="35"/>
      <c r="CO165" s="36"/>
    </row>
    <row r="166" spans="1:93">
      <c r="A166" s="34"/>
      <c r="B166" s="35"/>
      <c r="C166" s="36"/>
      <c r="D166" s="37" t="str">
        <f>IF(C166&gt;=Mat!$E$71,"Material","No Mat")</f>
        <v>No Mat</v>
      </c>
      <c r="E166" s="834">
        <f>IF(C166&gt;=Mat!$E$71,C166/Mat!$E$71,0)</f>
        <v>0</v>
      </c>
      <c r="G166" s="34"/>
      <c r="H166" s="35"/>
      <c r="I166" s="48"/>
      <c r="J166" s="36"/>
      <c r="L166" s="506"/>
      <c r="M166" s="506" t="s">
        <v>427</v>
      </c>
      <c r="N166" s="507">
        <f t="shared" si="27"/>
        <v>0</v>
      </c>
      <c r="O166" s="507">
        <f t="shared" si="28"/>
        <v>0</v>
      </c>
      <c r="P166" s="507">
        <f t="shared" si="29"/>
        <v>0</v>
      </c>
      <c r="Q166" s="507">
        <f t="shared" si="30"/>
        <v>0</v>
      </c>
      <c r="R166" s="507">
        <f t="shared" si="31"/>
        <v>0</v>
      </c>
      <c r="S166" s="507">
        <f t="shared" si="32"/>
        <v>0</v>
      </c>
      <c r="T166" s="507">
        <f t="shared" si="33"/>
        <v>0</v>
      </c>
      <c r="U166" s="507">
        <f t="shared" si="34"/>
        <v>0</v>
      </c>
      <c r="V166" s="507">
        <f t="shared" si="35"/>
        <v>0</v>
      </c>
      <c r="W166" s="507">
        <f t="shared" si="36"/>
        <v>0</v>
      </c>
      <c r="X166" s="507">
        <f t="shared" si="37"/>
        <v>0</v>
      </c>
      <c r="Y166" s="507">
        <f t="shared" si="38"/>
        <v>0</v>
      </c>
      <c r="Z166" s="11">
        <f t="shared" si="39"/>
        <v>0</v>
      </c>
      <c r="AC166" s="4">
        <v>337</v>
      </c>
      <c r="AD166" s="5" t="s">
        <v>465</v>
      </c>
      <c r="AE166" s="5" t="s">
        <v>463</v>
      </c>
      <c r="AF166" s="5" t="s">
        <v>466</v>
      </c>
      <c r="AG166" s="5" t="s">
        <v>467</v>
      </c>
      <c r="AH166" s="5" t="s">
        <v>18</v>
      </c>
      <c r="AI166" s="5" t="s">
        <v>12</v>
      </c>
      <c r="AJ166" s="5" t="s">
        <v>17</v>
      </c>
      <c r="AK166" s="5" t="s">
        <v>284</v>
      </c>
      <c r="AL166" s="5" t="s">
        <v>18</v>
      </c>
      <c r="AM166" s="6"/>
      <c r="AO166" s="5"/>
      <c r="AP166" s="5"/>
      <c r="AQ166" s="5"/>
      <c r="AR166" s="5"/>
      <c r="AS166" s="5"/>
      <c r="AU166" s="1547"/>
      <c r="AV166" s="35"/>
      <c r="AW166" s="36"/>
      <c r="AY166" s="34"/>
      <c r="AZ166" s="35"/>
      <c r="BA166" s="36"/>
      <c r="BC166" s="34"/>
      <c r="BD166" s="35"/>
      <c r="BE166" s="36"/>
      <c r="BG166" s="34"/>
      <c r="BH166" s="35"/>
      <c r="BI166" s="36"/>
      <c r="BK166" s="34"/>
      <c r="BL166" s="35"/>
      <c r="BM166" s="36"/>
      <c r="BO166" s="34"/>
      <c r="BP166" s="35"/>
      <c r="BQ166" s="36"/>
      <c r="BS166" s="1592"/>
      <c r="BT166" s="35"/>
      <c r="BU166" s="36"/>
      <c r="BW166" s="34"/>
      <c r="BX166" s="35"/>
      <c r="BY166" s="36"/>
      <c r="CA166" s="34"/>
      <c r="CB166" s="35"/>
      <c r="CC166" s="36"/>
      <c r="CE166" s="34"/>
      <c r="CF166" s="35"/>
      <c r="CG166" s="36"/>
      <c r="CI166" s="34"/>
      <c r="CJ166" s="35"/>
      <c r="CK166" s="36"/>
      <c r="CM166" s="34"/>
      <c r="CN166" s="35"/>
      <c r="CO166" s="36"/>
    </row>
    <row r="167" spans="1:93">
      <c r="A167" s="34"/>
      <c r="B167" s="35"/>
      <c r="C167" s="36"/>
      <c r="D167" s="37" t="str">
        <f>IF(C167&gt;=Mat!$E$71,"Material","No Mat")</f>
        <v>No Mat</v>
      </c>
      <c r="E167" s="834">
        <f>IF(C167&gt;=Mat!$E$71,C167/Mat!$E$71,0)</f>
        <v>0</v>
      </c>
      <c r="G167" s="34"/>
      <c r="H167" s="35"/>
      <c r="I167" s="48"/>
      <c r="J167" s="36"/>
      <c r="L167" s="506"/>
      <c r="M167" s="506" t="s">
        <v>432</v>
      </c>
      <c r="N167" s="507">
        <f t="shared" si="27"/>
        <v>0</v>
      </c>
      <c r="O167" s="507">
        <f t="shared" si="28"/>
        <v>0</v>
      </c>
      <c r="P167" s="507">
        <f t="shared" si="29"/>
        <v>0</v>
      </c>
      <c r="Q167" s="507">
        <f t="shared" si="30"/>
        <v>0</v>
      </c>
      <c r="R167" s="507">
        <f t="shared" si="31"/>
        <v>0</v>
      </c>
      <c r="S167" s="507">
        <f t="shared" si="32"/>
        <v>0</v>
      </c>
      <c r="T167" s="507">
        <f t="shared" si="33"/>
        <v>0</v>
      </c>
      <c r="U167" s="507">
        <f t="shared" si="34"/>
        <v>0</v>
      </c>
      <c r="V167" s="507">
        <f t="shared" si="35"/>
        <v>0</v>
      </c>
      <c r="W167" s="507">
        <f t="shared" si="36"/>
        <v>0</v>
      </c>
      <c r="X167" s="507">
        <f t="shared" si="37"/>
        <v>0</v>
      </c>
      <c r="Y167" s="507">
        <f t="shared" si="38"/>
        <v>0</v>
      </c>
      <c r="Z167" s="11">
        <f t="shared" si="39"/>
        <v>0</v>
      </c>
      <c r="AC167" s="4">
        <v>339</v>
      </c>
      <c r="AD167" s="5" t="s">
        <v>468</v>
      </c>
      <c r="AE167" s="5" t="s">
        <v>463</v>
      </c>
      <c r="AF167" s="5" t="s">
        <v>469</v>
      </c>
      <c r="AG167" s="5" t="s">
        <v>470</v>
      </c>
      <c r="AH167" s="5" t="s">
        <v>18</v>
      </c>
      <c r="AI167" s="5" t="s">
        <v>12</v>
      </c>
      <c r="AJ167" s="5" t="s">
        <v>17</v>
      </c>
      <c r="AK167" s="5" t="s">
        <v>284</v>
      </c>
      <c r="AL167" s="5" t="s">
        <v>18</v>
      </c>
      <c r="AM167" s="6"/>
      <c r="AO167" s="5"/>
      <c r="AP167" s="5"/>
      <c r="AQ167" s="5"/>
      <c r="AR167" s="5"/>
      <c r="AS167" s="5"/>
      <c r="AU167" s="1547"/>
      <c r="AV167" s="35"/>
      <c r="AW167" s="36"/>
      <c r="AY167" s="34"/>
      <c r="AZ167" s="35"/>
      <c r="BA167" s="36"/>
      <c r="BC167" s="34"/>
      <c r="BD167" s="35"/>
      <c r="BE167" s="36"/>
      <c r="BG167" s="34"/>
      <c r="BH167" s="35"/>
      <c r="BI167" s="36"/>
      <c r="BK167" s="34"/>
      <c r="BL167" s="35"/>
      <c r="BM167" s="36"/>
      <c r="BO167" s="34"/>
      <c r="BP167" s="35"/>
      <c r="BQ167" s="36"/>
      <c r="BS167" s="1592"/>
      <c r="BT167" s="35"/>
      <c r="BU167" s="36"/>
      <c r="BW167" s="34"/>
      <c r="BX167" s="35"/>
      <c r="BY167" s="36"/>
      <c r="CA167" s="34"/>
      <c r="CB167" s="35"/>
      <c r="CC167" s="36"/>
      <c r="CE167" s="34"/>
      <c r="CF167" s="35"/>
      <c r="CG167" s="36"/>
      <c r="CI167" s="34"/>
      <c r="CJ167" s="35"/>
      <c r="CK167" s="36"/>
      <c r="CM167" s="34"/>
      <c r="CN167" s="35"/>
      <c r="CO167" s="36"/>
    </row>
    <row r="168" spans="1:93">
      <c r="A168" s="34"/>
      <c r="B168" s="35"/>
      <c r="C168" s="36"/>
      <c r="D168" s="37" t="str">
        <f>IF(C168&gt;=Mat!$E$71,"Material","No Mat")</f>
        <v>No Mat</v>
      </c>
      <c r="E168" s="834">
        <f>IF(C168&gt;=Mat!$E$71,C168/Mat!$E$71,0)</f>
        <v>0</v>
      </c>
      <c r="G168" s="34"/>
      <c r="H168" s="35"/>
      <c r="I168" s="48"/>
      <c r="J168" s="36"/>
      <c r="L168" s="506"/>
      <c r="M168" s="506" t="s">
        <v>436</v>
      </c>
      <c r="N168" s="507">
        <f t="shared" si="27"/>
        <v>0</v>
      </c>
      <c r="O168" s="507">
        <f t="shared" si="28"/>
        <v>0</v>
      </c>
      <c r="P168" s="507">
        <f t="shared" si="29"/>
        <v>0</v>
      </c>
      <c r="Q168" s="507">
        <f t="shared" si="30"/>
        <v>0</v>
      </c>
      <c r="R168" s="507">
        <f t="shared" si="31"/>
        <v>0</v>
      </c>
      <c r="S168" s="507">
        <f t="shared" si="32"/>
        <v>0</v>
      </c>
      <c r="T168" s="507">
        <f t="shared" si="33"/>
        <v>0</v>
      </c>
      <c r="U168" s="507">
        <f t="shared" si="34"/>
        <v>0</v>
      </c>
      <c r="V168" s="507">
        <f t="shared" si="35"/>
        <v>0</v>
      </c>
      <c r="W168" s="507">
        <f t="shared" si="36"/>
        <v>0</v>
      </c>
      <c r="X168" s="507">
        <f t="shared" si="37"/>
        <v>0</v>
      </c>
      <c r="Y168" s="507">
        <f t="shared" si="38"/>
        <v>0</v>
      </c>
      <c r="Z168" s="11">
        <f t="shared" si="39"/>
        <v>0</v>
      </c>
      <c r="AC168" s="4">
        <v>341</v>
      </c>
      <c r="AD168" s="5" t="s">
        <v>471</v>
      </c>
      <c r="AE168" s="5" t="s">
        <v>463</v>
      </c>
      <c r="AF168" s="5" t="s">
        <v>472</v>
      </c>
      <c r="AG168" s="5" t="s">
        <v>473</v>
      </c>
      <c r="AH168" s="5" t="s">
        <v>18</v>
      </c>
      <c r="AI168" s="5" t="s">
        <v>12</v>
      </c>
      <c r="AJ168" s="5" t="s">
        <v>17</v>
      </c>
      <c r="AK168" s="5" t="s">
        <v>284</v>
      </c>
      <c r="AL168" s="5" t="s">
        <v>18</v>
      </c>
      <c r="AM168" s="6"/>
      <c r="AO168" s="5"/>
      <c r="AP168" s="5"/>
      <c r="AQ168" s="5"/>
      <c r="AR168" s="5"/>
      <c r="AS168" s="5"/>
      <c r="AU168" s="1547"/>
      <c r="AV168" s="35"/>
      <c r="AW168" s="36"/>
      <c r="AY168" s="34"/>
      <c r="AZ168" s="35"/>
      <c r="BA168" s="36"/>
      <c r="BC168" s="34"/>
      <c r="BD168" s="35"/>
      <c r="BE168" s="36"/>
      <c r="BG168" s="34"/>
      <c r="BH168" s="35"/>
      <c r="BI168" s="36"/>
      <c r="BK168" s="34"/>
      <c r="BL168" s="35"/>
      <c r="BM168" s="36"/>
      <c r="BO168" s="34"/>
      <c r="BP168" s="35"/>
      <c r="BQ168" s="36"/>
      <c r="BS168" s="1592"/>
      <c r="BT168" s="35"/>
      <c r="BU168" s="36"/>
      <c r="BW168" s="34"/>
      <c r="BX168" s="35"/>
      <c r="BY168" s="36"/>
      <c r="CA168" s="34"/>
      <c r="CB168" s="35"/>
      <c r="CC168" s="36"/>
      <c r="CE168" s="34"/>
      <c r="CF168" s="35"/>
      <c r="CG168" s="36"/>
      <c r="CI168" s="34"/>
      <c r="CJ168" s="35"/>
      <c r="CK168" s="36"/>
      <c r="CM168" s="34"/>
      <c r="CN168" s="35"/>
      <c r="CO168" s="36"/>
    </row>
    <row r="169" spans="1:93">
      <c r="A169" s="34"/>
      <c r="B169" s="35"/>
      <c r="C169" s="36"/>
      <c r="D169" s="37" t="str">
        <f>IF(C169&gt;=Mat!$E$71,"Material","No Mat")</f>
        <v>No Mat</v>
      </c>
      <c r="E169" s="834">
        <f>IF(C169&gt;=Mat!$E$71,C169/Mat!$E$71,0)</f>
        <v>0</v>
      </c>
      <c r="G169" s="34"/>
      <c r="H169" s="35"/>
      <c r="I169" s="48"/>
      <c r="J169" s="36"/>
      <c r="L169" s="506"/>
      <c r="M169" s="506" t="s">
        <v>438</v>
      </c>
      <c r="N169" s="507">
        <f t="shared" si="27"/>
        <v>0</v>
      </c>
      <c r="O169" s="507">
        <f t="shared" si="28"/>
        <v>0</v>
      </c>
      <c r="P169" s="507">
        <f t="shared" si="29"/>
        <v>0</v>
      </c>
      <c r="Q169" s="507">
        <f t="shared" si="30"/>
        <v>0</v>
      </c>
      <c r="R169" s="507">
        <f t="shared" si="31"/>
        <v>0</v>
      </c>
      <c r="S169" s="507">
        <f t="shared" si="32"/>
        <v>0</v>
      </c>
      <c r="T169" s="507">
        <f t="shared" si="33"/>
        <v>0</v>
      </c>
      <c r="U169" s="507">
        <f t="shared" si="34"/>
        <v>0</v>
      </c>
      <c r="V169" s="507">
        <f t="shared" si="35"/>
        <v>0</v>
      </c>
      <c r="W169" s="507">
        <f t="shared" si="36"/>
        <v>0</v>
      </c>
      <c r="X169" s="507">
        <f t="shared" si="37"/>
        <v>0</v>
      </c>
      <c r="Y169" s="507">
        <f t="shared" si="38"/>
        <v>0</v>
      </c>
      <c r="Z169" s="11">
        <f t="shared" si="39"/>
        <v>0</v>
      </c>
      <c r="AC169" s="4">
        <v>343</v>
      </c>
      <c r="AD169" s="5" t="s">
        <v>476</v>
      </c>
      <c r="AE169" s="5" t="s">
        <v>474</v>
      </c>
      <c r="AF169" s="5" t="s">
        <v>477</v>
      </c>
      <c r="AG169" s="5" t="s">
        <v>0</v>
      </c>
      <c r="AH169" s="5" t="s">
        <v>18</v>
      </c>
      <c r="AI169" s="5" t="s">
        <v>12</v>
      </c>
      <c r="AJ169" s="5" t="s">
        <v>17</v>
      </c>
      <c r="AK169" s="5" t="s">
        <v>284</v>
      </c>
      <c r="AL169" s="5" t="s">
        <v>18</v>
      </c>
      <c r="AM169" s="6"/>
      <c r="AO169" s="5"/>
      <c r="AP169" s="5"/>
      <c r="AQ169" s="5"/>
      <c r="AR169" s="5"/>
      <c r="AS169" s="5"/>
      <c r="AU169" s="1547"/>
      <c r="AV169" s="35"/>
      <c r="AW169" s="36"/>
      <c r="AY169" s="34"/>
      <c r="AZ169" s="35"/>
      <c r="BA169" s="36"/>
      <c r="BC169" s="34"/>
      <c r="BD169" s="35"/>
      <c r="BE169" s="36"/>
      <c r="BG169" s="34"/>
      <c r="BH169" s="35"/>
      <c r="BI169" s="36"/>
      <c r="BK169" s="34"/>
      <c r="BL169" s="35"/>
      <c r="BM169" s="36"/>
      <c r="BO169" s="34"/>
      <c r="BP169" s="35"/>
      <c r="BQ169" s="36"/>
      <c r="BS169" s="1592"/>
      <c r="BT169" s="35"/>
      <c r="BU169" s="36"/>
      <c r="BW169" s="34"/>
      <c r="BX169" s="35"/>
      <c r="BY169" s="36"/>
      <c r="CA169" s="34"/>
      <c r="CB169" s="35"/>
      <c r="CC169" s="36"/>
      <c r="CE169" s="34"/>
      <c r="CF169" s="35"/>
      <c r="CG169" s="36"/>
      <c r="CI169" s="34"/>
      <c r="CJ169" s="35"/>
      <c r="CK169" s="36"/>
      <c r="CM169" s="34"/>
      <c r="CN169" s="35"/>
      <c r="CO169" s="36"/>
    </row>
    <row r="170" spans="1:93">
      <c r="A170" s="34"/>
      <c r="B170" s="35"/>
      <c r="C170" s="36"/>
      <c r="D170" s="37" t="str">
        <f>IF(C170&gt;=Mat!$E$71,"Material","No Mat")</f>
        <v>No Mat</v>
      </c>
      <c r="E170" s="834">
        <f>IF(C170&gt;=Mat!$E$71,C170/Mat!$E$71,0)</f>
        <v>0</v>
      </c>
      <c r="G170" s="34"/>
      <c r="H170" s="35"/>
      <c r="I170" s="48"/>
      <c r="J170" s="36"/>
      <c r="L170" s="506"/>
      <c r="M170" s="506" t="s">
        <v>444</v>
      </c>
      <c r="N170" s="507">
        <f t="shared" si="27"/>
        <v>0</v>
      </c>
      <c r="O170" s="507">
        <f t="shared" si="28"/>
        <v>0</v>
      </c>
      <c r="P170" s="507">
        <f t="shared" si="29"/>
        <v>0</v>
      </c>
      <c r="Q170" s="507">
        <f t="shared" si="30"/>
        <v>0</v>
      </c>
      <c r="R170" s="507">
        <f t="shared" si="31"/>
        <v>0</v>
      </c>
      <c r="S170" s="507">
        <f t="shared" si="32"/>
        <v>0</v>
      </c>
      <c r="T170" s="507">
        <f t="shared" si="33"/>
        <v>0</v>
      </c>
      <c r="U170" s="507">
        <f t="shared" si="34"/>
        <v>0</v>
      </c>
      <c r="V170" s="507">
        <f t="shared" si="35"/>
        <v>0</v>
      </c>
      <c r="W170" s="507">
        <f t="shared" si="36"/>
        <v>0</v>
      </c>
      <c r="X170" s="507">
        <f t="shared" si="37"/>
        <v>0</v>
      </c>
      <c r="Y170" s="507">
        <f t="shared" si="38"/>
        <v>0</v>
      </c>
      <c r="Z170" s="11">
        <f t="shared" si="39"/>
        <v>0</v>
      </c>
      <c r="AC170" s="4">
        <v>345</v>
      </c>
      <c r="AD170" s="5" t="s">
        <v>478</v>
      </c>
      <c r="AE170" s="5" t="s">
        <v>474</v>
      </c>
      <c r="AF170" s="5" t="s">
        <v>479</v>
      </c>
      <c r="AG170" s="5" t="s">
        <v>0</v>
      </c>
      <c r="AH170" s="5" t="s">
        <v>18</v>
      </c>
      <c r="AI170" s="5" t="s">
        <v>12</v>
      </c>
      <c r="AJ170" s="5" t="s">
        <v>17</v>
      </c>
      <c r="AK170" s="5" t="s">
        <v>284</v>
      </c>
      <c r="AL170" s="5" t="s">
        <v>18</v>
      </c>
      <c r="AM170" s="6"/>
      <c r="AO170" s="5"/>
      <c r="AP170" s="5"/>
      <c r="AQ170" s="5"/>
      <c r="AR170" s="5"/>
      <c r="AS170" s="5"/>
      <c r="AU170" s="1547"/>
      <c r="AV170" s="35"/>
      <c r="AW170" s="36"/>
      <c r="AY170" s="34"/>
      <c r="AZ170" s="35"/>
      <c r="BA170" s="36"/>
      <c r="BC170" s="34"/>
      <c r="BD170" s="35"/>
      <c r="BE170" s="36"/>
      <c r="BG170" s="34"/>
      <c r="BH170" s="35"/>
      <c r="BI170" s="36"/>
      <c r="BK170" s="34"/>
      <c r="BL170" s="35"/>
      <c r="BM170" s="36"/>
      <c r="BO170" s="34"/>
      <c r="BP170" s="35"/>
      <c r="BQ170" s="36"/>
      <c r="BS170" s="1592"/>
      <c r="BT170" s="35"/>
      <c r="BU170" s="36"/>
      <c r="BW170" s="34"/>
      <c r="BX170" s="35"/>
      <c r="BY170" s="36"/>
      <c r="CA170" s="34"/>
      <c r="CB170" s="35"/>
      <c r="CC170" s="36"/>
      <c r="CE170" s="34"/>
      <c r="CF170" s="35"/>
      <c r="CG170" s="36"/>
      <c r="CI170" s="34"/>
      <c r="CJ170" s="35"/>
      <c r="CK170" s="36"/>
      <c r="CM170" s="34"/>
      <c r="CN170" s="35"/>
      <c r="CO170" s="36"/>
    </row>
    <row r="171" spans="1:93">
      <c r="A171" s="34"/>
      <c r="B171" s="35"/>
      <c r="C171" s="36"/>
      <c r="D171" s="37" t="str">
        <f>IF(C171&gt;=Mat!$E$71,"Material","No Mat")</f>
        <v>No Mat</v>
      </c>
      <c r="E171" s="834">
        <f>IF(C171&gt;=Mat!$E$71,C171/Mat!$E$71,0)</f>
        <v>0</v>
      </c>
      <c r="G171" s="34"/>
      <c r="H171" s="35"/>
      <c r="I171" s="48"/>
      <c r="J171" s="36"/>
      <c r="L171" s="506"/>
      <c r="M171" s="506" t="s">
        <v>446</v>
      </c>
      <c r="N171" s="507">
        <f t="shared" si="27"/>
        <v>0</v>
      </c>
      <c r="O171" s="507">
        <f t="shared" si="28"/>
        <v>0</v>
      </c>
      <c r="P171" s="507">
        <f t="shared" si="29"/>
        <v>0</v>
      </c>
      <c r="Q171" s="507">
        <f t="shared" si="30"/>
        <v>0</v>
      </c>
      <c r="R171" s="507">
        <f t="shared" si="31"/>
        <v>0</v>
      </c>
      <c r="S171" s="507">
        <f t="shared" si="32"/>
        <v>0</v>
      </c>
      <c r="T171" s="507">
        <f t="shared" si="33"/>
        <v>0</v>
      </c>
      <c r="U171" s="507">
        <f t="shared" si="34"/>
        <v>0</v>
      </c>
      <c r="V171" s="507">
        <f t="shared" si="35"/>
        <v>0</v>
      </c>
      <c r="W171" s="507">
        <f t="shared" si="36"/>
        <v>0</v>
      </c>
      <c r="X171" s="507">
        <f t="shared" si="37"/>
        <v>0</v>
      </c>
      <c r="Y171" s="507">
        <f t="shared" si="38"/>
        <v>0</v>
      </c>
      <c r="Z171" s="11">
        <f t="shared" si="39"/>
        <v>0</v>
      </c>
      <c r="AC171" s="4">
        <v>347</v>
      </c>
      <c r="AD171" s="5" t="s">
        <v>488</v>
      </c>
      <c r="AE171" s="5" t="s">
        <v>486</v>
      </c>
      <c r="AF171" s="5" t="s">
        <v>489</v>
      </c>
      <c r="AG171" s="5" t="s">
        <v>490</v>
      </c>
      <c r="AH171" s="5" t="s">
        <v>18</v>
      </c>
      <c r="AI171" s="5" t="s">
        <v>12</v>
      </c>
      <c r="AJ171" s="5" t="s">
        <v>481</v>
      </c>
      <c r="AK171" s="5" t="s">
        <v>411</v>
      </c>
      <c r="AL171" s="5" t="s">
        <v>18</v>
      </c>
      <c r="AM171" s="6"/>
      <c r="AO171" s="5"/>
      <c r="AP171" s="5"/>
      <c r="AQ171" s="5"/>
      <c r="AR171" s="5"/>
      <c r="AS171" s="5"/>
      <c r="AU171" s="1547"/>
      <c r="AV171" s="35"/>
      <c r="AW171" s="36"/>
      <c r="AY171" s="34"/>
      <c r="AZ171" s="35"/>
      <c r="BA171" s="36"/>
      <c r="BC171" s="34"/>
      <c r="BD171" s="35"/>
      <c r="BE171" s="36"/>
      <c r="BG171" s="34"/>
      <c r="BH171" s="35"/>
      <c r="BI171" s="36"/>
      <c r="BK171" s="34"/>
      <c r="BL171" s="35"/>
      <c r="BM171" s="36"/>
      <c r="BO171" s="34"/>
      <c r="BP171" s="35"/>
      <c r="BQ171" s="36"/>
      <c r="BS171" s="1592"/>
      <c r="BT171" s="35"/>
      <c r="BU171" s="36"/>
      <c r="BW171" s="34"/>
      <c r="BX171" s="35"/>
      <c r="BY171" s="36"/>
      <c r="CA171" s="34"/>
      <c r="CB171" s="35"/>
      <c r="CC171" s="36"/>
      <c r="CE171" s="34"/>
      <c r="CF171" s="35"/>
      <c r="CG171" s="36"/>
      <c r="CI171" s="34"/>
      <c r="CJ171" s="35"/>
      <c r="CK171" s="36"/>
      <c r="CM171" s="34"/>
      <c r="CN171" s="35"/>
      <c r="CO171" s="36"/>
    </row>
    <row r="172" spans="1:93">
      <c r="A172" s="34"/>
      <c r="B172" s="35"/>
      <c r="C172" s="36"/>
      <c r="D172" s="37" t="str">
        <f>IF(C172&gt;=Mat!$E$71,"Material","No Mat")</f>
        <v>No Mat</v>
      </c>
      <c r="E172" s="834">
        <f>IF(C172&gt;=Mat!$E$71,C172/Mat!$E$71,0)</f>
        <v>0</v>
      </c>
      <c r="G172" s="34"/>
      <c r="H172" s="35"/>
      <c r="I172" s="48"/>
      <c r="J172" s="36"/>
      <c r="L172" s="506"/>
      <c r="M172" s="506" t="s">
        <v>449</v>
      </c>
      <c r="N172" s="507">
        <f t="shared" si="27"/>
        <v>0</v>
      </c>
      <c r="O172" s="507">
        <f t="shared" si="28"/>
        <v>0</v>
      </c>
      <c r="P172" s="507">
        <f t="shared" si="29"/>
        <v>0</v>
      </c>
      <c r="Q172" s="507">
        <f t="shared" si="30"/>
        <v>0</v>
      </c>
      <c r="R172" s="507">
        <f t="shared" si="31"/>
        <v>0</v>
      </c>
      <c r="S172" s="507">
        <f t="shared" si="32"/>
        <v>0</v>
      </c>
      <c r="T172" s="507">
        <f t="shared" si="33"/>
        <v>0</v>
      </c>
      <c r="U172" s="507">
        <f t="shared" si="34"/>
        <v>0</v>
      </c>
      <c r="V172" s="507">
        <f t="shared" si="35"/>
        <v>0</v>
      </c>
      <c r="W172" s="507">
        <f t="shared" si="36"/>
        <v>0</v>
      </c>
      <c r="X172" s="507">
        <f t="shared" si="37"/>
        <v>0</v>
      </c>
      <c r="Y172" s="507">
        <f t="shared" si="38"/>
        <v>0</v>
      </c>
      <c r="Z172" s="11">
        <f t="shared" si="39"/>
        <v>0</v>
      </c>
      <c r="AC172" s="4">
        <v>349</v>
      </c>
      <c r="AD172" s="5" t="s">
        <v>491</v>
      </c>
      <c r="AE172" s="5" t="s">
        <v>486</v>
      </c>
      <c r="AF172" s="5" t="s">
        <v>492</v>
      </c>
      <c r="AG172" s="5" t="s">
        <v>0</v>
      </c>
      <c r="AH172" s="5" t="s">
        <v>18</v>
      </c>
      <c r="AI172" s="5" t="s">
        <v>12</v>
      </c>
      <c r="AJ172" s="5" t="s">
        <v>481</v>
      </c>
      <c r="AK172" s="5" t="s">
        <v>411</v>
      </c>
      <c r="AL172" s="5" t="s">
        <v>18</v>
      </c>
      <c r="AM172" s="6"/>
      <c r="AO172" s="5"/>
      <c r="AP172" s="5"/>
      <c r="AQ172" s="5"/>
      <c r="AR172" s="5"/>
      <c r="AS172" s="5"/>
      <c r="AU172" s="1547"/>
      <c r="AV172" s="35"/>
      <c r="AW172" s="36"/>
      <c r="AY172" s="34"/>
      <c r="AZ172" s="35"/>
      <c r="BA172" s="36"/>
      <c r="BC172" s="34"/>
      <c r="BD172" s="35"/>
      <c r="BE172" s="36"/>
      <c r="BG172" s="34"/>
      <c r="BH172" s="35"/>
      <c r="BI172" s="36"/>
      <c r="BK172" s="34"/>
      <c r="BL172" s="35"/>
      <c r="BM172" s="36"/>
      <c r="BO172" s="34"/>
      <c r="BP172" s="35"/>
      <c r="BQ172" s="36"/>
      <c r="BS172" s="1592"/>
      <c r="BT172" s="35"/>
      <c r="BU172" s="36"/>
      <c r="BW172" s="34"/>
      <c r="BX172" s="35"/>
      <c r="BY172" s="36"/>
      <c r="CA172" s="34"/>
      <c r="CB172" s="35"/>
      <c r="CC172" s="36"/>
      <c r="CE172" s="34"/>
      <c r="CF172" s="35"/>
      <c r="CG172" s="36"/>
      <c r="CI172" s="34"/>
      <c r="CJ172" s="35"/>
      <c r="CK172" s="36"/>
      <c r="CM172" s="34"/>
      <c r="CN172" s="35"/>
      <c r="CO172" s="36"/>
    </row>
    <row r="173" spans="1:93">
      <c r="A173" s="34"/>
      <c r="B173" s="35"/>
      <c r="C173" s="36"/>
      <c r="D173" s="37" t="str">
        <f>IF(C173&gt;=Mat!$E$71,"Material","No Mat")</f>
        <v>No Mat</v>
      </c>
      <c r="E173" s="834">
        <f>IF(C173&gt;=Mat!$E$71,C173/Mat!$E$71,0)</f>
        <v>0</v>
      </c>
      <c r="G173" s="34"/>
      <c r="H173" s="35"/>
      <c r="I173" s="48"/>
      <c r="J173" s="36"/>
      <c r="L173" s="506"/>
      <c r="M173" s="506" t="s">
        <v>452</v>
      </c>
      <c r="N173" s="507">
        <f t="shared" si="27"/>
        <v>0</v>
      </c>
      <c r="O173" s="507">
        <f t="shared" si="28"/>
        <v>0</v>
      </c>
      <c r="P173" s="507">
        <f t="shared" si="29"/>
        <v>0</v>
      </c>
      <c r="Q173" s="507">
        <f t="shared" si="30"/>
        <v>0</v>
      </c>
      <c r="R173" s="507">
        <f t="shared" si="31"/>
        <v>0</v>
      </c>
      <c r="S173" s="507">
        <f t="shared" si="32"/>
        <v>0</v>
      </c>
      <c r="T173" s="507">
        <f t="shared" si="33"/>
        <v>0</v>
      </c>
      <c r="U173" s="507">
        <f t="shared" si="34"/>
        <v>0</v>
      </c>
      <c r="V173" s="507">
        <f t="shared" si="35"/>
        <v>0</v>
      </c>
      <c r="W173" s="507">
        <f t="shared" si="36"/>
        <v>0</v>
      </c>
      <c r="X173" s="507">
        <f t="shared" si="37"/>
        <v>0</v>
      </c>
      <c r="Y173" s="507">
        <f t="shared" si="38"/>
        <v>0</v>
      </c>
      <c r="Z173" s="11">
        <f t="shared" si="39"/>
        <v>0</v>
      </c>
      <c r="AC173" s="4">
        <v>351</v>
      </c>
      <c r="AD173" s="5" t="s">
        <v>493</v>
      </c>
      <c r="AE173" s="5" t="s">
        <v>486</v>
      </c>
      <c r="AF173" s="5" t="s">
        <v>494</v>
      </c>
      <c r="AG173" s="5" t="s">
        <v>495</v>
      </c>
      <c r="AH173" s="5" t="s">
        <v>18</v>
      </c>
      <c r="AI173" s="5" t="s">
        <v>12</v>
      </c>
      <c r="AJ173" s="5" t="s">
        <v>481</v>
      </c>
      <c r="AK173" s="5" t="s">
        <v>411</v>
      </c>
      <c r="AL173" s="5" t="s">
        <v>18</v>
      </c>
      <c r="AM173" s="6"/>
      <c r="AO173" s="5"/>
      <c r="AP173" s="5"/>
      <c r="AQ173" s="5"/>
      <c r="AR173" s="5"/>
      <c r="AS173" s="5"/>
      <c r="AU173" s="1547"/>
      <c r="AV173" s="35"/>
      <c r="AW173" s="36"/>
      <c r="AY173" s="34"/>
      <c r="AZ173" s="35"/>
      <c r="BA173" s="36"/>
      <c r="BC173" s="34"/>
      <c r="BD173" s="35"/>
      <c r="BE173" s="36"/>
      <c r="BG173" s="34"/>
      <c r="BH173" s="35"/>
      <c r="BI173" s="36"/>
      <c r="BK173" s="34"/>
      <c r="BL173" s="35"/>
      <c r="BM173" s="36"/>
      <c r="BO173" s="34"/>
      <c r="BP173" s="35"/>
      <c r="BQ173" s="36"/>
      <c r="BS173" s="1592"/>
      <c r="BT173" s="35"/>
      <c r="BU173" s="36"/>
      <c r="BW173" s="34"/>
      <c r="BX173" s="35"/>
      <c r="BY173" s="36"/>
      <c r="CA173" s="34"/>
      <c r="CB173" s="35"/>
      <c r="CC173" s="36"/>
      <c r="CE173" s="34"/>
      <c r="CF173" s="35"/>
      <c r="CG173" s="36"/>
      <c r="CI173" s="34"/>
      <c r="CJ173" s="35"/>
      <c r="CK173" s="36"/>
      <c r="CM173" s="34"/>
      <c r="CN173" s="35"/>
      <c r="CO173" s="36"/>
    </row>
    <row r="174" spans="1:93">
      <c r="A174" s="34"/>
      <c r="B174" s="35"/>
      <c r="C174" s="36"/>
      <c r="D174" s="37" t="str">
        <f>IF(C174&gt;=Mat!$E$71,"Material","No Mat")</f>
        <v>No Mat</v>
      </c>
      <c r="E174" s="834">
        <f>IF(C174&gt;=Mat!$E$71,C174/Mat!$E$71,0)</f>
        <v>0</v>
      </c>
      <c r="G174" s="34"/>
      <c r="H174" s="35"/>
      <c r="I174" s="48"/>
      <c r="J174" s="36"/>
      <c r="L174" s="506"/>
      <c r="M174" s="506" t="s">
        <v>455</v>
      </c>
      <c r="N174" s="507">
        <f t="shared" si="27"/>
        <v>0</v>
      </c>
      <c r="O174" s="507">
        <f t="shared" si="28"/>
        <v>0</v>
      </c>
      <c r="P174" s="507">
        <f t="shared" si="29"/>
        <v>0</v>
      </c>
      <c r="Q174" s="507">
        <f t="shared" si="30"/>
        <v>0</v>
      </c>
      <c r="R174" s="507">
        <f t="shared" si="31"/>
        <v>0</v>
      </c>
      <c r="S174" s="507">
        <f t="shared" si="32"/>
        <v>0</v>
      </c>
      <c r="T174" s="507">
        <f t="shared" si="33"/>
        <v>0</v>
      </c>
      <c r="U174" s="507">
        <f t="shared" si="34"/>
        <v>0</v>
      </c>
      <c r="V174" s="507">
        <f t="shared" si="35"/>
        <v>0</v>
      </c>
      <c r="W174" s="507">
        <f t="shared" si="36"/>
        <v>0</v>
      </c>
      <c r="X174" s="507">
        <f t="shared" si="37"/>
        <v>0</v>
      </c>
      <c r="Y174" s="507">
        <f t="shared" si="38"/>
        <v>0</v>
      </c>
      <c r="Z174" s="11">
        <f t="shared" si="39"/>
        <v>0</v>
      </c>
      <c r="AC174" s="4">
        <v>353</v>
      </c>
      <c r="AD174" s="5" t="s">
        <v>498</v>
      </c>
      <c r="AE174" s="5" t="s">
        <v>496</v>
      </c>
      <c r="AF174" s="5" t="s">
        <v>499</v>
      </c>
      <c r="AG174" s="5" t="s">
        <v>500</v>
      </c>
      <c r="AH174" s="5" t="s">
        <v>18</v>
      </c>
      <c r="AI174" s="5" t="s">
        <v>12</v>
      </c>
      <c r="AJ174" s="5" t="s">
        <v>481</v>
      </c>
      <c r="AK174" s="5" t="s">
        <v>411</v>
      </c>
      <c r="AL174" s="5" t="s">
        <v>18</v>
      </c>
      <c r="AM174" s="6"/>
      <c r="AO174" s="5"/>
      <c r="AP174" s="5"/>
      <c r="AQ174" s="5"/>
      <c r="AR174" s="5"/>
      <c r="AS174" s="5"/>
      <c r="AU174" s="1547"/>
      <c r="AV174" s="35"/>
      <c r="AW174" s="36"/>
      <c r="AY174" s="34"/>
      <c r="AZ174" s="35"/>
      <c r="BA174" s="36"/>
      <c r="BC174" s="34"/>
      <c r="BD174" s="35"/>
      <c r="BE174" s="36"/>
      <c r="BG174" s="34"/>
      <c r="BH174" s="35"/>
      <c r="BI174" s="36"/>
      <c r="BK174" s="34"/>
      <c r="BL174" s="35"/>
      <c r="BM174" s="36"/>
      <c r="BO174" s="34"/>
      <c r="BP174" s="35"/>
      <c r="BQ174" s="36"/>
      <c r="BS174" s="1592"/>
      <c r="BT174" s="35"/>
      <c r="BU174" s="36"/>
      <c r="BW174" s="34"/>
      <c r="BX174" s="35"/>
      <c r="BY174" s="36"/>
      <c r="CA174" s="34"/>
      <c r="CB174" s="35"/>
      <c r="CC174" s="36"/>
      <c r="CE174" s="34"/>
      <c r="CF174" s="35"/>
      <c r="CG174" s="36"/>
      <c r="CI174" s="34"/>
      <c r="CJ174" s="35"/>
      <c r="CK174" s="36"/>
      <c r="CM174" s="34"/>
      <c r="CN174" s="35"/>
      <c r="CO174" s="36"/>
    </row>
    <row r="175" spans="1:93">
      <c r="A175" s="34"/>
      <c r="B175" s="35"/>
      <c r="C175" s="36"/>
      <c r="D175" s="37" t="str">
        <f>IF(C175&gt;=Mat!$E$71,"Material","No Mat")</f>
        <v>No Mat</v>
      </c>
      <c r="E175" s="834">
        <f>IF(C175&gt;=Mat!$E$71,C175/Mat!$E$71,0)</f>
        <v>0</v>
      </c>
      <c r="G175" s="34"/>
      <c r="H175" s="35"/>
      <c r="I175" s="48"/>
      <c r="J175" s="36"/>
      <c r="L175" s="506"/>
      <c r="M175" s="506" t="s">
        <v>458</v>
      </c>
      <c r="N175" s="507">
        <f t="shared" si="27"/>
        <v>0</v>
      </c>
      <c r="O175" s="507">
        <f t="shared" si="28"/>
        <v>0</v>
      </c>
      <c r="P175" s="507">
        <f t="shared" si="29"/>
        <v>0</v>
      </c>
      <c r="Q175" s="507">
        <f t="shared" si="30"/>
        <v>0</v>
      </c>
      <c r="R175" s="507">
        <f t="shared" si="31"/>
        <v>0</v>
      </c>
      <c r="S175" s="507">
        <f t="shared" si="32"/>
        <v>0</v>
      </c>
      <c r="T175" s="507">
        <f t="shared" si="33"/>
        <v>0</v>
      </c>
      <c r="U175" s="507">
        <f t="shared" si="34"/>
        <v>0</v>
      </c>
      <c r="V175" s="507">
        <f t="shared" si="35"/>
        <v>0</v>
      </c>
      <c r="W175" s="507">
        <f t="shared" si="36"/>
        <v>0</v>
      </c>
      <c r="X175" s="507">
        <f t="shared" si="37"/>
        <v>0</v>
      </c>
      <c r="Y175" s="507">
        <f t="shared" si="38"/>
        <v>0</v>
      </c>
      <c r="Z175" s="11">
        <f t="shared" si="39"/>
        <v>0</v>
      </c>
      <c r="AC175" s="4">
        <v>355</v>
      </c>
      <c r="AD175" s="5" t="s">
        <v>501</v>
      </c>
      <c r="AE175" s="5" t="s">
        <v>496</v>
      </c>
      <c r="AF175" s="5" t="s">
        <v>502</v>
      </c>
      <c r="AG175" s="5" t="s">
        <v>0</v>
      </c>
      <c r="AH175" s="5" t="s">
        <v>18</v>
      </c>
      <c r="AI175" s="5" t="s">
        <v>12</v>
      </c>
      <c r="AJ175" s="5" t="s">
        <v>481</v>
      </c>
      <c r="AK175" s="5" t="s">
        <v>411</v>
      </c>
      <c r="AL175" s="5" t="s">
        <v>18</v>
      </c>
      <c r="AM175" s="6"/>
      <c r="AO175" s="5"/>
      <c r="AP175" s="5"/>
      <c r="AQ175" s="5"/>
      <c r="AR175" s="5"/>
      <c r="AS175" s="5"/>
      <c r="AU175" s="1547"/>
      <c r="AV175" s="35"/>
      <c r="AW175" s="36"/>
      <c r="AY175" s="34"/>
      <c r="AZ175" s="35"/>
      <c r="BA175" s="36"/>
      <c r="BC175" s="34"/>
      <c r="BD175" s="35"/>
      <c r="BE175" s="36"/>
      <c r="BG175" s="34"/>
      <c r="BH175" s="35"/>
      <c r="BI175" s="36"/>
      <c r="BK175" s="34"/>
      <c r="BL175" s="35"/>
      <c r="BM175" s="36"/>
      <c r="BO175" s="34"/>
      <c r="BP175" s="35"/>
      <c r="BQ175" s="36"/>
      <c r="BS175" s="1592"/>
      <c r="BT175" s="35"/>
      <c r="BU175" s="36"/>
      <c r="BW175" s="34"/>
      <c r="BX175" s="35"/>
      <c r="BY175" s="36"/>
      <c r="CA175" s="34"/>
      <c r="CB175" s="35"/>
      <c r="CC175" s="36"/>
      <c r="CE175" s="34"/>
      <c r="CF175" s="35"/>
      <c r="CG175" s="36"/>
      <c r="CI175" s="34"/>
      <c r="CJ175" s="35"/>
      <c r="CK175" s="36"/>
      <c r="CM175" s="34"/>
      <c r="CN175" s="35"/>
      <c r="CO175" s="36"/>
    </row>
    <row r="176" spans="1:93">
      <c r="A176" s="34"/>
      <c r="B176" s="35"/>
      <c r="C176" s="36"/>
      <c r="D176" s="37" t="str">
        <f>IF(C176&gt;=Mat!$E$71,"Material","No Mat")</f>
        <v>No Mat</v>
      </c>
      <c r="E176" s="834">
        <f>IF(C176&gt;=Mat!$E$71,C176/Mat!$E$71,0)</f>
        <v>0</v>
      </c>
      <c r="G176" s="34"/>
      <c r="H176" s="35"/>
      <c r="I176" s="48"/>
      <c r="J176" s="36"/>
      <c r="L176" s="506"/>
      <c r="M176" s="506" t="s">
        <v>461</v>
      </c>
      <c r="N176" s="507">
        <f t="shared" si="27"/>
        <v>0</v>
      </c>
      <c r="O176" s="507">
        <f t="shared" si="28"/>
        <v>0</v>
      </c>
      <c r="P176" s="507">
        <f t="shared" si="29"/>
        <v>0</v>
      </c>
      <c r="Q176" s="507">
        <f t="shared" si="30"/>
        <v>0</v>
      </c>
      <c r="R176" s="507">
        <f t="shared" si="31"/>
        <v>0</v>
      </c>
      <c r="S176" s="507">
        <f t="shared" si="32"/>
        <v>0</v>
      </c>
      <c r="T176" s="507">
        <f t="shared" si="33"/>
        <v>0</v>
      </c>
      <c r="U176" s="507">
        <f t="shared" si="34"/>
        <v>0</v>
      </c>
      <c r="V176" s="507">
        <f t="shared" si="35"/>
        <v>0</v>
      </c>
      <c r="W176" s="507">
        <f t="shared" si="36"/>
        <v>0</v>
      </c>
      <c r="X176" s="507">
        <f t="shared" si="37"/>
        <v>0</v>
      </c>
      <c r="Y176" s="507">
        <f t="shared" si="38"/>
        <v>0</v>
      </c>
      <c r="Z176" s="11">
        <f t="shared" si="39"/>
        <v>0</v>
      </c>
      <c r="AC176" s="4">
        <v>357</v>
      </c>
      <c r="AD176" s="5" t="s">
        <v>503</v>
      </c>
      <c r="AE176" s="5" t="s">
        <v>496</v>
      </c>
      <c r="AF176" s="5" t="s">
        <v>504</v>
      </c>
      <c r="AG176" s="5" t="s">
        <v>0</v>
      </c>
      <c r="AH176" s="5" t="s">
        <v>18</v>
      </c>
      <c r="AI176" s="5" t="s">
        <v>12</v>
      </c>
      <c r="AJ176" s="5" t="s">
        <v>481</v>
      </c>
      <c r="AK176" s="5" t="s">
        <v>411</v>
      </c>
      <c r="AL176" s="5" t="s">
        <v>18</v>
      </c>
      <c r="AM176" s="6"/>
      <c r="AO176" s="5"/>
      <c r="AP176" s="5"/>
      <c r="AQ176" s="5"/>
      <c r="AR176" s="5"/>
      <c r="AS176" s="5"/>
      <c r="AU176" s="1547"/>
      <c r="AV176" s="35"/>
      <c r="AW176" s="36"/>
      <c r="AY176" s="34"/>
      <c r="AZ176" s="35"/>
      <c r="BA176" s="36"/>
      <c r="BC176" s="34"/>
      <c r="BD176" s="35"/>
      <c r="BE176" s="36"/>
      <c r="BG176" s="34"/>
      <c r="BH176" s="35"/>
      <c r="BI176" s="36"/>
      <c r="BK176" s="34"/>
      <c r="BL176" s="35"/>
      <c r="BM176" s="36"/>
      <c r="BO176" s="34"/>
      <c r="BP176" s="35"/>
      <c r="BQ176" s="36"/>
      <c r="BS176" s="1592"/>
      <c r="BT176" s="35"/>
      <c r="BU176" s="36"/>
      <c r="BW176" s="34"/>
      <c r="BX176" s="35"/>
      <c r="BY176" s="36"/>
      <c r="CA176" s="34"/>
      <c r="CB176" s="35"/>
      <c r="CC176" s="36"/>
      <c r="CE176" s="34"/>
      <c r="CF176" s="35"/>
      <c r="CG176" s="36"/>
      <c r="CI176" s="34"/>
      <c r="CJ176" s="35"/>
      <c r="CK176" s="36"/>
      <c r="CM176" s="34"/>
      <c r="CN176" s="35"/>
      <c r="CO176" s="36"/>
    </row>
    <row r="177" spans="1:93">
      <c r="A177" s="34"/>
      <c r="B177" s="35"/>
      <c r="C177" s="36"/>
      <c r="D177" s="37" t="str">
        <f>IF(C177&gt;=Mat!$E$71,"Material","No Mat")</f>
        <v>No Mat</v>
      </c>
      <c r="E177" s="834">
        <f>IF(C177&gt;=Mat!$E$71,C177/Mat!$E$71,0)</f>
        <v>0</v>
      </c>
      <c r="G177" s="34"/>
      <c r="H177" s="35"/>
      <c r="I177" s="48"/>
      <c r="J177" s="36"/>
      <c r="L177" s="506"/>
      <c r="M177" s="506" t="s">
        <v>466</v>
      </c>
      <c r="N177" s="507">
        <f t="shared" si="27"/>
        <v>0</v>
      </c>
      <c r="O177" s="507">
        <f t="shared" si="28"/>
        <v>0</v>
      </c>
      <c r="P177" s="507">
        <f t="shared" si="29"/>
        <v>0</v>
      </c>
      <c r="Q177" s="507">
        <f t="shared" si="30"/>
        <v>0</v>
      </c>
      <c r="R177" s="507">
        <f t="shared" si="31"/>
        <v>0</v>
      </c>
      <c r="S177" s="507">
        <f t="shared" si="32"/>
        <v>0</v>
      </c>
      <c r="T177" s="507">
        <f t="shared" si="33"/>
        <v>0</v>
      </c>
      <c r="U177" s="507">
        <f t="shared" si="34"/>
        <v>0</v>
      </c>
      <c r="V177" s="507">
        <f t="shared" si="35"/>
        <v>0</v>
      </c>
      <c r="W177" s="507">
        <f t="shared" si="36"/>
        <v>0</v>
      </c>
      <c r="X177" s="507">
        <f t="shared" si="37"/>
        <v>0</v>
      </c>
      <c r="Y177" s="507">
        <f t="shared" si="38"/>
        <v>0</v>
      </c>
      <c r="Z177" s="11">
        <f t="shared" si="39"/>
        <v>0</v>
      </c>
      <c r="AC177" s="4">
        <v>359</v>
      </c>
      <c r="AD177" s="5" t="s">
        <v>505</v>
      </c>
      <c r="AE177" s="5" t="s">
        <v>496</v>
      </c>
      <c r="AF177" s="5" t="s">
        <v>506</v>
      </c>
      <c r="AG177" s="5" t="s">
        <v>500</v>
      </c>
      <c r="AH177" s="5" t="s">
        <v>18</v>
      </c>
      <c r="AI177" s="5" t="s">
        <v>12</v>
      </c>
      <c r="AJ177" s="5" t="s">
        <v>481</v>
      </c>
      <c r="AK177" s="5" t="s">
        <v>411</v>
      </c>
      <c r="AL177" s="5" t="s">
        <v>18</v>
      </c>
      <c r="AM177" s="6"/>
      <c r="AO177" s="5"/>
      <c r="AP177" s="5"/>
      <c r="AQ177" s="5"/>
      <c r="AR177" s="5"/>
      <c r="AS177" s="5"/>
      <c r="AU177" s="1547"/>
      <c r="AV177" s="35"/>
      <c r="AW177" s="36"/>
      <c r="AY177" s="34"/>
      <c r="AZ177" s="35"/>
      <c r="BA177" s="36"/>
      <c r="BC177" s="34"/>
      <c r="BD177" s="35"/>
      <c r="BE177" s="36"/>
      <c r="BG177" s="34"/>
      <c r="BH177" s="35"/>
      <c r="BI177" s="36"/>
      <c r="BK177" s="34"/>
      <c r="BL177" s="35"/>
      <c r="BM177" s="36"/>
      <c r="BO177" s="34"/>
      <c r="BP177" s="35"/>
      <c r="BQ177" s="36"/>
      <c r="BS177" s="1592"/>
      <c r="BT177" s="35"/>
      <c r="BU177" s="36"/>
      <c r="BW177" s="34"/>
      <c r="BX177" s="35"/>
      <c r="BY177" s="36"/>
      <c r="CA177" s="34"/>
      <c r="CB177" s="35"/>
      <c r="CC177" s="36"/>
      <c r="CE177" s="34"/>
      <c r="CF177" s="35"/>
      <c r="CG177" s="36"/>
      <c r="CI177" s="34"/>
      <c r="CJ177" s="35"/>
      <c r="CK177" s="36"/>
      <c r="CM177" s="34"/>
      <c r="CN177" s="35"/>
      <c r="CO177" s="36"/>
    </row>
    <row r="178" spans="1:93">
      <c r="A178" s="34"/>
      <c r="B178" s="35"/>
      <c r="C178" s="36"/>
      <c r="D178" s="37" t="str">
        <f>IF(C178&gt;=Mat!$E$71,"Material","No Mat")</f>
        <v>No Mat</v>
      </c>
      <c r="E178" s="834">
        <f>IF(C178&gt;=Mat!$E$71,C178/Mat!$E$71,0)</f>
        <v>0</v>
      </c>
      <c r="G178" s="34"/>
      <c r="H178" s="35"/>
      <c r="I178" s="48"/>
      <c r="J178" s="36"/>
      <c r="L178" s="506"/>
      <c r="M178" s="506" t="s">
        <v>469</v>
      </c>
      <c r="N178" s="507">
        <f t="shared" si="27"/>
        <v>0</v>
      </c>
      <c r="O178" s="507">
        <f t="shared" si="28"/>
        <v>0</v>
      </c>
      <c r="P178" s="507">
        <f t="shared" si="29"/>
        <v>0</v>
      </c>
      <c r="Q178" s="507">
        <f t="shared" si="30"/>
        <v>0</v>
      </c>
      <c r="R178" s="507">
        <f t="shared" si="31"/>
        <v>0</v>
      </c>
      <c r="S178" s="507">
        <f t="shared" si="32"/>
        <v>0</v>
      </c>
      <c r="T178" s="507">
        <f t="shared" si="33"/>
        <v>0</v>
      </c>
      <c r="U178" s="507">
        <f t="shared" si="34"/>
        <v>0</v>
      </c>
      <c r="V178" s="507">
        <f t="shared" si="35"/>
        <v>0</v>
      </c>
      <c r="W178" s="507">
        <f t="shared" si="36"/>
        <v>0</v>
      </c>
      <c r="X178" s="507">
        <f t="shared" si="37"/>
        <v>0</v>
      </c>
      <c r="Y178" s="507">
        <f t="shared" si="38"/>
        <v>0</v>
      </c>
      <c r="Z178" s="11">
        <f t="shared" si="39"/>
        <v>0</v>
      </c>
      <c r="AC178" s="4">
        <v>361</v>
      </c>
      <c r="AD178" s="5" t="s">
        <v>509</v>
      </c>
      <c r="AE178" s="5" t="s">
        <v>507</v>
      </c>
      <c r="AF178" s="5" t="s">
        <v>510</v>
      </c>
      <c r="AG178" s="5" t="s">
        <v>500</v>
      </c>
      <c r="AH178" s="5" t="s">
        <v>18</v>
      </c>
      <c r="AI178" s="5" t="s">
        <v>12</v>
      </c>
      <c r="AJ178" s="5" t="s">
        <v>481</v>
      </c>
      <c r="AK178" s="5" t="s">
        <v>411</v>
      </c>
      <c r="AL178" s="5" t="s">
        <v>18</v>
      </c>
      <c r="AM178" s="6"/>
      <c r="AO178" s="5"/>
      <c r="AP178" s="5"/>
      <c r="AQ178" s="5"/>
      <c r="AR178" s="5"/>
      <c r="AS178" s="5"/>
      <c r="AU178" s="1547"/>
      <c r="AV178" s="35"/>
      <c r="AW178" s="36"/>
      <c r="AY178" s="34"/>
      <c r="AZ178" s="35"/>
      <c r="BA178" s="36"/>
      <c r="BC178" s="34"/>
      <c r="BD178" s="35"/>
      <c r="BE178" s="36"/>
      <c r="BG178" s="34"/>
      <c r="BH178" s="35"/>
      <c r="BI178" s="36"/>
      <c r="BK178" s="34"/>
      <c r="BL178" s="35"/>
      <c r="BM178" s="36"/>
      <c r="BO178" s="34"/>
      <c r="BP178" s="35"/>
      <c r="BQ178" s="36"/>
      <c r="BS178" s="1592"/>
      <c r="BT178" s="35"/>
      <c r="BU178" s="36"/>
      <c r="BW178" s="34"/>
      <c r="BX178" s="35"/>
      <c r="BY178" s="36"/>
      <c r="CA178" s="34"/>
      <c r="CB178" s="35"/>
      <c r="CC178" s="36"/>
      <c r="CE178" s="34"/>
      <c r="CF178" s="35"/>
      <c r="CG178" s="36"/>
      <c r="CI178" s="34"/>
      <c r="CJ178" s="35"/>
      <c r="CK178" s="36"/>
      <c r="CM178" s="34"/>
      <c r="CN178" s="35"/>
      <c r="CO178" s="36"/>
    </row>
    <row r="179" spans="1:93">
      <c r="A179" s="34"/>
      <c r="B179" s="35"/>
      <c r="C179" s="36"/>
      <c r="D179" s="37" t="str">
        <f>IF(C179&gt;=Mat!$E$71,"Material","No Mat")</f>
        <v>No Mat</v>
      </c>
      <c r="E179" s="834">
        <f>IF(C179&gt;=Mat!$E$71,C179/Mat!$E$71,0)</f>
        <v>0</v>
      </c>
      <c r="G179" s="34"/>
      <c r="H179" s="35"/>
      <c r="I179" s="48"/>
      <c r="J179" s="36"/>
      <c r="L179" s="506"/>
      <c r="M179" s="506" t="s">
        <v>472</v>
      </c>
      <c r="N179" s="507">
        <f t="shared" si="27"/>
        <v>0</v>
      </c>
      <c r="O179" s="507">
        <f t="shared" si="28"/>
        <v>0</v>
      </c>
      <c r="P179" s="507">
        <f t="shared" si="29"/>
        <v>0</v>
      </c>
      <c r="Q179" s="507">
        <f t="shared" si="30"/>
        <v>0</v>
      </c>
      <c r="R179" s="507">
        <f t="shared" si="31"/>
        <v>0</v>
      </c>
      <c r="S179" s="507">
        <f t="shared" si="32"/>
        <v>0</v>
      </c>
      <c r="T179" s="507">
        <f t="shared" si="33"/>
        <v>0</v>
      </c>
      <c r="U179" s="507">
        <f t="shared" si="34"/>
        <v>0</v>
      </c>
      <c r="V179" s="507">
        <f t="shared" si="35"/>
        <v>0</v>
      </c>
      <c r="W179" s="507">
        <f t="shared" si="36"/>
        <v>0</v>
      </c>
      <c r="X179" s="507">
        <f t="shared" si="37"/>
        <v>0</v>
      </c>
      <c r="Y179" s="507">
        <f t="shared" si="38"/>
        <v>0</v>
      </c>
      <c r="Z179" s="11">
        <f t="shared" si="39"/>
        <v>0</v>
      </c>
      <c r="AC179" s="4">
        <v>363</v>
      </c>
      <c r="AD179" s="5" t="s">
        <v>511</v>
      </c>
      <c r="AE179" s="5" t="s">
        <v>507</v>
      </c>
      <c r="AF179" s="5" t="s">
        <v>512</v>
      </c>
      <c r="AG179" s="5" t="s">
        <v>500</v>
      </c>
      <c r="AH179" s="5" t="s">
        <v>18</v>
      </c>
      <c r="AI179" s="5" t="s">
        <v>12</v>
      </c>
      <c r="AJ179" s="5" t="s">
        <v>481</v>
      </c>
      <c r="AK179" s="5" t="s">
        <v>411</v>
      </c>
      <c r="AL179" s="5" t="s">
        <v>18</v>
      </c>
      <c r="AM179" s="6"/>
      <c r="AO179" s="5"/>
      <c r="AP179" s="5"/>
      <c r="AQ179" s="5"/>
      <c r="AR179" s="5"/>
      <c r="AS179" s="5"/>
      <c r="AU179" s="1547"/>
      <c r="AV179" s="35"/>
      <c r="AW179" s="36"/>
      <c r="AY179" s="34"/>
      <c r="AZ179" s="35"/>
      <c r="BA179" s="36"/>
      <c r="BC179" s="34"/>
      <c r="BD179" s="35"/>
      <c r="BE179" s="36"/>
      <c r="BG179" s="34"/>
      <c r="BH179" s="35"/>
      <c r="BI179" s="36"/>
      <c r="BK179" s="34"/>
      <c r="BL179" s="35"/>
      <c r="BM179" s="36"/>
      <c r="BO179" s="34"/>
      <c r="BP179" s="35"/>
      <c r="BQ179" s="36"/>
      <c r="BS179" s="1592"/>
      <c r="BT179" s="35"/>
      <c r="BU179" s="36"/>
      <c r="BW179" s="34"/>
      <c r="BX179" s="35"/>
      <c r="BY179" s="36"/>
      <c r="CA179" s="34"/>
      <c r="CB179" s="35"/>
      <c r="CC179" s="36"/>
      <c r="CE179" s="34"/>
      <c r="CF179" s="35"/>
      <c r="CG179" s="36"/>
      <c r="CI179" s="34"/>
      <c r="CJ179" s="35"/>
      <c r="CK179" s="36"/>
      <c r="CM179" s="34"/>
      <c r="CN179" s="35"/>
      <c r="CO179" s="36"/>
    </row>
    <row r="180" spans="1:93">
      <c r="A180" s="34"/>
      <c r="B180" s="35"/>
      <c r="C180" s="36"/>
      <c r="D180" s="37" t="str">
        <f>IF(C180&gt;=Mat!$E$71,"Material","No Mat")</f>
        <v>No Mat</v>
      </c>
      <c r="E180" s="834">
        <f>IF(C180&gt;=Mat!$E$71,C180/Mat!$E$71,0)</f>
        <v>0</v>
      </c>
      <c r="G180" s="34"/>
      <c r="H180" s="35"/>
      <c r="I180" s="48"/>
      <c r="J180" s="36"/>
      <c r="L180" s="506"/>
      <c r="M180" s="506" t="s">
        <v>477</v>
      </c>
      <c r="N180" s="507">
        <f t="shared" si="27"/>
        <v>0</v>
      </c>
      <c r="O180" s="507">
        <f t="shared" si="28"/>
        <v>0</v>
      </c>
      <c r="P180" s="507">
        <f t="shared" si="29"/>
        <v>0</v>
      </c>
      <c r="Q180" s="507">
        <f t="shared" si="30"/>
        <v>0</v>
      </c>
      <c r="R180" s="507">
        <f t="shared" si="31"/>
        <v>0</v>
      </c>
      <c r="S180" s="507">
        <f t="shared" si="32"/>
        <v>0</v>
      </c>
      <c r="T180" s="507">
        <f t="shared" si="33"/>
        <v>0</v>
      </c>
      <c r="U180" s="507">
        <f t="shared" si="34"/>
        <v>0</v>
      </c>
      <c r="V180" s="507">
        <f t="shared" si="35"/>
        <v>0</v>
      </c>
      <c r="W180" s="507">
        <f t="shared" si="36"/>
        <v>0</v>
      </c>
      <c r="X180" s="507">
        <f t="shared" si="37"/>
        <v>0</v>
      </c>
      <c r="Y180" s="507">
        <f t="shared" si="38"/>
        <v>0</v>
      </c>
      <c r="Z180" s="11">
        <f t="shared" si="39"/>
        <v>0</v>
      </c>
      <c r="AC180" s="4">
        <v>365</v>
      </c>
      <c r="AD180" s="5" t="s">
        <v>513</v>
      </c>
      <c r="AE180" s="5" t="s">
        <v>507</v>
      </c>
      <c r="AF180" s="5" t="s">
        <v>514</v>
      </c>
      <c r="AG180" s="5" t="s">
        <v>500</v>
      </c>
      <c r="AH180" s="5" t="s">
        <v>18</v>
      </c>
      <c r="AI180" s="5" t="s">
        <v>12</v>
      </c>
      <c r="AJ180" s="5" t="s">
        <v>481</v>
      </c>
      <c r="AK180" s="5" t="s">
        <v>411</v>
      </c>
      <c r="AL180" s="5" t="s">
        <v>18</v>
      </c>
      <c r="AM180" s="6"/>
      <c r="AO180" s="5"/>
      <c r="AP180" s="5"/>
      <c r="AQ180" s="5"/>
      <c r="AR180" s="5"/>
      <c r="AS180" s="5"/>
      <c r="AU180" s="1547"/>
      <c r="AV180" s="35"/>
      <c r="AW180" s="36"/>
      <c r="AY180" s="34"/>
      <c r="AZ180" s="35"/>
      <c r="BA180" s="36"/>
      <c r="BC180" s="34"/>
      <c r="BD180" s="35"/>
      <c r="BE180" s="36"/>
      <c r="BG180" s="34"/>
      <c r="BH180" s="35"/>
      <c r="BI180" s="36"/>
      <c r="BK180" s="34"/>
      <c r="BL180" s="35"/>
      <c r="BM180" s="36"/>
      <c r="BO180" s="34"/>
      <c r="BP180" s="35"/>
      <c r="BQ180" s="36"/>
      <c r="BS180" s="1592"/>
      <c r="BT180" s="35"/>
      <c r="BU180" s="36"/>
      <c r="BW180" s="34"/>
      <c r="BX180" s="35"/>
      <c r="BY180" s="36"/>
      <c r="CA180" s="34"/>
      <c r="CB180" s="35"/>
      <c r="CC180" s="36"/>
      <c r="CE180" s="34"/>
      <c r="CF180" s="35"/>
      <c r="CG180" s="36"/>
      <c r="CI180" s="34"/>
      <c r="CJ180" s="35"/>
      <c r="CK180" s="36"/>
      <c r="CM180" s="34"/>
      <c r="CN180" s="35"/>
      <c r="CO180" s="36"/>
    </row>
    <row r="181" spans="1:93">
      <c r="A181" s="34"/>
      <c r="B181" s="35"/>
      <c r="C181" s="36"/>
      <c r="D181" s="37" t="str">
        <f>IF(C181&gt;=Mat!$E$71,"Material","No Mat")</f>
        <v>No Mat</v>
      </c>
      <c r="E181" s="834">
        <f>IF(C181&gt;=Mat!$E$71,C181/Mat!$E$71,0)</f>
        <v>0</v>
      </c>
      <c r="G181" s="34"/>
      <c r="H181" s="35"/>
      <c r="I181" s="48"/>
      <c r="J181" s="36"/>
      <c r="L181" s="506"/>
      <c r="M181" s="506" t="s">
        <v>479</v>
      </c>
      <c r="N181" s="507">
        <f t="shared" si="27"/>
        <v>0</v>
      </c>
      <c r="O181" s="507">
        <f t="shared" si="28"/>
        <v>0</v>
      </c>
      <c r="P181" s="507">
        <f t="shared" si="29"/>
        <v>0</v>
      </c>
      <c r="Q181" s="507">
        <f t="shared" si="30"/>
        <v>0</v>
      </c>
      <c r="R181" s="507">
        <f t="shared" si="31"/>
        <v>0</v>
      </c>
      <c r="S181" s="507">
        <f t="shared" si="32"/>
        <v>0</v>
      </c>
      <c r="T181" s="507">
        <f t="shared" si="33"/>
        <v>0</v>
      </c>
      <c r="U181" s="507">
        <f t="shared" si="34"/>
        <v>0</v>
      </c>
      <c r="V181" s="507">
        <f t="shared" si="35"/>
        <v>0</v>
      </c>
      <c r="W181" s="507">
        <f t="shared" si="36"/>
        <v>0</v>
      </c>
      <c r="X181" s="507">
        <f t="shared" si="37"/>
        <v>0</v>
      </c>
      <c r="Y181" s="507">
        <f t="shared" si="38"/>
        <v>0</v>
      </c>
      <c r="Z181" s="11">
        <f t="shared" si="39"/>
        <v>0</v>
      </c>
      <c r="AC181" s="4">
        <v>367</v>
      </c>
      <c r="AD181" s="5" t="s">
        <v>515</v>
      </c>
      <c r="AE181" s="5" t="s">
        <v>507</v>
      </c>
      <c r="AF181" s="5" t="s">
        <v>516</v>
      </c>
      <c r="AG181" s="5" t="s">
        <v>500</v>
      </c>
      <c r="AH181" s="5" t="s">
        <v>18</v>
      </c>
      <c r="AI181" s="5" t="s">
        <v>12</v>
      </c>
      <c r="AJ181" s="5" t="s">
        <v>481</v>
      </c>
      <c r="AK181" s="5" t="s">
        <v>411</v>
      </c>
      <c r="AL181" s="5" t="s">
        <v>18</v>
      </c>
      <c r="AM181" s="6"/>
      <c r="AO181" s="5"/>
      <c r="AP181" s="5"/>
      <c r="AQ181" s="5"/>
      <c r="AR181" s="5"/>
      <c r="AS181" s="5"/>
      <c r="AU181" s="1547"/>
      <c r="AV181" s="35"/>
      <c r="AW181" s="36"/>
      <c r="AY181" s="34"/>
      <c r="AZ181" s="35"/>
      <c r="BA181" s="36"/>
      <c r="BC181" s="34"/>
      <c r="BD181" s="35"/>
      <c r="BE181" s="36"/>
      <c r="BG181" s="34"/>
      <c r="BH181" s="35"/>
      <c r="BI181" s="36"/>
      <c r="BK181" s="34"/>
      <c r="BL181" s="35"/>
      <c r="BM181" s="36"/>
      <c r="BO181" s="34"/>
      <c r="BP181" s="35"/>
      <c r="BQ181" s="36"/>
      <c r="BS181" s="1592"/>
      <c r="BT181" s="35"/>
      <c r="BU181" s="36"/>
      <c r="BW181" s="34"/>
      <c r="BX181" s="35"/>
      <c r="BY181" s="36"/>
      <c r="CA181" s="34"/>
      <c r="CB181" s="35"/>
      <c r="CC181" s="36"/>
      <c r="CE181" s="34"/>
      <c r="CF181" s="35"/>
      <c r="CG181" s="36"/>
      <c r="CI181" s="34"/>
      <c r="CJ181" s="35"/>
      <c r="CK181" s="36"/>
      <c r="CM181" s="34"/>
      <c r="CN181" s="35"/>
      <c r="CO181" s="36"/>
    </row>
    <row r="182" spans="1:93">
      <c r="A182" s="34"/>
      <c r="B182" s="35"/>
      <c r="C182" s="36"/>
      <c r="D182" s="37" t="str">
        <f>IF(C182&gt;=Mat!$E$71,"Material","No Mat")</f>
        <v>No Mat</v>
      </c>
      <c r="E182" s="834">
        <f>IF(C182&gt;=Mat!$E$71,C182/Mat!$E$71,0)</f>
        <v>0</v>
      </c>
      <c r="G182" s="34"/>
      <c r="H182" s="35"/>
      <c r="I182" s="48"/>
      <c r="J182" s="36"/>
      <c r="L182" s="506"/>
      <c r="M182" s="506" t="s">
        <v>489</v>
      </c>
      <c r="N182" s="507">
        <f t="shared" si="27"/>
        <v>0</v>
      </c>
      <c r="O182" s="507">
        <f t="shared" si="28"/>
        <v>0</v>
      </c>
      <c r="P182" s="507">
        <f t="shared" si="29"/>
        <v>0</v>
      </c>
      <c r="Q182" s="507">
        <f t="shared" si="30"/>
        <v>0</v>
      </c>
      <c r="R182" s="507">
        <f t="shared" si="31"/>
        <v>0</v>
      </c>
      <c r="S182" s="507">
        <f t="shared" si="32"/>
        <v>0</v>
      </c>
      <c r="T182" s="507">
        <f t="shared" si="33"/>
        <v>0</v>
      </c>
      <c r="U182" s="507">
        <f t="shared" si="34"/>
        <v>0</v>
      </c>
      <c r="V182" s="507">
        <f t="shared" si="35"/>
        <v>0</v>
      </c>
      <c r="W182" s="507">
        <f t="shared" si="36"/>
        <v>0</v>
      </c>
      <c r="X182" s="507">
        <f t="shared" si="37"/>
        <v>0</v>
      </c>
      <c r="Y182" s="507">
        <f t="shared" si="38"/>
        <v>0</v>
      </c>
      <c r="Z182" s="11">
        <f t="shared" si="39"/>
        <v>0</v>
      </c>
      <c r="AC182" s="4">
        <v>369</v>
      </c>
      <c r="AD182" s="5" t="s">
        <v>517</v>
      </c>
      <c r="AE182" s="5" t="s">
        <v>507</v>
      </c>
      <c r="AF182" s="5" t="s">
        <v>518</v>
      </c>
      <c r="AG182" s="5" t="s">
        <v>500</v>
      </c>
      <c r="AH182" s="5" t="s">
        <v>18</v>
      </c>
      <c r="AI182" s="5" t="s">
        <v>12</v>
      </c>
      <c r="AJ182" s="5" t="s">
        <v>481</v>
      </c>
      <c r="AK182" s="5" t="s">
        <v>411</v>
      </c>
      <c r="AL182" s="5" t="s">
        <v>18</v>
      </c>
      <c r="AM182" s="6"/>
      <c r="AO182" s="5"/>
      <c r="AP182" s="5"/>
      <c r="AQ182" s="5"/>
      <c r="AR182" s="5"/>
      <c r="AS182" s="5"/>
      <c r="AU182" s="1547"/>
      <c r="AV182" s="35"/>
      <c r="AW182" s="36"/>
      <c r="AY182" s="34"/>
      <c r="AZ182" s="35"/>
      <c r="BA182" s="36"/>
      <c r="BC182" s="34"/>
      <c r="BD182" s="35"/>
      <c r="BE182" s="36"/>
      <c r="BG182" s="34"/>
      <c r="BH182" s="35"/>
      <c r="BI182" s="36"/>
      <c r="BK182" s="34"/>
      <c r="BL182" s="35"/>
      <c r="BM182" s="36"/>
      <c r="BO182" s="34"/>
      <c r="BP182" s="35"/>
      <c r="BQ182" s="36"/>
      <c r="BS182" s="1592"/>
      <c r="BT182" s="35"/>
      <c r="BU182" s="36"/>
      <c r="BW182" s="34"/>
      <c r="BX182" s="35"/>
      <c r="BY182" s="36"/>
      <c r="CA182" s="34"/>
      <c r="CB182" s="35"/>
      <c r="CC182" s="36"/>
      <c r="CE182" s="34"/>
      <c r="CF182" s="35"/>
      <c r="CG182" s="36"/>
      <c r="CI182" s="34"/>
      <c r="CJ182" s="35"/>
      <c r="CK182" s="36"/>
      <c r="CM182" s="34"/>
      <c r="CN182" s="35"/>
      <c r="CO182" s="36"/>
    </row>
    <row r="183" spans="1:93">
      <c r="A183" s="34"/>
      <c r="B183" s="35"/>
      <c r="C183" s="36"/>
      <c r="D183" s="37" t="str">
        <f>IF(C183&gt;=Mat!$E$71,"Material","No Mat")</f>
        <v>No Mat</v>
      </c>
      <c r="E183" s="834">
        <f>IF(C183&gt;=Mat!$E$71,C183/Mat!$E$71,0)</f>
        <v>0</v>
      </c>
      <c r="G183" s="34"/>
      <c r="H183" s="35"/>
      <c r="I183" s="48"/>
      <c r="J183" s="36"/>
      <c r="L183" s="506"/>
      <c r="M183" s="506" t="s">
        <v>492</v>
      </c>
      <c r="N183" s="507">
        <f t="shared" si="27"/>
        <v>0</v>
      </c>
      <c r="O183" s="507">
        <f t="shared" si="28"/>
        <v>0</v>
      </c>
      <c r="P183" s="507">
        <f t="shared" si="29"/>
        <v>0</v>
      </c>
      <c r="Q183" s="507">
        <f t="shared" si="30"/>
        <v>0</v>
      </c>
      <c r="R183" s="507">
        <f t="shared" si="31"/>
        <v>0</v>
      </c>
      <c r="S183" s="507">
        <f t="shared" si="32"/>
        <v>0</v>
      </c>
      <c r="T183" s="507">
        <f t="shared" si="33"/>
        <v>0</v>
      </c>
      <c r="U183" s="507">
        <f t="shared" si="34"/>
        <v>0</v>
      </c>
      <c r="V183" s="507">
        <f t="shared" si="35"/>
        <v>0</v>
      </c>
      <c r="W183" s="507">
        <f t="shared" si="36"/>
        <v>0</v>
      </c>
      <c r="X183" s="507">
        <f t="shared" si="37"/>
        <v>0</v>
      </c>
      <c r="Y183" s="507">
        <f t="shared" si="38"/>
        <v>0</v>
      </c>
      <c r="Z183" s="11">
        <f t="shared" si="39"/>
        <v>0</v>
      </c>
      <c r="AC183" s="4">
        <v>371</v>
      </c>
      <c r="AD183" s="5" t="s">
        <v>519</v>
      </c>
      <c r="AE183" s="5" t="s">
        <v>507</v>
      </c>
      <c r="AF183" s="5" t="s">
        <v>520</v>
      </c>
      <c r="AG183" s="5" t="s">
        <v>500</v>
      </c>
      <c r="AH183" s="5" t="s">
        <v>18</v>
      </c>
      <c r="AI183" s="5" t="s">
        <v>12</v>
      </c>
      <c r="AJ183" s="5" t="s">
        <v>481</v>
      </c>
      <c r="AK183" s="5" t="s">
        <v>411</v>
      </c>
      <c r="AL183" s="5" t="s">
        <v>18</v>
      </c>
      <c r="AM183" s="6"/>
      <c r="AO183" s="5"/>
      <c r="AP183" s="5"/>
      <c r="AQ183" s="5"/>
      <c r="AR183" s="5"/>
      <c r="AS183" s="5"/>
      <c r="AU183" s="1547"/>
      <c r="AV183" s="35"/>
      <c r="AW183" s="36"/>
      <c r="AY183" s="34"/>
      <c r="AZ183" s="35"/>
      <c r="BA183" s="36"/>
      <c r="BC183" s="34"/>
      <c r="BD183" s="35"/>
      <c r="BE183" s="36"/>
      <c r="BG183" s="34"/>
      <c r="BH183" s="35"/>
      <c r="BI183" s="36"/>
      <c r="BK183" s="34"/>
      <c r="BL183" s="35"/>
      <c r="BM183" s="36"/>
      <c r="BO183" s="34"/>
      <c r="BP183" s="35"/>
      <c r="BQ183" s="36"/>
      <c r="BS183" s="1592"/>
      <c r="BT183" s="35"/>
      <c r="BU183" s="36"/>
      <c r="BW183" s="34"/>
      <c r="BX183" s="35"/>
      <c r="BY183" s="36"/>
      <c r="CA183" s="34"/>
      <c r="CB183" s="35"/>
      <c r="CC183" s="36"/>
      <c r="CE183" s="34"/>
      <c r="CF183" s="35"/>
      <c r="CG183" s="36"/>
      <c r="CI183" s="34"/>
      <c r="CJ183" s="35"/>
      <c r="CK183" s="36"/>
      <c r="CM183" s="34"/>
      <c r="CN183" s="35"/>
      <c r="CO183" s="36"/>
    </row>
    <row r="184" spans="1:93">
      <c r="A184" s="34"/>
      <c r="B184" s="35"/>
      <c r="C184" s="36"/>
      <c r="D184" s="37" t="str">
        <f>IF(C184&gt;=Mat!$E$71,"Material","No Mat")</f>
        <v>No Mat</v>
      </c>
      <c r="E184" s="834">
        <f>IF(C184&gt;=Mat!$E$71,C184/Mat!$E$71,0)</f>
        <v>0</v>
      </c>
      <c r="G184" s="34"/>
      <c r="H184" s="35"/>
      <c r="I184" s="48"/>
      <c r="J184" s="36"/>
      <c r="L184" s="506"/>
      <c r="M184" s="506" t="s">
        <v>494</v>
      </c>
      <c r="N184" s="507">
        <f t="shared" si="27"/>
        <v>0</v>
      </c>
      <c r="O184" s="507">
        <f t="shared" si="28"/>
        <v>0</v>
      </c>
      <c r="P184" s="507">
        <f t="shared" si="29"/>
        <v>0</v>
      </c>
      <c r="Q184" s="507">
        <f t="shared" si="30"/>
        <v>0</v>
      </c>
      <c r="R184" s="507">
        <f t="shared" si="31"/>
        <v>0</v>
      </c>
      <c r="S184" s="507">
        <f t="shared" si="32"/>
        <v>0</v>
      </c>
      <c r="T184" s="507">
        <f t="shared" si="33"/>
        <v>0</v>
      </c>
      <c r="U184" s="507">
        <f t="shared" si="34"/>
        <v>0</v>
      </c>
      <c r="V184" s="507">
        <f t="shared" si="35"/>
        <v>0</v>
      </c>
      <c r="W184" s="507">
        <f t="shared" si="36"/>
        <v>0</v>
      </c>
      <c r="X184" s="507">
        <f t="shared" si="37"/>
        <v>0</v>
      </c>
      <c r="Y184" s="507">
        <f t="shared" si="38"/>
        <v>0</v>
      </c>
      <c r="Z184" s="11">
        <f t="shared" si="39"/>
        <v>0</v>
      </c>
      <c r="AC184" s="4">
        <v>373</v>
      </c>
      <c r="AD184" s="5" t="s">
        <v>521</v>
      </c>
      <c r="AE184" s="5" t="s">
        <v>507</v>
      </c>
      <c r="AF184" s="5" t="s">
        <v>522</v>
      </c>
      <c r="AG184" s="5" t="s">
        <v>500</v>
      </c>
      <c r="AH184" s="5" t="s">
        <v>18</v>
      </c>
      <c r="AI184" s="5" t="s">
        <v>12</v>
      </c>
      <c r="AJ184" s="5" t="s">
        <v>481</v>
      </c>
      <c r="AK184" s="5" t="s">
        <v>411</v>
      </c>
      <c r="AL184" s="5" t="s">
        <v>18</v>
      </c>
      <c r="AM184" s="6"/>
      <c r="AO184" s="5"/>
      <c r="AP184" s="5"/>
      <c r="AQ184" s="5"/>
      <c r="AR184" s="5"/>
      <c r="AS184" s="5"/>
      <c r="AU184" s="1547"/>
      <c r="AV184" s="35"/>
      <c r="AW184" s="36"/>
      <c r="AY184" s="34"/>
      <c r="AZ184" s="35"/>
      <c r="BA184" s="36"/>
      <c r="BC184" s="34"/>
      <c r="BD184" s="35"/>
      <c r="BE184" s="36"/>
      <c r="BG184" s="34"/>
      <c r="BH184" s="35"/>
      <c r="BI184" s="36"/>
      <c r="BK184" s="34"/>
      <c r="BL184" s="35"/>
      <c r="BM184" s="36"/>
      <c r="BO184" s="34"/>
      <c r="BP184" s="35"/>
      <c r="BQ184" s="36"/>
      <c r="BS184" s="1592"/>
      <c r="BT184" s="35"/>
      <c r="BU184" s="36"/>
      <c r="BW184" s="34"/>
      <c r="BX184" s="35"/>
      <c r="BY184" s="36"/>
      <c r="CA184" s="34"/>
      <c r="CB184" s="35"/>
      <c r="CC184" s="36"/>
      <c r="CE184" s="34"/>
      <c r="CF184" s="35"/>
      <c r="CG184" s="36"/>
      <c r="CI184" s="34"/>
      <c r="CJ184" s="35"/>
      <c r="CK184" s="36"/>
      <c r="CM184" s="34"/>
      <c r="CN184" s="35"/>
      <c r="CO184" s="36"/>
    </row>
    <row r="185" spans="1:93">
      <c r="A185" s="34"/>
      <c r="B185" s="35"/>
      <c r="C185" s="36"/>
      <c r="D185" s="37" t="str">
        <f>IF(C185&gt;=Mat!$E$71,"Material","No Mat")</f>
        <v>No Mat</v>
      </c>
      <c r="E185" s="834">
        <f>IF(C185&gt;=Mat!$E$71,C185/Mat!$E$71,0)</f>
        <v>0</v>
      </c>
      <c r="G185" s="34"/>
      <c r="H185" s="35"/>
      <c r="I185" s="48"/>
      <c r="J185" s="36"/>
      <c r="L185" s="506"/>
      <c r="M185" s="506" t="s">
        <v>499</v>
      </c>
      <c r="N185" s="507">
        <f t="shared" si="27"/>
        <v>0</v>
      </c>
      <c r="O185" s="507">
        <f t="shared" si="28"/>
        <v>0</v>
      </c>
      <c r="P185" s="507">
        <f t="shared" si="29"/>
        <v>0</v>
      </c>
      <c r="Q185" s="507">
        <f t="shared" si="30"/>
        <v>0</v>
      </c>
      <c r="R185" s="507">
        <f t="shared" si="31"/>
        <v>0</v>
      </c>
      <c r="S185" s="507">
        <f t="shared" si="32"/>
        <v>0</v>
      </c>
      <c r="T185" s="507">
        <f t="shared" si="33"/>
        <v>0</v>
      </c>
      <c r="U185" s="507">
        <f t="shared" si="34"/>
        <v>0</v>
      </c>
      <c r="V185" s="507">
        <f t="shared" si="35"/>
        <v>0</v>
      </c>
      <c r="W185" s="507">
        <f t="shared" si="36"/>
        <v>0</v>
      </c>
      <c r="X185" s="507">
        <f t="shared" si="37"/>
        <v>0</v>
      </c>
      <c r="Y185" s="507">
        <f t="shared" si="38"/>
        <v>0</v>
      </c>
      <c r="Z185" s="11">
        <f t="shared" si="39"/>
        <v>0</v>
      </c>
      <c r="AC185" s="4">
        <v>375</v>
      </c>
      <c r="AD185" s="5" t="s">
        <v>523</v>
      </c>
      <c r="AE185" s="5" t="s">
        <v>507</v>
      </c>
      <c r="AF185" s="5" t="s">
        <v>524</v>
      </c>
      <c r="AG185" s="5" t="s">
        <v>500</v>
      </c>
      <c r="AH185" s="5" t="s">
        <v>18</v>
      </c>
      <c r="AI185" s="5" t="s">
        <v>12</v>
      </c>
      <c r="AJ185" s="5" t="s">
        <v>481</v>
      </c>
      <c r="AK185" s="5" t="s">
        <v>411</v>
      </c>
      <c r="AL185" s="5" t="s">
        <v>18</v>
      </c>
      <c r="AM185" s="6"/>
      <c r="AO185" s="5"/>
      <c r="AP185" s="5"/>
      <c r="AQ185" s="5"/>
      <c r="AR185" s="5"/>
      <c r="AS185" s="5"/>
      <c r="AU185" s="1547"/>
      <c r="AV185" s="35"/>
      <c r="AW185" s="36"/>
      <c r="AY185" s="34"/>
      <c r="AZ185" s="35"/>
      <c r="BA185" s="36"/>
      <c r="BC185" s="34"/>
      <c r="BD185" s="35"/>
      <c r="BE185" s="36"/>
      <c r="BG185" s="34"/>
      <c r="BH185" s="35"/>
      <c r="BI185" s="36"/>
      <c r="BK185" s="34"/>
      <c r="BL185" s="35"/>
      <c r="BM185" s="36"/>
      <c r="BO185" s="34"/>
      <c r="BP185" s="35"/>
      <c r="BQ185" s="36"/>
      <c r="BS185" s="1592"/>
      <c r="BT185" s="35"/>
      <c r="BU185" s="36"/>
      <c r="BW185" s="34"/>
      <c r="BX185" s="35"/>
      <c r="BY185" s="36"/>
      <c r="CA185" s="34"/>
      <c r="CB185" s="35"/>
      <c r="CC185" s="36"/>
      <c r="CE185" s="34"/>
      <c r="CF185" s="35"/>
      <c r="CG185" s="36"/>
      <c r="CI185" s="34"/>
      <c r="CJ185" s="35"/>
      <c r="CK185" s="36"/>
      <c r="CM185" s="34"/>
      <c r="CN185" s="35"/>
      <c r="CO185" s="36"/>
    </row>
    <row r="186" spans="1:93">
      <c r="A186" s="34"/>
      <c r="B186" s="35"/>
      <c r="C186" s="36"/>
      <c r="D186" s="37" t="str">
        <f>IF(C186&gt;=Mat!$E$71,"Material","No Mat")</f>
        <v>No Mat</v>
      </c>
      <c r="E186" s="834">
        <f>IF(C186&gt;=Mat!$E$71,C186/Mat!$E$71,0)</f>
        <v>0</v>
      </c>
      <c r="G186" s="34"/>
      <c r="H186" s="35"/>
      <c r="I186" s="48"/>
      <c r="J186" s="36"/>
      <c r="L186" s="506"/>
      <c r="M186" s="506" t="s">
        <v>502</v>
      </c>
      <c r="N186" s="507">
        <f t="shared" si="27"/>
        <v>0</v>
      </c>
      <c r="O186" s="507">
        <f t="shared" si="28"/>
        <v>0</v>
      </c>
      <c r="P186" s="507">
        <f t="shared" si="29"/>
        <v>0</v>
      </c>
      <c r="Q186" s="507">
        <f t="shared" si="30"/>
        <v>0</v>
      </c>
      <c r="R186" s="507">
        <f t="shared" si="31"/>
        <v>0</v>
      </c>
      <c r="S186" s="507">
        <f t="shared" si="32"/>
        <v>0</v>
      </c>
      <c r="T186" s="507">
        <f t="shared" si="33"/>
        <v>0</v>
      </c>
      <c r="U186" s="507">
        <f t="shared" si="34"/>
        <v>0</v>
      </c>
      <c r="V186" s="507">
        <f t="shared" si="35"/>
        <v>0</v>
      </c>
      <c r="W186" s="507">
        <f t="shared" si="36"/>
        <v>0</v>
      </c>
      <c r="X186" s="507">
        <f t="shared" si="37"/>
        <v>0</v>
      </c>
      <c r="Y186" s="507">
        <f t="shared" si="38"/>
        <v>0</v>
      </c>
      <c r="Z186" s="11">
        <f t="shared" si="39"/>
        <v>0</v>
      </c>
      <c r="AC186" s="4">
        <v>377</v>
      </c>
      <c r="AD186" s="5" t="s">
        <v>905</v>
      </c>
      <c r="AE186" s="5" t="s">
        <v>507</v>
      </c>
      <c r="AF186" s="5" t="s">
        <v>906</v>
      </c>
      <c r="AG186" s="5" t="s">
        <v>0</v>
      </c>
      <c r="AH186" s="5" t="s">
        <v>18</v>
      </c>
      <c r="AI186" s="5" t="s">
        <v>12</v>
      </c>
      <c r="AJ186" s="5" t="s">
        <v>17</v>
      </c>
      <c r="AK186" s="5" t="s">
        <v>139</v>
      </c>
      <c r="AL186" s="5" t="s">
        <v>18</v>
      </c>
      <c r="AM186" s="6"/>
      <c r="AO186" s="5"/>
      <c r="AP186" s="5"/>
      <c r="AQ186" s="5"/>
      <c r="AR186" s="5"/>
      <c r="AS186" s="5"/>
      <c r="AU186" s="1547"/>
      <c r="AV186" s="35"/>
      <c r="AW186" s="36"/>
      <c r="AY186" s="34"/>
      <c r="AZ186" s="35"/>
      <c r="BA186" s="36"/>
      <c r="BC186" s="34"/>
      <c r="BD186" s="35"/>
      <c r="BE186" s="36"/>
      <c r="BG186" s="34"/>
      <c r="BH186" s="35"/>
      <c r="BI186" s="36"/>
      <c r="BK186" s="34"/>
      <c r="BL186" s="35"/>
      <c r="BM186" s="36"/>
      <c r="BO186" s="34"/>
      <c r="BP186" s="35"/>
      <c r="BQ186" s="36"/>
      <c r="BS186" s="1592"/>
      <c r="BT186" s="35"/>
      <c r="BU186" s="36"/>
      <c r="BW186" s="34"/>
      <c r="BX186" s="35"/>
      <c r="BY186" s="36"/>
      <c r="CA186" s="34"/>
      <c r="CB186" s="35"/>
      <c r="CC186" s="36"/>
      <c r="CE186" s="34"/>
      <c r="CF186" s="35"/>
      <c r="CG186" s="36"/>
      <c r="CI186" s="34"/>
      <c r="CJ186" s="35"/>
      <c r="CK186" s="36"/>
      <c r="CM186" s="34"/>
      <c r="CN186" s="35"/>
      <c r="CO186" s="36"/>
    </row>
    <row r="187" spans="1:93">
      <c r="A187" s="34"/>
      <c r="B187" s="35"/>
      <c r="C187" s="36"/>
      <c r="D187" s="37" t="str">
        <f>IF(C187&gt;=Mat!$E$71,"Material","No Mat")</f>
        <v>No Mat</v>
      </c>
      <c r="E187" s="834">
        <f>IF(C187&gt;=Mat!$E$71,C187/Mat!$E$71,0)</f>
        <v>0</v>
      </c>
      <c r="G187" s="34"/>
      <c r="H187" s="35"/>
      <c r="I187" s="48"/>
      <c r="J187" s="36"/>
      <c r="L187" s="506"/>
      <c r="M187" s="506" t="s">
        <v>504</v>
      </c>
      <c r="N187" s="507">
        <f t="shared" si="27"/>
        <v>0</v>
      </c>
      <c r="O187" s="507">
        <f t="shared" si="28"/>
        <v>0</v>
      </c>
      <c r="P187" s="507">
        <f t="shared" si="29"/>
        <v>0</v>
      </c>
      <c r="Q187" s="507">
        <f t="shared" si="30"/>
        <v>0</v>
      </c>
      <c r="R187" s="507">
        <f t="shared" si="31"/>
        <v>0</v>
      </c>
      <c r="S187" s="507">
        <f t="shared" si="32"/>
        <v>0</v>
      </c>
      <c r="T187" s="507">
        <f t="shared" si="33"/>
        <v>0</v>
      </c>
      <c r="U187" s="507">
        <f t="shared" si="34"/>
        <v>0</v>
      </c>
      <c r="V187" s="507">
        <f t="shared" si="35"/>
        <v>0</v>
      </c>
      <c r="W187" s="507">
        <f t="shared" si="36"/>
        <v>0</v>
      </c>
      <c r="X187" s="507">
        <f t="shared" si="37"/>
        <v>0</v>
      </c>
      <c r="Y187" s="507">
        <f t="shared" si="38"/>
        <v>0</v>
      </c>
      <c r="Z187" s="11">
        <f t="shared" si="39"/>
        <v>0</v>
      </c>
      <c r="AC187" s="4">
        <v>379</v>
      </c>
      <c r="AD187" s="5" t="s">
        <v>529</v>
      </c>
      <c r="AE187" s="5" t="s">
        <v>527</v>
      </c>
      <c r="AF187" s="5" t="s">
        <v>530</v>
      </c>
      <c r="AG187" s="5" t="s">
        <v>531</v>
      </c>
      <c r="AH187" s="5" t="s">
        <v>18</v>
      </c>
      <c r="AI187" s="5" t="s">
        <v>12</v>
      </c>
      <c r="AJ187" s="5" t="s">
        <v>481</v>
      </c>
      <c r="AK187" s="5" t="s">
        <v>411</v>
      </c>
      <c r="AL187" s="5" t="s">
        <v>18</v>
      </c>
      <c r="AM187" s="6"/>
      <c r="AO187" s="5"/>
      <c r="AP187" s="5"/>
      <c r="AQ187" s="5"/>
      <c r="AR187" s="5"/>
      <c r="AS187" s="5"/>
      <c r="AU187" s="1547"/>
      <c r="AV187" s="35"/>
      <c r="AW187" s="36"/>
      <c r="AY187" s="34"/>
      <c r="AZ187" s="35"/>
      <c r="BA187" s="36"/>
      <c r="BC187" s="34"/>
      <c r="BD187" s="35"/>
      <c r="BE187" s="36"/>
      <c r="BG187" s="34"/>
      <c r="BH187" s="35"/>
      <c r="BI187" s="36"/>
      <c r="BK187" s="34"/>
      <c r="BL187" s="35"/>
      <c r="BM187" s="36"/>
      <c r="BO187" s="34"/>
      <c r="BP187" s="35"/>
      <c r="BQ187" s="36"/>
      <c r="BS187" s="1592"/>
      <c r="BT187" s="35"/>
      <c r="BU187" s="36"/>
      <c r="BW187" s="34"/>
      <c r="BX187" s="35"/>
      <c r="BY187" s="36"/>
      <c r="CA187" s="34"/>
      <c r="CB187" s="35"/>
      <c r="CC187" s="36"/>
      <c r="CE187" s="34"/>
      <c r="CF187" s="35"/>
      <c r="CG187" s="36"/>
      <c r="CI187" s="34"/>
      <c r="CJ187" s="35"/>
      <c r="CK187" s="36"/>
      <c r="CM187" s="34"/>
      <c r="CN187" s="35"/>
      <c r="CO187" s="36"/>
    </row>
    <row r="188" spans="1:93">
      <c r="A188" s="34"/>
      <c r="B188" s="35"/>
      <c r="C188" s="36"/>
      <c r="D188" s="37" t="str">
        <f>IF(C188&gt;=Mat!$E$71,"Material","No Mat")</f>
        <v>No Mat</v>
      </c>
      <c r="E188" s="834">
        <f>IF(C188&gt;=Mat!$E$71,C188/Mat!$E$71,0)</f>
        <v>0</v>
      </c>
      <c r="G188" s="34"/>
      <c r="H188" s="35"/>
      <c r="I188" s="48"/>
      <c r="J188" s="36"/>
      <c r="L188" s="506"/>
      <c r="M188" s="506" t="s">
        <v>506</v>
      </c>
      <c r="N188" s="507">
        <f t="shared" si="27"/>
        <v>0</v>
      </c>
      <c r="O188" s="507">
        <f t="shared" si="28"/>
        <v>0</v>
      </c>
      <c r="P188" s="507">
        <f t="shared" si="29"/>
        <v>0</v>
      </c>
      <c r="Q188" s="507">
        <f t="shared" si="30"/>
        <v>0</v>
      </c>
      <c r="R188" s="507">
        <f t="shared" si="31"/>
        <v>0</v>
      </c>
      <c r="S188" s="507">
        <f t="shared" si="32"/>
        <v>0</v>
      </c>
      <c r="T188" s="507">
        <f t="shared" si="33"/>
        <v>0</v>
      </c>
      <c r="U188" s="507">
        <f t="shared" si="34"/>
        <v>0</v>
      </c>
      <c r="V188" s="507">
        <f t="shared" si="35"/>
        <v>0</v>
      </c>
      <c r="W188" s="507">
        <f t="shared" si="36"/>
        <v>0</v>
      </c>
      <c r="X188" s="507">
        <f t="shared" si="37"/>
        <v>0</v>
      </c>
      <c r="Y188" s="507">
        <f t="shared" si="38"/>
        <v>0</v>
      </c>
      <c r="Z188" s="11">
        <f t="shared" si="39"/>
        <v>0</v>
      </c>
      <c r="AC188" s="4">
        <v>381</v>
      </c>
      <c r="AD188" s="5" t="s">
        <v>532</v>
      </c>
      <c r="AE188" s="5" t="s">
        <v>527</v>
      </c>
      <c r="AF188" s="5" t="s">
        <v>533</v>
      </c>
      <c r="AG188" s="5" t="s">
        <v>534</v>
      </c>
      <c r="AH188" s="5" t="s">
        <v>18</v>
      </c>
      <c r="AI188" s="5" t="s">
        <v>12</v>
      </c>
      <c r="AJ188" s="5" t="s">
        <v>481</v>
      </c>
      <c r="AK188" s="5" t="s">
        <v>411</v>
      </c>
      <c r="AL188" s="5" t="s">
        <v>18</v>
      </c>
      <c r="AM188" s="6"/>
      <c r="AO188" s="5"/>
      <c r="AP188" s="5"/>
      <c r="AQ188" s="5"/>
      <c r="AR188" s="5"/>
      <c r="AS188" s="5"/>
      <c r="AU188" s="1547"/>
      <c r="AV188" s="35"/>
      <c r="AW188" s="36"/>
      <c r="AY188" s="34"/>
      <c r="AZ188" s="35"/>
      <c r="BA188" s="36"/>
      <c r="BC188" s="34"/>
      <c r="BD188" s="35"/>
      <c r="BE188" s="36"/>
      <c r="BG188" s="34"/>
      <c r="BH188" s="35"/>
      <c r="BI188" s="36"/>
      <c r="BK188" s="34"/>
      <c r="BL188" s="35"/>
      <c r="BM188" s="36"/>
      <c r="BO188" s="34"/>
      <c r="BP188" s="35"/>
      <c r="BQ188" s="36"/>
      <c r="BS188" s="1592"/>
      <c r="BT188" s="35"/>
      <c r="BU188" s="36"/>
      <c r="BW188" s="34"/>
      <c r="BX188" s="35"/>
      <c r="BY188" s="36"/>
      <c r="CA188" s="34"/>
      <c r="CB188" s="35"/>
      <c r="CC188" s="36"/>
      <c r="CE188" s="34"/>
      <c r="CF188" s="35"/>
      <c r="CG188" s="36"/>
      <c r="CI188" s="34"/>
      <c r="CJ188" s="35"/>
      <c r="CK188" s="36"/>
      <c r="CM188" s="34"/>
      <c r="CN188" s="35"/>
      <c r="CO188" s="36"/>
    </row>
    <row r="189" spans="1:93">
      <c r="A189" s="34"/>
      <c r="B189" s="35"/>
      <c r="C189" s="36"/>
      <c r="D189" s="37" t="str">
        <f>IF(C189&gt;=Mat!$E$71,"Material","No Mat")</f>
        <v>No Mat</v>
      </c>
      <c r="E189" s="834">
        <f>IF(C189&gt;=Mat!$E$71,C189/Mat!$E$71,0)</f>
        <v>0</v>
      </c>
      <c r="G189" s="34"/>
      <c r="H189" s="35"/>
      <c r="I189" s="48"/>
      <c r="J189" s="36"/>
      <c r="L189" s="506"/>
      <c r="M189" s="506" t="s">
        <v>510</v>
      </c>
      <c r="N189" s="507">
        <f t="shared" si="27"/>
        <v>0</v>
      </c>
      <c r="O189" s="507">
        <f t="shared" si="28"/>
        <v>0</v>
      </c>
      <c r="P189" s="507">
        <f t="shared" si="29"/>
        <v>0</v>
      </c>
      <c r="Q189" s="507">
        <f t="shared" si="30"/>
        <v>0</v>
      </c>
      <c r="R189" s="507">
        <f t="shared" si="31"/>
        <v>0</v>
      </c>
      <c r="S189" s="507">
        <f t="shared" si="32"/>
        <v>0</v>
      </c>
      <c r="T189" s="507">
        <f t="shared" si="33"/>
        <v>0</v>
      </c>
      <c r="U189" s="507">
        <f t="shared" si="34"/>
        <v>0</v>
      </c>
      <c r="V189" s="507">
        <f t="shared" si="35"/>
        <v>0</v>
      </c>
      <c r="W189" s="507">
        <f t="shared" si="36"/>
        <v>0</v>
      </c>
      <c r="X189" s="507">
        <f t="shared" si="37"/>
        <v>0</v>
      </c>
      <c r="Y189" s="507">
        <f t="shared" si="38"/>
        <v>0</v>
      </c>
      <c r="Z189" s="11">
        <f t="shared" si="39"/>
        <v>0</v>
      </c>
      <c r="AC189" s="4">
        <v>383</v>
      </c>
      <c r="AD189" s="5" t="s">
        <v>535</v>
      </c>
      <c r="AE189" s="5" t="s">
        <v>527</v>
      </c>
      <c r="AF189" s="5" t="s">
        <v>536</v>
      </c>
      <c r="AG189" s="5" t="s">
        <v>537</v>
      </c>
      <c r="AH189" s="5" t="s">
        <v>18</v>
      </c>
      <c r="AI189" s="5" t="s">
        <v>12</v>
      </c>
      <c r="AJ189" s="5" t="s">
        <v>481</v>
      </c>
      <c r="AK189" s="5" t="s">
        <v>411</v>
      </c>
      <c r="AL189" s="5" t="s">
        <v>18</v>
      </c>
      <c r="AM189" s="6"/>
      <c r="AO189" s="5"/>
      <c r="AP189" s="5"/>
      <c r="AQ189" s="5"/>
      <c r="AR189" s="5"/>
      <c r="AS189" s="5"/>
      <c r="AU189" s="1547"/>
      <c r="AV189" s="35"/>
      <c r="AW189" s="36"/>
      <c r="AY189" s="34"/>
      <c r="AZ189" s="35"/>
      <c r="BA189" s="36"/>
      <c r="BC189" s="34"/>
      <c r="BD189" s="35"/>
      <c r="BE189" s="36"/>
      <c r="BG189" s="34"/>
      <c r="BH189" s="35"/>
      <c r="BI189" s="36"/>
      <c r="BK189" s="34"/>
      <c r="BL189" s="35"/>
      <c r="BM189" s="36"/>
      <c r="BO189" s="34"/>
      <c r="BP189" s="35"/>
      <c r="BQ189" s="36"/>
      <c r="BS189" s="1592"/>
      <c r="BT189" s="35"/>
      <c r="BU189" s="36"/>
      <c r="BW189" s="34"/>
      <c r="BX189" s="35"/>
      <c r="BY189" s="36"/>
      <c r="CA189" s="34"/>
      <c r="CB189" s="35"/>
      <c r="CC189" s="36"/>
      <c r="CE189" s="34"/>
      <c r="CF189" s="35"/>
      <c r="CG189" s="36"/>
      <c r="CI189" s="34"/>
      <c r="CJ189" s="35"/>
      <c r="CK189" s="36"/>
      <c r="CM189" s="34"/>
      <c r="CN189" s="35"/>
      <c r="CO189" s="36"/>
    </row>
    <row r="190" spans="1:93">
      <c r="A190" s="34"/>
      <c r="B190" s="35"/>
      <c r="C190" s="36"/>
      <c r="D190" s="37" t="str">
        <f>IF(C190&gt;=Mat!$E$71,"Material","No Mat")</f>
        <v>No Mat</v>
      </c>
      <c r="E190" s="834">
        <f>IF(C190&gt;=Mat!$E$71,C190/Mat!$E$71,0)</f>
        <v>0</v>
      </c>
      <c r="G190" s="34"/>
      <c r="H190" s="35"/>
      <c r="I190" s="48"/>
      <c r="J190" s="36">
        <f>SUM(J11:J189)</f>
        <v>0</v>
      </c>
      <c r="L190" s="506"/>
      <c r="M190" s="506" t="s">
        <v>512</v>
      </c>
      <c r="N190" s="507">
        <f t="shared" si="27"/>
        <v>-14809357.609999999</v>
      </c>
      <c r="O190" s="507">
        <f t="shared" si="28"/>
        <v>-11120286.07</v>
      </c>
      <c r="P190" s="507">
        <f t="shared" si="29"/>
        <v>-19102447.57</v>
      </c>
      <c r="Q190" s="507">
        <f t="shared" si="30"/>
        <v>0</v>
      </c>
      <c r="R190" s="507">
        <f t="shared" si="31"/>
        <v>0</v>
      </c>
      <c r="S190" s="507">
        <f t="shared" si="32"/>
        <v>0</v>
      </c>
      <c r="T190" s="507">
        <f t="shared" si="33"/>
        <v>0</v>
      </c>
      <c r="U190" s="507">
        <f t="shared" si="34"/>
        <v>0</v>
      </c>
      <c r="V190" s="507">
        <f t="shared" si="35"/>
        <v>0</v>
      </c>
      <c r="W190" s="507">
        <f t="shared" si="36"/>
        <v>0</v>
      </c>
      <c r="X190" s="507">
        <f t="shared" si="37"/>
        <v>0</v>
      </c>
      <c r="Y190" s="507">
        <f t="shared" si="38"/>
        <v>0</v>
      </c>
      <c r="Z190" s="11">
        <f t="shared" si="39"/>
        <v>-45032091.25</v>
      </c>
      <c r="AC190" s="4">
        <v>385</v>
      </c>
      <c r="AD190" s="5" t="s">
        <v>538</v>
      </c>
      <c r="AE190" s="5" t="s">
        <v>527</v>
      </c>
      <c r="AF190" s="5" t="s">
        <v>539</v>
      </c>
      <c r="AG190" s="5" t="s">
        <v>540</v>
      </c>
      <c r="AH190" s="5" t="s">
        <v>18</v>
      </c>
      <c r="AI190" s="5" t="s">
        <v>12</v>
      </c>
      <c r="AJ190" s="5" t="s">
        <v>481</v>
      </c>
      <c r="AK190" s="5" t="s">
        <v>411</v>
      </c>
      <c r="AL190" s="5" t="s">
        <v>18</v>
      </c>
      <c r="AM190" s="6"/>
      <c r="AO190" s="5"/>
      <c r="AP190" s="5"/>
      <c r="AQ190" s="5"/>
      <c r="AR190" s="5"/>
      <c r="AS190" s="5"/>
      <c r="AU190" s="1547"/>
      <c r="AV190" s="35"/>
      <c r="AW190" s="36"/>
      <c r="AY190" s="34"/>
      <c r="AZ190" s="35"/>
      <c r="BA190" s="36"/>
      <c r="BC190" s="34"/>
      <c r="BD190" s="35"/>
      <c r="BE190" s="36"/>
      <c r="BG190" s="34"/>
      <c r="BH190" s="35"/>
      <c r="BI190" s="36"/>
      <c r="BK190" s="34"/>
      <c r="BL190" s="35"/>
      <c r="BM190" s="36"/>
      <c r="BO190" s="34"/>
      <c r="BP190" s="35"/>
      <c r="BQ190" s="36"/>
      <c r="BS190" s="1592"/>
      <c r="BT190" s="35"/>
      <c r="BU190" s="36"/>
      <c r="BW190" s="34"/>
      <c r="BX190" s="35"/>
      <c r="BY190" s="36"/>
      <c r="CA190" s="34"/>
      <c r="CB190" s="35"/>
      <c r="CC190" s="36"/>
      <c r="CE190" s="34"/>
      <c r="CF190" s="35"/>
      <c r="CG190" s="36"/>
      <c r="CI190" s="34"/>
      <c r="CJ190" s="35"/>
      <c r="CK190" s="36"/>
      <c r="CM190" s="34"/>
      <c r="CN190" s="35"/>
      <c r="CO190" s="36"/>
    </row>
    <row r="191" spans="1:93">
      <c r="A191" s="34"/>
      <c r="B191" s="35"/>
      <c r="C191" s="36"/>
      <c r="D191" s="37" t="str">
        <f>IF(C191&gt;=Mat!$E$71,"Material","No Mat")</f>
        <v>No Mat</v>
      </c>
      <c r="E191" s="834">
        <f>IF(C191&gt;=Mat!$E$71,C191/Mat!$E$71,0)</f>
        <v>0</v>
      </c>
      <c r="G191" s="34"/>
      <c r="H191" s="35"/>
      <c r="I191" s="48"/>
      <c r="J191" s="36"/>
      <c r="L191" s="506"/>
      <c r="M191" s="506" t="s">
        <v>514</v>
      </c>
      <c r="N191" s="507">
        <f t="shared" si="27"/>
        <v>0</v>
      </c>
      <c r="O191" s="507">
        <f t="shared" si="28"/>
        <v>0</v>
      </c>
      <c r="P191" s="507">
        <f t="shared" si="29"/>
        <v>0</v>
      </c>
      <c r="Q191" s="507">
        <f t="shared" si="30"/>
        <v>0</v>
      </c>
      <c r="R191" s="507">
        <f t="shared" si="31"/>
        <v>0</v>
      </c>
      <c r="S191" s="507">
        <f t="shared" si="32"/>
        <v>0</v>
      </c>
      <c r="T191" s="507">
        <f t="shared" si="33"/>
        <v>0</v>
      </c>
      <c r="U191" s="507">
        <f t="shared" si="34"/>
        <v>0</v>
      </c>
      <c r="V191" s="507">
        <f t="shared" si="35"/>
        <v>0</v>
      </c>
      <c r="W191" s="507">
        <f t="shared" si="36"/>
        <v>0</v>
      </c>
      <c r="X191" s="507">
        <f t="shared" si="37"/>
        <v>0</v>
      </c>
      <c r="Y191" s="507">
        <f t="shared" si="38"/>
        <v>0</v>
      </c>
      <c r="Z191" s="11">
        <f t="shared" si="39"/>
        <v>0</v>
      </c>
      <c r="AC191" s="4">
        <v>387</v>
      </c>
      <c r="AD191" s="5" t="s">
        <v>541</v>
      </c>
      <c r="AE191" s="5" t="s">
        <v>527</v>
      </c>
      <c r="AF191" s="5" t="s">
        <v>542</v>
      </c>
      <c r="AG191" s="5" t="s">
        <v>543</v>
      </c>
      <c r="AH191" s="5" t="s">
        <v>18</v>
      </c>
      <c r="AI191" s="5" t="s">
        <v>12</v>
      </c>
      <c r="AJ191" s="5" t="s">
        <v>481</v>
      </c>
      <c r="AK191" s="5" t="s">
        <v>411</v>
      </c>
      <c r="AL191" s="5" t="s">
        <v>18</v>
      </c>
      <c r="AM191" s="6"/>
      <c r="AO191" s="5"/>
      <c r="AP191" s="5"/>
      <c r="AQ191" s="5"/>
      <c r="AR191" s="5"/>
      <c r="AS191" s="5"/>
      <c r="AU191" s="1547"/>
      <c r="AV191" s="35"/>
      <c r="AW191" s="36"/>
      <c r="AY191" s="34"/>
      <c r="AZ191" s="35"/>
      <c r="BA191" s="36"/>
      <c r="BC191" s="34"/>
      <c r="BD191" s="35"/>
      <c r="BE191" s="36"/>
      <c r="BG191" s="34"/>
      <c r="BH191" s="35"/>
      <c r="BI191" s="36"/>
      <c r="BK191" s="34"/>
      <c r="BL191" s="35"/>
      <c r="BM191" s="36"/>
      <c r="BO191" s="34"/>
      <c r="BP191" s="35"/>
      <c r="BQ191" s="36"/>
      <c r="BS191" s="1592"/>
      <c r="BT191" s="35"/>
      <c r="BU191" s="36"/>
      <c r="BW191" s="34"/>
      <c r="BX191" s="35"/>
      <c r="BY191" s="36"/>
      <c r="CA191" s="34"/>
      <c r="CB191" s="35"/>
      <c r="CC191" s="36"/>
      <c r="CE191" s="34"/>
      <c r="CF191" s="35"/>
      <c r="CG191" s="36"/>
      <c r="CI191" s="34"/>
      <c r="CJ191" s="35"/>
      <c r="CK191" s="36"/>
      <c r="CM191" s="34"/>
      <c r="CN191" s="35"/>
      <c r="CO191" s="36"/>
    </row>
    <row r="192" spans="1:93">
      <c r="A192" s="34"/>
      <c r="B192" s="35"/>
      <c r="C192" s="36"/>
      <c r="D192" s="37" t="str">
        <f>IF(C192&gt;=Mat!$E$71,"Material","No Mat")</f>
        <v>No Mat</v>
      </c>
      <c r="E192" s="834">
        <f>IF(C192&gt;=Mat!$E$71,C192/Mat!$E$71,0)</f>
        <v>0</v>
      </c>
      <c r="G192" s="34"/>
      <c r="H192" s="35"/>
      <c r="I192" s="48"/>
      <c r="J192" s="36"/>
      <c r="L192" s="506"/>
      <c r="M192" s="506" t="s">
        <v>516</v>
      </c>
      <c r="N192" s="507">
        <f t="shared" si="27"/>
        <v>0</v>
      </c>
      <c r="O192" s="507">
        <f t="shared" si="28"/>
        <v>0</v>
      </c>
      <c r="P192" s="507">
        <f t="shared" si="29"/>
        <v>0</v>
      </c>
      <c r="Q192" s="507">
        <f t="shared" si="30"/>
        <v>0</v>
      </c>
      <c r="R192" s="507">
        <f t="shared" si="31"/>
        <v>0</v>
      </c>
      <c r="S192" s="507">
        <f t="shared" si="32"/>
        <v>0</v>
      </c>
      <c r="T192" s="507">
        <f t="shared" si="33"/>
        <v>0</v>
      </c>
      <c r="U192" s="507">
        <f t="shared" si="34"/>
        <v>0</v>
      </c>
      <c r="V192" s="507">
        <f t="shared" si="35"/>
        <v>0</v>
      </c>
      <c r="W192" s="507">
        <f t="shared" si="36"/>
        <v>0</v>
      </c>
      <c r="X192" s="507">
        <f t="shared" si="37"/>
        <v>0</v>
      </c>
      <c r="Y192" s="507">
        <f t="shared" si="38"/>
        <v>0</v>
      </c>
      <c r="Z192" s="11">
        <f t="shared" si="39"/>
        <v>0</v>
      </c>
      <c r="AC192" s="4">
        <v>389</v>
      </c>
      <c r="AD192" s="5" t="s">
        <v>544</v>
      </c>
      <c r="AE192" s="5" t="s">
        <v>527</v>
      </c>
      <c r="AF192" s="5" t="s">
        <v>545</v>
      </c>
      <c r="AG192" s="5" t="s">
        <v>546</v>
      </c>
      <c r="AH192" s="5" t="s">
        <v>18</v>
      </c>
      <c r="AI192" s="5" t="s">
        <v>12</v>
      </c>
      <c r="AJ192" s="5" t="s">
        <v>481</v>
      </c>
      <c r="AK192" s="5" t="s">
        <v>411</v>
      </c>
      <c r="AL192" s="5" t="s">
        <v>18</v>
      </c>
      <c r="AM192" s="6"/>
      <c r="AO192" s="5"/>
      <c r="AP192" s="5"/>
      <c r="AQ192" s="5"/>
      <c r="AR192" s="5"/>
      <c r="AS192" s="5"/>
      <c r="AU192" s="1547"/>
      <c r="AV192" s="35"/>
      <c r="AW192" s="36"/>
      <c r="AY192" s="34"/>
      <c r="AZ192" s="35"/>
      <c r="BA192" s="36"/>
      <c r="BC192" s="34"/>
      <c r="BD192" s="35"/>
      <c r="BE192" s="36"/>
      <c r="BG192" s="34"/>
      <c r="BH192" s="35"/>
      <c r="BI192" s="36"/>
      <c r="BK192" s="34"/>
      <c r="BL192" s="35"/>
      <c r="BM192" s="36"/>
      <c r="BO192" s="34"/>
      <c r="BP192" s="35"/>
      <c r="BQ192" s="36"/>
      <c r="BS192" s="1592"/>
      <c r="BT192" s="35"/>
      <c r="BU192" s="36"/>
      <c r="BW192" s="34"/>
      <c r="BX192" s="35"/>
      <c r="BY192" s="36"/>
      <c r="CA192" s="34"/>
      <c r="CB192" s="35"/>
      <c r="CC192" s="36"/>
      <c r="CE192" s="34"/>
      <c r="CF192" s="35"/>
      <c r="CG192" s="36"/>
      <c r="CI192" s="34"/>
      <c r="CJ192" s="35"/>
      <c r="CK192" s="36"/>
      <c r="CM192" s="34"/>
      <c r="CN192" s="35"/>
      <c r="CO192" s="36"/>
    </row>
    <row r="193" spans="1:93">
      <c r="A193" s="34"/>
      <c r="B193" s="35"/>
      <c r="C193" s="36"/>
      <c r="D193" s="37" t="str">
        <f>IF(C193&gt;=Mat!$E$71,"Material","No Mat")</f>
        <v>No Mat</v>
      </c>
      <c r="E193" s="834">
        <f>IF(C193&gt;=Mat!$E$71,C193/Mat!$E$71,0)</f>
        <v>0</v>
      </c>
      <c r="G193" s="34"/>
      <c r="H193" s="35"/>
      <c r="I193" s="48"/>
      <c r="J193" s="36"/>
      <c r="L193" s="506"/>
      <c r="M193" s="506" t="s">
        <v>518</v>
      </c>
      <c r="N193" s="507">
        <f t="shared" si="27"/>
        <v>0</v>
      </c>
      <c r="O193" s="507">
        <f t="shared" si="28"/>
        <v>0</v>
      </c>
      <c r="P193" s="507">
        <f t="shared" si="29"/>
        <v>0</v>
      </c>
      <c r="Q193" s="507">
        <f t="shared" si="30"/>
        <v>0</v>
      </c>
      <c r="R193" s="507">
        <f t="shared" si="31"/>
        <v>0</v>
      </c>
      <c r="S193" s="507">
        <f t="shared" si="32"/>
        <v>0</v>
      </c>
      <c r="T193" s="507">
        <f t="shared" si="33"/>
        <v>0</v>
      </c>
      <c r="U193" s="507">
        <f t="shared" si="34"/>
        <v>0</v>
      </c>
      <c r="V193" s="507">
        <f t="shared" si="35"/>
        <v>0</v>
      </c>
      <c r="W193" s="507">
        <f t="shared" si="36"/>
        <v>0</v>
      </c>
      <c r="X193" s="507">
        <f t="shared" si="37"/>
        <v>0</v>
      </c>
      <c r="Y193" s="507">
        <f t="shared" si="38"/>
        <v>0</v>
      </c>
      <c r="Z193" s="11">
        <f t="shared" si="39"/>
        <v>0</v>
      </c>
      <c r="AC193" s="4">
        <v>391</v>
      </c>
      <c r="AD193" s="5" t="s">
        <v>551</v>
      </c>
      <c r="AE193" s="5" t="s">
        <v>549</v>
      </c>
      <c r="AF193" s="5" t="s">
        <v>552</v>
      </c>
      <c r="AG193" s="5" t="s">
        <v>0</v>
      </c>
      <c r="AH193" s="5" t="s">
        <v>18</v>
      </c>
      <c r="AI193" s="5" t="s">
        <v>12</v>
      </c>
      <c r="AJ193" s="5" t="s">
        <v>481</v>
      </c>
      <c r="AK193" s="5" t="s">
        <v>411</v>
      </c>
      <c r="AL193" s="5" t="s">
        <v>18</v>
      </c>
      <c r="AM193" s="6"/>
      <c r="AO193" s="5"/>
      <c r="AP193" s="5"/>
      <c r="AQ193" s="5"/>
      <c r="AR193" s="5"/>
      <c r="AS193" s="5"/>
      <c r="AU193" s="1547"/>
      <c r="AV193" s="35"/>
      <c r="AW193" s="36"/>
      <c r="AY193" s="34"/>
      <c r="AZ193" s="35"/>
      <c r="BA193" s="36"/>
      <c r="BC193" s="34"/>
      <c r="BD193" s="35"/>
      <c r="BE193" s="36"/>
      <c r="BG193" s="34"/>
      <c r="BH193" s="35"/>
      <c r="BI193" s="36"/>
      <c r="BK193" s="34"/>
      <c r="BL193" s="35"/>
      <c r="BM193" s="36"/>
      <c r="BO193" s="34"/>
      <c r="BP193" s="35"/>
      <c r="BQ193" s="36"/>
      <c r="BS193" s="1592"/>
      <c r="BT193" s="35"/>
      <c r="BU193" s="36"/>
      <c r="BW193" s="34"/>
      <c r="BX193" s="35"/>
      <c r="BY193" s="36"/>
      <c r="CA193" s="34"/>
      <c r="CB193" s="35"/>
      <c r="CC193" s="36"/>
      <c r="CE193" s="34"/>
      <c r="CF193" s="35"/>
      <c r="CG193" s="36"/>
      <c r="CI193" s="34"/>
      <c r="CJ193" s="35"/>
      <c r="CK193" s="36"/>
      <c r="CM193" s="34"/>
      <c r="CN193" s="35"/>
      <c r="CO193" s="36"/>
    </row>
    <row r="194" spans="1:93">
      <c r="A194" s="34"/>
      <c r="B194" s="35"/>
      <c r="C194" s="36"/>
      <c r="D194" s="37" t="str">
        <f>IF(C194&gt;=Mat!$E$71,"Material","No Mat")</f>
        <v>No Mat</v>
      </c>
      <c r="E194" s="834">
        <f>IF(C194&gt;=Mat!$E$71,C194/Mat!$E$71,0)</f>
        <v>0</v>
      </c>
      <c r="G194" s="34"/>
      <c r="H194" s="35"/>
      <c r="I194" s="48"/>
      <c r="J194" s="36"/>
      <c r="L194" s="506"/>
      <c r="M194" s="506" t="s">
        <v>520</v>
      </c>
      <c r="N194" s="507">
        <f t="shared" si="27"/>
        <v>0</v>
      </c>
      <c r="O194" s="507">
        <f t="shared" si="28"/>
        <v>0</v>
      </c>
      <c r="P194" s="507">
        <f t="shared" si="29"/>
        <v>0</v>
      </c>
      <c r="Q194" s="507">
        <f t="shared" si="30"/>
        <v>0</v>
      </c>
      <c r="R194" s="507">
        <f t="shared" si="31"/>
        <v>0</v>
      </c>
      <c r="S194" s="507">
        <f t="shared" si="32"/>
        <v>0</v>
      </c>
      <c r="T194" s="507">
        <f t="shared" si="33"/>
        <v>0</v>
      </c>
      <c r="U194" s="507">
        <f t="shared" si="34"/>
        <v>0</v>
      </c>
      <c r="V194" s="507">
        <f t="shared" si="35"/>
        <v>0</v>
      </c>
      <c r="W194" s="507">
        <f t="shared" si="36"/>
        <v>0</v>
      </c>
      <c r="X194" s="507">
        <f t="shared" si="37"/>
        <v>0</v>
      </c>
      <c r="Y194" s="507">
        <f t="shared" si="38"/>
        <v>0</v>
      </c>
      <c r="Z194" s="11">
        <f t="shared" si="39"/>
        <v>0</v>
      </c>
      <c r="AC194" s="4">
        <v>393</v>
      </c>
      <c r="AD194" s="5" t="s">
        <v>553</v>
      </c>
      <c r="AE194" s="5" t="s">
        <v>549</v>
      </c>
      <c r="AF194" s="5" t="s">
        <v>554</v>
      </c>
      <c r="AG194" s="5" t="s">
        <v>0</v>
      </c>
      <c r="AH194" s="5" t="s">
        <v>18</v>
      </c>
      <c r="AI194" s="5" t="s">
        <v>12</v>
      </c>
      <c r="AJ194" s="5" t="s">
        <v>481</v>
      </c>
      <c r="AK194" s="5" t="s">
        <v>411</v>
      </c>
      <c r="AL194" s="5" t="s">
        <v>18</v>
      </c>
      <c r="AM194" s="6"/>
      <c r="AO194" s="5"/>
      <c r="AP194" s="5"/>
      <c r="AQ194" s="5"/>
      <c r="AR194" s="5" t="s">
        <v>0</v>
      </c>
      <c r="AS194" s="5"/>
      <c r="AU194" s="1547"/>
      <c r="AV194" s="35"/>
      <c r="AW194" s="36"/>
      <c r="AY194" s="34"/>
      <c r="AZ194" s="35"/>
      <c r="BA194" s="36"/>
      <c r="BC194" s="34"/>
      <c r="BD194" s="35"/>
      <c r="BE194" s="36"/>
      <c r="BG194" s="34"/>
      <c r="BH194" s="35"/>
      <c r="BI194" s="36"/>
      <c r="BK194" s="34"/>
      <c r="BL194" s="35"/>
      <c r="BM194" s="36"/>
      <c r="BO194" s="34"/>
      <c r="BP194" s="35"/>
      <c r="BQ194" s="36"/>
      <c r="BS194" s="1592"/>
      <c r="BT194" s="35"/>
      <c r="BU194" s="36"/>
      <c r="BW194" s="34"/>
      <c r="BX194" s="35"/>
      <c r="BY194" s="36"/>
      <c r="CA194" s="34"/>
      <c r="CB194" s="35"/>
      <c r="CC194" s="36"/>
      <c r="CE194" s="34"/>
      <c r="CF194" s="35"/>
      <c r="CG194" s="36"/>
      <c r="CI194" s="34"/>
      <c r="CJ194" s="35"/>
      <c r="CK194" s="36"/>
      <c r="CM194" s="34"/>
      <c r="CN194" s="35"/>
      <c r="CO194" s="36"/>
    </row>
    <row r="195" spans="1:93">
      <c r="A195" s="34"/>
      <c r="B195" s="35"/>
      <c r="C195" s="36"/>
      <c r="D195" s="37" t="str">
        <f>IF(C195&gt;=Mat!$E$71,"Material","No Mat")</f>
        <v>No Mat</v>
      </c>
      <c r="E195" s="834">
        <f>IF(C195&gt;=Mat!$E$71,C195/Mat!$E$71,0)</f>
        <v>0</v>
      </c>
      <c r="G195" s="34"/>
      <c r="H195" s="35"/>
      <c r="I195" s="48"/>
      <c r="J195" s="36"/>
      <c r="L195" s="506"/>
      <c r="M195" s="506" t="s">
        <v>522</v>
      </c>
      <c r="N195" s="507">
        <f t="shared" si="27"/>
        <v>0</v>
      </c>
      <c r="O195" s="507">
        <f t="shared" si="28"/>
        <v>0</v>
      </c>
      <c r="P195" s="507">
        <f t="shared" si="29"/>
        <v>0</v>
      </c>
      <c r="Q195" s="507">
        <f t="shared" si="30"/>
        <v>0</v>
      </c>
      <c r="R195" s="507">
        <f t="shared" si="31"/>
        <v>0</v>
      </c>
      <c r="S195" s="507">
        <f t="shared" si="32"/>
        <v>0</v>
      </c>
      <c r="T195" s="507">
        <f t="shared" si="33"/>
        <v>0</v>
      </c>
      <c r="U195" s="507">
        <f t="shared" si="34"/>
        <v>0</v>
      </c>
      <c r="V195" s="507">
        <f t="shared" si="35"/>
        <v>0</v>
      </c>
      <c r="W195" s="507">
        <f t="shared" si="36"/>
        <v>0</v>
      </c>
      <c r="X195" s="507">
        <f t="shared" si="37"/>
        <v>0</v>
      </c>
      <c r="Y195" s="507">
        <f t="shared" si="38"/>
        <v>0</v>
      </c>
      <c r="Z195" s="11">
        <f t="shared" si="39"/>
        <v>0</v>
      </c>
      <c r="AC195" s="4">
        <v>395</v>
      </c>
      <c r="AD195" s="5" t="s">
        <v>555</v>
      </c>
      <c r="AE195" s="5" t="s">
        <v>549</v>
      </c>
      <c r="AF195" s="5" t="s">
        <v>556</v>
      </c>
      <c r="AG195" s="5" t="s">
        <v>0</v>
      </c>
      <c r="AH195" s="5" t="s">
        <v>18</v>
      </c>
      <c r="AI195" s="5" t="s">
        <v>12</v>
      </c>
      <c r="AJ195" s="5" t="s">
        <v>481</v>
      </c>
      <c r="AK195" s="5" t="s">
        <v>411</v>
      </c>
      <c r="AL195" s="5" t="s">
        <v>18</v>
      </c>
      <c r="AM195" s="6"/>
      <c r="AO195" s="5"/>
      <c r="AP195" s="5"/>
      <c r="AQ195" s="5"/>
      <c r="AR195" s="5"/>
      <c r="AS195" s="5"/>
      <c r="AU195" s="1547"/>
      <c r="AV195" s="35"/>
      <c r="AW195" s="36"/>
      <c r="AY195" s="34"/>
      <c r="AZ195" s="35"/>
      <c r="BA195" s="36"/>
      <c r="BC195" s="34"/>
      <c r="BD195" s="35"/>
      <c r="BE195" s="36"/>
      <c r="BG195" s="34"/>
      <c r="BH195" s="35"/>
      <c r="BI195" s="36"/>
      <c r="BK195" s="34"/>
      <c r="BL195" s="35"/>
      <c r="BM195" s="36"/>
      <c r="BO195" s="34"/>
      <c r="BP195" s="35"/>
      <c r="BQ195" s="36"/>
      <c r="BS195" s="1592"/>
      <c r="BT195" s="35"/>
      <c r="BU195" s="36"/>
      <c r="BW195" s="34"/>
      <c r="BX195" s="35"/>
      <c r="BY195" s="36"/>
      <c r="CA195" s="34"/>
      <c r="CB195" s="35"/>
      <c r="CC195" s="36"/>
      <c r="CE195" s="34"/>
      <c r="CF195" s="35"/>
      <c r="CG195" s="36"/>
      <c r="CI195" s="34"/>
      <c r="CJ195" s="35"/>
      <c r="CK195" s="36"/>
      <c r="CM195" s="34"/>
      <c r="CN195" s="35"/>
      <c r="CO195" s="36"/>
    </row>
    <row r="196" spans="1:93">
      <c r="A196" s="34"/>
      <c r="B196" s="35"/>
      <c r="C196" s="36"/>
      <c r="D196" s="37" t="str">
        <f>IF(C196&gt;=Mat!$E$71,"Material","No Mat")</f>
        <v>No Mat</v>
      </c>
      <c r="E196" s="834">
        <f>IF(C196&gt;=Mat!$E$71,C196/Mat!$E$71,0)</f>
        <v>0</v>
      </c>
      <c r="G196" s="34"/>
      <c r="H196" s="35"/>
      <c r="I196" s="48"/>
      <c r="J196" s="36"/>
      <c r="L196" s="506"/>
      <c r="M196" s="506" t="s">
        <v>524</v>
      </c>
      <c r="N196" s="507">
        <f t="shared" si="27"/>
        <v>0</v>
      </c>
      <c r="O196" s="507">
        <f t="shared" si="28"/>
        <v>0</v>
      </c>
      <c r="P196" s="507">
        <f t="shared" si="29"/>
        <v>0</v>
      </c>
      <c r="Q196" s="507">
        <f t="shared" si="30"/>
        <v>0</v>
      </c>
      <c r="R196" s="507">
        <f t="shared" si="31"/>
        <v>0</v>
      </c>
      <c r="S196" s="507">
        <f t="shared" si="32"/>
        <v>0</v>
      </c>
      <c r="T196" s="507">
        <f t="shared" si="33"/>
        <v>0</v>
      </c>
      <c r="U196" s="507">
        <f t="shared" si="34"/>
        <v>0</v>
      </c>
      <c r="V196" s="507">
        <f t="shared" si="35"/>
        <v>0</v>
      </c>
      <c r="W196" s="507">
        <f t="shared" si="36"/>
        <v>0</v>
      </c>
      <c r="X196" s="507">
        <f t="shared" si="37"/>
        <v>0</v>
      </c>
      <c r="Y196" s="507">
        <f t="shared" si="38"/>
        <v>0</v>
      </c>
      <c r="Z196" s="11">
        <f t="shared" si="39"/>
        <v>0</v>
      </c>
      <c r="AC196" s="4">
        <v>397</v>
      </c>
      <c r="AD196" s="5" t="s">
        <v>558</v>
      </c>
      <c r="AE196" s="5" t="s">
        <v>549</v>
      </c>
      <c r="AF196" s="5" t="s">
        <v>559</v>
      </c>
      <c r="AG196" s="5" t="s">
        <v>0</v>
      </c>
      <c r="AH196" s="5" t="s">
        <v>18</v>
      </c>
      <c r="AI196" s="5" t="s">
        <v>12</v>
      </c>
      <c r="AJ196" s="5" t="s">
        <v>481</v>
      </c>
      <c r="AK196" s="5" t="s">
        <v>411</v>
      </c>
      <c r="AL196" s="5" t="s">
        <v>18</v>
      </c>
      <c r="AM196" s="6"/>
      <c r="AO196" s="5"/>
      <c r="AP196" s="5"/>
      <c r="AQ196" s="5"/>
      <c r="AR196" s="5"/>
      <c r="AS196" s="5"/>
      <c r="AU196" s="1547"/>
      <c r="AV196" s="35"/>
      <c r="AW196" s="36"/>
      <c r="AY196" s="34"/>
      <c r="AZ196" s="35"/>
      <c r="BA196" s="36"/>
      <c r="BC196" s="34"/>
      <c r="BD196" s="35"/>
      <c r="BE196" s="36"/>
      <c r="BG196" s="34"/>
      <c r="BH196" s="35"/>
      <c r="BI196" s="36"/>
      <c r="BK196" s="34"/>
      <c r="BL196" s="35"/>
      <c r="BM196" s="36"/>
      <c r="BO196" s="34"/>
      <c r="BP196" s="35"/>
      <c r="BQ196" s="36"/>
      <c r="BS196" s="1592"/>
      <c r="BT196" s="35"/>
      <c r="BU196" s="36"/>
      <c r="BW196" s="34"/>
      <c r="BX196" s="35"/>
      <c r="BY196" s="36"/>
      <c r="CA196" s="34"/>
      <c r="CB196" s="35"/>
      <c r="CC196" s="36"/>
      <c r="CE196" s="34"/>
      <c r="CF196" s="35"/>
      <c r="CG196" s="36"/>
      <c r="CI196" s="34"/>
      <c r="CJ196" s="35"/>
      <c r="CK196" s="36"/>
      <c r="CM196" s="34"/>
      <c r="CN196" s="35"/>
      <c r="CO196" s="36"/>
    </row>
    <row r="197" spans="1:93">
      <c r="A197" s="34"/>
      <c r="B197" s="35"/>
      <c r="C197" s="36"/>
      <c r="D197" s="37" t="str">
        <f>IF(C197&gt;=Mat!$E$71,"Material","No Mat")</f>
        <v>No Mat</v>
      </c>
      <c r="E197" s="834">
        <f>IF(C197&gt;=Mat!$E$71,C197/Mat!$E$71,0)</f>
        <v>0</v>
      </c>
      <c r="G197" s="34"/>
      <c r="H197" s="35"/>
      <c r="I197" s="48"/>
      <c r="J197" s="36"/>
      <c r="L197" s="506"/>
      <c r="M197" s="506" t="s">
        <v>906</v>
      </c>
      <c r="N197" s="507">
        <f t="shared" si="27"/>
        <v>0</v>
      </c>
      <c r="O197" s="507">
        <f t="shared" si="28"/>
        <v>0</v>
      </c>
      <c r="P197" s="507">
        <f t="shared" si="29"/>
        <v>0</v>
      </c>
      <c r="Q197" s="507">
        <f t="shared" si="30"/>
        <v>0</v>
      </c>
      <c r="R197" s="507">
        <f t="shared" si="31"/>
        <v>0</v>
      </c>
      <c r="S197" s="507">
        <f t="shared" si="32"/>
        <v>0</v>
      </c>
      <c r="T197" s="507">
        <f t="shared" si="33"/>
        <v>0</v>
      </c>
      <c r="U197" s="507">
        <f t="shared" si="34"/>
        <v>0</v>
      </c>
      <c r="V197" s="507">
        <f t="shared" si="35"/>
        <v>0</v>
      </c>
      <c r="W197" s="507">
        <f t="shared" si="36"/>
        <v>0</v>
      </c>
      <c r="X197" s="507">
        <f t="shared" si="37"/>
        <v>0</v>
      </c>
      <c r="Y197" s="507">
        <f t="shared" si="38"/>
        <v>0</v>
      </c>
      <c r="Z197" s="11">
        <f t="shared" si="39"/>
        <v>0</v>
      </c>
      <c r="AC197" s="4">
        <v>399</v>
      </c>
      <c r="AD197" s="5" t="s">
        <v>568</v>
      </c>
      <c r="AE197" s="5" t="s">
        <v>566</v>
      </c>
      <c r="AF197" s="5" t="s">
        <v>569</v>
      </c>
      <c r="AG197" s="5" t="s">
        <v>570</v>
      </c>
      <c r="AH197" s="5" t="s">
        <v>18</v>
      </c>
      <c r="AI197" s="5" t="s">
        <v>16</v>
      </c>
      <c r="AJ197" s="5" t="s">
        <v>481</v>
      </c>
      <c r="AK197" s="5" t="s">
        <v>561</v>
      </c>
      <c r="AL197" s="5" t="s">
        <v>18</v>
      </c>
      <c r="AM197" s="6"/>
      <c r="AO197" s="5"/>
      <c r="AP197" s="5"/>
      <c r="AQ197" s="5"/>
      <c r="AR197" s="5"/>
      <c r="AS197" s="5"/>
      <c r="AU197" s="1547"/>
      <c r="AV197" s="35"/>
      <c r="AW197" s="36"/>
      <c r="AY197" s="34"/>
      <c r="AZ197" s="35"/>
      <c r="BA197" s="36"/>
      <c r="BC197" s="34"/>
      <c r="BD197" s="35"/>
      <c r="BE197" s="36"/>
      <c r="BG197" s="34"/>
      <c r="BH197" s="35"/>
      <c r="BI197" s="36"/>
      <c r="BK197" s="34"/>
      <c r="BL197" s="35"/>
      <c r="BM197" s="36"/>
      <c r="BO197" s="34"/>
      <c r="BP197" s="35"/>
      <c r="BQ197" s="36"/>
      <c r="BS197" s="1592"/>
      <c r="BT197" s="35"/>
      <c r="BU197" s="36"/>
      <c r="BW197" s="34"/>
      <c r="BX197" s="35"/>
      <c r="BY197" s="36"/>
      <c r="CA197" s="34"/>
      <c r="CB197" s="35"/>
      <c r="CC197" s="36"/>
      <c r="CE197" s="34"/>
      <c r="CF197" s="35"/>
      <c r="CG197" s="36"/>
      <c r="CI197" s="34"/>
      <c r="CJ197" s="35"/>
      <c r="CK197" s="36"/>
      <c r="CM197" s="34"/>
      <c r="CN197" s="35"/>
      <c r="CO197" s="36"/>
    </row>
    <row r="198" spans="1:93">
      <c r="A198" s="34"/>
      <c r="B198" s="35"/>
      <c r="C198" s="36"/>
      <c r="D198" s="37" t="str">
        <f>IF(C198&gt;=Mat!$E$71,"Material","No Mat")</f>
        <v>No Mat</v>
      </c>
      <c r="E198" s="834">
        <f>IF(C198&gt;=Mat!$E$71,C198/Mat!$E$71,0)</f>
        <v>0</v>
      </c>
      <c r="G198" s="34"/>
      <c r="H198" s="35"/>
      <c r="I198" s="48"/>
      <c r="J198" s="36"/>
      <c r="L198" s="506"/>
      <c r="M198" s="506" t="s">
        <v>3788</v>
      </c>
      <c r="N198" s="507">
        <f t="shared" si="27"/>
        <v>-3993167</v>
      </c>
      <c r="O198" s="507">
        <f t="shared" si="28"/>
        <v>-3993167</v>
      </c>
      <c r="P198" s="507">
        <f t="shared" si="29"/>
        <v>-3993167</v>
      </c>
      <c r="Q198" s="507">
        <f t="shared" si="30"/>
        <v>0</v>
      </c>
      <c r="R198" s="507">
        <f t="shared" si="31"/>
        <v>0</v>
      </c>
      <c r="S198" s="507">
        <f t="shared" si="32"/>
        <v>0</v>
      </c>
      <c r="T198" s="507">
        <f t="shared" si="33"/>
        <v>0</v>
      </c>
      <c r="U198" s="507">
        <f t="shared" si="34"/>
        <v>0</v>
      </c>
      <c r="V198" s="507">
        <f t="shared" si="35"/>
        <v>0</v>
      </c>
      <c r="W198" s="507">
        <f t="shared" si="36"/>
        <v>0</v>
      </c>
      <c r="X198" s="507">
        <f t="shared" si="37"/>
        <v>0</v>
      </c>
      <c r="Y198" s="507">
        <f t="shared" si="38"/>
        <v>0</v>
      </c>
      <c r="Z198" s="11">
        <f t="shared" si="39"/>
        <v>-11979501</v>
      </c>
      <c r="AC198" s="4">
        <v>401</v>
      </c>
      <c r="AD198" s="5" t="s">
        <v>571</v>
      </c>
      <c r="AE198" s="5" t="s">
        <v>566</v>
      </c>
      <c r="AF198" s="5" t="s">
        <v>572</v>
      </c>
      <c r="AG198" s="5" t="s">
        <v>573</v>
      </c>
      <c r="AH198" s="5" t="s">
        <v>18</v>
      </c>
      <c r="AI198" s="5" t="s">
        <v>16</v>
      </c>
      <c r="AJ198" s="5" t="s">
        <v>481</v>
      </c>
      <c r="AK198" s="5" t="s">
        <v>561</v>
      </c>
      <c r="AL198" s="5" t="s">
        <v>18</v>
      </c>
      <c r="AM198" s="6"/>
      <c r="AO198" s="5"/>
      <c r="AP198" s="5"/>
      <c r="AQ198" s="5"/>
      <c r="AR198" s="5"/>
      <c r="AS198" s="5"/>
      <c r="AU198" s="1547"/>
      <c r="AV198" s="35"/>
      <c r="AW198" s="36"/>
      <c r="AY198" s="34"/>
      <c r="AZ198" s="35"/>
      <c r="BA198" s="36"/>
      <c r="BC198" s="34"/>
      <c r="BD198" s="35"/>
      <c r="BE198" s="36"/>
      <c r="BG198" s="34"/>
      <c r="BH198" s="35"/>
      <c r="BI198" s="36"/>
      <c r="BK198" s="34"/>
      <c r="BL198" s="35"/>
      <c r="BM198" s="36"/>
      <c r="BO198" s="34"/>
      <c r="BP198" s="35"/>
      <c r="BQ198" s="36"/>
      <c r="BS198" s="1592"/>
      <c r="BT198" s="35"/>
      <c r="BU198" s="36"/>
      <c r="BW198" s="34"/>
      <c r="BX198" s="35"/>
      <c r="BY198" s="36"/>
      <c r="CA198" s="34"/>
      <c r="CB198" s="35"/>
      <c r="CC198" s="36"/>
      <c r="CE198" s="34"/>
      <c r="CF198" s="35"/>
      <c r="CG198" s="36"/>
      <c r="CI198" s="34"/>
      <c r="CJ198" s="35"/>
      <c r="CK198" s="36"/>
      <c r="CM198" s="34"/>
      <c r="CN198" s="35"/>
      <c r="CO198" s="36"/>
    </row>
    <row r="199" spans="1:93">
      <c r="A199" s="34"/>
      <c r="B199" s="35"/>
      <c r="C199" s="36"/>
      <c r="D199" s="37" t="str">
        <f>IF(C199&gt;=Mat!$E$71,"Material","No Mat")</f>
        <v>No Mat</v>
      </c>
      <c r="E199" s="834">
        <f>IF(C199&gt;=Mat!$E$71,C199/Mat!$E$71,0)</f>
        <v>0</v>
      </c>
      <c r="G199" s="34"/>
      <c r="H199" s="35"/>
      <c r="I199" s="48"/>
      <c r="J199" s="36"/>
      <c r="L199" s="506"/>
      <c r="M199" s="506" t="s">
        <v>3786</v>
      </c>
      <c r="N199" s="507">
        <f t="shared" si="27"/>
        <v>0</v>
      </c>
      <c r="O199" s="507">
        <f t="shared" si="28"/>
        <v>0</v>
      </c>
      <c r="P199" s="507">
        <f t="shared" si="29"/>
        <v>0</v>
      </c>
      <c r="Q199" s="507">
        <f t="shared" si="30"/>
        <v>0</v>
      </c>
      <c r="R199" s="507">
        <f t="shared" si="31"/>
        <v>0</v>
      </c>
      <c r="S199" s="507">
        <f t="shared" si="32"/>
        <v>0</v>
      </c>
      <c r="T199" s="507">
        <f t="shared" si="33"/>
        <v>0</v>
      </c>
      <c r="U199" s="507">
        <f t="shared" si="34"/>
        <v>0</v>
      </c>
      <c r="V199" s="507">
        <f t="shared" si="35"/>
        <v>0</v>
      </c>
      <c r="W199" s="507">
        <f t="shared" si="36"/>
        <v>0</v>
      </c>
      <c r="X199" s="507">
        <f t="shared" si="37"/>
        <v>0</v>
      </c>
      <c r="Y199" s="507">
        <f t="shared" si="38"/>
        <v>0</v>
      </c>
      <c r="Z199" s="11">
        <f t="shared" si="39"/>
        <v>0</v>
      </c>
      <c r="AC199" s="4">
        <v>403</v>
      </c>
      <c r="AD199" s="5" t="s">
        <v>574</v>
      </c>
      <c r="AE199" s="5" t="s">
        <v>564</v>
      </c>
      <c r="AF199" s="5" t="s">
        <v>575</v>
      </c>
      <c r="AG199" s="5" t="s">
        <v>576</v>
      </c>
      <c r="AH199" s="5" t="s">
        <v>18</v>
      </c>
      <c r="AI199" s="5" t="s">
        <v>16</v>
      </c>
      <c r="AJ199" s="5" t="s">
        <v>481</v>
      </c>
      <c r="AK199" s="5" t="s">
        <v>561</v>
      </c>
      <c r="AL199" s="5" t="s">
        <v>18</v>
      </c>
      <c r="AM199" s="6"/>
      <c r="AO199" s="5"/>
      <c r="AP199" s="5"/>
      <c r="AQ199" s="5"/>
      <c r="AR199" s="5"/>
      <c r="AS199" s="5"/>
      <c r="AU199" s="1547"/>
      <c r="AV199" s="35"/>
      <c r="AW199" s="36"/>
      <c r="AY199" s="34"/>
      <c r="AZ199" s="35"/>
      <c r="BA199" s="36"/>
      <c r="BC199" s="34"/>
      <c r="BD199" s="35"/>
      <c r="BE199" s="36"/>
      <c r="BG199" s="34"/>
      <c r="BH199" s="35"/>
      <c r="BI199" s="36"/>
      <c r="BK199" s="34"/>
      <c r="BL199" s="35"/>
      <c r="BM199" s="36"/>
      <c r="BO199" s="34"/>
      <c r="BP199" s="35"/>
      <c r="BQ199" s="36"/>
      <c r="BS199" s="1592"/>
      <c r="BT199" s="35"/>
      <c r="BU199" s="36"/>
      <c r="BW199" s="34"/>
      <c r="BX199" s="35"/>
      <c r="BY199" s="36"/>
      <c r="CA199" s="34"/>
      <c r="CB199" s="35"/>
      <c r="CC199" s="36"/>
      <c r="CE199" s="34"/>
      <c r="CF199" s="35"/>
      <c r="CG199" s="36"/>
      <c r="CI199" s="34"/>
      <c r="CJ199" s="35"/>
      <c r="CK199" s="36"/>
      <c r="CM199" s="34"/>
      <c r="CN199" s="35"/>
      <c r="CO199" s="36"/>
    </row>
    <row r="200" spans="1:93">
      <c r="A200" s="34"/>
      <c r="B200" s="35"/>
      <c r="C200" s="36"/>
      <c r="D200" s="37" t="str">
        <f>IF(C200&gt;=Mat!$E$71,"Material","No Mat")</f>
        <v>No Mat</v>
      </c>
      <c r="E200" s="834">
        <f>IF(C200&gt;=Mat!$E$71,C200/Mat!$E$71,0)</f>
        <v>0</v>
      </c>
      <c r="G200" s="34"/>
      <c r="H200" s="35"/>
      <c r="I200" s="48"/>
      <c r="J200" s="36"/>
      <c r="L200" s="506"/>
      <c r="M200" s="506" t="s">
        <v>3787</v>
      </c>
      <c r="N200" s="507">
        <f t="shared" si="27"/>
        <v>-4628652</v>
      </c>
      <c r="O200" s="507">
        <f t="shared" si="28"/>
        <v>-4628652</v>
      </c>
      <c r="P200" s="507">
        <f t="shared" si="29"/>
        <v>-4628652</v>
      </c>
      <c r="Q200" s="507">
        <f t="shared" si="30"/>
        <v>0</v>
      </c>
      <c r="R200" s="507">
        <f t="shared" si="31"/>
        <v>0</v>
      </c>
      <c r="S200" s="507">
        <f t="shared" si="32"/>
        <v>0</v>
      </c>
      <c r="T200" s="507">
        <f t="shared" si="33"/>
        <v>0</v>
      </c>
      <c r="U200" s="507">
        <f t="shared" si="34"/>
        <v>0</v>
      </c>
      <c r="V200" s="507">
        <f t="shared" si="35"/>
        <v>0</v>
      </c>
      <c r="W200" s="507">
        <f t="shared" si="36"/>
        <v>0</v>
      </c>
      <c r="X200" s="507">
        <f t="shared" si="37"/>
        <v>0</v>
      </c>
      <c r="Y200" s="507">
        <f t="shared" si="38"/>
        <v>0</v>
      </c>
      <c r="Z200" s="11">
        <f t="shared" si="39"/>
        <v>-13885956</v>
      </c>
      <c r="AC200" s="4">
        <v>420</v>
      </c>
      <c r="AD200" s="5" t="s">
        <v>579</v>
      </c>
      <c r="AE200" s="5" t="s">
        <v>577</v>
      </c>
      <c r="AF200" s="5" t="s">
        <v>580</v>
      </c>
      <c r="AG200" s="5" t="s">
        <v>581</v>
      </c>
      <c r="AH200" s="5" t="s">
        <v>18</v>
      </c>
      <c r="AI200" s="5" t="s">
        <v>16</v>
      </c>
      <c r="AJ200" s="5" t="s">
        <v>481</v>
      </c>
      <c r="AK200" s="5" t="s">
        <v>561</v>
      </c>
      <c r="AL200" s="5" t="s">
        <v>18</v>
      </c>
      <c r="AM200" s="6"/>
      <c r="AO200" s="5"/>
      <c r="AP200" s="5"/>
      <c r="AQ200" s="5"/>
      <c r="AR200" s="5"/>
      <c r="AS200" s="5"/>
      <c r="AU200" s="1547"/>
      <c r="AV200" s="35"/>
      <c r="AW200" s="36"/>
      <c r="AY200" s="34"/>
      <c r="AZ200" s="35"/>
      <c r="BA200" s="36"/>
      <c r="BC200" s="34"/>
      <c r="BD200" s="35"/>
      <c r="BE200" s="36"/>
      <c r="BG200" s="34"/>
      <c r="BH200" s="35"/>
      <c r="BI200" s="36"/>
      <c r="BK200" s="34"/>
      <c r="BL200" s="35"/>
      <c r="BM200" s="36"/>
      <c r="BO200" s="34"/>
      <c r="BP200" s="35"/>
      <c r="BQ200" s="36"/>
      <c r="BS200" s="1592"/>
      <c r="BT200" s="35"/>
      <c r="BU200" s="36"/>
      <c r="BW200" s="34"/>
      <c r="BX200" s="35"/>
      <c r="BY200" s="36"/>
      <c r="CA200" s="34"/>
      <c r="CB200" s="35"/>
      <c r="CC200" s="36"/>
      <c r="CE200" s="34"/>
      <c r="CF200" s="35"/>
      <c r="CG200" s="36"/>
      <c r="CI200" s="34"/>
      <c r="CJ200" s="35"/>
      <c r="CK200" s="36"/>
      <c r="CM200" s="34"/>
      <c r="CN200" s="35"/>
      <c r="CO200" s="36"/>
    </row>
    <row r="201" spans="1:93">
      <c r="A201" s="34"/>
      <c r="B201" s="35"/>
      <c r="C201" s="36"/>
      <c r="D201" s="37" t="str">
        <f>IF(C201&gt;=Mat!$E$71,"Material","No Mat")</f>
        <v>No Mat</v>
      </c>
      <c r="E201" s="834">
        <f>IF(C201&gt;=Mat!$E$71,C201/Mat!$E$71,0)</f>
        <v>0</v>
      </c>
      <c r="G201" s="34"/>
      <c r="H201" s="35"/>
      <c r="I201" s="48"/>
      <c r="J201" s="36"/>
      <c r="L201" s="506"/>
      <c r="M201" s="506" t="s">
        <v>539</v>
      </c>
      <c r="N201" s="507">
        <f t="shared" si="27"/>
        <v>0</v>
      </c>
      <c r="O201" s="507">
        <f t="shared" si="28"/>
        <v>0</v>
      </c>
      <c r="P201" s="507">
        <f t="shared" si="29"/>
        <v>0</v>
      </c>
      <c r="Q201" s="507">
        <f t="shared" si="30"/>
        <v>0</v>
      </c>
      <c r="R201" s="507">
        <f t="shared" si="31"/>
        <v>0</v>
      </c>
      <c r="S201" s="507">
        <f t="shared" si="32"/>
        <v>0</v>
      </c>
      <c r="T201" s="507">
        <f t="shared" si="33"/>
        <v>0</v>
      </c>
      <c r="U201" s="507">
        <f t="shared" si="34"/>
        <v>0</v>
      </c>
      <c r="V201" s="507">
        <f t="shared" si="35"/>
        <v>0</v>
      </c>
      <c r="W201" s="507">
        <f t="shared" si="36"/>
        <v>0</v>
      </c>
      <c r="X201" s="507">
        <f t="shared" si="37"/>
        <v>0</v>
      </c>
      <c r="Y201" s="507">
        <f t="shared" si="38"/>
        <v>0</v>
      </c>
      <c r="Z201" s="11">
        <f t="shared" si="39"/>
        <v>0</v>
      </c>
      <c r="AC201" s="4">
        <v>424</v>
      </c>
      <c r="AD201" s="5" t="s">
        <v>582</v>
      </c>
      <c r="AE201" s="5" t="s">
        <v>577</v>
      </c>
      <c r="AF201" s="5" t="s">
        <v>583</v>
      </c>
      <c r="AG201" s="5" t="s">
        <v>584</v>
      </c>
      <c r="AH201" s="5" t="s">
        <v>18</v>
      </c>
      <c r="AI201" s="5" t="s">
        <v>16</v>
      </c>
      <c r="AJ201" s="5" t="s">
        <v>481</v>
      </c>
      <c r="AK201" s="5" t="s">
        <v>561</v>
      </c>
      <c r="AL201" s="5" t="s">
        <v>18</v>
      </c>
      <c r="AM201" s="6"/>
      <c r="AO201" s="5"/>
      <c r="AP201" s="5"/>
      <c r="AQ201" s="5"/>
      <c r="AR201" s="5"/>
      <c r="AS201" s="5"/>
      <c r="AU201" s="1547"/>
      <c r="AV201" s="35"/>
      <c r="AW201" s="36"/>
      <c r="AY201" s="34"/>
      <c r="AZ201" s="35"/>
      <c r="BA201" s="36"/>
      <c r="BC201" s="34"/>
      <c r="BD201" s="35"/>
      <c r="BE201" s="36"/>
      <c r="BG201" s="34"/>
      <c r="BH201" s="35"/>
      <c r="BI201" s="36"/>
      <c r="BK201" s="34"/>
      <c r="BL201" s="35"/>
      <c r="BM201" s="36"/>
      <c r="BO201" s="34"/>
      <c r="BP201" s="35"/>
      <c r="BQ201" s="36"/>
      <c r="BS201" s="1592"/>
      <c r="BT201" s="35"/>
      <c r="BU201" s="36"/>
      <c r="BW201" s="34"/>
      <c r="BX201" s="35"/>
      <c r="BY201" s="36"/>
      <c r="CA201" s="34"/>
      <c r="CB201" s="35"/>
      <c r="CC201" s="36"/>
      <c r="CE201" s="34"/>
      <c r="CF201" s="35"/>
      <c r="CG201" s="36"/>
      <c r="CI201" s="34"/>
      <c r="CJ201" s="35"/>
      <c r="CK201" s="36"/>
      <c r="CM201" s="34"/>
      <c r="CN201" s="35"/>
      <c r="CO201" s="36"/>
    </row>
    <row r="202" spans="1:93">
      <c r="A202" s="34"/>
      <c r="B202" s="35"/>
      <c r="C202" s="36"/>
      <c r="D202" s="37" t="str">
        <f>IF(C202&gt;=Mat!$E$71,"Material","No Mat")</f>
        <v>No Mat</v>
      </c>
      <c r="E202" s="834">
        <f>IF(C202&gt;=Mat!$E$71,C202/Mat!$E$71,0)</f>
        <v>0</v>
      </c>
      <c r="G202" s="34"/>
      <c r="H202" s="35"/>
      <c r="I202" s="48"/>
      <c r="J202" s="36"/>
      <c r="L202" s="506"/>
      <c r="M202" s="506" t="s">
        <v>542</v>
      </c>
      <c r="N202" s="507">
        <f t="shared" si="27"/>
        <v>0</v>
      </c>
      <c r="O202" s="507">
        <f t="shared" si="28"/>
        <v>0</v>
      </c>
      <c r="P202" s="507">
        <f t="shared" si="29"/>
        <v>0</v>
      </c>
      <c r="Q202" s="507">
        <f t="shared" si="30"/>
        <v>0</v>
      </c>
      <c r="R202" s="507">
        <f t="shared" si="31"/>
        <v>0</v>
      </c>
      <c r="S202" s="507">
        <f t="shared" si="32"/>
        <v>0</v>
      </c>
      <c r="T202" s="507">
        <f t="shared" si="33"/>
        <v>0</v>
      </c>
      <c r="U202" s="507">
        <f t="shared" si="34"/>
        <v>0</v>
      </c>
      <c r="V202" s="507">
        <f t="shared" si="35"/>
        <v>0</v>
      </c>
      <c r="W202" s="507">
        <f t="shared" si="36"/>
        <v>0</v>
      </c>
      <c r="X202" s="507">
        <f t="shared" si="37"/>
        <v>0</v>
      </c>
      <c r="Y202" s="507">
        <f t="shared" si="38"/>
        <v>0</v>
      </c>
      <c r="Z202" s="11">
        <f t="shared" si="39"/>
        <v>0</v>
      </c>
      <c r="AC202" s="4">
        <v>426</v>
      </c>
      <c r="AD202" s="5" t="s">
        <v>585</v>
      </c>
      <c r="AE202" s="5" t="s">
        <v>577</v>
      </c>
      <c r="AF202" s="5" t="s">
        <v>586</v>
      </c>
      <c r="AG202" s="5" t="s">
        <v>587</v>
      </c>
      <c r="AH202" s="5" t="s">
        <v>18</v>
      </c>
      <c r="AI202" s="5" t="s">
        <v>16</v>
      </c>
      <c r="AJ202" s="5" t="s">
        <v>481</v>
      </c>
      <c r="AK202" s="5" t="s">
        <v>561</v>
      </c>
      <c r="AL202" s="5" t="s">
        <v>18</v>
      </c>
      <c r="AM202" s="6"/>
      <c r="AO202" s="5"/>
      <c r="AP202" s="5"/>
      <c r="AQ202" s="5"/>
      <c r="AR202" s="5"/>
      <c r="AS202" s="5"/>
      <c r="AU202" s="1547"/>
      <c r="AV202" s="35"/>
      <c r="AW202" s="36"/>
      <c r="AY202" s="34"/>
      <c r="AZ202" s="35"/>
      <c r="BA202" s="36"/>
      <c r="BC202" s="34"/>
      <c r="BD202" s="35"/>
      <c r="BE202" s="36"/>
      <c r="BG202" s="34"/>
      <c r="BH202" s="35"/>
      <c r="BI202" s="36"/>
      <c r="BK202" s="34"/>
      <c r="BL202" s="35"/>
      <c r="BM202" s="36"/>
      <c r="BO202" s="34"/>
      <c r="BP202" s="35"/>
      <c r="BQ202" s="36"/>
      <c r="BS202" s="1592"/>
      <c r="BT202" s="35"/>
      <c r="BU202" s="36"/>
      <c r="BW202" s="34"/>
      <c r="BX202" s="35"/>
      <c r="BY202" s="36"/>
      <c r="CA202" s="34"/>
      <c r="CB202" s="35"/>
      <c r="CC202" s="36"/>
      <c r="CE202" s="34"/>
      <c r="CF202" s="35"/>
      <c r="CG202" s="36"/>
      <c r="CI202" s="34"/>
      <c r="CJ202" s="35"/>
      <c r="CK202" s="36"/>
      <c r="CM202" s="34"/>
      <c r="CN202" s="35"/>
      <c r="CO202" s="36"/>
    </row>
    <row r="203" spans="1:93">
      <c r="A203" s="34"/>
      <c r="B203" s="35"/>
      <c r="C203" s="36"/>
      <c r="D203" s="37" t="str">
        <f>IF(C203&gt;=Mat!$E$71,"Material","No Mat")</f>
        <v>No Mat</v>
      </c>
      <c r="E203" s="834">
        <f>IF(C203&gt;=Mat!$E$71,C203/Mat!$E$71,0)</f>
        <v>0</v>
      </c>
      <c r="G203" s="34"/>
      <c r="H203" s="35"/>
      <c r="I203" s="48"/>
      <c r="J203" s="36"/>
      <c r="L203" s="506"/>
      <c r="M203" s="506" t="s">
        <v>545</v>
      </c>
      <c r="N203" s="507">
        <f t="shared" si="27"/>
        <v>0</v>
      </c>
      <c r="O203" s="507">
        <f t="shared" si="28"/>
        <v>0</v>
      </c>
      <c r="P203" s="507">
        <f t="shared" si="29"/>
        <v>0</v>
      </c>
      <c r="Q203" s="507">
        <f t="shared" si="30"/>
        <v>0</v>
      </c>
      <c r="R203" s="507">
        <f t="shared" si="31"/>
        <v>0</v>
      </c>
      <c r="S203" s="507">
        <f t="shared" si="32"/>
        <v>0</v>
      </c>
      <c r="T203" s="507">
        <f t="shared" si="33"/>
        <v>0</v>
      </c>
      <c r="U203" s="507">
        <f t="shared" si="34"/>
        <v>0</v>
      </c>
      <c r="V203" s="507">
        <f t="shared" si="35"/>
        <v>0</v>
      </c>
      <c r="W203" s="507">
        <f t="shared" si="36"/>
        <v>0</v>
      </c>
      <c r="X203" s="507">
        <f t="shared" si="37"/>
        <v>0</v>
      </c>
      <c r="Y203" s="507">
        <f t="shared" si="38"/>
        <v>0</v>
      </c>
      <c r="Z203" s="11">
        <f t="shared" si="39"/>
        <v>0</v>
      </c>
      <c r="AC203" s="4">
        <v>428</v>
      </c>
      <c r="AD203" s="5" t="s">
        <v>588</v>
      </c>
      <c r="AE203" s="5" t="s">
        <v>577</v>
      </c>
      <c r="AF203" s="5" t="s">
        <v>589</v>
      </c>
      <c r="AG203" s="5" t="s">
        <v>590</v>
      </c>
      <c r="AH203" s="5" t="s">
        <v>18</v>
      </c>
      <c r="AI203" s="5" t="s">
        <v>16</v>
      </c>
      <c r="AJ203" s="5" t="s">
        <v>481</v>
      </c>
      <c r="AK203" s="5" t="s">
        <v>561</v>
      </c>
      <c r="AL203" s="5" t="s">
        <v>18</v>
      </c>
      <c r="AM203" s="6"/>
      <c r="AO203" s="5"/>
      <c r="AP203" s="5"/>
      <c r="AQ203" s="5"/>
      <c r="AR203" s="5"/>
      <c r="AS203" s="5"/>
      <c r="AU203" s="1547"/>
      <c r="AV203" s="35"/>
      <c r="AW203" s="36"/>
      <c r="AY203" s="34"/>
      <c r="AZ203" s="35"/>
      <c r="BA203" s="36"/>
      <c r="BC203" s="34"/>
      <c r="BD203" s="35"/>
      <c r="BE203" s="36"/>
      <c r="BG203" s="34"/>
      <c r="BH203" s="35"/>
      <c r="BI203" s="36"/>
      <c r="BK203" s="34"/>
      <c r="BL203" s="35"/>
      <c r="BM203" s="36"/>
      <c r="BO203" s="34"/>
      <c r="BP203" s="35"/>
      <c r="BQ203" s="36"/>
      <c r="BS203" s="1592"/>
      <c r="BT203" s="35"/>
      <c r="BU203" s="36"/>
      <c r="BW203" s="34"/>
      <c r="BX203" s="35"/>
      <c r="BY203" s="36"/>
      <c r="CA203" s="34"/>
      <c r="CB203" s="35"/>
      <c r="CC203" s="36"/>
      <c r="CE203" s="34"/>
      <c r="CF203" s="35"/>
      <c r="CG203" s="36"/>
      <c r="CI203" s="34"/>
      <c r="CJ203" s="35"/>
      <c r="CK203" s="36"/>
      <c r="CM203" s="34"/>
      <c r="CN203" s="35"/>
      <c r="CO203" s="36"/>
    </row>
    <row r="204" spans="1:93">
      <c r="A204" s="34"/>
      <c r="B204" s="35"/>
      <c r="C204" s="36"/>
      <c r="D204" s="37" t="str">
        <f>IF(C204&gt;=Mat!$E$71,"Material","No Mat")</f>
        <v>No Mat</v>
      </c>
      <c r="E204" s="834">
        <f>IF(C204&gt;=Mat!$E$71,C204/Mat!$E$71,0)</f>
        <v>0</v>
      </c>
      <c r="G204" s="34"/>
      <c r="H204" s="35"/>
      <c r="I204" s="48"/>
      <c r="J204" s="36"/>
      <c r="L204" s="506"/>
      <c r="M204" s="506" t="s">
        <v>552</v>
      </c>
      <c r="N204" s="507">
        <f t="shared" si="27"/>
        <v>0</v>
      </c>
      <c r="O204" s="507">
        <f t="shared" si="28"/>
        <v>0</v>
      </c>
      <c r="P204" s="507">
        <f t="shared" si="29"/>
        <v>0</v>
      </c>
      <c r="Q204" s="507">
        <f t="shared" si="30"/>
        <v>0</v>
      </c>
      <c r="R204" s="507">
        <f t="shared" si="31"/>
        <v>0</v>
      </c>
      <c r="S204" s="507">
        <f t="shared" si="32"/>
        <v>0</v>
      </c>
      <c r="T204" s="507">
        <f t="shared" si="33"/>
        <v>0</v>
      </c>
      <c r="U204" s="507">
        <f t="shared" si="34"/>
        <v>0</v>
      </c>
      <c r="V204" s="507">
        <f t="shared" si="35"/>
        <v>0</v>
      </c>
      <c r="W204" s="507">
        <f t="shared" si="36"/>
        <v>0</v>
      </c>
      <c r="X204" s="507">
        <f t="shared" si="37"/>
        <v>0</v>
      </c>
      <c r="Y204" s="507">
        <f t="shared" si="38"/>
        <v>0</v>
      </c>
      <c r="Z204" s="11">
        <f t="shared" si="39"/>
        <v>0</v>
      </c>
      <c r="AC204" s="4">
        <v>430</v>
      </c>
      <c r="AD204" s="5" t="s">
        <v>591</v>
      </c>
      <c r="AE204" s="5" t="s">
        <v>577</v>
      </c>
      <c r="AF204" s="5" t="s">
        <v>592</v>
      </c>
      <c r="AG204" s="5" t="s">
        <v>593</v>
      </c>
      <c r="AH204" s="5" t="s">
        <v>18</v>
      </c>
      <c r="AI204" s="5" t="s">
        <v>16</v>
      </c>
      <c r="AJ204" s="5" t="s">
        <v>481</v>
      </c>
      <c r="AK204" s="5" t="s">
        <v>561</v>
      </c>
      <c r="AL204" s="5" t="s">
        <v>18</v>
      </c>
      <c r="AM204" s="6"/>
      <c r="AO204" s="5"/>
      <c r="AP204" s="5"/>
      <c r="AQ204" s="5"/>
      <c r="AR204" s="5"/>
      <c r="AS204" s="5"/>
      <c r="AU204" s="1547"/>
      <c r="AV204" s="35"/>
      <c r="AW204" s="36"/>
      <c r="AY204" s="34"/>
      <c r="AZ204" s="35"/>
      <c r="BA204" s="36"/>
      <c r="BC204" s="34"/>
      <c r="BD204" s="35"/>
      <c r="BE204" s="36"/>
      <c r="BG204" s="34"/>
      <c r="BH204" s="35"/>
      <c r="BI204" s="36"/>
      <c r="BK204" s="34"/>
      <c r="BL204" s="35"/>
      <c r="BM204" s="36"/>
      <c r="BO204" s="34"/>
      <c r="BP204" s="35"/>
      <c r="BQ204" s="36"/>
      <c r="BS204" s="1592"/>
      <c r="BT204" s="35"/>
      <c r="BU204" s="36"/>
      <c r="BW204" s="34"/>
      <c r="BX204" s="35"/>
      <c r="BY204" s="36"/>
      <c r="CA204" s="34"/>
      <c r="CB204" s="35"/>
      <c r="CC204" s="36"/>
      <c r="CE204" s="34"/>
      <c r="CF204" s="35"/>
      <c r="CG204" s="36"/>
      <c r="CI204" s="34"/>
      <c r="CJ204" s="35"/>
      <c r="CK204" s="36"/>
      <c r="CM204" s="34"/>
      <c r="CN204" s="35"/>
      <c r="CO204" s="36"/>
    </row>
    <row r="205" spans="1:93">
      <c r="A205" s="34"/>
      <c r="B205" s="35"/>
      <c r="C205" s="36"/>
      <c r="D205" s="37" t="str">
        <f>IF(C205&gt;=Mat!$E$71,"Material","No Mat")</f>
        <v>No Mat</v>
      </c>
      <c r="E205" s="834">
        <f>IF(C205&gt;=Mat!$E$71,C205/Mat!$E$71,0)</f>
        <v>0</v>
      </c>
      <c r="G205" s="34"/>
      <c r="H205" s="35"/>
      <c r="I205" s="48"/>
      <c r="J205" s="36"/>
      <c r="L205" s="506"/>
      <c r="M205" s="506" t="s">
        <v>554</v>
      </c>
      <c r="N205" s="507">
        <f t="shared" si="27"/>
        <v>0</v>
      </c>
      <c r="O205" s="507">
        <f t="shared" si="28"/>
        <v>0</v>
      </c>
      <c r="P205" s="507">
        <f t="shared" si="29"/>
        <v>0</v>
      </c>
      <c r="Q205" s="507">
        <f t="shared" si="30"/>
        <v>0</v>
      </c>
      <c r="R205" s="507">
        <f t="shared" si="31"/>
        <v>0</v>
      </c>
      <c r="S205" s="507">
        <f t="shared" si="32"/>
        <v>0</v>
      </c>
      <c r="T205" s="507">
        <f t="shared" si="33"/>
        <v>0</v>
      </c>
      <c r="U205" s="507">
        <f t="shared" si="34"/>
        <v>0</v>
      </c>
      <c r="V205" s="507">
        <f t="shared" si="35"/>
        <v>0</v>
      </c>
      <c r="W205" s="507">
        <f t="shared" si="36"/>
        <v>0</v>
      </c>
      <c r="X205" s="507">
        <f t="shared" si="37"/>
        <v>0</v>
      </c>
      <c r="Y205" s="507">
        <f t="shared" si="38"/>
        <v>0</v>
      </c>
      <c r="Z205" s="11">
        <f t="shared" si="39"/>
        <v>0</v>
      </c>
      <c r="AC205" s="4">
        <v>432</v>
      </c>
      <c r="AD205" s="5" t="s">
        <v>594</v>
      </c>
      <c r="AE205" s="5" t="s">
        <v>564</v>
      </c>
      <c r="AF205" s="5" t="s">
        <v>595</v>
      </c>
      <c r="AG205" s="5" t="s">
        <v>596</v>
      </c>
      <c r="AH205" s="5" t="s">
        <v>18</v>
      </c>
      <c r="AI205" s="5" t="s">
        <v>16</v>
      </c>
      <c r="AJ205" s="5" t="s">
        <v>481</v>
      </c>
      <c r="AK205" s="5" t="s">
        <v>561</v>
      </c>
      <c r="AL205" s="5" t="s">
        <v>18</v>
      </c>
      <c r="AM205" s="6"/>
      <c r="AO205" s="5"/>
      <c r="AP205" s="5"/>
      <c r="AQ205" s="5"/>
      <c r="AR205" s="5"/>
      <c r="AS205" s="5"/>
      <c r="AU205" s="1547"/>
      <c r="AV205" s="35"/>
      <c r="AW205" s="36"/>
      <c r="AY205" s="34"/>
      <c r="AZ205" s="35"/>
      <c r="BA205" s="36"/>
      <c r="BC205" s="34"/>
      <c r="BD205" s="35"/>
      <c r="BE205" s="36"/>
      <c r="BG205" s="34"/>
      <c r="BH205" s="35"/>
      <c r="BI205" s="36"/>
      <c r="BK205" s="34"/>
      <c r="BL205" s="35"/>
      <c r="BM205" s="36"/>
      <c r="BO205" s="34"/>
      <c r="BP205" s="35"/>
      <c r="BQ205" s="36"/>
      <c r="BS205" s="1592"/>
      <c r="BT205" s="35"/>
      <c r="BU205" s="36"/>
      <c r="BW205" s="34"/>
      <c r="BX205" s="35"/>
      <c r="BY205" s="36"/>
      <c r="CA205" s="34"/>
      <c r="CB205" s="35"/>
      <c r="CC205" s="36"/>
      <c r="CE205" s="34"/>
      <c r="CF205" s="35"/>
      <c r="CG205" s="36"/>
      <c r="CI205" s="34"/>
      <c r="CJ205" s="35"/>
      <c r="CK205" s="36"/>
      <c r="CM205" s="34"/>
      <c r="CN205" s="35"/>
      <c r="CO205" s="36"/>
    </row>
    <row r="206" spans="1:93">
      <c r="A206" s="34"/>
      <c r="B206" s="35"/>
      <c r="C206" s="36"/>
      <c r="D206" s="37" t="str">
        <f>IF(C206&gt;=Mat!$E$71,"Material","No Mat")</f>
        <v>No Mat</v>
      </c>
      <c r="E206" s="834">
        <f>IF(C206&gt;=Mat!$E$71,C206/Mat!$E$71,0)</f>
        <v>0</v>
      </c>
      <c r="G206" s="34"/>
      <c r="H206" s="35"/>
      <c r="I206" s="48"/>
      <c r="J206" s="36"/>
      <c r="L206" s="506"/>
      <c r="M206" s="506" t="s">
        <v>556</v>
      </c>
      <c r="N206" s="507">
        <f t="shared" si="27"/>
        <v>0</v>
      </c>
      <c r="O206" s="507">
        <f t="shared" si="28"/>
        <v>0</v>
      </c>
      <c r="P206" s="507">
        <f t="shared" si="29"/>
        <v>0</v>
      </c>
      <c r="Q206" s="507">
        <f t="shared" si="30"/>
        <v>0</v>
      </c>
      <c r="R206" s="507">
        <f t="shared" si="31"/>
        <v>0</v>
      </c>
      <c r="S206" s="507">
        <f t="shared" si="32"/>
        <v>0</v>
      </c>
      <c r="T206" s="507">
        <f t="shared" si="33"/>
        <v>0</v>
      </c>
      <c r="U206" s="507">
        <f t="shared" si="34"/>
        <v>0</v>
      </c>
      <c r="V206" s="507">
        <f t="shared" si="35"/>
        <v>0</v>
      </c>
      <c r="W206" s="507">
        <f t="shared" si="36"/>
        <v>0</v>
      </c>
      <c r="X206" s="507">
        <f t="shared" si="37"/>
        <v>0</v>
      </c>
      <c r="Y206" s="507">
        <f t="shared" si="38"/>
        <v>0</v>
      </c>
      <c r="Z206" s="11">
        <f t="shared" si="39"/>
        <v>0</v>
      </c>
      <c r="AC206" s="4">
        <v>434</v>
      </c>
      <c r="AD206" s="5" t="s">
        <v>597</v>
      </c>
      <c r="AE206" s="5" t="s">
        <v>564</v>
      </c>
      <c r="AF206" s="5" t="s">
        <v>598</v>
      </c>
      <c r="AG206" s="5" t="s">
        <v>599</v>
      </c>
      <c r="AH206" s="5" t="s">
        <v>18</v>
      </c>
      <c r="AI206" s="5" t="s">
        <v>16</v>
      </c>
      <c r="AJ206" s="5" t="s">
        <v>481</v>
      </c>
      <c r="AK206" s="5" t="s">
        <v>561</v>
      </c>
      <c r="AL206" s="5" t="s">
        <v>18</v>
      </c>
      <c r="AM206" s="6"/>
      <c r="AO206" s="5"/>
      <c r="AP206" s="5"/>
      <c r="AQ206" s="5"/>
      <c r="AR206" s="5"/>
      <c r="AS206" s="5"/>
      <c r="AU206" s="1547"/>
      <c r="AV206" s="35"/>
      <c r="AW206" s="36"/>
      <c r="AY206" s="34"/>
      <c r="AZ206" s="35"/>
      <c r="BA206" s="36"/>
      <c r="BC206" s="34"/>
      <c r="BD206" s="35"/>
      <c r="BE206" s="36"/>
      <c r="BG206" s="34"/>
      <c r="BH206" s="35"/>
      <c r="BI206" s="36"/>
      <c r="BK206" s="34"/>
      <c r="BL206" s="35"/>
      <c r="BM206" s="36"/>
      <c r="BO206" s="34"/>
      <c r="BP206" s="35"/>
      <c r="BQ206" s="36"/>
      <c r="BS206" s="1592"/>
      <c r="BT206" s="35"/>
      <c r="BU206" s="36"/>
      <c r="BW206" s="34"/>
      <c r="BX206" s="35"/>
      <c r="BY206" s="36"/>
      <c r="CA206" s="34"/>
      <c r="CB206" s="35"/>
      <c r="CC206" s="36"/>
      <c r="CE206" s="34"/>
      <c r="CF206" s="35"/>
      <c r="CG206" s="36"/>
      <c r="CI206" s="34"/>
      <c r="CJ206" s="35"/>
      <c r="CK206" s="36"/>
      <c r="CM206" s="34"/>
      <c r="CN206" s="35"/>
      <c r="CO206" s="36"/>
    </row>
    <row r="207" spans="1:93">
      <c r="A207" s="34"/>
      <c r="B207" s="35"/>
      <c r="C207" s="36"/>
      <c r="D207" s="37" t="str">
        <f>IF(C207&gt;=Mat!$E$71,"Material","No Mat")</f>
        <v>No Mat</v>
      </c>
      <c r="E207" s="834">
        <f>IF(C207&gt;=Mat!$E$71,C207/Mat!$E$71,0)</f>
        <v>0</v>
      </c>
      <c r="G207" s="34"/>
      <c r="H207" s="35"/>
      <c r="I207" s="48"/>
      <c r="J207" s="36"/>
      <c r="L207" s="506"/>
      <c r="M207" s="506" t="s">
        <v>559</v>
      </c>
      <c r="N207" s="507">
        <f t="shared" ref="N207:N272" si="40">IFERROR(VLOOKUP(M207,$AV$8:$AW$298,2,FALSE),0)</f>
        <v>0</v>
      </c>
      <c r="O207" s="507">
        <f t="shared" ref="O207:O272" si="41">IFERROR(VLOOKUP(M207,$AZ$8:$BA$298,2,FALSE),0)</f>
        <v>0</v>
      </c>
      <c r="P207" s="507">
        <f t="shared" ref="P207:P272" si="42">IFERROR(VLOOKUP(M207,$BD$8:$BE$298,2,FALSE),0)</f>
        <v>0</v>
      </c>
      <c r="Q207" s="507">
        <f t="shared" ref="Q207:Q272" si="43">IFERROR(VLOOKUP($M207,$BH$8:$BI$298,2,FALSE),0)</f>
        <v>0</v>
      </c>
      <c r="R207" s="507">
        <f t="shared" ref="R207:R272" si="44">IFERROR(VLOOKUP($M207,$BL$8:$BM$298,2,FALSE),0)</f>
        <v>0</v>
      </c>
      <c r="S207" s="507">
        <f t="shared" ref="S207:S272" si="45">IFERROR(VLOOKUP($M207,$BP$8:$BQ$298,2,FALSE),0)</f>
        <v>0</v>
      </c>
      <c r="T207" s="507">
        <f t="shared" ref="T207:T272" si="46">IFERROR(VLOOKUP($M207,$BT$8:$BU$298,2,FALSE),0)</f>
        <v>0</v>
      </c>
      <c r="U207" s="507">
        <f t="shared" ref="U207:U272" si="47">IFERROR(VLOOKUP($M207,$BX$8:$BY$298,2,FALSE),0)</f>
        <v>0</v>
      </c>
      <c r="V207" s="507">
        <f t="shared" ref="V207:V272" si="48">IFERROR(VLOOKUP($M207,$CB$8:$CC$298,2,FALSE),0)</f>
        <v>0</v>
      </c>
      <c r="W207" s="507">
        <f t="shared" ref="W207:W272" si="49">IFERROR(VLOOKUP($M207,$CF$8:$CG$298,2,FALSE),0)</f>
        <v>0</v>
      </c>
      <c r="X207" s="507">
        <f t="shared" ref="X207:X272" si="50">IFERROR(VLOOKUP($M207,$CJ$8:$CK$298,2,FALSE),0)</f>
        <v>0</v>
      </c>
      <c r="Y207" s="507">
        <f t="shared" ref="Y207:Y272" si="51">IFERROR(VLOOKUP($M207,$CN$8:$CO$298,2,FALSE),0)</f>
        <v>0</v>
      </c>
      <c r="Z207" s="11">
        <f t="shared" si="39"/>
        <v>0</v>
      </c>
      <c r="AC207" s="4">
        <v>436</v>
      </c>
      <c r="AD207" s="5" t="s">
        <v>602</v>
      </c>
      <c r="AE207" s="5" t="s">
        <v>600</v>
      </c>
      <c r="AF207" s="5" t="s">
        <v>603</v>
      </c>
      <c r="AG207" s="5" t="s">
        <v>604</v>
      </c>
      <c r="AH207" s="5" t="s">
        <v>18</v>
      </c>
      <c r="AI207" s="5" t="s">
        <v>16</v>
      </c>
      <c r="AJ207" s="5" t="s">
        <v>481</v>
      </c>
      <c r="AK207" s="5" t="s">
        <v>561</v>
      </c>
      <c r="AL207" s="5" t="s">
        <v>18</v>
      </c>
      <c r="AM207" s="6"/>
      <c r="AO207" s="5"/>
      <c r="AP207" s="5"/>
      <c r="AQ207" s="5"/>
      <c r="AR207" s="5"/>
      <c r="AS207" s="5"/>
      <c r="AU207" s="1547"/>
      <c r="AV207" s="35"/>
      <c r="AW207" s="36"/>
      <c r="AY207" s="34"/>
      <c r="AZ207" s="35"/>
      <c r="BA207" s="36"/>
      <c r="BC207" s="34"/>
      <c r="BD207" s="35"/>
      <c r="BE207" s="36"/>
      <c r="BG207" s="34"/>
      <c r="BH207" s="35"/>
      <c r="BI207" s="36"/>
      <c r="BK207" s="34"/>
      <c r="BL207" s="35"/>
      <c r="BM207" s="36"/>
      <c r="BO207" s="34"/>
      <c r="BP207" s="35"/>
      <c r="BQ207" s="36"/>
      <c r="BS207" s="1592"/>
      <c r="BT207" s="35"/>
      <c r="BU207" s="36"/>
      <c r="BW207" s="34"/>
      <c r="BX207" s="35"/>
      <c r="BY207" s="36"/>
      <c r="CA207" s="34"/>
      <c r="CB207" s="35"/>
      <c r="CC207" s="36"/>
      <c r="CE207" s="34"/>
      <c r="CF207" s="35"/>
      <c r="CG207" s="36"/>
      <c r="CI207" s="34"/>
      <c r="CJ207" s="35"/>
      <c r="CK207" s="36"/>
      <c r="CM207" s="34"/>
      <c r="CN207" s="35"/>
      <c r="CO207" s="36"/>
    </row>
    <row r="208" spans="1:93">
      <c r="A208" s="34"/>
      <c r="B208" s="35"/>
      <c r="C208" s="36"/>
      <c r="D208" s="37" t="str">
        <f>IF(C208&gt;=Mat!$E$71,"Material","No Mat")</f>
        <v>No Mat</v>
      </c>
      <c r="E208" s="834">
        <f>IF(C208&gt;=Mat!$E$71,C208/Mat!$E$71,0)</f>
        <v>0</v>
      </c>
      <c r="G208" s="34"/>
      <c r="H208" s="35"/>
      <c r="I208" s="48"/>
      <c r="J208" s="36"/>
      <c r="L208" s="506"/>
      <c r="M208" s="506" t="s">
        <v>2239</v>
      </c>
      <c r="N208" s="507">
        <f t="shared" si="40"/>
        <v>0</v>
      </c>
      <c r="O208" s="507">
        <f t="shared" si="41"/>
        <v>23683822.670000002</v>
      </c>
      <c r="P208" s="507">
        <f t="shared" si="42"/>
        <v>13529344</v>
      </c>
      <c r="Q208" s="507">
        <f t="shared" si="43"/>
        <v>0</v>
      </c>
      <c r="R208" s="507">
        <f t="shared" si="44"/>
        <v>0</v>
      </c>
      <c r="S208" s="507">
        <f t="shared" si="45"/>
        <v>0</v>
      </c>
      <c r="T208" s="507">
        <f t="shared" si="46"/>
        <v>0</v>
      </c>
      <c r="U208" s="507">
        <f t="shared" si="47"/>
        <v>0</v>
      </c>
      <c r="V208" s="507">
        <f t="shared" si="48"/>
        <v>0</v>
      </c>
      <c r="W208" s="507">
        <f t="shared" si="49"/>
        <v>0</v>
      </c>
      <c r="X208" s="507">
        <f t="shared" si="50"/>
        <v>0</v>
      </c>
      <c r="Y208" s="507">
        <f t="shared" si="51"/>
        <v>0</v>
      </c>
      <c r="Z208" s="11">
        <f t="shared" ref="Z208:Z274" si="52">SUM(N208:Y208)</f>
        <v>37213166.670000002</v>
      </c>
      <c r="AC208" s="4">
        <v>438</v>
      </c>
      <c r="AD208" s="5" t="s">
        <v>605</v>
      </c>
      <c r="AE208" s="5" t="s">
        <v>600</v>
      </c>
      <c r="AF208" s="5" t="s">
        <v>606</v>
      </c>
      <c r="AG208" s="5" t="s">
        <v>607</v>
      </c>
      <c r="AH208" s="5" t="s">
        <v>18</v>
      </c>
      <c r="AI208" s="5" t="s">
        <v>16</v>
      </c>
      <c r="AJ208" s="5" t="s">
        <v>481</v>
      </c>
      <c r="AK208" s="5" t="s">
        <v>561</v>
      </c>
      <c r="AL208" s="5" t="s">
        <v>18</v>
      </c>
      <c r="AM208" s="6"/>
      <c r="AO208" s="5"/>
      <c r="AP208" s="5"/>
      <c r="AQ208" s="5"/>
      <c r="AR208" s="5"/>
      <c r="AS208" s="5"/>
      <c r="AU208" s="1547"/>
      <c r="AV208" s="35"/>
      <c r="AW208" s="36"/>
      <c r="AY208" s="34"/>
      <c r="AZ208" s="35"/>
      <c r="BA208" s="36"/>
      <c r="BC208" s="34"/>
      <c r="BD208" s="35"/>
      <c r="BE208" s="36"/>
      <c r="BG208" s="34"/>
      <c r="BH208" s="35"/>
      <c r="BI208" s="36"/>
      <c r="BK208" s="34"/>
      <c r="BL208" s="35"/>
      <c r="BM208" s="36"/>
      <c r="BO208" s="34"/>
      <c r="BP208" s="35"/>
      <c r="BQ208" s="36"/>
      <c r="BS208" s="1592"/>
      <c r="BT208" s="35"/>
      <c r="BU208" s="36"/>
      <c r="BW208" s="34"/>
      <c r="BX208" s="35"/>
      <c r="BY208" s="36"/>
      <c r="CA208" s="34"/>
      <c r="CB208" s="35"/>
      <c r="CC208" s="36"/>
      <c r="CE208" s="34"/>
      <c r="CF208" s="35"/>
      <c r="CG208" s="36"/>
      <c r="CI208" s="34"/>
      <c r="CJ208" s="35"/>
      <c r="CK208" s="36"/>
      <c r="CM208" s="34"/>
      <c r="CN208" s="35"/>
      <c r="CO208" s="36"/>
    </row>
    <row r="209" spans="1:93">
      <c r="A209" s="34"/>
      <c r="B209" s="35"/>
      <c r="C209" s="36"/>
      <c r="D209" s="37" t="str">
        <f>IF(C209&gt;=Mat!$E$71,"Material","No Mat")</f>
        <v>No Mat</v>
      </c>
      <c r="E209" s="834">
        <f>IF(C209&gt;=Mat!$E$71,C209/Mat!$E$71,0)</f>
        <v>0</v>
      </c>
      <c r="G209" s="34"/>
      <c r="H209" s="35"/>
      <c r="I209" s="48"/>
      <c r="J209" s="36"/>
      <c r="L209" s="506"/>
      <c r="M209" s="506" t="s">
        <v>3775</v>
      </c>
      <c r="N209" s="507">
        <f>IFERROR(VLOOKUP(M209,$AV$8:$AW$298,2,FALSE),0)</f>
        <v>0</v>
      </c>
      <c r="O209" s="507">
        <f>IFERROR(VLOOKUP(M209,$AZ$8:$BA$298,2,FALSE),0)</f>
        <v>409500</v>
      </c>
      <c r="P209" s="507">
        <f>IFERROR(VLOOKUP(M209,$BD$8:$BE$298,2,FALSE),0)</f>
        <v>204750</v>
      </c>
      <c r="Q209" s="507">
        <f t="shared" si="43"/>
        <v>0</v>
      </c>
      <c r="R209" s="507">
        <f t="shared" si="44"/>
        <v>0</v>
      </c>
      <c r="S209" s="507">
        <f t="shared" si="45"/>
        <v>0</v>
      </c>
      <c r="T209" s="507">
        <f t="shared" si="46"/>
        <v>0</v>
      </c>
      <c r="U209" s="507">
        <f t="shared" si="47"/>
        <v>0</v>
      </c>
      <c r="V209" s="507">
        <f t="shared" si="48"/>
        <v>0</v>
      </c>
      <c r="W209" s="507">
        <f t="shared" si="49"/>
        <v>0</v>
      </c>
      <c r="X209" s="507">
        <f t="shared" si="50"/>
        <v>0</v>
      </c>
      <c r="Y209" s="507">
        <f t="shared" si="51"/>
        <v>0</v>
      </c>
      <c r="Z209" s="11">
        <f>SUM(N209:Y209)</f>
        <v>614250</v>
      </c>
      <c r="AC209" s="4">
        <v>440</v>
      </c>
      <c r="AD209" s="5" t="s">
        <v>608</v>
      </c>
      <c r="AE209" s="5" t="s">
        <v>600</v>
      </c>
      <c r="AF209" s="5" t="s">
        <v>609</v>
      </c>
      <c r="AG209" s="5" t="s">
        <v>610</v>
      </c>
      <c r="AH209" s="5" t="s">
        <v>18</v>
      </c>
      <c r="AI209" s="5" t="s">
        <v>16</v>
      </c>
      <c r="AJ209" s="5" t="s">
        <v>481</v>
      </c>
      <c r="AK209" s="5" t="s">
        <v>561</v>
      </c>
      <c r="AL209" s="5" t="s">
        <v>18</v>
      </c>
      <c r="AM209" s="6"/>
      <c r="AO209" s="5"/>
      <c r="AP209" s="5"/>
      <c r="AQ209" s="5"/>
      <c r="AR209" s="5"/>
      <c r="AS209" s="5"/>
      <c r="AU209" s="1547"/>
      <c r="AV209" s="35"/>
      <c r="AW209" s="36"/>
      <c r="AY209" s="34"/>
      <c r="AZ209" s="35"/>
      <c r="BA209" s="36"/>
      <c r="BC209" s="34"/>
      <c r="BD209" s="35"/>
      <c r="BE209" s="36"/>
      <c r="BG209" s="34"/>
      <c r="BH209" s="35"/>
      <c r="BI209" s="36"/>
      <c r="BK209" s="34"/>
      <c r="BL209" s="35"/>
      <c r="BM209" s="36"/>
      <c r="BO209" s="34"/>
      <c r="BP209" s="35"/>
      <c r="BQ209" s="36"/>
      <c r="BS209" s="1592"/>
      <c r="BT209" s="35"/>
      <c r="BU209" s="36"/>
      <c r="BW209" s="34"/>
      <c r="BX209" s="35"/>
      <c r="BY209" s="36"/>
      <c r="CA209" s="34"/>
      <c r="CB209" s="35"/>
      <c r="CC209" s="36"/>
      <c r="CE209" s="34"/>
      <c r="CF209" s="35"/>
      <c r="CG209" s="36"/>
      <c r="CI209" s="34"/>
      <c r="CJ209" s="35"/>
      <c r="CK209" s="36"/>
      <c r="CM209" s="34"/>
      <c r="CN209" s="35"/>
      <c r="CO209" s="36"/>
    </row>
    <row r="210" spans="1:93">
      <c r="A210" s="34"/>
      <c r="B210" s="35"/>
      <c r="C210" s="36"/>
      <c r="D210" s="37" t="str">
        <f>IF(C210&gt;=Mat!$E$71,"Material","No Mat")</f>
        <v>No Mat</v>
      </c>
      <c r="E210" s="834">
        <f>IF(C210&gt;=Mat!$E$71,C210/Mat!$E$71,0)</f>
        <v>0</v>
      </c>
      <c r="G210" s="34"/>
      <c r="H210" s="35"/>
      <c r="I210" s="48"/>
      <c r="J210" s="36"/>
      <c r="L210" s="506"/>
      <c r="M210" s="506" t="s">
        <v>572</v>
      </c>
      <c r="N210" s="507">
        <f t="shared" si="40"/>
        <v>0</v>
      </c>
      <c r="O210" s="507">
        <f t="shared" si="41"/>
        <v>0</v>
      </c>
      <c r="P210" s="507">
        <f t="shared" si="42"/>
        <v>0</v>
      </c>
      <c r="Q210" s="507">
        <f t="shared" si="43"/>
        <v>0</v>
      </c>
      <c r="R210" s="507">
        <f t="shared" si="44"/>
        <v>0</v>
      </c>
      <c r="S210" s="507">
        <f t="shared" si="45"/>
        <v>0</v>
      </c>
      <c r="T210" s="507">
        <f t="shared" si="46"/>
        <v>0</v>
      </c>
      <c r="U210" s="507">
        <f t="shared" si="47"/>
        <v>0</v>
      </c>
      <c r="V210" s="507">
        <f t="shared" si="48"/>
        <v>0</v>
      </c>
      <c r="W210" s="507">
        <f t="shared" si="49"/>
        <v>0</v>
      </c>
      <c r="X210" s="507">
        <f t="shared" si="50"/>
        <v>0</v>
      </c>
      <c r="Y210" s="507">
        <f t="shared" si="51"/>
        <v>0</v>
      </c>
      <c r="Z210" s="11">
        <f t="shared" si="52"/>
        <v>0</v>
      </c>
      <c r="AC210" s="4">
        <v>442</v>
      </c>
      <c r="AD210" s="5" t="s">
        <v>611</v>
      </c>
      <c r="AE210" s="5" t="s">
        <v>600</v>
      </c>
      <c r="AF210" s="5" t="s">
        <v>612</v>
      </c>
      <c r="AG210" s="5" t="s">
        <v>613</v>
      </c>
      <c r="AH210" s="5" t="s">
        <v>18</v>
      </c>
      <c r="AI210" s="5" t="s">
        <v>16</v>
      </c>
      <c r="AJ210" s="5" t="s">
        <v>481</v>
      </c>
      <c r="AK210" s="5" t="s">
        <v>561</v>
      </c>
      <c r="AL210" s="5" t="s">
        <v>18</v>
      </c>
      <c r="AM210" s="6"/>
      <c r="AO210" s="5"/>
      <c r="AP210" s="5"/>
      <c r="AQ210" s="5"/>
      <c r="AR210" s="5"/>
      <c r="AS210" s="5"/>
      <c r="AU210" s="1547"/>
      <c r="AV210" s="35"/>
      <c r="AW210" s="36"/>
      <c r="AY210" s="34"/>
      <c r="AZ210" s="35"/>
      <c r="BA210" s="36"/>
      <c r="BC210" s="34"/>
      <c r="BD210" s="35"/>
      <c r="BE210" s="36"/>
      <c r="BG210" s="34"/>
      <c r="BH210" s="35"/>
      <c r="BI210" s="36"/>
      <c r="BK210" s="34"/>
      <c r="BL210" s="35"/>
      <c r="BM210" s="36"/>
      <c r="BO210" s="34"/>
      <c r="BP210" s="35"/>
      <c r="BQ210" s="36"/>
      <c r="BS210" s="1592"/>
      <c r="BT210" s="35"/>
      <c r="BU210" s="36"/>
      <c r="BW210" s="34"/>
      <c r="BX210" s="35"/>
      <c r="BY210" s="36"/>
      <c r="CA210" s="34"/>
      <c r="CB210" s="35"/>
      <c r="CC210" s="36"/>
      <c r="CE210" s="34"/>
      <c r="CF210" s="35"/>
      <c r="CG210" s="36"/>
      <c r="CI210" s="34"/>
      <c r="CJ210" s="35"/>
      <c r="CK210" s="36"/>
      <c r="CM210" s="34"/>
      <c r="CN210" s="35"/>
      <c r="CO210" s="36"/>
    </row>
    <row r="211" spans="1:93">
      <c r="A211" s="34"/>
      <c r="B211" s="35"/>
      <c r="C211" s="36"/>
      <c r="D211" s="37" t="str">
        <f>IF(C211&gt;=Mat!$E$71,"Material","No Mat")</f>
        <v>No Mat</v>
      </c>
      <c r="E211" s="834">
        <f>IF(C211&gt;=Mat!$E$71,C211/Mat!$E$71,0)</f>
        <v>0</v>
      </c>
      <c r="G211" s="34"/>
      <c r="H211" s="35"/>
      <c r="I211" s="48"/>
      <c r="J211" s="36"/>
      <c r="L211" s="506"/>
      <c r="M211" s="506" t="s">
        <v>2218</v>
      </c>
      <c r="N211" s="507">
        <f t="shared" si="40"/>
        <v>0</v>
      </c>
      <c r="O211" s="507">
        <f t="shared" si="41"/>
        <v>0</v>
      </c>
      <c r="P211" s="507">
        <f t="shared" si="42"/>
        <v>0</v>
      </c>
      <c r="Q211" s="507">
        <f t="shared" si="43"/>
        <v>0</v>
      </c>
      <c r="R211" s="507">
        <f t="shared" si="44"/>
        <v>0</v>
      </c>
      <c r="S211" s="507">
        <f t="shared" si="45"/>
        <v>0</v>
      </c>
      <c r="T211" s="507">
        <f t="shared" si="46"/>
        <v>0</v>
      </c>
      <c r="U211" s="507">
        <f t="shared" si="47"/>
        <v>0</v>
      </c>
      <c r="V211" s="507">
        <f t="shared" si="48"/>
        <v>0</v>
      </c>
      <c r="W211" s="507">
        <f t="shared" si="49"/>
        <v>0</v>
      </c>
      <c r="X211" s="507">
        <f t="shared" si="50"/>
        <v>0</v>
      </c>
      <c r="Y211" s="507">
        <f t="shared" si="51"/>
        <v>0</v>
      </c>
      <c r="Z211" s="11">
        <f t="shared" si="52"/>
        <v>0</v>
      </c>
      <c r="AC211" s="4">
        <v>444</v>
      </c>
      <c r="AD211" s="5" t="s">
        <v>616</v>
      </c>
      <c r="AE211" s="5" t="s">
        <v>614</v>
      </c>
      <c r="AF211" s="5" t="s">
        <v>390</v>
      </c>
      <c r="AG211" s="5" t="s">
        <v>617</v>
      </c>
      <c r="AH211" s="5" t="s">
        <v>18</v>
      </c>
      <c r="AI211" s="5" t="s">
        <v>16</v>
      </c>
      <c r="AJ211" s="5" t="s">
        <v>481</v>
      </c>
      <c r="AK211" s="5" t="s">
        <v>561</v>
      </c>
      <c r="AL211" s="5" t="s">
        <v>18</v>
      </c>
      <c r="AM211" s="6"/>
      <c r="AO211" s="5"/>
      <c r="AP211" s="5"/>
      <c r="AQ211" s="5"/>
      <c r="AR211" s="5"/>
      <c r="AS211" s="5"/>
      <c r="AU211" s="1547"/>
      <c r="AV211" s="35"/>
      <c r="AW211" s="36"/>
      <c r="AY211" s="34"/>
      <c r="AZ211" s="35"/>
      <c r="BA211" s="36"/>
      <c r="BC211" s="34"/>
      <c r="BD211" s="35"/>
      <c r="BE211" s="36"/>
      <c r="BG211" s="34"/>
      <c r="BH211" s="35"/>
      <c r="BI211" s="36"/>
      <c r="BK211" s="34"/>
      <c r="BL211" s="35"/>
      <c r="BM211" s="36"/>
      <c r="BO211" s="34"/>
      <c r="BP211" s="35"/>
      <c r="BQ211" s="36"/>
      <c r="BS211" s="1592"/>
      <c r="BT211" s="35"/>
      <c r="BU211" s="36"/>
      <c r="BW211" s="34"/>
      <c r="BX211" s="35"/>
      <c r="BY211" s="36"/>
      <c r="CA211" s="34"/>
      <c r="CB211" s="35"/>
      <c r="CC211" s="36"/>
      <c r="CE211" s="34"/>
      <c r="CF211" s="35"/>
      <c r="CG211" s="36"/>
      <c r="CI211" s="34"/>
      <c r="CJ211" s="35"/>
      <c r="CK211" s="36"/>
      <c r="CM211" s="34"/>
      <c r="CN211" s="35"/>
      <c r="CO211" s="36"/>
    </row>
    <row r="212" spans="1:93">
      <c r="A212" s="34"/>
      <c r="B212" s="35"/>
      <c r="C212" s="36"/>
      <c r="D212" s="37" t="str">
        <f>IF(C212&gt;=Mat!$E$71,"Material","No Mat")</f>
        <v>No Mat</v>
      </c>
      <c r="E212" s="834">
        <f>IF(C212&gt;=Mat!$E$71,C212/Mat!$E$71,0)</f>
        <v>0</v>
      </c>
      <c r="G212" s="34"/>
      <c r="H212" s="35"/>
      <c r="I212" s="48"/>
      <c r="J212" s="36"/>
      <c r="M212" s="506" t="s">
        <v>2322</v>
      </c>
      <c r="N212" s="507">
        <f t="shared" si="40"/>
        <v>0</v>
      </c>
      <c r="O212" s="507">
        <f t="shared" si="41"/>
        <v>20000</v>
      </c>
      <c r="P212" s="507">
        <f t="shared" si="42"/>
        <v>10000</v>
      </c>
      <c r="Q212" s="507">
        <f t="shared" si="43"/>
        <v>0</v>
      </c>
      <c r="R212" s="507">
        <f t="shared" si="44"/>
        <v>0</v>
      </c>
      <c r="S212" s="507">
        <f t="shared" si="45"/>
        <v>0</v>
      </c>
      <c r="T212" s="507">
        <f t="shared" si="46"/>
        <v>0</v>
      </c>
      <c r="U212" s="507">
        <f t="shared" si="47"/>
        <v>0</v>
      </c>
      <c r="V212" s="507">
        <f t="shared" si="48"/>
        <v>0</v>
      </c>
      <c r="W212" s="507">
        <f t="shared" si="49"/>
        <v>0</v>
      </c>
      <c r="X212" s="507">
        <f t="shared" si="50"/>
        <v>0</v>
      </c>
      <c r="Y212" s="507">
        <f t="shared" si="51"/>
        <v>0</v>
      </c>
      <c r="Z212" s="11">
        <f t="shared" si="52"/>
        <v>30000</v>
      </c>
      <c r="AC212" s="4">
        <v>446</v>
      </c>
      <c r="AD212" s="5" t="s">
        <v>618</v>
      </c>
      <c r="AE212" s="5" t="s">
        <v>614</v>
      </c>
      <c r="AF212" s="5" t="s">
        <v>619</v>
      </c>
      <c r="AG212" s="5" t="s">
        <v>620</v>
      </c>
      <c r="AH212" s="5" t="s">
        <v>18</v>
      </c>
      <c r="AI212" s="5" t="s">
        <v>16</v>
      </c>
      <c r="AJ212" s="5" t="s">
        <v>481</v>
      </c>
      <c r="AK212" s="5" t="s">
        <v>561</v>
      </c>
      <c r="AL212" s="5" t="s">
        <v>18</v>
      </c>
      <c r="AM212" s="6"/>
      <c r="AO212" s="5"/>
      <c r="AP212" s="5"/>
      <c r="AQ212" s="5"/>
      <c r="AR212" s="5"/>
      <c r="AS212" s="5"/>
      <c r="AU212" s="1547"/>
      <c r="AV212" s="35"/>
      <c r="AW212" s="36"/>
      <c r="AY212" s="34"/>
      <c r="AZ212" s="35"/>
      <c r="BA212" s="36"/>
      <c r="BC212" s="34"/>
      <c r="BD212" s="35"/>
      <c r="BE212" s="36"/>
      <c r="BG212" s="34"/>
      <c r="BH212" s="35"/>
      <c r="BI212" s="36"/>
      <c r="BK212" s="34"/>
      <c r="BL212" s="35"/>
      <c r="BM212" s="36"/>
      <c r="BO212" s="34"/>
      <c r="BP212" s="35"/>
      <c r="BQ212" s="36"/>
      <c r="BS212" s="1592"/>
      <c r="BT212" s="35"/>
      <c r="BU212" s="36"/>
      <c r="BW212" s="34"/>
      <c r="BX212" s="35"/>
      <c r="BY212" s="36"/>
      <c r="CA212" s="34"/>
      <c r="CB212" s="35"/>
      <c r="CC212" s="36"/>
      <c r="CE212" s="34"/>
      <c r="CF212" s="35"/>
      <c r="CG212" s="36"/>
      <c r="CI212" s="34"/>
      <c r="CJ212" s="35"/>
      <c r="CK212" s="36"/>
      <c r="CM212" s="34"/>
      <c r="CN212" s="35"/>
      <c r="CO212" s="36"/>
    </row>
    <row r="213" spans="1:93">
      <c r="A213" s="34"/>
      <c r="B213" s="35"/>
      <c r="C213" s="36"/>
      <c r="D213" s="37" t="str">
        <f>IF(C213&gt;=Mat!$E$71,"Material","No Mat")</f>
        <v>No Mat</v>
      </c>
      <c r="E213" s="834">
        <f>IF(C213&gt;=Mat!$E$71,C213/Mat!$E$71,0)</f>
        <v>0</v>
      </c>
      <c r="G213" s="34"/>
      <c r="H213" s="35"/>
      <c r="I213" s="48"/>
      <c r="J213" s="36"/>
      <c r="L213" s="506"/>
      <c r="M213" s="506" t="s">
        <v>2219</v>
      </c>
      <c r="N213" s="507">
        <f t="shared" si="40"/>
        <v>0</v>
      </c>
      <c r="O213" s="507">
        <f t="shared" si="41"/>
        <v>0</v>
      </c>
      <c r="P213" s="507">
        <f t="shared" si="42"/>
        <v>0</v>
      </c>
      <c r="Q213" s="507">
        <f t="shared" si="43"/>
        <v>0</v>
      </c>
      <c r="R213" s="507">
        <f t="shared" si="44"/>
        <v>0</v>
      </c>
      <c r="S213" s="507">
        <f t="shared" si="45"/>
        <v>0</v>
      </c>
      <c r="T213" s="507">
        <f t="shared" si="46"/>
        <v>0</v>
      </c>
      <c r="U213" s="507">
        <f t="shared" si="47"/>
        <v>0</v>
      </c>
      <c r="V213" s="507">
        <f t="shared" si="48"/>
        <v>0</v>
      </c>
      <c r="W213" s="507">
        <f t="shared" si="49"/>
        <v>0</v>
      </c>
      <c r="X213" s="507">
        <f t="shared" si="50"/>
        <v>0</v>
      </c>
      <c r="Y213" s="507">
        <f t="shared" si="51"/>
        <v>0</v>
      </c>
      <c r="Z213" s="11">
        <f t="shared" si="52"/>
        <v>0</v>
      </c>
      <c r="AC213" s="4">
        <v>448</v>
      </c>
      <c r="AD213" s="5" t="s">
        <v>621</v>
      </c>
      <c r="AE213" s="5" t="s">
        <v>614</v>
      </c>
      <c r="AF213" s="5" t="s">
        <v>622</v>
      </c>
      <c r="AG213" s="5" t="s">
        <v>623</v>
      </c>
      <c r="AH213" s="5" t="s">
        <v>18</v>
      </c>
      <c r="AI213" s="5" t="s">
        <v>16</v>
      </c>
      <c r="AJ213" s="5" t="s">
        <v>481</v>
      </c>
      <c r="AK213" s="5" t="s">
        <v>561</v>
      </c>
      <c r="AL213" s="5" t="s">
        <v>18</v>
      </c>
      <c r="AM213" s="6"/>
      <c r="AO213" s="5"/>
      <c r="AP213" s="5"/>
      <c r="AQ213" s="5"/>
      <c r="AR213" s="5"/>
      <c r="AS213" s="5"/>
      <c r="AU213" s="1547"/>
      <c r="AV213" s="35"/>
      <c r="AW213" s="36"/>
      <c r="AY213" s="34"/>
      <c r="AZ213" s="35"/>
      <c r="BA213" s="36"/>
      <c r="BC213" s="34"/>
      <c r="BD213" s="35"/>
      <c r="BE213" s="36"/>
      <c r="BG213" s="34"/>
      <c r="BH213" s="35"/>
      <c r="BI213" s="36"/>
      <c r="BK213" s="34"/>
      <c r="BL213" s="35"/>
      <c r="BM213" s="36"/>
      <c r="BO213" s="34"/>
      <c r="BP213" s="35"/>
      <c r="BQ213" s="36"/>
      <c r="BS213" s="1592"/>
      <c r="BT213" s="35"/>
      <c r="BU213" s="36"/>
      <c r="BW213" s="34"/>
      <c r="BX213" s="35"/>
      <c r="BY213" s="36"/>
      <c r="CA213" s="34"/>
      <c r="CB213" s="35"/>
      <c r="CC213" s="36"/>
      <c r="CE213" s="34"/>
      <c r="CF213" s="35"/>
      <c r="CG213" s="36"/>
      <c r="CI213" s="34"/>
      <c r="CJ213" s="35"/>
      <c r="CK213" s="36"/>
      <c r="CM213" s="34"/>
      <c r="CN213" s="35"/>
      <c r="CO213" s="36"/>
    </row>
    <row r="214" spans="1:93">
      <c r="A214" s="34"/>
      <c r="B214" s="35"/>
      <c r="C214" s="36"/>
      <c r="D214" s="37" t="str">
        <f>IF(C214&gt;=Mat!$E$71,"Material","No Mat")</f>
        <v>No Mat</v>
      </c>
      <c r="E214" s="834">
        <f>IF(C214&gt;=Mat!$E$71,C214/Mat!$E$71,0)</f>
        <v>0</v>
      </c>
      <c r="G214" s="34"/>
      <c r="H214" s="35"/>
      <c r="I214" s="48"/>
      <c r="J214" s="36"/>
      <c r="L214" s="506"/>
      <c r="M214" s="508" t="s">
        <v>2397</v>
      </c>
      <c r="N214" s="507">
        <f t="shared" si="40"/>
        <v>0</v>
      </c>
      <c r="O214" s="507">
        <f t="shared" si="41"/>
        <v>0</v>
      </c>
      <c r="P214" s="507">
        <f t="shared" si="42"/>
        <v>0</v>
      </c>
      <c r="Q214" s="507">
        <f t="shared" si="43"/>
        <v>0</v>
      </c>
      <c r="R214" s="507">
        <f t="shared" si="44"/>
        <v>0</v>
      </c>
      <c r="S214" s="507">
        <f t="shared" si="45"/>
        <v>0</v>
      </c>
      <c r="T214" s="507">
        <f t="shared" si="46"/>
        <v>0</v>
      </c>
      <c r="U214" s="507">
        <f t="shared" si="47"/>
        <v>0</v>
      </c>
      <c r="V214" s="507">
        <f t="shared" si="48"/>
        <v>0</v>
      </c>
      <c r="W214" s="507">
        <f t="shared" si="49"/>
        <v>0</v>
      </c>
      <c r="X214" s="507">
        <f t="shared" si="50"/>
        <v>0</v>
      </c>
      <c r="Y214" s="507">
        <f t="shared" si="51"/>
        <v>0</v>
      </c>
      <c r="AC214" s="4">
        <v>450</v>
      </c>
      <c r="AD214" s="5" t="s">
        <v>624</v>
      </c>
      <c r="AE214" s="5" t="s">
        <v>614</v>
      </c>
      <c r="AF214" s="5" t="s">
        <v>625</v>
      </c>
      <c r="AG214" s="5" t="s">
        <v>626</v>
      </c>
      <c r="AH214" s="5" t="s">
        <v>18</v>
      </c>
      <c r="AI214" s="5" t="s">
        <v>16</v>
      </c>
      <c r="AJ214" s="5" t="s">
        <v>481</v>
      </c>
      <c r="AK214" s="5" t="s">
        <v>561</v>
      </c>
      <c r="AL214" s="5" t="s">
        <v>18</v>
      </c>
      <c r="AM214" s="6"/>
      <c r="AO214" s="5"/>
      <c r="AP214" s="5"/>
      <c r="AQ214" s="5"/>
      <c r="AR214" s="5"/>
      <c r="AS214" s="5"/>
      <c r="AU214" s="1547"/>
      <c r="AV214" s="35"/>
      <c r="AW214" s="36"/>
      <c r="AY214" s="34"/>
      <c r="AZ214" s="35"/>
      <c r="BA214" s="36"/>
      <c r="BC214" s="34"/>
      <c r="BD214" s="35"/>
      <c r="BE214" s="36"/>
      <c r="BG214" s="34"/>
      <c r="BH214" s="35"/>
      <c r="BI214" s="36"/>
      <c r="BK214" s="34"/>
      <c r="BL214" s="35"/>
      <c r="BM214" s="36"/>
      <c r="BO214" s="34"/>
      <c r="BP214" s="35"/>
      <c r="BQ214" s="36"/>
      <c r="BS214" s="1592"/>
      <c r="BT214" s="35"/>
      <c r="BU214" s="36"/>
      <c r="BW214" s="34"/>
      <c r="BX214" s="35"/>
      <c r="BY214" s="36"/>
      <c r="CA214" s="34"/>
      <c r="CB214" s="35"/>
      <c r="CC214" s="36"/>
      <c r="CE214" s="34"/>
      <c r="CF214" s="35"/>
      <c r="CG214" s="36"/>
      <c r="CI214" s="34"/>
      <c r="CJ214" s="35"/>
      <c r="CK214" s="36"/>
      <c r="CM214" s="34"/>
      <c r="CN214" s="35"/>
      <c r="CO214" s="36"/>
    </row>
    <row r="215" spans="1:93">
      <c r="A215" s="34"/>
      <c r="B215" s="35"/>
      <c r="C215" s="36"/>
      <c r="D215" s="37" t="str">
        <f>IF(C215&gt;=Mat!$E$71,"Material","No Mat")</f>
        <v>No Mat</v>
      </c>
      <c r="E215" s="834">
        <f>IF(C215&gt;=Mat!$E$71,C215/Mat!$E$71,0)</f>
        <v>0</v>
      </c>
      <c r="G215" s="34"/>
      <c r="H215" s="35"/>
      <c r="I215" s="48"/>
      <c r="J215" s="36"/>
      <c r="L215" s="506"/>
      <c r="M215" s="506" t="s">
        <v>2240</v>
      </c>
      <c r="N215" s="507">
        <f t="shared" si="40"/>
        <v>0</v>
      </c>
      <c r="O215" s="507">
        <f t="shared" si="41"/>
        <v>0</v>
      </c>
      <c r="P215" s="507">
        <f t="shared" si="42"/>
        <v>0</v>
      </c>
      <c r="Q215" s="507">
        <f t="shared" si="43"/>
        <v>0</v>
      </c>
      <c r="R215" s="507">
        <f t="shared" si="44"/>
        <v>0</v>
      </c>
      <c r="S215" s="507">
        <f t="shared" si="45"/>
        <v>0</v>
      </c>
      <c r="T215" s="507">
        <f t="shared" si="46"/>
        <v>0</v>
      </c>
      <c r="U215" s="507">
        <f t="shared" si="47"/>
        <v>0</v>
      </c>
      <c r="V215" s="507">
        <f t="shared" si="48"/>
        <v>0</v>
      </c>
      <c r="W215" s="507">
        <f t="shared" si="49"/>
        <v>0</v>
      </c>
      <c r="X215" s="507">
        <f t="shared" si="50"/>
        <v>0</v>
      </c>
      <c r="Y215" s="507">
        <f t="shared" si="51"/>
        <v>0</v>
      </c>
      <c r="Z215" s="11">
        <f t="shared" si="52"/>
        <v>0</v>
      </c>
      <c r="AC215" s="4">
        <v>452</v>
      </c>
      <c r="AD215" s="5" t="s">
        <v>629</v>
      </c>
      <c r="AE215" s="5" t="s">
        <v>627</v>
      </c>
      <c r="AF215" s="5" t="s">
        <v>630</v>
      </c>
      <c r="AG215" s="5" t="s">
        <v>631</v>
      </c>
      <c r="AH215" s="5" t="s">
        <v>18</v>
      </c>
      <c r="AI215" s="5" t="s">
        <v>16</v>
      </c>
      <c r="AJ215" s="5" t="s">
        <v>481</v>
      </c>
      <c r="AK215" s="5" t="s">
        <v>561</v>
      </c>
      <c r="AL215" s="5" t="s">
        <v>18</v>
      </c>
      <c r="AM215" s="6"/>
      <c r="AO215" s="5"/>
      <c r="AP215" s="5"/>
      <c r="AQ215" s="5"/>
      <c r="AR215" s="5"/>
      <c r="AS215" s="5"/>
      <c r="AU215" s="1547"/>
      <c r="AV215" s="35"/>
      <c r="AW215" s="36"/>
      <c r="AY215" s="34"/>
      <c r="AZ215" s="35"/>
      <c r="BA215" s="36"/>
      <c r="BC215" s="34"/>
      <c r="BD215" s="35"/>
      <c r="BE215" s="36"/>
      <c r="BG215" s="34"/>
      <c r="BH215" s="35"/>
      <c r="BI215" s="36"/>
      <c r="BK215" s="34"/>
      <c r="BL215" s="35"/>
      <c r="BM215" s="36"/>
      <c r="BO215" s="34"/>
      <c r="BP215" s="35"/>
      <c r="BQ215" s="36"/>
      <c r="BS215" s="1592"/>
      <c r="BT215" s="35"/>
      <c r="BU215" s="36"/>
      <c r="BW215" s="34"/>
      <c r="BX215" s="35"/>
      <c r="BY215" s="36"/>
      <c r="CA215" s="34"/>
      <c r="CB215" s="35"/>
      <c r="CC215" s="36"/>
      <c r="CE215" s="34"/>
      <c r="CF215" s="35"/>
      <c r="CG215" s="36"/>
      <c r="CI215" s="34"/>
      <c r="CJ215" s="35"/>
      <c r="CK215" s="36"/>
      <c r="CM215" s="34"/>
      <c r="CN215" s="35"/>
      <c r="CO215" s="36"/>
    </row>
    <row r="216" spans="1:93">
      <c r="A216" s="34"/>
      <c r="B216" s="35"/>
      <c r="C216" s="36"/>
      <c r="D216" s="37" t="str">
        <f>IF(C216&gt;=Mat!$E$71,"Material","No Mat")</f>
        <v>No Mat</v>
      </c>
      <c r="E216" s="834">
        <f>IF(C216&gt;=Mat!$E$71,C216/Mat!$E$71,0)</f>
        <v>0</v>
      </c>
      <c r="G216" s="34"/>
      <c r="H216" s="35"/>
      <c r="I216" s="48"/>
      <c r="J216" s="36"/>
      <c r="L216" s="506"/>
      <c r="M216" s="506" t="s">
        <v>2224</v>
      </c>
      <c r="N216" s="507">
        <f t="shared" si="40"/>
        <v>0</v>
      </c>
      <c r="O216" s="507">
        <f t="shared" si="41"/>
        <v>547580</v>
      </c>
      <c r="P216" s="507">
        <f t="shared" si="42"/>
        <v>1094830</v>
      </c>
      <c r="Q216" s="507">
        <f t="shared" si="43"/>
        <v>0</v>
      </c>
      <c r="R216" s="507">
        <f t="shared" si="44"/>
        <v>0</v>
      </c>
      <c r="S216" s="507">
        <f t="shared" si="45"/>
        <v>0</v>
      </c>
      <c r="T216" s="507">
        <f t="shared" si="46"/>
        <v>0</v>
      </c>
      <c r="U216" s="507">
        <f t="shared" si="47"/>
        <v>0</v>
      </c>
      <c r="V216" s="507">
        <f t="shared" si="48"/>
        <v>0</v>
      </c>
      <c r="W216" s="507">
        <f t="shared" si="49"/>
        <v>0</v>
      </c>
      <c r="X216" s="507">
        <f t="shared" si="50"/>
        <v>0</v>
      </c>
      <c r="Y216" s="507">
        <f t="shared" si="51"/>
        <v>0</v>
      </c>
      <c r="Z216" s="11">
        <f t="shared" si="52"/>
        <v>1642410</v>
      </c>
      <c r="AC216" s="4">
        <v>454</v>
      </c>
      <c r="AD216" s="5" t="s">
        <v>632</v>
      </c>
      <c r="AE216" s="5" t="s">
        <v>627</v>
      </c>
      <c r="AF216" s="5" t="s">
        <v>633</v>
      </c>
      <c r="AG216" s="5" t="s">
        <v>634</v>
      </c>
      <c r="AH216" s="5" t="s">
        <v>18</v>
      </c>
      <c r="AI216" s="5" t="s">
        <v>16</v>
      </c>
      <c r="AJ216" s="5" t="s">
        <v>481</v>
      </c>
      <c r="AK216" s="5" t="s">
        <v>561</v>
      </c>
      <c r="AL216" s="5" t="s">
        <v>18</v>
      </c>
      <c r="AM216" s="6"/>
      <c r="AO216" s="5"/>
      <c r="AP216" s="5"/>
      <c r="AQ216" s="5"/>
      <c r="AR216" s="5"/>
      <c r="AS216" s="5"/>
      <c r="AU216" s="1547"/>
      <c r="AV216" s="35"/>
      <c r="AW216" s="36"/>
      <c r="AY216" s="34"/>
      <c r="AZ216" s="35"/>
      <c r="BA216" s="36"/>
      <c r="BC216" s="34"/>
      <c r="BD216" s="35"/>
      <c r="BE216" s="36"/>
      <c r="BG216" s="34"/>
      <c r="BH216" s="35"/>
      <c r="BI216" s="36"/>
      <c r="BK216" s="34"/>
      <c r="BL216" s="35"/>
      <c r="BM216" s="36"/>
      <c r="BO216" s="34"/>
      <c r="BP216" s="35"/>
      <c r="BQ216" s="36"/>
      <c r="BS216" s="1592"/>
      <c r="BT216" s="35"/>
      <c r="BU216" s="36"/>
      <c r="BW216" s="34"/>
      <c r="BX216" s="35"/>
      <c r="BY216" s="36"/>
      <c r="CA216" s="34"/>
      <c r="CB216" s="35"/>
      <c r="CC216" s="36"/>
      <c r="CE216" s="34"/>
      <c r="CF216" s="35"/>
      <c r="CG216" s="36"/>
      <c r="CI216" s="34"/>
      <c r="CJ216" s="35"/>
      <c r="CK216" s="36"/>
      <c r="CM216" s="34"/>
      <c r="CN216" s="35"/>
      <c r="CO216" s="36"/>
    </row>
    <row r="217" spans="1:93">
      <c r="A217" s="34"/>
      <c r="B217" s="35"/>
      <c r="C217" s="36"/>
      <c r="D217" s="37" t="str">
        <f>IF(C217&gt;=Mat!$E$71,"Material","No Mat")</f>
        <v>No Mat</v>
      </c>
      <c r="E217" s="834">
        <f>IF(C217&gt;=Mat!$E$71,C217/Mat!$E$71,0)</f>
        <v>0</v>
      </c>
      <c r="G217" s="34"/>
      <c r="H217" s="35"/>
      <c r="I217" s="48"/>
      <c r="J217" s="36"/>
      <c r="L217" s="506"/>
      <c r="M217" s="506" t="s">
        <v>2225</v>
      </c>
      <c r="N217" s="507">
        <f t="shared" si="40"/>
        <v>0</v>
      </c>
      <c r="O217" s="507">
        <f t="shared" si="41"/>
        <v>0</v>
      </c>
      <c r="P217" s="507">
        <f t="shared" si="42"/>
        <v>0</v>
      </c>
      <c r="Q217" s="507">
        <f t="shared" si="43"/>
        <v>0</v>
      </c>
      <c r="R217" s="507">
        <f t="shared" si="44"/>
        <v>0</v>
      </c>
      <c r="S217" s="507">
        <f t="shared" si="45"/>
        <v>0</v>
      </c>
      <c r="T217" s="507">
        <f t="shared" si="46"/>
        <v>0</v>
      </c>
      <c r="U217" s="507">
        <f t="shared" si="47"/>
        <v>0</v>
      </c>
      <c r="V217" s="507">
        <f t="shared" si="48"/>
        <v>0</v>
      </c>
      <c r="W217" s="507">
        <f t="shared" si="49"/>
        <v>0</v>
      </c>
      <c r="X217" s="507">
        <f t="shared" si="50"/>
        <v>0</v>
      </c>
      <c r="Y217" s="507">
        <f t="shared" si="51"/>
        <v>0</v>
      </c>
      <c r="Z217" s="11">
        <f t="shared" si="52"/>
        <v>0</v>
      </c>
      <c r="AC217" s="4">
        <v>456</v>
      </c>
      <c r="AD217" s="5" t="s">
        <v>635</v>
      </c>
      <c r="AE217" s="5" t="s">
        <v>627</v>
      </c>
      <c r="AF217" s="5" t="s">
        <v>636</v>
      </c>
      <c r="AG217" s="5" t="s">
        <v>637</v>
      </c>
      <c r="AH217" s="5" t="s">
        <v>18</v>
      </c>
      <c r="AI217" s="5" t="s">
        <v>16</v>
      </c>
      <c r="AJ217" s="5" t="s">
        <v>481</v>
      </c>
      <c r="AK217" s="5" t="s">
        <v>561</v>
      </c>
      <c r="AL217" s="5" t="s">
        <v>18</v>
      </c>
      <c r="AM217" s="6"/>
      <c r="AO217" s="5"/>
      <c r="AP217" s="5"/>
      <c r="AQ217" s="5"/>
      <c r="AR217" s="5"/>
      <c r="AS217" s="5"/>
      <c r="AU217" s="1547"/>
      <c r="AV217" s="35"/>
      <c r="AW217" s="36"/>
      <c r="AY217" s="34"/>
      <c r="AZ217" s="35"/>
      <c r="BA217" s="36"/>
      <c r="BC217" s="34"/>
      <c r="BD217" s="35"/>
      <c r="BE217" s="36"/>
      <c r="BG217" s="34"/>
      <c r="BH217" s="35"/>
      <c r="BI217" s="36"/>
      <c r="BK217" s="34"/>
      <c r="BL217" s="35"/>
      <c r="BM217" s="36"/>
      <c r="BO217" s="34"/>
      <c r="BP217" s="35"/>
      <c r="BQ217" s="36"/>
      <c r="BS217" s="1592"/>
      <c r="BT217" s="35"/>
      <c r="BU217" s="36"/>
      <c r="BW217" s="34"/>
      <c r="BX217" s="35"/>
      <c r="BY217" s="36"/>
      <c r="CA217" s="34"/>
      <c r="CB217" s="35"/>
      <c r="CC217" s="36"/>
      <c r="CE217" s="34"/>
      <c r="CF217" s="35"/>
      <c r="CG217" s="36"/>
      <c r="CI217" s="34"/>
      <c r="CJ217" s="35"/>
      <c r="CK217" s="36"/>
      <c r="CM217" s="34"/>
      <c r="CN217" s="35"/>
      <c r="CO217" s="36"/>
    </row>
    <row r="218" spans="1:93">
      <c r="A218" s="34"/>
      <c r="B218" s="35"/>
      <c r="C218" s="36"/>
      <c r="D218" s="37" t="str">
        <f>IF(C218&gt;=Mat!$E$71,"Material","No Mat")</f>
        <v>No Mat</v>
      </c>
      <c r="E218" s="834">
        <f>IF(C218&gt;=Mat!$E$71,C218/Mat!$E$71,0)</f>
        <v>0</v>
      </c>
      <c r="G218" s="34"/>
      <c r="H218" s="35"/>
      <c r="I218" s="48"/>
      <c r="J218" s="36"/>
      <c r="L218" s="506"/>
      <c r="M218" s="506" t="s">
        <v>589</v>
      </c>
      <c r="N218" s="507">
        <f t="shared" si="40"/>
        <v>0</v>
      </c>
      <c r="O218" s="507">
        <f t="shared" si="41"/>
        <v>0</v>
      </c>
      <c r="P218" s="507">
        <f t="shared" si="42"/>
        <v>0</v>
      </c>
      <c r="Q218" s="507">
        <f t="shared" si="43"/>
        <v>0</v>
      </c>
      <c r="R218" s="507">
        <f t="shared" si="44"/>
        <v>0</v>
      </c>
      <c r="S218" s="507">
        <f t="shared" si="45"/>
        <v>0</v>
      </c>
      <c r="T218" s="507">
        <f t="shared" si="46"/>
        <v>0</v>
      </c>
      <c r="U218" s="507">
        <f t="shared" si="47"/>
        <v>0</v>
      </c>
      <c r="V218" s="507">
        <f t="shared" si="48"/>
        <v>0</v>
      </c>
      <c r="W218" s="507">
        <f t="shared" si="49"/>
        <v>0</v>
      </c>
      <c r="X218" s="507">
        <f t="shared" si="50"/>
        <v>0</v>
      </c>
      <c r="Y218" s="507">
        <f t="shared" si="51"/>
        <v>0</v>
      </c>
      <c r="Z218" s="11">
        <f t="shared" si="52"/>
        <v>0</v>
      </c>
      <c r="AC218" s="4">
        <v>458</v>
      </c>
      <c r="AD218" s="5" t="s">
        <v>640</v>
      </c>
      <c r="AE218" s="5" t="s">
        <v>638</v>
      </c>
      <c r="AF218" s="5" t="s">
        <v>641</v>
      </c>
      <c r="AG218" s="5" t="s">
        <v>642</v>
      </c>
      <c r="AH218" s="5" t="s">
        <v>18</v>
      </c>
      <c r="AI218" s="5" t="s">
        <v>16</v>
      </c>
      <c r="AJ218" s="5" t="s">
        <v>481</v>
      </c>
      <c r="AK218" s="5" t="s">
        <v>561</v>
      </c>
      <c r="AL218" s="5" t="s">
        <v>18</v>
      </c>
      <c r="AM218" s="6"/>
      <c r="AO218" s="5"/>
      <c r="AP218" s="5"/>
      <c r="AQ218" s="5"/>
      <c r="AR218" s="5"/>
      <c r="AS218" s="5"/>
      <c r="AU218" s="1547"/>
      <c r="AV218" s="35"/>
      <c r="AW218" s="36"/>
      <c r="AY218" s="34"/>
      <c r="AZ218" s="35"/>
      <c r="BA218" s="36"/>
      <c r="BC218" s="34"/>
      <c r="BD218" s="35"/>
      <c r="BE218" s="36"/>
      <c r="BG218" s="34"/>
      <c r="BH218" s="35"/>
      <c r="BI218" s="36"/>
      <c r="BK218" s="34"/>
      <c r="BL218" s="35"/>
      <c r="BM218" s="36"/>
      <c r="BO218" s="34"/>
      <c r="BP218" s="35"/>
      <c r="BQ218" s="36"/>
      <c r="BS218" s="1592"/>
      <c r="BT218" s="35"/>
      <c r="BU218" s="36"/>
      <c r="BW218" s="34"/>
      <c r="BX218" s="35"/>
      <c r="BY218" s="36"/>
      <c r="CA218" s="34"/>
      <c r="CB218" s="35"/>
      <c r="CC218" s="36"/>
      <c r="CE218" s="34"/>
      <c r="CF218" s="35"/>
      <c r="CG218" s="36"/>
      <c r="CI218" s="34"/>
      <c r="CJ218" s="35"/>
      <c r="CK218" s="36"/>
      <c r="CM218" s="34"/>
      <c r="CN218" s="35"/>
      <c r="CO218" s="36"/>
    </row>
    <row r="219" spans="1:93">
      <c r="A219" s="34"/>
      <c r="B219" s="35"/>
      <c r="C219" s="36"/>
      <c r="D219" s="37" t="str">
        <f>IF(C219&gt;=Mat!$E$71,"Material","No Mat")</f>
        <v>No Mat</v>
      </c>
      <c r="E219" s="834">
        <f>IF(C219&gt;=Mat!$E$71,C219/Mat!$E$71,0)</f>
        <v>0</v>
      </c>
      <c r="G219" s="34"/>
      <c r="H219" s="35"/>
      <c r="I219" s="48"/>
      <c r="J219" s="36"/>
      <c r="L219" s="506"/>
      <c r="M219" s="506" t="s">
        <v>2312</v>
      </c>
      <c r="N219" s="507">
        <f t="shared" si="40"/>
        <v>0</v>
      </c>
      <c r="O219" s="507">
        <f t="shared" si="41"/>
        <v>0</v>
      </c>
      <c r="P219" s="507">
        <f t="shared" si="42"/>
        <v>0</v>
      </c>
      <c r="Q219" s="507">
        <f t="shared" si="43"/>
        <v>0</v>
      </c>
      <c r="R219" s="507">
        <f t="shared" si="44"/>
        <v>0</v>
      </c>
      <c r="S219" s="507">
        <f t="shared" si="45"/>
        <v>0</v>
      </c>
      <c r="T219" s="507">
        <f t="shared" si="46"/>
        <v>0</v>
      </c>
      <c r="U219" s="507">
        <f t="shared" si="47"/>
        <v>0</v>
      </c>
      <c r="V219" s="507">
        <f t="shared" si="48"/>
        <v>0</v>
      </c>
      <c r="W219" s="507">
        <f t="shared" si="49"/>
        <v>0</v>
      </c>
      <c r="X219" s="507">
        <f t="shared" si="50"/>
        <v>0</v>
      </c>
      <c r="Y219" s="507">
        <f t="shared" si="51"/>
        <v>0</v>
      </c>
      <c r="Z219" s="11">
        <f t="shared" si="52"/>
        <v>0</v>
      </c>
      <c r="AC219" s="4">
        <v>460</v>
      </c>
      <c r="AD219" s="5" t="s">
        <v>643</v>
      </c>
      <c r="AE219" s="5" t="s">
        <v>638</v>
      </c>
      <c r="AF219" s="5" t="s">
        <v>644</v>
      </c>
      <c r="AG219" s="5" t="s">
        <v>645</v>
      </c>
      <c r="AH219" s="5" t="s">
        <v>18</v>
      </c>
      <c r="AI219" s="5" t="s">
        <v>16</v>
      </c>
      <c r="AJ219" s="5" t="s">
        <v>481</v>
      </c>
      <c r="AK219" s="5" t="s">
        <v>561</v>
      </c>
      <c r="AL219" s="5" t="s">
        <v>18</v>
      </c>
      <c r="AM219" s="6"/>
      <c r="AO219" s="5"/>
      <c r="AP219" s="5"/>
      <c r="AQ219" s="5"/>
      <c r="AR219" s="5"/>
      <c r="AS219" s="5"/>
      <c r="AU219" s="1547"/>
      <c r="AV219" s="35"/>
      <c r="AW219" s="36"/>
      <c r="AY219" s="34"/>
      <c r="AZ219" s="35"/>
      <c r="BA219" s="36"/>
      <c r="BC219" s="34"/>
      <c r="BD219" s="35"/>
      <c r="BE219" s="36"/>
      <c r="BG219" s="34"/>
      <c r="BH219" s="35"/>
      <c r="BI219" s="36"/>
      <c r="BK219" s="34"/>
      <c r="BL219" s="35"/>
      <c r="BM219" s="36"/>
      <c r="BO219" s="34"/>
      <c r="BP219" s="35"/>
      <c r="BQ219" s="36"/>
      <c r="BS219" s="1592"/>
      <c r="BT219" s="35"/>
      <c r="BU219" s="36"/>
      <c r="BW219" s="34"/>
      <c r="BX219" s="35"/>
      <c r="BY219" s="36"/>
      <c r="CA219" s="34"/>
      <c r="CB219" s="35"/>
      <c r="CC219" s="36"/>
      <c r="CE219" s="34"/>
      <c r="CF219" s="35"/>
      <c r="CG219" s="36"/>
      <c r="CI219" s="34"/>
      <c r="CJ219" s="35"/>
      <c r="CK219" s="36"/>
      <c r="CM219" s="34"/>
      <c r="CN219" s="35"/>
      <c r="CO219" s="36"/>
    </row>
    <row r="220" spans="1:93">
      <c r="A220" s="34"/>
      <c r="B220" s="35"/>
      <c r="C220" s="36"/>
      <c r="D220" s="37" t="str">
        <f>IF(C220&gt;=Mat!$E$71,"Material","No Mat")</f>
        <v>No Mat</v>
      </c>
      <c r="E220" s="834">
        <f>IF(C220&gt;=Mat!$E$71,C220/Mat!$E$71,0)</f>
        <v>0</v>
      </c>
      <c r="G220" s="34"/>
      <c r="H220" s="35"/>
      <c r="I220" s="48"/>
      <c r="J220" s="36"/>
      <c r="L220" s="506"/>
      <c r="M220" s="506" t="s">
        <v>2323</v>
      </c>
      <c r="N220" s="507">
        <f t="shared" si="40"/>
        <v>0</v>
      </c>
      <c r="O220" s="507">
        <f t="shared" si="41"/>
        <v>0</v>
      </c>
      <c r="P220" s="507">
        <f t="shared" si="42"/>
        <v>0</v>
      </c>
      <c r="Q220" s="507">
        <f t="shared" si="43"/>
        <v>0</v>
      </c>
      <c r="R220" s="507">
        <f t="shared" si="44"/>
        <v>0</v>
      </c>
      <c r="S220" s="507">
        <f t="shared" si="45"/>
        <v>0</v>
      </c>
      <c r="T220" s="507">
        <f t="shared" si="46"/>
        <v>0</v>
      </c>
      <c r="U220" s="507">
        <f t="shared" si="47"/>
        <v>0</v>
      </c>
      <c r="V220" s="507">
        <f t="shared" si="48"/>
        <v>0</v>
      </c>
      <c r="W220" s="507">
        <f t="shared" si="49"/>
        <v>0</v>
      </c>
      <c r="X220" s="507">
        <f t="shared" si="50"/>
        <v>0</v>
      </c>
      <c r="Y220" s="507">
        <f t="shared" si="51"/>
        <v>0</v>
      </c>
      <c r="Z220" s="11">
        <f t="shared" si="52"/>
        <v>0</v>
      </c>
      <c r="AC220" s="4">
        <v>462</v>
      </c>
      <c r="AD220" s="5" t="s">
        <v>646</v>
      </c>
      <c r="AE220" s="5" t="s">
        <v>638</v>
      </c>
      <c r="AF220" s="5" t="s">
        <v>647</v>
      </c>
      <c r="AG220" s="5" t="s">
        <v>648</v>
      </c>
      <c r="AH220" s="5" t="s">
        <v>18</v>
      </c>
      <c r="AI220" s="5" t="s">
        <v>16</v>
      </c>
      <c r="AJ220" s="5" t="s">
        <v>481</v>
      </c>
      <c r="AK220" s="5" t="s">
        <v>561</v>
      </c>
      <c r="AL220" s="5" t="s">
        <v>18</v>
      </c>
      <c r="AM220" s="6"/>
      <c r="AO220" s="5"/>
      <c r="AP220" s="5"/>
      <c r="AQ220" s="5"/>
      <c r="AR220" s="5"/>
      <c r="AS220" s="5"/>
      <c r="AU220" s="1547"/>
      <c r="AV220" s="35"/>
      <c r="AW220" s="36"/>
      <c r="AY220" s="34"/>
      <c r="AZ220" s="35"/>
      <c r="BA220" s="36"/>
      <c r="BC220" s="34"/>
      <c r="BD220" s="35"/>
      <c r="BE220" s="36"/>
      <c r="BG220" s="34"/>
      <c r="BH220" s="35"/>
      <c r="BI220" s="36"/>
      <c r="BK220" s="34"/>
      <c r="BL220" s="35"/>
      <c r="BM220" s="36"/>
      <c r="BO220" s="34"/>
      <c r="BP220" s="35"/>
      <c r="BQ220" s="36"/>
      <c r="BS220" s="1592"/>
      <c r="BT220" s="35"/>
      <c r="BU220" s="36"/>
      <c r="BW220" s="34"/>
      <c r="BX220" s="35"/>
      <c r="BY220" s="36"/>
      <c r="CA220" s="34"/>
      <c r="CB220" s="35"/>
      <c r="CC220" s="36"/>
      <c r="CE220" s="34"/>
      <c r="CF220" s="35"/>
      <c r="CG220" s="36"/>
      <c r="CI220" s="34"/>
      <c r="CJ220" s="35"/>
      <c r="CK220" s="36"/>
      <c r="CM220" s="34"/>
      <c r="CN220" s="35"/>
      <c r="CO220" s="36"/>
    </row>
    <row r="221" spans="1:93">
      <c r="A221" s="34"/>
      <c r="B221" s="35"/>
      <c r="C221" s="36"/>
      <c r="D221" s="37" t="str">
        <f>IF(C221&gt;=Mat!$E$71,"Material","No Mat")</f>
        <v>No Mat</v>
      </c>
      <c r="E221" s="834">
        <f>IF(C221&gt;=Mat!$E$71,C221/Mat!$E$71,0)</f>
        <v>0</v>
      </c>
      <c r="G221" s="34"/>
      <c r="H221" s="35"/>
      <c r="I221" s="48"/>
      <c r="J221" s="36"/>
      <c r="L221" s="506"/>
      <c r="M221" s="506" t="s">
        <v>3801</v>
      </c>
      <c r="N221" s="507">
        <f>IFERROR(VLOOKUP(M221,$AV$8:$AW$298,2,FALSE),0)</f>
        <v>0</v>
      </c>
      <c r="O221" s="507">
        <f>IFERROR(VLOOKUP(M221,$AZ$8:$BA$298,2,FALSE),0)</f>
        <v>119035</v>
      </c>
      <c r="P221" s="507">
        <f>IFERROR(VLOOKUP(M221,$BD$8:$BE$298,2,FALSE),0)</f>
        <v>238070</v>
      </c>
      <c r="Q221" s="507">
        <f t="shared" si="43"/>
        <v>0</v>
      </c>
      <c r="R221" s="507">
        <f t="shared" si="44"/>
        <v>0</v>
      </c>
      <c r="S221" s="507">
        <f t="shared" si="45"/>
        <v>0</v>
      </c>
      <c r="T221" s="507">
        <f t="shared" si="46"/>
        <v>0</v>
      </c>
      <c r="U221" s="507">
        <f t="shared" si="47"/>
        <v>0</v>
      </c>
      <c r="V221" s="507">
        <f t="shared" si="48"/>
        <v>0</v>
      </c>
      <c r="W221" s="507">
        <f t="shared" si="49"/>
        <v>0</v>
      </c>
      <c r="X221" s="507">
        <f t="shared" si="50"/>
        <v>0</v>
      </c>
      <c r="Y221" s="507">
        <f t="shared" si="51"/>
        <v>0</v>
      </c>
      <c r="Z221" s="11">
        <f t="shared" si="52"/>
        <v>357105</v>
      </c>
      <c r="AA221" s="11"/>
      <c r="AC221" s="4">
        <v>464</v>
      </c>
      <c r="AD221" s="5" t="s">
        <v>649</v>
      </c>
      <c r="AE221" s="5" t="s">
        <v>638</v>
      </c>
      <c r="AF221" s="5" t="s">
        <v>650</v>
      </c>
      <c r="AG221" s="5" t="s">
        <v>651</v>
      </c>
      <c r="AH221" s="5" t="s">
        <v>18</v>
      </c>
      <c r="AI221" s="5" t="s">
        <v>16</v>
      </c>
      <c r="AJ221" s="5" t="s">
        <v>481</v>
      </c>
      <c r="AK221" s="5" t="s">
        <v>561</v>
      </c>
      <c r="AL221" s="5" t="s">
        <v>18</v>
      </c>
      <c r="AM221" s="6"/>
      <c r="AO221" s="5"/>
      <c r="AP221" s="5"/>
      <c r="AQ221" s="5"/>
      <c r="AR221" s="5"/>
      <c r="AS221" s="5"/>
      <c r="AU221" s="1547"/>
      <c r="AV221" s="35"/>
      <c r="AW221" s="36"/>
      <c r="AY221" s="34"/>
      <c r="AZ221" s="35"/>
      <c r="BA221" s="36"/>
      <c r="BC221" s="34"/>
      <c r="BD221" s="35"/>
      <c r="BE221" s="36"/>
      <c r="BG221" s="34"/>
      <c r="BH221" s="35"/>
      <c r="BI221" s="36"/>
      <c r="BK221" s="34"/>
      <c r="BL221" s="35"/>
      <c r="BM221" s="36"/>
      <c r="BO221" s="34"/>
      <c r="BP221" s="35"/>
      <c r="BQ221" s="36"/>
      <c r="BS221" s="1592"/>
      <c r="BT221" s="35"/>
      <c r="BU221" s="36"/>
      <c r="BW221" s="34"/>
      <c r="BX221" s="35"/>
      <c r="BY221" s="36"/>
      <c r="CA221" s="34"/>
      <c r="CB221" s="35"/>
      <c r="CC221" s="36"/>
      <c r="CE221" s="34"/>
      <c r="CF221" s="35"/>
      <c r="CG221" s="36"/>
      <c r="CI221" s="34"/>
      <c r="CJ221" s="35"/>
      <c r="CK221" s="36"/>
      <c r="CM221" s="34"/>
      <c r="CN221" s="35"/>
      <c r="CO221" s="36"/>
    </row>
    <row r="222" spans="1:93">
      <c r="A222" s="34"/>
      <c r="B222" s="35"/>
      <c r="C222" s="36"/>
      <c r="D222" s="37" t="str">
        <f>IF(C222&gt;=Mat!$E$71,"Material","No Mat")</f>
        <v>No Mat</v>
      </c>
      <c r="E222" s="834">
        <f>IF(C222&gt;=Mat!$E$71,C222/Mat!$E$71,0)</f>
        <v>0</v>
      </c>
      <c r="G222" s="34"/>
      <c r="H222" s="35"/>
      <c r="I222" s="48"/>
      <c r="J222" s="36"/>
      <c r="L222" s="506"/>
      <c r="M222" s="506" t="s">
        <v>2324</v>
      </c>
      <c r="N222" s="507">
        <f t="shared" si="40"/>
        <v>0</v>
      </c>
      <c r="O222" s="507">
        <f t="shared" si="41"/>
        <v>0</v>
      </c>
      <c r="P222" s="507">
        <f t="shared" si="42"/>
        <v>0</v>
      </c>
      <c r="Q222" s="507">
        <f t="shared" si="43"/>
        <v>0</v>
      </c>
      <c r="R222" s="507">
        <f t="shared" si="44"/>
        <v>0</v>
      </c>
      <c r="S222" s="507">
        <f t="shared" si="45"/>
        <v>0</v>
      </c>
      <c r="T222" s="507">
        <f t="shared" si="46"/>
        <v>0</v>
      </c>
      <c r="U222" s="507">
        <f t="shared" si="47"/>
        <v>0</v>
      </c>
      <c r="V222" s="507">
        <f t="shared" si="48"/>
        <v>0</v>
      </c>
      <c r="W222" s="507">
        <f t="shared" si="49"/>
        <v>0</v>
      </c>
      <c r="X222" s="507">
        <f t="shared" si="50"/>
        <v>0</v>
      </c>
      <c r="Y222" s="507">
        <f t="shared" si="51"/>
        <v>0</v>
      </c>
      <c r="Z222" s="11">
        <f t="shared" si="52"/>
        <v>0</v>
      </c>
      <c r="AC222" s="4">
        <v>466</v>
      </c>
      <c r="AD222" s="5" t="s">
        <v>656</v>
      </c>
      <c r="AE222" s="5" t="s">
        <v>654</v>
      </c>
      <c r="AF222" s="5" t="s">
        <v>657</v>
      </c>
      <c r="AG222" s="5" t="s">
        <v>658</v>
      </c>
      <c r="AH222" s="5" t="s">
        <v>18</v>
      </c>
      <c r="AI222" s="5" t="s">
        <v>16</v>
      </c>
      <c r="AJ222" s="5" t="s">
        <v>481</v>
      </c>
      <c r="AK222" s="5" t="s">
        <v>561</v>
      </c>
      <c r="AL222" s="5" t="s">
        <v>18</v>
      </c>
      <c r="AM222" s="6"/>
      <c r="AO222" s="5"/>
      <c r="AP222" s="5"/>
      <c r="AQ222" s="5"/>
      <c r="AR222" s="5"/>
      <c r="AS222" s="5"/>
      <c r="AU222" s="1547"/>
      <c r="AV222" s="35"/>
      <c r="AW222" s="36"/>
      <c r="AY222" s="34"/>
      <c r="AZ222" s="35"/>
      <c r="BA222" s="36"/>
      <c r="BC222" s="34"/>
      <c r="BD222" s="35"/>
      <c r="BE222" s="36"/>
      <c r="BG222" s="34"/>
      <c r="BH222" s="35"/>
      <c r="BI222" s="36"/>
      <c r="BK222" s="34"/>
      <c r="BL222" s="35"/>
      <c r="BM222" s="36"/>
      <c r="BO222" s="34"/>
      <c r="BP222" s="35"/>
      <c r="BQ222" s="36"/>
      <c r="BS222" s="1592"/>
      <c r="BT222" s="35"/>
      <c r="BU222" s="36"/>
      <c r="BW222" s="34"/>
      <c r="BX222" s="35"/>
      <c r="BY222" s="36"/>
      <c r="CA222" s="34"/>
      <c r="CB222" s="35"/>
      <c r="CC222" s="36"/>
      <c r="CE222" s="34"/>
      <c r="CF222" s="35"/>
      <c r="CG222" s="36"/>
      <c r="CI222" s="34"/>
      <c r="CJ222" s="35"/>
      <c r="CK222" s="36"/>
      <c r="CM222" s="34"/>
      <c r="CN222" s="35"/>
      <c r="CO222" s="36"/>
    </row>
    <row r="223" spans="1:93">
      <c r="A223" s="34"/>
      <c r="B223" s="35"/>
      <c r="C223" s="36"/>
      <c r="D223" s="37" t="str">
        <f>IF(C223&gt;=Mat!$E$71,"Material","No Mat")</f>
        <v>No Mat</v>
      </c>
      <c r="E223" s="834">
        <f>IF(C223&gt;=Mat!$E$71,C223/Mat!$E$71,0)</f>
        <v>0</v>
      </c>
      <c r="G223" s="34"/>
      <c r="H223" s="35"/>
      <c r="I223" s="48"/>
      <c r="J223" s="36"/>
      <c r="L223" s="506"/>
      <c r="M223" s="506" t="s">
        <v>595</v>
      </c>
      <c r="N223" s="507">
        <f t="shared" si="40"/>
        <v>0</v>
      </c>
      <c r="O223" s="507">
        <f t="shared" si="41"/>
        <v>0</v>
      </c>
      <c r="P223" s="507">
        <f t="shared" si="42"/>
        <v>0</v>
      </c>
      <c r="Q223" s="507">
        <f t="shared" si="43"/>
        <v>0</v>
      </c>
      <c r="R223" s="507">
        <f t="shared" si="44"/>
        <v>0</v>
      </c>
      <c r="S223" s="507">
        <f t="shared" si="45"/>
        <v>0</v>
      </c>
      <c r="T223" s="507">
        <f t="shared" si="46"/>
        <v>0</v>
      </c>
      <c r="U223" s="507">
        <f t="shared" si="47"/>
        <v>0</v>
      </c>
      <c r="V223" s="507">
        <f t="shared" si="48"/>
        <v>0</v>
      </c>
      <c r="W223" s="507">
        <f t="shared" si="49"/>
        <v>0</v>
      </c>
      <c r="X223" s="507">
        <f t="shared" si="50"/>
        <v>0</v>
      </c>
      <c r="Y223" s="507">
        <f t="shared" si="51"/>
        <v>0</v>
      </c>
      <c r="Z223" s="11">
        <f t="shared" si="52"/>
        <v>0</v>
      </c>
      <c r="AC223" s="4">
        <v>468</v>
      </c>
      <c r="AD223" s="5" t="s">
        <v>659</v>
      </c>
      <c r="AE223" s="5" t="s">
        <v>654</v>
      </c>
      <c r="AF223" s="5" t="s">
        <v>660</v>
      </c>
      <c r="AG223" s="5" t="s">
        <v>661</v>
      </c>
      <c r="AH223" s="5" t="s">
        <v>18</v>
      </c>
      <c r="AI223" s="5" t="s">
        <v>16</v>
      </c>
      <c r="AJ223" s="5" t="s">
        <v>481</v>
      </c>
      <c r="AK223" s="5" t="s">
        <v>561</v>
      </c>
      <c r="AL223" s="5" t="s">
        <v>18</v>
      </c>
      <c r="AM223" s="6"/>
      <c r="AO223" s="5"/>
      <c r="AP223" s="5"/>
      <c r="AQ223" s="5"/>
      <c r="AR223" s="5"/>
      <c r="AS223" s="5"/>
      <c r="AU223" s="1547"/>
      <c r="AV223" s="35"/>
      <c r="AW223" s="36"/>
      <c r="AY223" s="34"/>
      <c r="AZ223" s="35"/>
      <c r="BA223" s="36"/>
      <c r="BC223" s="34"/>
      <c r="BD223" s="35"/>
      <c r="BE223" s="36"/>
      <c r="BG223" s="34"/>
      <c r="BH223" s="35"/>
      <c r="BI223" s="36"/>
      <c r="BK223" s="34"/>
      <c r="BL223" s="35"/>
      <c r="BM223" s="36"/>
      <c r="BO223" s="34"/>
      <c r="BP223" s="35"/>
      <c r="BQ223" s="36"/>
      <c r="BS223" s="1592"/>
      <c r="BT223" s="35"/>
      <c r="BU223" s="36"/>
      <c r="BW223" s="34"/>
      <c r="BX223" s="35"/>
      <c r="BY223" s="36"/>
      <c r="CA223" s="34"/>
      <c r="CB223" s="35"/>
      <c r="CC223" s="36"/>
      <c r="CE223" s="34"/>
      <c r="CF223" s="35"/>
      <c r="CG223" s="36"/>
      <c r="CI223" s="34"/>
      <c r="CJ223" s="35"/>
      <c r="CK223" s="36"/>
      <c r="CM223" s="34"/>
      <c r="CN223" s="35"/>
      <c r="CO223" s="36"/>
    </row>
    <row r="224" spans="1:93">
      <c r="A224" s="34"/>
      <c r="B224" s="35"/>
      <c r="C224" s="36"/>
      <c r="D224" s="37" t="str">
        <f>IF(C224&gt;=Mat!$E$71,"Material","No Mat")</f>
        <v>No Mat</v>
      </c>
      <c r="E224" s="834">
        <f>IF(C224&gt;=Mat!$E$71,C224/Mat!$E$71,0)</f>
        <v>0</v>
      </c>
      <c r="G224" s="34"/>
      <c r="H224" s="35"/>
      <c r="I224" s="48"/>
      <c r="J224" s="36"/>
      <c r="L224" s="506"/>
      <c r="M224" s="506" t="s">
        <v>598</v>
      </c>
      <c r="N224" s="507">
        <f t="shared" si="40"/>
        <v>0</v>
      </c>
      <c r="O224" s="507">
        <f t="shared" si="41"/>
        <v>0</v>
      </c>
      <c r="P224" s="507">
        <f t="shared" si="42"/>
        <v>0</v>
      </c>
      <c r="Q224" s="507">
        <f t="shared" si="43"/>
        <v>0</v>
      </c>
      <c r="R224" s="507">
        <f t="shared" si="44"/>
        <v>0</v>
      </c>
      <c r="S224" s="507">
        <f t="shared" si="45"/>
        <v>0</v>
      </c>
      <c r="T224" s="507">
        <f t="shared" si="46"/>
        <v>0</v>
      </c>
      <c r="U224" s="507">
        <f t="shared" si="47"/>
        <v>0</v>
      </c>
      <c r="V224" s="507">
        <f t="shared" si="48"/>
        <v>0</v>
      </c>
      <c r="W224" s="507">
        <f t="shared" si="49"/>
        <v>0</v>
      </c>
      <c r="X224" s="507">
        <f t="shared" si="50"/>
        <v>0</v>
      </c>
      <c r="Y224" s="507">
        <f t="shared" si="51"/>
        <v>0</v>
      </c>
      <c r="Z224" s="11">
        <f t="shared" si="52"/>
        <v>0</v>
      </c>
      <c r="AC224" s="4">
        <v>470</v>
      </c>
      <c r="AD224" s="5" t="s">
        <v>662</v>
      </c>
      <c r="AE224" s="5" t="s">
        <v>654</v>
      </c>
      <c r="AF224" s="5" t="s">
        <v>663</v>
      </c>
      <c r="AG224" s="5" t="s">
        <v>664</v>
      </c>
      <c r="AH224" s="5" t="s">
        <v>18</v>
      </c>
      <c r="AI224" s="5" t="s">
        <v>16</v>
      </c>
      <c r="AJ224" s="5" t="s">
        <v>481</v>
      </c>
      <c r="AK224" s="5" t="s">
        <v>561</v>
      </c>
      <c r="AL224" s="5" t="s">
        <v>18</v>
      </c>
      <c r="AM224" s="6"/>
      <c r="AO224" s="5"/>
      <c r="AP224" s="5"/>
      <c r="AQ224" s="5"/>
      <c r="AR224" s="5"/>
      <c r="AS224" s="5"/>
      <c r="AU224" s="1547"/>
      <c r="AV224" s="35"/>
      <c r="AW224" s="36"/>
      <c r="AY224" s="34"/>
      <c r="AZ224" s="35"/>
      <c r="BA224" s="36"/>
      <c r="BC224" s="34"/>
      <c r="BD224" s="35"/>
      <c r="BE224" s="36"/>
      <c r="BG224" s="34"/>
      <c r="BH224" s="35"/>
      <c r="BI224" s="36"/>
      <c r="BK224" s="34"/>
      <c r="BL224" s="35"/>
      <c r="BM224" s="36"/>
      <c r="BO224" s="34"/>
      <c r="BP224" s="35"/>
      <c r="BQ224" s="36"/>
      <c r="BS224" s="1592"/>
      <c r="BT224" s="35"/>
      <c r="BU224" s="36"/>
      <c r="BW224" s="34"/>
      <c r="BX224" s="35"/>
      <c r="BY224" s="36"/>
      <c r="CA224" s="34"/>
      <c r="CB224" s="35"/>
      <c r="CC224" s="36"/>
      <c r="CE224" s="34"/>
      <c r="CF224" s="35"/>
      <c r="CG224" s="36"/>
      <c r="CI224" s="34"/>
      <c r="CJ224" s="35"/>
      <c r="CK224" s="36"/>
      <c r="CM224" s="34"/>
      <c r="CN224" s="35"/>
      <c r="CO224" s="36"/>
    </row>
    <row r="225" spans="1:93">
      <c r="A225" s="34"/>
      <c r="B225" s="35"/>
      <c r="C225" s="36"/>
      <c r="D225" s="37" t="str">
        <f>IF(C225&gt;=Mat!$E$71,"Material","No Mat")</f>
        <v>No Mat</v>
      </c>
      <c r="E225" s="834">
        <f>IF(C225&gt;=Mat!$E$71,C225/Mat!$E$71,0)</f>
        <v>0</v>
      </c>
      <c r="G225" s="34"/>
      <c r="H225" s="35"/>
      <c r="I225" s="48"/>
      <c r="J225" s="36"/>
      <c r="L225" s="506"/>
      <c r="M225" s="506" t="s">
        <v>603</v>
      </c>
      <c r="N225" s="507">
        <f t="shared" si="40"/>
        <v>0</v>
      </c>
      <c r="O225" s="507">
        <f t="shared" si="41"/>
        <v>215000</v>
      </c>
      <c r="P225" s="507">
        <f t="shared" si="42"/>
        <v>215000</v>
      </c>
      <c r="Q225" s="507">
        <f t="shared" si="43"/>
        <v>0</v>
      </c>
      <c r="R225" s="507">
        <f t="shared" si="44"/>
        <v>0</v>
      </c>
      <c r="S225" s="507">
        <f t="shared" si="45"/>
        <v>0</v>
      </c>
      <c r="T225" s="507">
        <f t="shared" si="46"/>
        <v>0</v>
      </c>
      <c r="U225" s="507">
        <f t="shared" si="47"/>
        <v>0</v>
      </c>
      <c r="V225" s="507">
        <f t="shared" si="48"/>
        <v>0</v>
      </c>
      <c r="W225" s="507">
        <f t="shared" si="49"/>
        <v>0</v>
      </c>
      <c r="X225" s="507">
        <f t="shared" si="50"/>
        <v>0</v>
      </c>
      <c r="Y225" s="507">
        <f t="shared" si="51"/>
        <v>0</v>
      </c>
      <c r="Z225" s="11">
        <f t="shared" si="52"/>
        <v>430000</v>
      </c>
      <c r="AC225" s="4">
        <v>472</v>
      </c>
      <c r="AD225" s="5" t="s">
        <v>665</v>
      </c>
      <c r="AE225" s="5" t="s">
        <v>654</v>
      </c>
      <c r="AF225" s="5" t="s">
        <v>666</v>
      </c>
      <c r="AG225" s="5" t="s">
        <v>667</v>
      </c>
      <c r="AH225" s="5" t="s">
        <v>18</v>
      </c>
      <c r="AI225" s="5" t="s">
        <v>16</v>
      </c>
      <c r="AJ225" s="5" t="s">
        <v>481</v>
      </c>
      <c r="AK225" s="5" t="s">
        <v>561</v>
      </c>
      <c r="AL225" s="5" t="s">
        <v>18</v>
      </c>
      <c r="AM225" s="6"/>
      <c r="AO225" s="5"/>
      <c r="AP225" s="5"/>
      <c r="AQ225" s="5"/>
      <c r="AR225" s="5"/>
      <c r="AS225" s="5"/>
      <c r="AU225" s="1547"/>
      <c r="AV225" s="35"/>
      <c r="AW225" s="36"/>
      <c r="AY225" s="34"/>
      <c r="AZ225" s="35"/>
      <c r="BA225" s="36"/>
      <c r="BC225" s="34"/>
      <c r="BD225" s="35"/>
      <c r="BE225" s="36"/>
      <c r="BG225" s="34"/>
      <c r="BH225" s="35"/>
      <c r="BI225" s="36"/>
      <c r="BK225" s="34"/>
      <c r="BL225" s="35"/>
      <c r="BM225" s="36"/>
      <c r="BO225" s="34"/>
      <c r="BP225" s="35"/>
      <c r="BQ225" s="36"/>
      <c r="BS225" s="1592"/>
      <c r="BT225" s="35"/>
      <c r="BU225" s="36"/>
      <c r="BW225" s="34"/>
      <c r="BX225" s="35"/>
      <c r="BY225" s="36"/>
      <c r="CA225" s="34"/>
      <c r="CB225" s="35"/>
      <c r="CC225" s="36"/>
      <c r="CE225" s="34"/>
      <c r="CF225" s="35"/>
      <c r="CG225" s="36"/>
      <c r="CI225" s="34"/>
      <c r="CJ225" s="35"/>
      <c r="CK225" s="36"/>
      <c r="CM225" s="34"/>
      <c r="CN225" s="35"/>
      <c r="CO225" s="36"/>
    </row>
    <row r="226" spans="1:93">
      <c r="A226" s="34"/>
      <c r="B226" s="35"/>
      <c r="C226" s="36"/>
      <c r="D226" s="37" t="str">
        <f>IF(C226&gt;=Mat!$E$71,"Material","No Mat")</f>
        <v>No Mat</v>
      </c>
      <c r="E226" s="834">
        <f>IF(C226&gt;=Mat!$E$71,C226/Mat!$E$71,0)</f>
        <v>0</v>
      </c>
      <c r="G226" s="34"/>
      <c r="H226" s="35"/>
      <c r="I226" s="48"/>
      <c r="J226" s="36"/>
      <c r="L226" s="506"/>
      <c r="M226" s="506" t="s">
        <v>606</v>
      </c>
      <c r="N226" s="507">
        <f t="shared" si="40"/>
        <v>0</v>
      </c>
      <c r="O226" s="507">
        <f t="shared" si="41"/>
        <v>0</v>
      </c>
      <c r="P226" s="507">
        <f t="shared" si="42"/>
        <v>0</v>
      </c>
      <c r="Q226" s="507">
        <f t="shared" si="43"/>
        <v>0</v>
      </c>
      <c r="R226" s="507">
        <f t="shared" si="44"/>
        <v>0</v>
      </c>
      <c r="S226" s="507">
        <f t="shared" si="45"/>
        <v>0</v>
      </c>
      <c r="T226" s="507">
        <f t="shared" si="46"/>
        <v>0</v>
      </c>
      <c r="U226" s="507">
        <f t="shared" si="47"/>
        <v>0</v>
      </c>
      <c r="V226" s="507">
        <f t="shared" si="48"/>
        <v>0</v>
      </c>
      <c r="W226" s="507">
        <f t="shared" si="49"/>
        <v>0</v>
      </c>
      <c r="X226" s="507">
        <f t="shared" si="50"/>
        <v>0</v>
      </c>
      <c r="Y226" s="507">
        <f t="shared" si="51"/>
        <v>0</v>
      </c>
      <c r="Z226" s="11">
        <f t="shared" si="52"/>
        <v>0</v>
      </c>
      <c r="AC226" s="4">
        <v>474</v>
      </c>
      <c r="AD226" s="5" t="s">
        <v>668</v>
      </c>
      <c r="AE226" s="5" t="s">
        <v>654</v>
      </c>
      <c r="AF226" s="5" t="s">
        <v>669</v>
      </c>
      <c r="AG226" s="5" t="s">
        <v>670</v>
      </c>
      <c r="AH226" s="5" t="s">
        <v>18</v>
      </c>
      <c r="AI226" s="5" t="s">
        <v>16</v>
      </c>
      <c r="AJ226" s="5" t="s">
        <v>481</v>
      </c>
      <c r="AK226" s="5" t="s">
        <v>561</v>
      </c>
      <c r="AL226" s="5" t="s">
        <v>18</v>
      </c>
      <c r="AM226" s="6"/>
      <c r="AO226" s="5"/>
      <c r="AP226" s="5"/>
      <c r="AQ226" s="5"/>
      <c r="AR226" s="5"/>
      <c r="AS226" s="5"/>
      <c r="AU226" s="1547"/>
      <c r="AV226" s="35"/>
      <c r="AW226" s="36"/>
      <c r="AY226" s="34"/>
      <c r="AZ226" s="35"/>
      <c r="BA226" s="36"/>
      <c r="BC226" s="34"/>
      <c r="BD226" s="35"/>
      <c r="BE226" s="36"/>
      <c r="BG226" s="34"/>
      <c r="BH226" s="35"/>
      <c r="BI226" s="36"/>
      <c r="BK226" s="34"/>
      <c r="BL226" s="35"/>
      <c r="BM226" s="36"/>
      <c r="BO226" s="34"/>
      <c r="BP226" s="35"/>
      <c r="BQ226" s="36"/>
      <c r="BS226" s="1592"/>
      <c r="BT226" s="35"/>
      <c r="BU226" s="36"/>
      <c r="BW226" s="34"/>
      <c r="BX226" s="35"/>
      <c r="BY226" s="36"/>
      <c r="CA226" s="34"/>
      <c r="CB226" s="35"/>
      <c r="CC226" s="36"/>
      <c r="CE226" s="34"/>
      <c r="CF226" s="35"/>
      <c r="CG226" s="36"/>
      <c r="CI226" s="34"/>
      <c r="CJ226" s="35"/>
      <c r="CK226" s="36"/>
      <c r="CM226" s="34"/>
      <c r="CN226" s="35"/>
      <c r="CO226" s="36"/>
    </row>
    <row r="227" spans="1:93">
      <c r="A227" s="34"/>
      <c r="B227" s="35"/>
      <c r="C227" s="36"/>
      <c r="D227" s="37" t="str">
        <f>IF(C227&gt;=Mat!$E$71,"Material","No Mat")</f>
        <v>No Mat</v>
      </c>
      <c r="E227" s="834">
        <f>IF(C227&gt;=Mat!$E$71,C227/Mat!$E$71,0)</f>
        <v>0</v>
      </c>
      <c r="G227" s="34"/>
      <c r="H227" s="35"/>
      <c r="I227" s="48"/>
      <c r="J227" s="36"/>
      <c r="L227" s="506"/>
      <c r="M227" s="506" t="s">
        <v>609</v>
      </c>
      <c r="N227" s="507">
        <f t="shared" si="40"/>
        <v>0</v>
      </c>
      <c r="O227" s="507">
        <f t="shared" si="41"/>
        <v>0</v>
      </c>
      <c r="P227" s="507">
        <f t="shared" si="42"/>
        <v>0</v>
      </c>
      <c r="Q227" s="507">
        <f t="shared" si="43"/>
        <v>0</v>
      </c>
      <c r="R227" s="507">
        <f t="shared" si="44"/>
        <v>0</v>
      </c>
      <c r="S227" s="507">
        <f t="shared" si="45"/>
        <v>0</v>
      </c>
      <c r="T227" s="507">
        <f t="shared" si="46"/>
        <v>0</v>
      </c>
      <c r="U227" s="507">
        <f t="shared" si="47"/>
        <v>0</v>
      </c>
      <c r="V227" s="507">
        <f t="shared" si="48"/>
        <v>0</v>
      </c>
      <c r="W227" s="507">
        <f t="shared" si="49"/>
        <v>0</v>
      </c>
      <c r="X227" s="507">
        <f t="shared" si="50"/>
        <v>0</v>
      </c>
      <c r="Y227" s="507">
        <f t="shared" si="51"/>
        <v>0</v>
      </c>
      <c r="Z227" s="11">
        <f t="shared" si="52"/>
        <v>0</v>
      </c>
      <c r="AC227" s="4">
        <v>476</v>
      </c>
      <c r="AD227" s="5" t="s">
        <v>673</v>
      </c>
      <c r="AE227" s="5" t="s">
        <v>671</v>
      </c>
      <c r="AF227" s="5" t="s">
        <v>674</v>
      </c>
      <c r="AG227" s="5" t="s">
        <v>219</v>
      </c>
      <c r="AH227" s="5" t="s">
        <v>18</v>
      </c>
      <c r="AI227" s="5" t="s">
        <v>16</v>
      </c>
      <c r="AJ227" s="5" t="s">
        <v>481</v>
      </c>
      <c r="AK227" s="5" t="s">
        <v>561</v>
      </c>
      <c r="AL227" s="5" t="s">
        <v>18</v>
      </c>
      <c r="AM227" s="6"/>
      <c r="AO227" s="5"/>
      <c r="AP227" s="5"/>
      <c r="AQ227" s="5"/>
      <c r="AR227" s="5"/>
      <c r="AS227" s="5"/>
      <c r="AU227" s="1547"/>
      <c r="AV227" s="35"/>
      <c r="AW227" s="36"/>
      <c r="AY227" s="34"/>
      <c r="AZ227" s="35"/>
      <c r="BA227" s="36"/>
      <c r="BC227" s="34"/>
      <c r="BD227" s="35"/>
      <c r="BE227" s="36"/>
      <c r="BG227" s="34"/>
      <c r="BH227" s="35"/>
      <c r="BI227" s="36"/>
      <c r="BK227" s="34"/>
      <c r="BL227" s="35"/>
      <c r="BM227" s="36"/>
      <c r="BO227" s="34"/>
      <c r="BP227" s="35"/>
      <c r="BQ227" s="36"/>
      <c r="BS227" s="1592"/>
      <c r="BT227" s="35"/>
      <c r="BU227" s="36"/>
      <c r="BW227" s="34"/>
      <c r="BX227" s="35"/>
      <c r="BY227" s="36"/>
      <c r="CA227" s="34"/>
      <c r="CB227" s="35"/>
      <c r="CC227" s="36"/>
      <c r="CE227" s="34"/>
      <c r="CF227" s="35"/>
      <c r="CG227" s="36"/>
      <c r="CI227" s="34"/>
      <c r="CJ227" s="35"/>
      <c r="CK227" s="36"/>
      <c r="CM227" s="34"/>
      <c r="CN227" s="35"/>
      <c r="CO227" s="36"/>
    </row>
    <row r="228" spans="1:93">
      <c r="A228" s="34"/>
      <c r="B228" s="35"/>
      <c r="C228" s="36"/>
      <c r="D228" s="37" t="str">
        <f>IF(C228&gt;=Mat!$E$71,"Material","No Mat")</f>
        <v>No Mat</v>
      </c>
      <c r="E228" s="834">
        <f>IF(C228&gt;=Mat!$E$71,C228/Mat!$E$71,0)</f>
        <v>0</v>
      </c>
      <c r="G228" s="34"/>
      <c r="H228" s="35"/>
      <c r="I228" s="48"/>
      <c r="J228" s="36"/>
      <c r="L228" s="506"/>
      <c r="M228" s="506" t="s">
        <v>612</v>
      </c>
      <c r="N228" s="507">
        <f t="shared" si="40"/>
        <v>0</v>
      </c>
      <c r="O228" s="507">
        <f t="shared" si="41"/>
        <v>0</v>
      </c>
      <c r="P228" s="507">
        <f t="shared" si="42"/>
        <v>0</v>
      </c>
      <c r="Q228" s="507">
        <f t="shared" si="43"/>
        <v>0</v>
      </c>
      <c r="R228" s="507">
        <f t="shared" si="44"/>
        <v>0</v>
      </c>
      <c r="S228" s="507">
        <f t="shared" si="45"/>
        <v>0</v>
      </c>
      <c r="T228" s="507">
        <f t="shared" si="46"/>
        <v>0</v>
      </c>
      <c r="U228" s="507">
        <f t="shared" si="47"/>
        <v>0</v>
      </c>
      <c r="V228" s="507">
        <f t="shared" si="48"/>
        <v>0</v>
      </c>
      <c r="W228" s="507">
        <f t="shared" si="49"/>
        <v>0</v>
      </c>
      <c r="X228" s="507">
        <f t="shared" si="50"/>
        <v>0</v>
      </c>
      <c r="Y228" s="507">
        <f t="shared" si="51"/>
        <v>0</v>
      </c>
      <c r="Z228" s="11">
        <f t="shared" si="52"/>
        <v>0</v>
      </c>
      <c r="AC228" s="4">
        <v>478</v>
      </c>
      <c r="AD228" s="5" t="s">
        <v>675</v>
      </c>
      <c r="AE228" s="5" t="s">
        <v>671</v>
      </c>
      <c r="AF228" s="5" t="s">
        <v>676</v>
      </c>
      <c r="AG228" s="5" t="s">
        <v>677</v>
      </c>
      <c r="AH228" s="5" t="s">
        <v>18</v>
      </c>
      <c r="AI228" s="5" t="s">
        <v>16</v>
      </c>
      <c r="AJ228" s="5" t="s">
        <v>481</v>
      </c>
      <c r="AK228" s="5" t="s">
        <v>561</v>
      </c>
      <c r="AL228" s="5" t="s">
        <v>18</v>
      </c>
      <c r="AM228" s="6"/>
      <c r="AO228" s="5"/>
      <c r="AP228" s="5"/>
      <c r="AQ228" s="5"/>
      <c r="AR228" s="5"/>
      <c r="AS228" s="5"/>
      <c r="AU228" s="1547"/>
      <c r="AV228" s="35"/>
      <c r="AW228" s="36"/>
      <c r="AY228" s="34"/>
      <c r="AZ228" s="35"/>
      <c r="BA228" s="36"/>
      <c r="BC228" s="34"/>
      <c r="BD228" s="35"/>
      <c r="BE228" s="36"/>
      <c r="BG228" s="34"/>
      <c r="BH228" s="35"/>
      <c r="BI228" s="36"/>
      <c r="BK228" s="34"/>
      <c r="BL228" s="35"/>
      <c r="BM228" s="36"/>
      <c r="BO228" s="34"/>
      <c r="BP228" s="35"/>
      <c r="BQ228" s="36"/>
      <c r="BS228" s="1592"/>
      <c r="BT228" s="35"/>
      <c r="BU228" s="36"/>
      <c r="BW228" s="34"/>
      <c r="BX228" s="35"/>
      <c r="BY228" s="36"/>
      <c r="CA228" s="34"/>
      <c r="CB228" s="35"/>
      <c r="CC228" s="36"/>
      <c r="CE228" s="34"/>
      <c r="CF228" s="35"/>
      <c r="CG228" s="36"/>
      <c r="CI228" s="34"/>
      <c r="CJ228" s="35"/>
      <c r="CK228" s="36"/>
      <c r="CM228" s="34"/>
      <c r="CN228" s="35"/>
      <c r="CO228" s="36"/>
    </row>
    <row r="229" spans="1:93">
      <c r="A229" s="34"/>
      <c r="B229" s="35"/>
      <c r="C229" s="36"/>
      <c r="D229" s="37" t="str">
        <f>IF(C229&gt;=Mat!$E$71,"Material","No Mat")</f>
        <v>No Mat</v>
      </c>
      <c r="E229" s="834">
        <f>IF(C229&gt;=Mat!$E$71,C229/Mat!$E$71,0)</f>
        <v>0</v>
      </c>
      <c r="G229" s="34"/>
      <c r="H229" s="35"/>
      <c r="I229" s="48"/>
      <c r="J229" s="36"/>
      <c r="L229" s="506"/>
      <c r="M229" s="506" t="s">
        <v>2246</v>
      </c>
      <c r="N229" s="507">
        <f t="shared" si="40"/>
        <v>0</v>
      </c>
      <c r="O229" s="507">
        <f t="shared" si="41"/>
        <v>0</v>
      </c>
      <c r="P229" s="507">
        <f t="shared" si="42"/>
        <v>0</v>
      </c>
      <c r="Q229" s="507">
        <f t="shared" si="43"/>
        <v>0</v>
      </c>
      <c r="R229" s="507">
        <f t="shared" si="44"/>
        <v>0</v>
      </c>
      <c r="S229" s="507">
        <f t="shared" si="45"/>
        <v>0</v>
      </c>
      <c r="T229" s="507">
        <f t="shared" si="46"/>
        <v>0</v>
      </c>
      <c r="U229" s="507">
        <f t="shared" si="47"/>
        <v>0</v>
      </c>
      <c r="V229" s="507">
        <f t="shared" si="48"/>
        <v>0</v>
      </c>
      <c r="W229" s="507">
        <f t="shared" si="49"/>
        <v>0</v>
      </c>
      <c r="X229" s="507">
        <f t="shared" si="50"/>
        <v>0</v>
      </c>
      <c r="Y229" s="507">
        <f t="shared" si="51"/>
        <v>0</v>
      </c>
      <c r="Z229" s="11">
        <f t="shared" si="52"/>
        <v>0</v>
      </c>
      <c r="AC229" s="4">
        <v>480</v>
      </c>
      <c r="AD229" s="5" t="s">
        <v>678</v>
      </c>
      <c r="AE229" s="5" t="s">
        <v>671</v>
      </c>
      <c r="AF229" s="5" t="s">
        <v>679</v>
      </c>
      <c r="AG229" s="5" t="s">
        <v>680</v>
      </c>
      <c r="AH229" s="5" t="s">
        <v>18</v>
      </c>
      <c r="AI229" s="5" t="s">
        <v>16</v>
      </c>
      <c r="AJ229" s="5" t="s">
        <v>481</v>
      </c>
      <c r="AK229" s="5" t="s">
        <v>561</v>
      </c>
      <c r="AL229" s="5" t="s">
        <v>18</v>
      </c>
      <c r="AM229" s="6"/>
      <c r="AO229" s="5"/>
      <c r="AP229" s="5"/>
      <c r="AQ229" s="5"/>
      <c r="AR229" s="5"/>
      <c r="AS229" s="5"/>
      <c r="AU229" s="1547"/>
      <c r="AV229" s="35"/>
      <c r="AW229" s="36"/>
      <c r="AY229" s="34"/>
      <c r="AZ229" s="35"/>
      <c r="BA229" s="36"/>
      <c r="BC229" s="34"/>
      <c r="BD229" s="35"/>
      <c r="BE229" s="36"/>
      <c r="BG229" s="34"/>
      <c r="BH229" s="35"/>
      <c r="BI229" s="36"/>
      <c r="BK229" s="34"/>
      <c r="BL229" s="35"/>
      <c r="BM229" s="36"/>
      <c r="BO229" s="34"/>
      <c r="BP229" s="35"/>
      <c r="BQ229" s="36"/>
      <c r="BS229" s="1592"/>
      <c r="BT229" s="35"/>
      <c r="BU229" s="36"/>
      <c r="BW229" s="34"/>
      <c r="BX229" s="35"/>
      <c r="BY229" s="36"/>
      <c r="CA229" s="34"/>
      <c r="CB229" s="35"/>
      <c r="CC229" s="36"/>
      <c r="CE229" s="34"/>
      <c r="CF229" s="35"/>
      <c r="CG229" s="36"/>
      <c r="CI229" s="34"/>
      <c r="CJ229" s="35"/>
      <c r="CK229" s="36"/>
      <c r="CM229" s="34"/>
      <c r="CN229" s="35"/>
      <c r="CO229" s="36"/>
    </row>
    <row r="230" spans="1:93">
      <c r="A230" s="34"/>
      <c r="B230" s="35"/>
      <c r="C230" s="36"/>
      <c r="D230" s="37" t="str">
        <f>IF(C230&gt;=Mat!$E$71,"Material","No Mat")</f>
        <v>No Mat</v>
      </c>
      <c r="E230" s="834">
        <f>IF(C230&gt;=Mat!$E$71,C230/Mat!$E$71,0)</f>
        <v>0</v>
      </c>
      <c r="G230" s="34"/>
      <c r="H230" s="35"/>
      <c r="I230" s="48"/>
      <c r="J230" s="36"/>
      <c r="L230" s="506"/>
      <c r="M230" s="506" t="s">
        <v>4270</v>
      </c>
      <c r="N230" s="507">
        <f t="shared" si="40"/>
        <v>0</v>
      </c>
      <c r="O230" s="507">
        <f t="shared" si="41"/>
        <v>0</v>
      </c>
      <c r="P230" s="507">
        <f t="shared" si="42"/>
        <v>155800</v>
      </c>
      <c r="Q230" s="507">
        <f t="shared" si="43"/>
        <v>0</v>
      </c>
      <c r="R230" s="507">
        <f t="shared" si="44"/>
        <v>0</v>
      </c>
      <c r="S230" s="507">
        <f t="shared" si="45"/>
        <v>0</v>
      </c>
      <c r="T230" s="507">
        <f t="shared" si="46"/>
        <v>0</v>
      </c>
      <c r="U230" s="507">
        <f t="shared" si="47"/>
        <v>0</v>
      </c>
      <c r="V230" s="507">
        <f t="shared" si="48"/>
        <v>0</v>
      </c>
      <c r="W230" s="507">
        <f t="shared" si="49"/>
        <v>0</v>
      </c>
      <c r="X230" s="507">
        <f t="shared" si="50"/>
        <v>0</v>
      </c>
      <c r="Y230" s="507">
        <f t="shared" si="51"/>
        <v>0</v>
      </c>
      <c r="Z230" s="11">
        <f t="shared" si="52"/>
        <v>155800</v>
      </c>
      <c r="AC230" s="4">
        <v>482</v>
      </c>
      <c r="AD230" s="5" t="s">
        <v>681</v>
      </c>
      <c r="AE230" s="5" t="s">
        <v>671</v>
      </c>
      <c r="AF230" s="5" t="s">
        <v>682</v>
      </c>
      <c r="AG230" s="5" t="s">
        <v>683</v>
      </c>
      <c r="AH230" s="5" t="s">
        <v>18</v>
      </c>
      <c r="AI230" s="5" t="s">
        <v>16</v>
      </c>
      <c r="AJ230" s="5" t="s">
        <v>481</v>
      </c>
      <c r="AK230" s="5" t="s">
        <v>561</v>
      </c>
      <c r="AL230" s="5" t="s">
        <v>18</v>
      </c>
      <c r="AM230" s="6"/>
      <c r="AO230" s="5"/>
      <c r="AP230" s="5"/>
      <c r="AQ230" s="5"/>
      <c r="AR230" s="5"/>
      <c r="AS230" s="5"/>
      <c r="AU230" s="1547"/>
      <c r="AV230" s="35"/>
      <c r="AW230" s="36"/>
      <c r="AY230" s="34"/>
      <c r="AZ230" s="35"/>
      <c r="BA230" s="36"/>
      <c r="BC230" s="34"/>
      <c r="BD230" s="35"/>
      <c r="BE230" s="36"/>
      <c r="BG230" s="34"/>
      <c r="BH230" s="35"/>
      <c r="BI230" s="36"/>
      <c r="BK230" s="34"/>
      <c r="BL230" s="35"/>
      <c r="BM230" s="36"/>
      <c r="BO230" s="34"/>
      <c r="BP230" s="35"/>
      <c r="BQ230" s="36"/>
      <c r="BS230" s="1592"/>
      <c r="BT230" s="35"/>
      <c r="BU230" s="36"/>
      <c r="BW230" s="34"/>
      <c r="BX230" s="35"/>
      <c r="BY230" s="36"/>
      <c r="CA230" s="34"/>
      <c r="CB230" s="35"/>
      <c r="CC230" s="36"/>
      <c r="CE230" s="34"/>
      <c r="CF230" s="35"/>
      <c r="CG230" s="36"/>
      <c r="CI230" s="34"/>
      <c r="CJ230" s="35"/>
      <c r="CK230" s="36"/>
      <c r="CM230" s="34"/>
      <c r="CN230" s="35"/>
      <c r="CO230" s="36"/>
    </row>
    <row r="231" spans="1:93">
      <c r="A231" s="34"/>
      <c r="B231" s="35"/>
      <c r="C231" s="36"/>
      <c r="D231" s="37" t="str">
        <f>IF(C231&gt;=Mat!$E$71,"Material","No Mat")</f>
        <v>No Mat</v>
      </c>
      <c r="E231" s="834">
        <f>IF(C231&gt;=Mat!$E$71,C231/Mat!$E$71,0)</f>
        <v>0</v>
      </c>
      <c r="G231" s="34"/>
      <c r="H231" s="35"/>
      <c r="I231" s="48"/>
      <c r="J231" s="36"/>
      <c r="L231" s="506"/>
      <c r="M231" s="506" t="s">
        <v>619</v>
      </c>
      <c r="N231" s="507">
        <f t="shared" si="40"/>
        <v>0</v>
      </c>
      <c r="O231" s="507">
        <f t="shared" si="41"/>
        <v>0</v>
      </c>
      <c r="P231" s="507">
        <f t="shared" si="42"/>
        <v>0</v>
      </c>
      <c r="Q231" s="507">
        <f t="shared" si="43"/>
        <v>0</v>
      </c>
      <c r="R231" s="507">
        <f t="shared" si="44"/>
        <v>0</v>
      </c>
      <c r="S231" s="507">
        <f t="shared" si="45"/>
        <v>0</v>
      </c>
      <c r="T231" s="507">
        <f t="shared" si="46"/>
        <v>0</v>
      </c>
      <c r="U231" s="507">
        <f t="shared" si="47"/>
        <v>0</v>
      </c>
      <c r="V231" s="507">
        <f t="shared" si="48"/>
        <v>0</v>
      </c>
      <c r="W231" s="507">
        <f t="shared" si="49"/>
        <v>0</v>
      </c>
      <c r="X231" s="507">
        <f t="shared" si="50"/>
        <v>0</v>
      </c>
      <c r="Y231" s="507">
        <f t="shared" si="51"/>
        <v>0</v>
      </c>
      <c r="Z231" s="11">
        <f t="shared" si="52"/>
        <v>0</v>
      </c>
      <c r="AC231" s="4">
        <v>484</v>
      </c>
      <c r="AD231" s="5" t="s">
        <v>684</v>
      </c>
      <c r="AE231" s="5" t="s">
        <v>671</v>
      </c>
      <c r="AF231" s="5" t="s">
        <v>685</v>
      </c>
      <c r="AG231" s="5" t="s">
        <v>686</v>
      </c>
      <c r="AH231" s="5" t="s">
        <v>18</v>
      </c>
      <c r="AI231" s="5" t="s">
        <v>16</v>
      </c>
      <c r="AJ231" s="5" t="s">
        <v>481</v>
      </c>
      <c r="AK231" s="5" t="s">
        <v>561</v>
      </c>
      <c r="AL231" s="5" t="s">
        <v>18</v>
      </c>
      <c r="AM231" s="6"/>
      <c r="AO231" s="5"/>
      <c r="AP231" s="5"/>
      <c r="AQ231" s="5"/>
      <c r="AR231" s="5"/>
      <c r="AS231" s="5"/>
      <c r="AU231" s="1547"/>
      <c r="AV231" s="35"/>
      <c r="AW231" s="36"/>
      <c r="AY231" s="34"/>
      <c r="AZ231" s="35"/>
      <c r="BA231" s="36"/>
      <c r="BC231" s="34"/>
      <c r="BD231" s="35"/>
      <c r="BE231" s="36"/>
      <c r="BG231" s="34"/>
      <c r="BH231" s="35"/>
      <c r="BI231" s="36"/>
      <c r="BK231" s="34"/>
      <c r="BL231" s="35"/>
      <c r="BM231" s="36"/>
      <c r="BO231" s="34"/>
      <c r="BP231" s="35"/>
      <c r="BQ231" s="36"/>
      <c r="BS231" s="1592"/>
      <c r="BT231" s="35"/>
      <c r="BU231" s="36"/>
      <c r="BW231" s="34"/>
      <c r="BX231" s="35"/>
      <c r="BY231" s="36"/>
      <c r="CA231" s="34"/>
      <c r="CB231" s="35"/>
      <c r="CC231" s="36"/>
      <c r="CE231" s="34"/>
      <c r="CF231" s="35"/>
      <c r="CG231" s="36"/>
      <c r="CI231" s="34"/>
      <c r="CJ231" s="35"/>
      <c r="CK231" s="36"/>
      <c r="CM231" s="34"/>
      <c r="CN231" s="35"/>
      <c r="CO231" s="36"/>
    </row>
    <row r="232" spans="1:93">
      <c r="A232" s="34"/>
      <c r="B232" s="35"/>
      <c r="C232" s="36"/>
      <c r="D232" s="37" t="str">
        <f>IF(C232&gt;=Mat!$E$71,"Material","No Mat")</f>
        <v>No Mat</v>
      </c>
      <c r="E232" s="834">
        <f>IF(C232&gt;=Mat!$E$71,C232/Mat!$E$71,0)</f>
        <v>0</v>
      </c>
      <c r="G232" s="34"/>
      <c r="H232" s="35"/>
      <c r="I232" s="48"/>
      <c r="J232" s="36"/>
      <c r="L232" s="506"/>
      <c r="M232" s="506" t="s">
        <v>622</v>
      </c>
      <c r="N232" s="507">
        <f t="shared" si="40"/>
        <v>0</v>
      </c>
      <c r="O232" s="507">
        <f t="shared" si="41"/>
        <v>0</v>
      </c>
      <c r="P232" s="507">
        <f t="shared" si="42"/>
        <v>0</v>
      </c>
      <c r="Q232" s="507">
        <f t="shared" si="43"/>
        <v>0</v>
      </c>
      <c r="R232" s="507">
        <f t="shared" si="44"/>
        <v>0</v>
      </c>
      <c r="S232" s="507">
        <f t="shared" si="45"/>
        <v>0</v>
      </c>
      <c r="T232" s="507">
        <f t="shared" si="46"/>
        <v>0</v>
      </c>
      <c r="U232" s="507">
        <f t="shared" si="47"/>
        <v>0</v>
      </c>
      <c r="V232" s="507">
        <f t="shared" si="48"/>
        <v>0</v>
      </c>
      <c r="W232" s="507">
        <f t="shared" si="49"/>
        <v>0</v>
      </c>
      <c r="X232" s="507">
        <f t="shared" si="50"/>
        <v>0</v>
      </c>
      <c r="Y232" s="507">
        <f t="shared" si="51"/>
        <v>0</v>
      </c>
      <c r="Z232" s="11">
        <f t="shared" si="52"/>
        <v>0</v>
      </c>
      <c r="AC232" s="4">
        <v>486</v>
      </c>
      <c r="AD232" s="5" t="s">
        <v>687</v>
      </c>
      <c r="AE232" s="5" t="s">
        <v>671</v>
      </c>
      <c r="AF232" s="5" t="s">
        <v>688</v>
      </c>
      <c r="AG232" s="5" t="s">
        <v>689</v>
      </c>
      <c r="AH232" s="5" t="s">
        <v>18</v>
      </c>
      <c r="AI232" s="5" t="s">
        <v>16</v>
      </c>
      <c r="AJ232" s="5" t="s">
        <v>481</v>
      </c>
      <c r="AK232" s="5" t="s">
        <v>561</v>
      </c>
      <c r="AL232" s="5" t="s">
        <v>18</v>
      </c>
      <c r="AM232" s="6"/>
      <c r="AO232" s="5"/>
      <c r="AP232" s="5"/>
      <c r="AQ232" s="5"/>
      <c r="AR232" s="5"/>
      <c r="AS232" s="5"/>
      <c r="AU232" s="1547"/>
      <c r="AV232" s="35"/>
      <c r="AW232" s="36"/>
      <c r="AY232" s="34"/>
      <c r="AZ232" s="35"/>
      <c r="BA232" s="36"/>
      <c r="BC232" s="34"/>
      <c r="BD232" s="35"/>
      <c r="BE232" s="36"/>
      <c r="BG232" s="34"/>
      <c r="BH232" s="35"/>
      <c r="BI232" s="36"/>
      <c r="BK232" s="34"/>
      <c r="BL232" s="35"/>
      <c r="BM232" s="36"/>
      <c r="BO232" s="34"/>
      <c r="BP232" s="35"/>
      <c r="BQ232" s="36"/>
      <c r="BS232" s="1592"/>
      <c r="BT232" s="35"/>
      <c r="BU232" s="36"/>
      <c r="BW232" s="34"/>
      <c r="BX232" s="35"/>
      <c r="BY232" s="36"/>
      <c r="CA232" s="34"/>
      <c r="CB232" s="35"/>
      <c r="CC232" s="36"/>
      <c r="CE232" s="34"/>
      <c r="CF232" s="35"/>
      <c r="CG232" s="36"/>
      <c r="CI232" s="34"/>
      <c r="CJ232" s="35"/>
      <c r="CK232" s="36"/>
      <c r="CM232" s="34"/>
      <c r="CN232" s="35"/>
      <c r="CO232" s="36"/>
    </row>
    <row r="233" spans="1:93">
      <c r="A233" s="34"/>
      <c r="B233" s="35"/>
      <c r="C233" s="36"/>
      <c r="D233" s="37" t="str">
        <f>IF(C233&gt;=Mat!$E$71,"Material","No Mat")</f>
        <v>No Mat</v>
      </c>
      <c r="E233" s="834">
        <f>IF(C233&gt;=Mat!$E$71,C233/Mat!$E$71,0)</f>
        <v>0</v>
      </c>
      <c r="G233" s="34"/>
      <c r="H233" s="35"/>
      <c r="I233" s="48"/>
      <c r="J233" s="36"/>
      <c r="L233" s="506"/>
      <c r="M233" s="506" t="s">
        <v>2325</v>
      </c>
      <c r="N233" s="507">
        <f t="shared" si="40"/>
        <v>0</v>
      </c>
      <c r="O233" s="507">
        <f t="shared" si="41"/>
        <v>0</v>
      </c>
      <c r="P233" s="507">
        <f t="shared" si="42"/>
        <v>0</v>
      </c>
      <c r="Q233" s="507">
        <f t="shared" si="43"/>
        <v>0</v>
      </c>
      <c r="R233" s="507">
        <f t="shared" si="44"/>
        <v>0</v>
      </c>
      <c r="S233" s="507">
        <f t="shared" si="45"/>
        <v>0</v>
      </c>
      <c r="T233" s="507">
        <f t="shared" si="46"/>
        <v>0</v>
      </c>
      <c r="U233" s="507">
        <f t="shared" si="47"/>
        <v>0</v>
      </c>
      <c r="V233" s="507">
        <f t="shared" si="48"/>
        <v>0</v>
      </c>
      <c r="W233" s="507">
        <f t="shared" si="49"/>
        <v>0</v>
      </c>
      <c r="X233" s="507">
        <f t="shared" si="50"/>
        <v>0</v>
      </c>
      <c r="Y233" s="507">
        <f t="shared" si="51"/>
        <v>0</v>
      </c>
      <c r="Z233" s="11">
        <f t="shared" si="52"/>
        <v>0</v>
      </c>
      <c r="AC233" s="4">
        <v>488</v>
      </c>
      <c r="AD233" s="5" t="s">
        <v>690</v>
      </c>
      <c r="AE233" s="5" t="s">
        <v>671</v>
      </c>
      <c r="AF233" s="5" t="s">
        <v>691</v>
      </c>
      <c r="AG233" s="5" t="s">
        <v>692</v>
      </c>
      <c r="AH233" s="5" t="s">
        <v>18</v>
      </c>
      <c r="AI233" s="5" t="s">
        <v>16</v>
      </c>
      <c r="AJ233" s="5" t="s">
        <v>481</v>
      </c>
      <c r="AK233" s="5" t="s">
        <v>561</v>
      </c>
      <c r="AL233" s="5" t="s">
        <v>18</v>
      </c>
      <c r="AM233" s="6"/>
      <c r="AO233" s="5"/>
      <c r="AP233" s="5"/>
      <c r="AQ233" s="5"/>
      <c r="AR233" s="5"/>
      <c r="AS233" s="5"/>
      <c r="AU233" s="1547"/>
      <c r="AV233" s="35"/>
      <c r="AW233" s="36"/>
      <c r="AY233" s="34"/>
      <c r="AZ233" s="35"/>
      <c r="BA233" s="36"/>
      <c r="BC233" s="34"/>
      <c r="BD233" s="35"/>
      <c r="BE233" s="36"/>
      <c r="BG233" s="34"/>
      <c r="BH233" s="35"/>
      <c r="BI233" s="36"/>
      <c r="BK233" s="34"/>
      <c r="BL233" s="35"/>
      <c r="BM233" s="36"/>
      <c r="BO233" s="34"/>
      <c r="BP233" s="35"/>
      <c r="BQ233" s="36"/>
      <c r="BS233" s="1592"/>
      <c r="BT233" s="35"/>
      <c r="BU233" s="36"/>
      <c r="BW233" s="34"/>
      <c r="BX233" s="35"/>
      <c r="BY233" s="36"/>
      <c r="CA233" s="34"/>
      <c r="CB233" s="35"/>
      <c r="CC233" s="36"/>
      <c r="CE233" s="34"/>
      <c r="CF233" s="35"/>
      <c r="CG233" s="36"/>
      <c r="CI233" s="34"/>
      <c r="CJ233" s="35"/>
      <c r="CK233" s="36"/>
      <c r="CM233" s="34"/>
      <c r="CN233" s="35"/>
      <c r="CO233" s="36"/>
    </row>
    <row r="234" spans="1:93">
      <c r="A234" s="34"/>
      <c r="B234" s="35"/>
      <c r="C234" s="36"/>
      <c r="D234" s="37" t="str">
        <f>IF(C234&gt;=Mat!$E$71,"Material","No Mat")</f>
        <v>No Mat</v>
      </c>
      <c r="E234" s="834">
        <f>IF(C234&gt;=Mat!$E$71,C234/Mat!$E$71,0)</f>
        <v>0</v>
      </c>
      <c r="G234" s="34"/>
      <c r="H234" s="35"/>
      <c r="I234" s="48"/>
      <c r="J234" s="36"/>
      <c r="L234" s="506"/>
      <c r="M234" s="506" t="s">
        <v>2326</v>
      </c>
      <c r="N234" s="507">
        <f t="shared" si="40"/>
        <v>0</v>
      </c>
      <c r="O234" s="507">
        <f t="shared" si="41"/>
        <v>0</v>
      </c>
      <c r="P234" s="507">
        <f t="shared" si="42"/>
        <v>0</v>
      </c>
      <c r="Q234" s="507">
        <f t="shared" si="43"/>
        <v>0</v>
      </c>
      <c r="R234" s="507">
        <f t="shared" si="44"/>
        <v>0</v>
      </c>
      <c r="S234" s="507">
        <f t="shared" si="45"/>
        <v>0</v>
      </c>
      <c r="T234" s="507">
        <f t="shared" si="46"/>
        <v>0</v>
      </c>
      <c r="U234" s="507">
        <f t="shared" si="47"/>
        <v>0</v>
      </c>
      <c r="V234" s="507">
        <f t="shared" si="48"/>
        <v>0</v>
      </c>
      <c r="W234" s="507">
        <f t="shared" si="49"/>
        <v>0</v>
      </c>
      <c r="X234" s="507">
        <f t="shared" si="50"/>
        <v>0</v>
      </c>
      <c r="Y234" s="507">
        <f t="shared" si="51"/>
        <v>0</v>
      </c>
      <c r="Z234" s="11">
        <f t="shared" si="52"/>
        <v>0</v>
      </c>
      <c r="AC234" s="4">
        <v>490</v>
      </c>
      <c r="AD234" s="5" t="s">
        <v>693</v>
      </c>
      <c r="AE234" s="5" t="s">
        <v>671</v>
      </c>
      <c r="AF234" s="5" t="s">
        <v>694</v>
      </c>
      <c r="AG234" s="5" t="s">
        <v>695</v>
      </c>
      <c r="AH234" s="5" t="s">
        <v>18</v>
      </c>
      <c r="AI234" s="5" t="s">
        <v>16</v>
      </c>
      <c r="AJ234" s="5" t="s">
        <v>481</v>
      </c>
      <c r="AK234" s="5" t="s">
        <v>561</v>
      </c>
      <c r="AL234" s="5" t="s">
        <v>18</v>
      </c>
      <c r="AM234" s="6"/>
      <c r="AO234" s="5"/>
      <c r="AP234" s="5"/>
      <c r="AQ234" s="5"/>
      <c r="AR234" s="5"/>
      <c r="AS234" s="5"/>
      <c r="AU234" s="1547"/>
      <c r="AV234" s="35"/>
      <c r="AW234" s="36"/>
      <c r="AY234" s="34"/>
      <c r="AZ234" s="35"/>
      <c r="BA234" s="36"/>
      <c r="BC234" s="34"/>
      <c r="BD234" s="35"/>
      <c r="BE234" s="36"/>
      <c r="BG234" s="34"/>
      <c r="BH234" s="35"/>
      <c r="BI234" s="36"/>
      <c r="BK234" s="34"/>
      <c r="BL234" s="35"/>
      <c r="BM234" s="36"/>
      <c r="BO234" s="34"/>
      <c r="BP234" s="35"/>
      <c r="BQ234" s="36"/>
      <c r="BS234" s="1592"/>
      <c r="BT234" s="35"/>
      <c r="BU234" s="36"/>
      <c r="BW234" s="34"/>
      <c r="BX234" s="35"/>
      <c r="BY234" s="36"/>
      <c r="CA234" s="34"/>
      <c r="CB234" s="35"/>
      <c r="CC234" s="36"/>
      <c r="CE234" s="34"/>
      <c r="CF234" s="35"/>
      <c r="CG234" s="36"/>
      <c r="CI234" s="34"/>
      <c r="CJ234" s="35"/>
      <c r="CK234" s="36"/>
      <c r="CM234" s="34"/>
      <c r="CN234" s="35"/>
      <c r="CO234" s="36"/>
    </row>
    <row r="235" spans="1:93">
      <c r="A235" s="34"/>
      <c r="B235" s="35"/>
      <c r="C235" s="36"/>
      <c r="D235" s="37" t="str">
        <f>IF(C235&gt;=Mat!$E$71,"Material","No Mat")</f>
        <v>No Mat</v>
      </c>
      <c r="E235" s="834">
        <f>IF(C235&gt;=Mat!$E$71,C235/Mat!$E$71,0)</f>
        <v>0</v>
      </c>
      <c r="G235" s="34"/>
      <c r="H235" s="35"/>
      <c r="I235" s="48"/>
      <c r="J235" s="36"/>
      <c r="L235" s="506"/>
      <c r="M235" s="506" t="s">
        <v>625</v>
      </c>
      <c r="N235" s="507">
        <f t="shared" si="40"/>
        <v>0</v>
      </c>
      <c r="O235" s="507">
        <f t="shared" si="41"/>
        <v>0</v>
      </c>
      <c r="P235" s="507">
        <f t="shared" si="42"/>
        <v>0</v>
      </c>
      <c r="Q235" s="507">
        <f t="shared" si="43"/>
        <v>0</v>
      </c>
      <c r="R235" s="507">
        <f t="shared" si="44"/>
        <v>0</v>
      </c>
      <c r="S235" s="507">
        <f t="shared" si="45"/>
        <v>0</v>
      </c>
      <c r="T235" s="507">
        <f t="shared" si="46"/>
        <v>0</v>
      </c>
      <c r="U235" s="507">
        <f t="shared" si="47"/>
        <v>0</v>
      </c>
      <c r="V235" s="507">
        <f t="shared" si="48"/>
        <v>0</v>
      </c>
      <c r="W235" s="507">
        <f t="shared" si="49"/>
        <v>0</v>
      </c>
      <c r="X235" s="507">
        <f t="shared" si="50"/>
        <v>0</v>
      </c>
      <c r="Y235" s="507">
        <f t="shared" si="51"/>
        <v>0</v>
      </c>
      <c r="Z235" s="11">
        <f t="shared" si="52"/>
        <v>0</v>
      </c>
      <c r="AC235" s="4">
        <v>492</v>
      </c>
      <c r="AD235" s="5" t="s">
        <v>696</v>
      </c>
      <c r="AE235" s="5" t="s">
        <v>671</v>
      </c>
      <c r="AF235" s="5" t="s">
        <v>697</v>
      </c>
      <c r="AG235" s="5" t="s">
        <v>698</v>
      </c>
      <c r="AH235" s="5" t="s">
        <v>18</v>
      </c>
      <c r="AI235" s="5" t="s">
        <v>16</v>
      </c>
      <c r="AJ235" s="5" t="s">
        <v>481</v>
      </c>
      <c r="AK235" s="5" t="s">
        <v>561</v>
      </c>
      <c r="AL235" s="5" t="s">
        <v>18</v>
      </c>
      <c r="AM235" s="6"/>
      <c r="AO235" s="5"/>
      <c r="AP235" s="5"/>
      <c r="AQ235" s="5"/>
      <c r="AR235" s="5"/>
      <c r="AS235" s="5"/>
      <c r="AU235" s="1547"/>
      <c r="AV235" s="35"/>
      <c r="AW235" s="36"/>
      <c r="AY235" s="34"/>
      <c r="AZ235" s="35"/>
      <c r="BA235" s="36"/>
      <c r="BC235" s="34"/>
      <c r="BD235" s="35"/>
      <c r="BE235" s="36"/>
      <c r="BG235" s="34"/>
      <c r="BH235" s="35"/>
      <c r="BI235" s="36"/>
      <c r="BK235" s="34"/>
      <c r="BL235" s="35"/>
      <c r="BM235" s="36"/>
      <c r="BO235" s="34"/>
      <c r="BP235" s="35"/>
      <c r="BQ235" s="36"/>
      <c r="BS235" s="1592"/>
      <c r="BT235" s="35"/>
      <c r="BU235" s="36"/>
      <c r="BW235" s="34"/>
      <c r="BX235" s="35"/>
      <c r="BY235" s="36"/>
      <c r="CA235" s="34"/>
      <c r="CB235" s="35"/>
      <c r="CC235" s="36"/>
      <c r="CE235" s="34"/>
      <c r="CF235" s="35"/>
      <c r="CG235" s="36"/>
      <c r="CI235" s="34"/>
      <c r="CJ235" s="35"/>
      <c r="CK235" s="36"/>
      <c r="CM235" s="34"/>
      <c r="CN235" s="35"/>
      <c r="CO235" s="36"/>
    </row>
    <row r="236" spans="1:93">
      <c r="A236" s="34"/>
      <c r="B236" s="35"/>
      <c r="C236" s="36"/>
      <c r="D236" s="37" t="str">
        <f>IF(C236&gt;=Mat!$E$71,"Material","No Mat")</f>
        <v>No Mat</v>
      </c>
      <c r="E236" s="834">
        <f>IF(C236&gt;=Mat!$E$71,C236/Mat!$E$71,0)</f>
        <v>0</v>
      </c>
      <c r="G236" s="34"/>
      <c r="H236" s="35"/>
      <c r="I236" s="48"/>
      <c r="J236" s="36"/>
      <c r="L236" s="506"/>
      <c r="M236" s="506" t="s">
        <v>630</v>
      </c>
      <c r="N236" s="507">
        <f t="shared" si="40"/>
        <v>0</v>
      </c>
      <c r="O236" s="507">
        <f t="shared" si="41"/>
        <v>1743756.21</v>
      </c>
      <c r="P236" s="507">
        <f t="shared" si="42"/>
        <v>906344.15</v>
      </c>
      <c r="Q236" s="507">
        <f t="shared" si="43"/>
        <v>0</v>
      </c>
      <c r="R236" s="507">
        <f t="shared" si="44"/>
        <v>0</v>
      </c>
      <c r="S236" s="507">
        <f t="shared" si="45"/>
        <v>0</v>
      </c>
      <c r="T236" s="507">
        <f t="shared" si="46"/>
        <v>0</v>
      </c>
      <c r="U236" s="507">
        <f t="shared" si="47"/>
        <v>0</v>
      </c>
      <c r="V236" s="507">
        <f t="shared" si="48"/>
        <v>0</v>
      </c>
      <c r="W236" s="507">
        <f t="shared" si="49"/>
        <v>0</v>
      </c>
      <c r="X236" s="507">
        <f t="shared" si="50"/>
        <v>0</v>
      </c>
      <c r="Y236" s="507">
        <f t="shared" si="51"/>
        <v>0</v>
      </c>
      <c r="Z236" s="11">
        <f t="shared" si="52"/>
        <v>2650100.36</v>
      </c>
      <c r="AC236" s="4">
        <v>494</v>
      </c>
      <c r="AD236" s="5" t="s">
        <v>699</v>
      </c>
      <c r="AE236" s="5" t="s">
        <v>654</v>
      </c>
      <c r="AF236" s="5" t="s">
        <v>700</v>
      </c>
      <c r="AG236" s="5" t="s">
        <v>701</v>
      </c>
      <c r="AH236" s="5" t="s">
        <v>18</v>
      </c>
      <c r="AI236" s="5" t="s">
        <v>16</v>
      </c>
      <c r="AJ236" s="5" t="s">
        <v>481</v>
      </c>
      <c r="AK236" s="5" t="s">
        <v>561</v>
      </c>
      <c r="AL236" s="5" t="s">
        <v>18</v>
      </c>
      <c r="AM236" s="6"/>
      <c r="AO236" s="5"/>
      <c r="AP236" s="5"/>
      <c r="AQ236" s="5"/>
      <c r="AR236" s="5"/>
      <c r="AS236" s="5"/>
      <c r="AU236" s="1547"/>
      <c r="AV236" s="35"/>
      <c r="AW236" s="36"/>
      <c r="AY236" s="34"/>
      <c r="AZ236" s="35"/>
      <c r="BA236" s="36"/>
      <c r="BC236" s="34"/>
      <c r="BD236" s="35"/>
      <c r="BE236" s="36"/>
      <c r="BG236" s="34"/>
      <c r="BH236" s="35"/>
      <c r="BI236" s="36"/>
      <c r="BK236" s="34"/>
      <c r="BL236" s="35"/>
      <c r="BM236" s="36"/>
      <c r="BO236" s="34"/>
      <c r="BP236" s="35"/>
      <c r="BQ236" s="36"/>
      <c r="BS236" s="1592"/>
      <c r="BT236" s="35"/>
      <c r="BU236" s="36"/>
      <c r="BW236" s="34"/>
      <c r="BX236" s="35"/>
      <c r="BY236" s="36"/>
      <c r="CA236" s="34"/>
      <c r="CB236" s="35"/>
      <c r="CC236" s="36"/>
      <c r="CE236" s="34"/>
      <c r="CF236" s="35"/>
      <c r="CG236" s="36"/>
      <c r="CI236" s="34"/>
      <c r="CJ236" s="35"/>
      <c r="CK236" s="36"/>
      <c r="CM236" s="34"/>
      <c r="CN236" s="35"/>
      <c r="CO236" s="36"/>
    </row>
    <row r="237" spans="1:93">
      <c r="A237" s="34"/>
      <c r="B237" s="35"/>
      <c r="C237" s="36"/>
      <c r="D237" s="37" t="str">
        <f>IF(C237&gt;=Mat!$E$71,"Material","No Mat")</f>
        <v>No Mat</v>
      </c>
      <c r="E237" s="834">
        <f>IF(C237&gt;=Mat!$E$71,C237/Mat!$E$71,0)</f>
        <v>0</v>
      </c>
      <c r="G237" s="34"/>
      <c r="H237" s="35"/>
      <c r="I237" s="48"/>
      <c r="J237" s="36"/>
      <c r="L237" s="506"/>
      <c r="M237" s="506" t="s">
        <v>633</v>
      </c>
      <c r="N237" s="507">
        <f t="shared" si="40"/>
        <v>0</v>
      </c>
      <c r="O237" s="507">
        <f t="shared" si="41"/>
        <v>1742956.89</v>
      </c>
      <c r="P237" s="507">
        <f t="shared" si="42"/>
        <v>957720.04</v>
      </c>
      <c r="Q237" s="507">
        <f t="shared" si="43"/>
        <v>0</v>
      </c>
      <c r="R237" s="507">
        <f t="shared" si="44"/>
        <v>0</v>
      </c>
      <c r="S237" s="507">
        <f t="shared" si="45"/>
        <v>0</v>
      </c>
      <c r="T237" s="507">
        <f t="shared" si="46"/>
        <v>0</v>
      </c>
      <c r="U237" s="507">
        <f t="shared" si="47"/>
        <v>0</v>
      </c>
      <c r="V237" s="507">
        <f t="shared" si="48"/>
        <v>0</v>
      </c>
      <c r="W237" s="507">
        <f t="shared" si="49"/>
        <v>0</v>
      </c>
      <c r="X237" s="507">
        <f t="shared" si="50"/>
        <v>0</v>
      </c>
      <c r="Y237" s="507">
        <f t="shared" si="51"/>
        <v>0</v>
      </c>
      <c r="Z237" s="11">
        <f t="shared" si="52"/>
        <v>2700676.9299999997</v>
      </c>
      <c r="AC237" s="4">
        <v>496</v>
      </c>
      <c r="AD237" s="5" t="s">
        <v>704</v>
      </c>
      <c r="AE237" s="5" t="s">
        <v>702</v>
      </c>
      <c r="AF237" s="5" t="s">
        <v>705</v>
      </c>
      <c r="AG237" s="5" t="s">
        <v>706</v>
      </c>
      <c r="AH237" s="5" t="s">
        <v>18</v>
      </c>
      <c r="AI237" s="5" t="s">
        <v>16</v>
      </c>
      <c r="AJ237" s="5" t="s">
        <v>481</v>
      </c>
      <c r="AK237" s="5" t="s">
        <v>561</v>
      </c>
      <c r="AL237" s="5" t="s">
        <v>18</v>
      </c>
      <c r="AM237" s="6"/>
      <c r="AO237" s="5"/>
      <c r="AP237" s="5"/>
      <c r="AQ237" s="5"/>
      <c r="AR237" s="5"/>
      <c r="AS237" s="5"/>
      <c r="AU237" s="1547"/>
      <c r="AV237" s="35"/>
      <c r="AW237" s="36"/>
      <c r="AY237" s="34"/>
      <c r="AZ237" s="35"/>
      <c r="BA237" s="36"/>
      <c r="BC237" s="34"/>
      <c r="BD237" s="35"/>
      <c r="BE237" s="36"/>
      <c r="BG237" s="34"/>
      <c r="BH237" s="35"/>
      <c r="BI237" s="36"/>
      <c r="BK237" s="34"/>
      <c r="BL237" s="35"/>
      <c r="BM237" s="36"/>
      <c r="BO237" s="34"/>
      <c r="BP237" s="35"/>
      <c r="BQ237" s="36"/>
      <c r="BS237" s="1592"/>
      <c r="BT237" s="35"/>
      <c r="BU237" s="36"/>
      <c r="BW237" s="34"/>
      <c r="BX237" s="35"/>
      <c r="BY237" s="36"/>
      <c r="CA237" s="34"/>
      <c r="CB237" s="35"/>
      <c r="CC237" s="36"/>
      <c r="CE237" s="34"/>
      <c r="CF237" s="35"/>
      <c r="CG237" s="36"/>
      <c r="CI237" s="34"/>
      <c r="CJ237" s="35"/>
      <c r="CK237" s="36"/>
      <c r="CM237" s="34"/>
      <c r="CN237" s="35"/>
      <c r="CO237" s="36"/>
    </row>
    <row r="238" spans="1:93">
      <c r="A238" s="34"/>
      <c r="B238" s="35"/>
      <c r="C238" s="36"/>
      <c r="D238" s="37" t="str">
        <f>IF(C238&gt;=Mat!$E$71,"Material","No Mat")</f>
        <v>No Mat</v>
      </c>
      <c r="E238" s="834">
        <f>IF(C238&gt;=Mat!$E$71,C238/Mat!$E$71,0)</f>
        <v>0</v>
      </c>
      <c r="G238" s="34"/>
      <c r="H238" s="35"/>
      <c r="I238" s="48"/>
      <c r="J238" s="36"/>
      <c r="L238" s="506"/>
      <c r="M238" s="506" t="s">
        <v>636</v>
      </c>
      <c r="N238" s="507">
        <f t="shared" si="40"/>
        <v>0</v>
      </c>
      <c r="O238" s="507">
        <f t="shared" si="41"/>
        <v>290855.33</v>
      </c>
      <c r="P238" s="507">
        <f t="shared" si="42"/>
        <v>146499.67000000001</v>
      </c>
      <c r="Q238" s="507">
        <f t="shared" si="43"/>
        <v>0</v>
      </c>
      <c r="R238" s="507">
        <f t="shared" si="44"/>
        <v>0</v>
      </c>
      <c r="S238" s="507">
        <f t="shared" si="45"/>
        <v>0</v>
      </c>
      <c r="T238" s="507">
        <f t="shared" si="46"/>
        <v>0</v>
      </c>
      <c r="U238" s="507">
        <f t="shared" si="47"/>
        <v>0</v>
      </c>
      <c r="V238" s="507">
        <f t="shared" si="48"/>
        <v>0</v>
      </c>
      <c r="W238" s="507">
        <f t="shared" si="49"/>
        <v>0</v>
      </c>
      <c r="X238" s="507">
        <f t="shared" si="50"/>
        <v>0</v>
      </c>
      <c r="Y238" s="507">
        <f t="shared" si="51"/>
        <v>0</v>
      </c>
      <c r="Z238" s="11">
        <f t="shared" si="52"/>
        <v>437355</v>
      </c>
      <c r="AC238" s="4">
        <v>498</v>
      </c>
      <c r="AD238" s="5" t="s">
        <v>707</v>
      </c>
      <c r="AE238" s="5" t="s">
        <v>702</v>
      </c>
      <c r="AF238" s="5" t="s">
        <v>708</v>
      </c>
      <c r="AG238" s="5" t="s">
        <v>709</v>
      </c>
      <c r="AH238" s="5" t="s">
        <v>18</v>
      </c>
      <c r="AI238" s="5" t="s">
        <v>16</v>
      </c>
      <c r="AJ238" s="5" t="s">
        <v>481</v>
      </c>
      <c r="AK238" s="5" t="s">
        <v>561</v>
      </c>
      <c r="AL238" s="5" t="s">
        <v>18</v>
      </c>
      <c r="AM238" s="6"/>
      <c r="AO238" s="5"/>
      <c r="AP238" s="5"/>
      <c r="AQ238" s="5"/>
      <c r="AR238" s="5"/>
      <c r="AS238" s="5"/>
      <c r="AU238" s="1547"/>
      <c r="AV238" s="35"/>
      <c r="AW238" s="36"/>
      <c r="AY238" s="34"/>
      <c r="AZ238" s="35"/>
      <c r="BA238" s="36"/>
      <c r="BC238" s="34"/>
      <c r="BD238" s="35"/>
      <c r="BE238" s="36"/>
      <c r="BG238" s="34"/>
      <c r="BH238" s="35"/>
      <c r="BI238" s="36"/>
      <c r="BK238" s="34"/>
      <c r="BL238" s="35"/>
      <c r="BM238" s="36"/>
      <c r="BO238" s="34"/>
      <c r="BP238" s="35"/>
      <c r="BQ238" s="36"/>
      <c r="BS238" s="1592"/>
      <c r="BT238" s="35"/>
      <c r="BU238" s="36"/>
      <c r="BW238" s="34"/>
      <c r="BX238" s="35"/>
      <c r="BY238" s="36"/>
      <c r="CA238" s="34"/>
      <c r="CB238" s="35"/>
      <c r="CC238" s="36"/>
      <c r="CE238" s="34"/>
      <c r="CF238" s="35"/>
      <c r="CG238" s="36"/>
      <c r="CI238" s="34"/>
      <c r="CJ238" s="35"/>
      <c r="CK238" s="36"/>
      <c r="CM238" s="34"/>
      <c r="CN238" s="35"/>
      <c r="CO238" s="36"/>
    </row>
    <row r="239" spans="1:93">
      <c r="A239" s="34"/>
      <c r="B239" s="35"/>
      <c r="C239" s="36"/>
      <c r="D239" s="37" t="str">
        <f>IF(C239&gt;=Mat!$E$71,"Material","No Mat")</f>
        <v>No Mat</v>
      </c>
      <c r="E239" s="834">
        <f>IF(C239&gt;=Mat!$E$71,C239/Mat!$E$71,0)</f>
        <v>0</v>
      </c>
      <c r="G239" s="34"/>
      <c r="H239" s="35"/>
      <c r="I239" s="48"/>
      <c r="J239" s="36"/>
      <c r="L239" s="506"/>
      <c r="M239" s="506" t="s">
        <v>641</v>
      </c>
      <c r="N239" s="507">
        <f t="shared" si="40"/>
        <v>0</v>
      </c>
      <c r="O239" s="507">
        <f t="shared" si="41"/>
        <v>0</v>
      </c>
      <c r="P239" s="507">
        <f t="shared" si="42"/>
        <v>0</v>
      </c>
      <c r="Q239" s="507">
        <f t="shared" si="43"/>
        <v>0</v>
      </c>
      <c r="R239" s="507">
        <f t="shared" si="44"/>
        <v>0</v>
      </c>
      <c r="S239" s="507">
        <f t="shared" si="45"/>
        <v>0</v>
      </c>
      <c r="T239" s="507">
        <f t="shared" si="46"/>
        <v>0</v>
      </c>
      <c r="U239" s="507">
        <f t="shared" si="47"/>
        <v>0</v>
      </c>
      <c r="V239" s="507">
        <f t="shared" si="48"/>
        <v>0</v>
      </c>
      <c r="W239" s="507">
        <f t="shared" si="49"/>
        <v>0</v>
      </c>
      <c r="X239" s="507">
        <f t="shared" si="50"/>
        <v>0</v>
      </c>
      <c r="Y239" s="507">
        <f t="shared" si="51"/>
        <v>0</v>
      </c>
      <c r="Z239" s="11">
        <f t="shared" si="52"/>
        <v>0</v>
      </c>
      <c r="AC239" s="4">
        <v>500</v>
      </c>
      <c r="AD239" s="5" t="s">
        <v>710</v>
      </c>
      <c r="AE239" s="5" t="s">
        <v>702</v>
      </c>
      <c r="AF239" s="5" t="s">
        <v>711</v>
      </c>
      <c r="AG239" s="5" t="s">
        <v>712</v>
      </c>
      <c r="AH239" s="5" t="s">
        <v>18</v>
      </c>
      <c r="AI239" s="5" t="s">
        <v>16</v>
      </c>
      <c r="AJ239" s="5" t="s">
        <v>481</v>
      </c>
      <c r="AK239" s="5" t="s">
        <v>561</v>
      </c>
      <c r="AL239" s="5" t="s">
        <v>18</v>
      </c>
      <c r="AM239" s="6"/>
      <c r="AO239" s="5"/>
      <c r="AP239" s="5"/>
      <c r="AQ239" s="5"/>
      <c r="AR239" s="5"/>
      <c r="AS239" s="5"/>
      <c r="AU239" s="1547"/>
      <c r="AV239" s="35"/>
      <c r="AW239" s="36"/>
      <c r="AY239" s="34"/>
      <c r="AZ239" s="35"/>
      <c r="BA239" s="36"/>
      <c r="BC239" s="34"/>
      <c r="BD239" s="35"/>
      <c r="BE239" s="36"/>
      <c r="BG239" s="34"/>
      <c r="BH239" s="35"/>
      <c r="BI239" s="36"/>
      <c r="BK239" s="34"/>
      <c r="BL239" s="35"/>
      <c r="BM239" s="36"/>
      <c r="BO239" s="34"/>
      <c r="BP239" s="35"/>
      <c r="BQ239" s="36"/>
      <c r="BS239" s="1592"/>
      <c r="BT239" s="35"/>
      <c r="BU239" s="36"/>
      <c r="BW239" s="34"/>
      <c r="BX239" s="35"/>
      <c r="BY239" s="36"/>
      <c r="CA239" s="34"/>
      <c r="CB239" s="35"/>
      <c r="CC239" s="36"/>
      <c r="CE239" s="34"/>
      <c r="CF239" s="35"/>
      <c r="CG239" s="36"/>
      <c r="CI239" s="34"/>
      <c r="CJ239" s="35"/>
      <c r="CK239" s="36"/>
      <c r="CM239" s="34"/>
      <c r="CN239" s="35"/>
      <c r="CO239" s="36"/>
    </row>
    <row r="240" spans="1:93">
      <c r="A240" s="34"/>
      <c r="B240" s="35"/>
      <c r="C240" s="36"/>
      <c r="D240" s="37" t="str">
        <f>IF(C240&gt;=Mat!$E$71,"Material","No Mat")</f>
        <v>No Mat</v>
      </c>
      <c r="E240" s="834">
        <f>IF(C240&gt;=Mat!$E$71,C240/Mat!$E$71,0)</f>
        <v>0</v>
      </c>
      <c r="G240" s="34"/>
      <c r="H240" s="35"/>
      <c r="I240" s="48"/>
      <c r="J240" s="36"/>
      <c r="L240" s="506"/>
      <c r="M240" s="506" t="s">
        <v>644</v>
      </c>
      <c r="N240" s="507">
        <f t="shared" si="40"/>
        <v>0</v>
      </c>
      <c r="O240" s="507">
        <f t="shared" si="41"/>
        <v>0</v>
      </c>
      <c r="P240" s="507">
        <f t="shared" si="42"/>
        <v>0</v>
      </c>
      <c r="Q240" s="507">
        <f t="shared" si="43"/>
        <v>0</v>
      </c>
      <c r="R240" s="507">
        <f t="shared" si="44"/>
        <v>0</v>
      </c>
      <c r="S240" s="507">
        <f t="shared" si="45"/>
        <v>0</v>
      </c>
      <c r="T240" s="507">
        <f t="shared" si="46"/>
        <v>0</v>
      </c>
      <c r="U240" s="507">
        <f t="shared" si="47"/>
        <v>0</v>
      </c>
      <c r="V240" s="507">
        <f t="shared" si="48"/>
        <v>0</v>
      </c>
      <c r="W240" s="507">
        <f t="shared" si="49"/>
        <v>0</v>
      </c>
      <c r="X240" s="507">
        <f t="shared" si="50"/>
        <v>0</v>
      </c>
      <c r="Y240" s="507">
        <f t="shared" si="51"/>
        <v>0</v>
      </c>
      <c r="Z240" s="11">
        <f t="shared" si="52"/>
        <v>0</v>
      </c>
      <c r="AC240" s="4">
        <v>502</v>
      </c>
      <c r="AD240" s="5" t="s">
        <v>713</v>
      </c>
      <c r="AE240" s="5" t="s">
        <v>702</v>
      </c>
      <c r="AF240" s="5" t="s">
        <v>714</v>
      </c>
      <c r="AG240" s="5" t="s">
        <v>715</v>
      </c>
      <c r="AH240" s="5" t="s">
        <v>18</v>
      </c>
      <c r="AI240" s="5" t="s">
        <v>16</v>
      </c>
      <c r="AJ240" s="5" t="s">
        <v>481</v>
      </c>
      <c r="AK240" s="5" t="s">
        <v>561</v>
      </c>
      <c r="AL240" s="5" t="s">
        <v>18</v>
      </c>
      <c r="AM240" s="6"/>
      <c r="AO240" s="5"/>
      <c r="AP240" s="5"/>
      <c r="AQ240" s="5"/>
      <c r="AR240" s="5"/>
      <c r="AS240" s="5"/>
      <c r="AU240" s="1547"/>
      <c r="AV240" s="35"/>
      <c r="AW240" s="36"/>
      <c r="AY240" s="34"/>
      <c r="AZ240" s="35"/>
      <c r="BA240" s="36"/>
      <c r="BC240" s="34"/>
      <c r="BD240" s="35"/>
      <c r="BE240" s="36"/>
      <c r="BG240" s="34"/>
      <c r="BH240" s="35"/>
      <c r="BI240" s="36"/>
      <c r="BK240" s="34"/>
      <c r="BL240" s="35"/>
      <c r="BM240" s="36"/>
      <c r="BO240" s="34"/>
      <c r="BP240" s="35"/>
      <c r="BQ240" s="36"/>
      <c r="BS240" s="1592"/>
      <c r="BT240" s="35"/>
      <c r="BU240" s="36"/>
      <c r="BW240" s="34"/>
      <c r="BX240" s="35"/>
      <c r="BY240" s="36"/>
      <c r="CA240" s="34"/>
      <c r="CB240" s="35"/>
      <c r="CC240" s="36"/>
      <c r="CE240" s="34"/>
      <c r="CF240" s="35"/>
      <c r="CG240" s="36"/>
      <c r="CI240" s="34"/>
      <c r="CJ240" s="35"/>
      <c r="CK240" s="36"/>
      <c r="CM240" s="34"/>
      <c r="CN240" s="35"/>
      <c r="CO240" s="36"/>
    </row>
    <row r="241" spans="1:93">
      <c r="A241" s="34"/>
      <c r="B241" s="35"/>
      <c r="C241" s="36"/>
      <c r="D241" s="37" t="str">
        <f>IF(C241&gt;=Mat!$E$71,"Material","No Mat")</f>
        <v>No Mat</v>
      </c>
      <c r="E241" s="834">
        <f>IF(C241&gt;=Mat!$E$71,C241/Mat!$E$71,0)</f>
        <v>0</v>
      </c>
      <c r="G241" s="34"/>
      <c r="H241" s="35"/>
      <c r="I241" s="48"/>
      <c r="J241" s="36"/>
      <c r="L241" s="506"/>
      <c r="M241" s="506" t="s">
        <v>647</v>
      </c>
      <c r="N241" s="507">
        <f t="shared" si="40"/>
        <v>0</v>
      </c>
      <c r="O241" s="507">
        <f t="shared" si="41"/>
        <v>0</v>
      </c>
      <c r="P241" s="507">
        <f t="shared" si="42"/>
        <v>0</v>
      </c>
      <c r="Q241" s="507">
        <f t="shared" si="43"/>
        <v>0</v>
      </c>
      <c r="R241" s="507">
        <f t="shared" si="44"/>
        <v>0</v>
      </c>
      <c r="S241" s="507">
        <f t="shared" si="45"/>
        <v>0</v>
      </c>
      <c r="T241" s="507">
        <f t="shared" si="46"/>
        <v>0</v>
      </c>
      <c r="U241" s="507">
        <f t="shared" si="47"/>
        <v>0</v>
      </c>
      <c r="V241" s="507">
        <f t="shared" si="48"/>
        <v>0</v>
      </c>
      <c r="W241" s="507">
        <f t="shared" si="49"/>
        <v>0</v>
      </c>
      <c r="X241" s="507">
        <f t="shared" si="50"/>
        <v>0</v>
      </c>
      <c r="Y241" s="507">
        <f t="shared" si="51"/>
        <v>0</v>
      </c>
      <c r="Z241" s="11">
        <f t="shared" si="52"/>
        <v>0</v>
      </c>
      <c r="AC241" s="4">
        <v>504</v>
      </c>
      <c r="AD241" s="5" t="s">
        <v>716</v>
      </c>
      <c r="AE241" s="5" t="s">
        <v>702</v>
      </c>
      <c r="AF241" s="5" t="s">
        <v>717</v>
      </c>
      <c r="AG241" s="5" t="s">
        <v>718</v>
      </c>
      <c r="AH241" s="5" t="s">
        <v>18</v>
      </c>
      <c r="AI241" s="5" t="s">
        <v>16</v>
      </c>
      <c r="AJ241" s="5" t="s">
        <v>481</v>
      </c>
      <c r="AK241" s="5" t="s">
        <v>561</v>
      </c>
      <c r="AL241" s="5" t="s">
        <v>18</v>
      </c>
      <c r="AM241" s="6"/>
      <c r="AO241" s="5"/>
      <c r="AP241" s="5"/>
      <c r="AQ241" s="5"/>
      <c r="AR241" s="5"/>
      <c r="AS241" s="5"/>
      <c r="AU241" s="1547"/>
      <c r="AV241" s="35"/>
      <c r="AW241" s="36"/>
      <c r="AY241" s="34"/>
      <c r="AZ241" s="35"/>
      <c r="BA241" s="36"/>
      <c r="BC241" s="34"/>
      <c r="BD241" s="35"/>
      <c r="BE241" s="36"/>
      <c r="BG241" s="34"/>
      <c r="BH241" s="35"/>
      <c r="BI241" s="36"/>
      <c r="BK241" s="34"/>
      <c r="BL241" s="35"/>
      <c r="BM241" s="36"/>
      <c r="BO241" s="34"/>
      <c r="BP241" s="35"/>
      <c r="BQ241" s="36"/>
      <c r="BS241" s="1592"/>
      <c r="BT241" s="35"/>
      <c r="BU241" s="36"/>
      <c r="BW241" s="34"/>
      <c r="BX241" s="35"/>
      <c r="BY241" s="36"/>
      <c r="CA241" s="34"/>
      <c r="CB241" s="35"/>
      <c r="CC241" s="36"/>
      <c r="CE241" s="34"/>
      <c r="CF241" s="35"/>
      <c r="CG241" s="36"/>
      <c r="CI241" s="34"/>
      <c r="CJ241" s="35"/>
      <c r="CK241" s="36"/>
      <c r="CM241" s="34"/>
      <c r="CN241" s="35"/>
      <c r="CO241" s="36"/>
    </row>
    <row r="242" spans="1:93">
      <c r="A242" s="34"/>
      <c r="B242" s="35"/>
      <c r="C242" s="36"/>
      <c r="D242" s="37" t="str">
        <f>IF(C242&gt;=Mat!$E$71,"Material","No Mat")</f>
        <v>No Mat</v>
      </c>
      <c r="E242" s="834">
        <f>IF(C242&gt;=Mat!$E$71,C242/Mat!$E$71,0)</f>
        <v>0</v>
      </c>
      <c r="G242" s="34"/>
      <c r="H242" s="35"/>
      <c r="I242" s="48"/>
      <c r="J242" s="36"/>
      <c r="L242" s="506"/>
      <c r="M242" s="506" t="s">
        <v>650</v>
      </c>
      <c r="N242" s="507">
        <f t="shared" si="40"/>
        <v>0</v>
      </c>
      <c r="O242" s="507">
        <f t="shared" si="41"/>
        <v>0</v>
      </c>
      <c r="P242" s="507">
        <f t="shared" si="42"/>
        <v>0</v>
      </c>
      <c r="Q242" s="507">
        <f t="shared" si="43"/>
        <v>0</v>
      </c>
      <c r="R242" s="507">
        <f t="shared" si="44"/>
        <v>0</v>
      </c>
      <c r="S242" s="507">
        <f t="shared" si="45"/>
        <v>0</v>
      </c>
      <c r="T242" s="507">
        <f t="shared" si="46"/>
        <v>0</v>
      </c>
      <c r="U242" s="507">
        <f t="shared" si="47"/>
        <v>0</v>
      </c>
      <c r="V242" s="507">
        <f t="shared" si="48"/>
        <v>0</v>
      </c>
      <c r="W242" s="507">
        <f t="shared" si="49"/>
        <v>0</v>
      </c>
      <c r="X242" s="507">
        <f t="shared" si="50"/>
        <v>0</v>
      </c>
      <c r="Y242" s="507">
        <f t="shared" si="51"/>
        <v>0</v>
      </c>
      <c r="Z242" s="11">
        <f t="shared" si="52"/>
        <v>0</v>
      </c>
      <c r="AC242" s="4">
        <v>506</v>
      </c>
      <c r="AD242" s="5" t="s">
        <v>719</v>
      </c>
      <c r="AE242" s="5" t="s">
        <v>702</v>
      </c>
      <c r="AF242" s="5" t="s">
        <v>720</v>
      </c>
      <c r="AG242" s="5" t="s">
        <v>721</v>
      </c>
      <c r="AH242" s="5" t="s">
        <v>18</v>
      </c>
      <c r="AI242" s="5" t="s">
        <v>16</v>
      </c>
      <c r="AJ242" s="5" t="s">
        <v>481</v>
      </c>
      <c r="AK242" s="5" t="s">
        <v>561</v>
      </c>
      <c r="AL242" s="5" t="s">
        <v>18</v>
      </c>
      <c r="AM242" s="6"/>
      <c r="AO242" s="5"/>
      <c r="AP242" s="5"/>
      <c r="AQ242" s="5"/>
      <c r="AR242" s="5"/>
      <c r="AS242" s="5"/>
      <c r="AU242" s="1547"/>
      <c r="AV242" s="35"/>
      <c r="AW242" s="36"/>
      <c r="AY242" s="34"/>
      <c r="AZ242" s="35"/>
      <c r="BA242" s="36"/>
      <c r="BC242" s="34"/>
      <c r="BD242" s="35"/>
      <c r="BE242" s="36"/>
      <c r="BG242" s="34"/>
      <c r="BH242" s="35"/>
      <c r="BI242" s="36"/>
      <c r="BK242" s="34"/>
      <c r="BL242" s="35"/>
      <c r="BM242" s="36"/>
      <c r="BO242" s="34"/>
      <c r="BP242" s="35"/>
      <c r="BQ242" s="36"/>
      <c r="BS242" s="1592"/>
      <c r="BT242" s="35"/>
      <c r="BU242" s="36"/>
      <c r="BW242" s="34"/>
      <c r="BX242" s="35"/>
      <c r="BY242" s="36"/>
      <c r="CA242" s="34"/>
      <c r="CB242" s="35"/>
      <c r="CC242" s="36"/>
      <c r="CE242" s="34"/>
      <c r="CF242" s="35"/>
      <c r="CG242" s="36"/>
      <c r="CI242" s="34"/>
      <c r="CJ242" s="35"/>
      <c r="CK242" s="36"/>
      <c r="CM242" s="34"/>
      <c r="CN242" s="35"/>
      <c r="CO242" s="36"/>
    </row>
    <row r="243" spans="1:93">
      <c r="A243" s="34"/>
      <c r="B243" s="35"/>
      <c r="C243" s="36"/>
      <c r="D243" s="37" t="str">
        <f>IF(C243&gt;=Mat!$E$71,"Material","No Mat")</f>
        <v>No Mat</v>
      </c>
      <c r="E243" s="834">
        <f>IF(C243&gt;=Mat!$E$71,C243/Mat!$E$71,0)</f>
        <v>0</v>
      </c>
      <c r="G243" s="34"/>
      <c r="H243" s="35"/>
      <c r="I243" s="48"/>
      <c r="J243" s="36"/>
      <c r="L243" s="506"/>
      <c r="M243" s="506" t="s">
        <v>657</v>
      </c>
      <c r="N243" s="507">
        <f t="shared" si="40"/>
        <v>0</v>
      </c>
      <c r="O243" s="507">
        <f t="shared" si="41"/>
        <v>0</v>
      </c>
      <c r="P243" s="507">
        <f t="shared" si="42"/>
        <v>0</v>
      </c>
      <c r="Q243" s="507">
        <f t="shared" si="43"/>
        <v>0</v>
      </c>
      <c r="R243" s="507">
        <f t="shared" si="44"/>
        <v>0</v>
      </c>
      <c r="S243" s="507">
        <f t="shared" si="45"/>
        <v>0</v>
      </c>
      <c r="T243" s="507">
        <f t="shared" si="46"/>
        <v>0</v>
      </c>
      <c r="U243" s="507">
        <f t="shared" si="47"/>
        <v>0</v>
      </c>
      <c r="V243" s="507">
        <f t="shared" si="48"/>
        <v>0</v>
      </c>
      <c r="W243" s="507">
        <f t="shared" si="49"/>
        <v>0</v>
      </c>
      <c r="X243" s="507">
        <f t="shared" si="50"/>
        <v>0</v>
      </c>
      <c r="Y243" s="507">
        <f t="shared" si="51"/>
        <v>0</v>
      </c>
      <c r="Z243" s="11">
        <f t="shared" si="52"/>
        <v>0</v>
      </c>
      <c r="AC243" s="4">
        <v>508</v>
      </c>
      <c r="AD243" s="5" t="s">
        <v>722</v>
      </c>
      <c r="AE243" s="5" t="s">
        <v>702</v>
      </c>
      <c r="AF243" s="5" t="s">
        <v>723</v>
      </c>
      <c r="AG243" s="5" t="s">
        <v>724</v>
      </c>
      <c r="AH243" s="5" t="s">
        <v>18</v>
      </c>
      <c r="AI243" s="5" t="s">
        <v>16</v>
      </c>
      <c r="AJ243" s="5" t="s">
        <v>481</v>
      </c>
      <c r="AK243" s="5" t="s">
        <v>561</v>
      </c>
      <c r="AL243" s="5" t="s">
        <v>18</v>
      </c>
      <c r="AM243" s="6"/>
      <c r="AO243" s="5"/>
      <c r="AP243" s="5"/>
      <c r="AQ243" s="5"/>
      <c r="AR243" s="5"/>
      <c r="AS243" s="5"/>
      <c r="AU243" s="1547"/>
      <c r="AV243" s="35"/>
      <c r="AW243" s="36"/>
      <c r="AY243" s="34"/>
      <c r="AZ243" s="35"/>
      <c r="BA243" s="36"/>
      <c r="BC243" s="34"/>
      <c r="BD243" s="35"/>
      <c r="BE243" s="36"/>
      <c r="BG243" s="34"/>
      <c r="BH243" s="35"/>
      <c r="BI243" s="36"/>
      <c r="BK243" s="34"/>
      <c r="BL243" s="35"/>
      <c r="BM243" s="36"/>
      <c r="BO243" s="34"/>
      <c r="BP243" s="35"/>
      <c r="BQ243" s="36"/>
      <c r="BS243" s="1592"/>
      <c r="BT243" s="35"/>
      <c r="BU243" s="36"/>
      <c r="BW243" s="34"/>
      <c r="BX243" s="35"/>
      <c r="BY243" s="36"/>
      <c r="CA243" s="34"/>
      <c r="CB243" s="35"/>
      <c r="CC243" s="36"/>
      <c r="CE243" s="34"/>
      <c r="CF243" s="35"/>
      <c r="CG243" s="36"/>
      <c r="CI243" s="34"/>
      <c r="CJ243" s="35"/>
      <c r="CK243" s="36"/>
      <c r="CM243" s="34"/>
      <c r="CN243" s="35"/>
      <c r="CO243" s="36"/>
    </row>
    <row r="244" spans="1:93">
      <c r="A244" s="34"/>
      <c r="B244" s="35"/>
      <c r="C244" s="36"/>
      <c r="D244" s="37" t="str">
        <f>IF(C244&gt;=Mat!$E$71,"Material","No Mat")</f>
        <v>No Mat</v>
      </c>
      <c r="E244" s="834">
        <f>IF(C244&gt;=Mat!$E$71,C244/Mat!$E$71,0)</f>
        <v>0</v>
      </c>
      <c r="G244" s="34"/>
      <c r="H244" s="35"/>
      <c r="I244" s="48"/>
      <c r="J244" s="36"/>
      <c r="L244" s="506"/>
      <c r="M244" s="506" t="s">
        <v>2327</v>
      </c>
      <c r="N244" s="507">
        <f t="shared" si="40"/>
        <v>0</v>
      </c>
      <c r="O244" s="507">
        <f t="shared" si="41"/>
        <v>0</v>
      </c>
      <c r="P244" s="507">
        <f t="shared" si="42"/>
        <v>0</v>
      </c>
      <c r="Q244" s="507">
        <f t="shared" si="43"/>
        <v>0</v>
      </c>
      <c r="R244" s="507">
        <f t="shared" si="44"/>
        <v>0</v>
      </c>
      <c r="S244" s="507">
        <f t="shared" si="45"/>
        <v>0</v>
      </c>
      <c r="T244" s="507">
        <f t="shared" si="46"/>
        <v>0</v>
      </c>
      <c r="U244" s="507">
        <f t="shared" si="47"/>
        <v>0</v>
      </c>
      <c r="V244" s="507">
        <f t="shared" si="48"/>
        <v>0</v>
      </c>
      <c r="W244" s="507">
        <f t="shared" si="49"/>
        <v>0</v>
      </c>
      <c r="X244" s="507">
        <f t="shared" si="50"/>
        <v>0</v>
      </c>
      <c r="Y244" s="507">
        <f t="shared" si="51"/>
        <v>0</v>
      </c>
      <c r="Z244" s="11">
        <f t="shared" si="52"/>
        <v>0</v>
      </c>
      <c r="AC244" s="4">
        <v>510</v>
      </c>
      <c r="AD244" s="5" t="s">
        <v>725</v>
      </c>
      <c r="AE244" s="5" t="s">
        <v>702</v>
      </c>
      <c r="AF244" s="5" t="s">
        <v>726</v>
      </c>
      <c r="AG244" s="5" t="s">
        <v>727</v>
      </c>
      <c r="AH244" s="5" t="s">
        <v>18</v>
      </c>
      <c r="AI244" s="5" t="s">
        <v>16</v>
      </c>
      <c r="AJ244" s="5" t="s">
        <v>481</v>
      </c>
      <c r="AK244" s="5" t="s">
        <v>561</v>
      </c>
      <c r="AL244" s="5" t="s">
        <v>18</v>
      </c>
      <c r="AM244" s="6"/>
      <c r="AO244" s="5"/>
      <c r="AP244" s="5"/>
      <c r="AQ244" s="5"/>
      <c r="AR244" s="5"/>
      <c r="AS244" s="5"/>
      <c r="AU244" s="1547"/>
      <c r="AV244" s="35"/>
      <c r="AW244" s="36"/>
      <c r="AY244" s="34"/>
      <c r="AZ244" s="35"/>
      <c r="BA244" s="36"/>
      <c r="BC244" s="34"/>
      <c r="BD244" s="35"/>
      <c r="BE244" s="36"/>
      <c r="BG244" s="34"/>
      <c r="BH244" s="35"/>
      <c r="BI244" s="36"/>
      <c r="BK244" s="34"/>
      <c r="BL244" s="35"/>
      <c r="BM244" s="36"/>
      <c r="BO244" s="34"/>
      <c r="BP244" s="35"/>
      <c r="BQ244" s="36"/>
      <c r="BS244" s="1592"/>
      <c r="BT244" s="35"/>
      <c r="BU244" s="36"/>
      <c r="BW244" s="34"/>
      <c r="BX244" s="35"/>
      <c r="BY244" s="36"/>
      <c r="CA244" s="34"/>
      <c r="CB244" s="35"/>
      <c r="CC244" s="36"/>
      <c r="CE244" s="34"/>
      <c r="CF244" s="35"/>
      <c r="CG244" s="36"/>
      <c r="CI244" s="34"/>
      <c r="CJ244" s="35"/>
      <c r="CK244" s="36"/>
      <c r="CM244" s="34"/>
      <c r="CN244" s="35"/>
      <c r="CO244" s="36"/>
    </row>
    <row r="245" spans="1:93">
      <c r="A245" s="34"/>
      <c r="B245" s="35"/>
      <c r="C245" s="36"/>
      <c r="D245" s="37" t="str">
        <f>IF(C245&gt;=Mat!$E$71,"Material","No Mat")</f>
        <v>No Mat</v>
      </c>
      <c r="E245" s="834">
        <f>IF(C245&gt;=Mat!$E$71,C245/Mat!$E$71,0)</f>
        <v>0</v>
      </c>
      <c r="G245" s="34"/>
      <c r="H245" s="35"/>
      <c r="I245" s="48"/>
      <c r="J245" s="36"/>
      <c r="L245" s="506"/>
      <c r="M245" s="506" t="s">
        <v>2232</v>
      </c>
      <c r="N245" s="507">
        <f t="shared" si="40"/>
        <v>153288.54999999999</v>
      </c>
      <c r="O245" s="507">
        <f t="shared" si="41"/>
        <v>146935.25</v>
      </c>
      <c r="P245" s="507">
        <f t="shared" si="42"/>
        <v>160500.28</v>
      </c>
      <c r="Q245" s="507">
        <f t="shared" si="43"/>
        <v>0</v>
      </c>
      <c r="R245" s="507">
        <f t="shared" si="44"/>
        <v>0</v>
      </c>
      <c r="S245" s="507">
        <f t="shared" si="45"/>
        <v>0</v>
      </c>
      <c r="T245" s="507">
        <f t="shared" si="46"/>
        <v>0</v>
      </c>
      <c r="U245" s="507">
        <f t="shared" si="47"/>
        <v>0</v>
      </c>
      <c r="V245" s="507">
        <f t="shared" si="48"/>
        <v>0</v>
      </c>
      <c r="W245" s="507">
        <f t="shared" si="49"/>
        <v>0</v>
      </c>
      <c r="X245" s="507">
        <f t="shared" si="50"/>
        <v>0</v>
      </c>
      <c r="Y245" s="507">
        <f t="shared" si="51"/>
        <v>0</v>
      </c>
      <c r="Z245" s="11">
        <f t="shared" si="52"/>
        <v>460724.07999999996</v>
      </c>
      <c r="AC245" s="4">
        <v>512</v>
      </c>
      <c r="AD245" s="5" t="s">
        <v>728</v>
      </c>
      <c r="AE245" s="5" t="s">
        <v>702</v>
      </c>
      <c r="AF245" s="5" t="s">
        <v>729</v>
      </c>
      <c r="AG245" s="5" t="s">
        <v>730</v>
      </c>
      <c r="AH245" s="5" t="s">
        <v>18</v>
      </c>
      <c r="AI245" s="5" t="s">
        <v>16</v>
      </c>
      <c r="AJ245" s="5" t="s">
        <v>481</v>
      </c>
      <c r="AK245" s="5" t="s">
        <v>561</v>
      </c>
      <c r="AL245" s="5" t="s">
        <v>18</v>
      </c>
      <c r="AM245" s="6"/>
      <c r="AO245" s="5"/>
      <c r="AP245" s="5"/>
      <c r="AQ245" s="5"/>
      <c r="AR245" s="5" t="s">
        <v>0</v>
      </c>
      <c r="AS245" s="5"/>
      <c r="AU245" s="1547"/>
      <c r="AV245" s="35"/>
      <c r="AW245" s="36"/>
      <c r="AY245" s="34"/>
      <c r="AZ245" s="35"/>
      <c r="BA245" s="36"/>
      <c r="BC245" s="34"/>
      <c r="BD245" s="35"/>
      <c r="BE245" s="36"/>
      <c r="BG245" s="34"/>
      <c r="BH245" s="35"/>
      <c r="BI245" s="36"/>
      <c r="BK245" s="34"/>
      <c r="BL245" s="35"/>
      <c r="BM245" s="36"/>
      <c r="BO245" s="34"/>
      <c r="BP245" s="35"/>
      <c r="BQ245" s="36"/>
      <c r="BS245" s="1592"/>
      <c r="BT245" s="35"/>
      <c r="BU245" s="36"/>
      <c r="BW245" s="34"/>
      <c r="BX245" s="35"/>
      <c r="BY245" s="36"/>
      <c r="CA245" s="34"/>
      <c r="CB245" s="35"/>
      <c r="CC245" s="36"/>
      <c r="CE245" s="34"/>
      <c r="CF245" s="35"/>
      <c r="CG245" s="36"/>
      <c r="CI245" s="34"/>
      <c r="CJ245" s="35"/>
      <c r="CK245" s="36"/>
      <c r="CM245" s="34"/>
      <c r="CN245" s="35"/>
      <c r="CO245" s="36"/>
    </row>
    <row r="246" spans="1:93">
      <c r="A246" s="34"/>
      <c r="B246" s="35"/>
      <c r="C246" s="36"/>
      <c r="D246" s="37" t="str">
        <f>IF(C246&gt;=Mat!$E$71,"Material","No Mat")</f>
        <v>No Mat</v>
      </c>
      <c r="E246" s="834">
        <f>IF(C246&gt;=Mat!$E$71,C246/Mat!$E$71,0)</f>
        <v>0</v>
      </c>
      <c r="G246" s="34"/>
      <c r="H246" s="35"/>
      <c r="I246" s="48"/>
      <c r="J246" s="36"/>
      <c r="L246" s="506"/>
      <c r="M246" s="506" t="s">
        <v>2233</v>
      </c>
      <c r="N246" s="507">
        <f t="shared" si="40"/>
        <v>76591.44</v>
      </c>
      <c r="O246" s="507">
        <f t="shared" si="41"/>
        <v>76677.760000000009</v>
      </c>
      <c r="P246" s="507">
        <f t="shared" si="42"/>
        <v>76921.8</v>
      </c>
      <c r="Q246" s="507">
        <f t="shared" si="43"/>
        <v>0</v>
      </c>
      <c r="R246" s="507">
        <f t="shared" si="44"/>
        <v>0</v>
      </c>
      <c r="S246" s="507">
        <f t="shared" si="45"/>
        <v>0</v>
      </c>
      <c r="T246" s="507">
        <f t="shared" si="46"/>
        <v>0</v>
      </c>
      <c r="U246" s="507">
        <f t="shared" si="47"/>
        <v>0</v>
      </c>
      <c r="V246" s="507">
        <f t="shared" si="48"/>
        <v>0</v>
      </c>
      <c r="W246" s="507">
        <f t="shared" si="49"/>
        <v>0</v>
      </c>
      <c r="X246" s="507">
        <f t="shared" si="50"/>
        <v>0</v>
      </c>
      <c r="Y246" s="507">
        <f t="shared" si="51"/>
        <v>0</v>
      </c>
      <c r="Z246" s="11">
        <f t="shared" si="52"/>
        <v>230191</v>
      </c>
      <c r="AC246" s="4">
        <v>514</v>
      </c>
      <c r="AD246" s="5" t="s">
        <v>731</v>
      </c>
      <c r="AE246" s="5" t="s">
        <v>702</v>
      </c>
      <c r="AF246" s="5" t="s">
        <v>732</v>
      </c>
      <c r="AG246" s="5" t="s">
        <v>733</v>
      </c>
      <c r="AH246" s="5" t="s">
        <v>18</v>
      </c>
      <c r="AI246" s="5" t="s">
        <v>16</v>
      </c>
      <c r="AJ246" s="5" t="s">
        <v>481</v>
      </c>
      <c r="AK246" s="5" t="s">
        <v>561</v>
      </c>
      <c r="AL246" s="5" t="s">
        <v>18</v>
      </c>
      <c r="AM246" s="6"/>
      <c r="AO246" s="5"/>
      <c r="AP246" s="5"/>
      <c r="AQ246" s="5"/>
      <c r="AR246" s="5"/>
      <c r="AS246" s="5"/>
      <c r="AU246" s="1547"/>
      <c r="AV246" s="35"/>
      <c r="AW246" s="36"/>
      <c r="AY246" s="34"/>
      <c r="AZ246" s="35"/>
      <c r="BA246" s="36"/>
      <c r="BC246" s="34"/>
      <c r="BD246" s="35"/>
      <c r="BE246" s="36"/>
      <c r="BG246" s="34"/>
      <c r="BH246" s="35"/>
      <c r="BI246" s="36"/>
      <c r="BK246" s="34"/>
      <c r="BL246" s="35"/>
      <c r="BM246" s="36"/>
      <c r="BO246" s="34"/>
      <c r="BP246" s="35"/>
      <c r="BQ246" s="36"/>
      <c r="BS246" s="1592"/>
      <c r="BT246" s="35"/>
      <c r="BU246" s="36"/>
      <c r="BW246" s="34"/>
      <c r="BX246" s="35"/>
      <c r="BY246" s="36"/>
      <c r="CA246" s="34"/>
      <c r="CB246" s="35"/>
      <c r="CC246" s="36"/>
      <c r="CE246" s="34"/>
      <c r="CF246" s="35"/>
      <c r="CG246" s="36"/>
      <c r="CI246" s="34"/>
      <c r="CJ246" s="35"/>
      <c r="CK246" s="36"/>
      <c r="CM246" s="34"/>
      <c r="CN246" s="35"/>
      <c r="CO246" s="36"/>
    </row>
    <row r="247" spans="1:93">
      <c r="A247" s="34"/>
      <c r="B247" s="35"/>
      <c r="C247" s="36"/>
      <c r="D247" s="37" t="str">
        <f>IF(C247&gt;=Mat!$E$71,"Material","No Mat")</f>
        <v>No Mat</v>
      </c>
      <c r="E247" s="834">
        <f>IF(C247&gt;=Mat!$E$71,C247/Mat!$E$71,0)</f>
        <v>0</v>
      </c>
      <c r="G247" s="34"/>
      <c r="H247" s="35"/>
      <c r="I247" s="48"/>
      <c r="J247" s="36"/>
      <c r="L247" s="506"/>
      <c r="M247" s="506" t="s">
        <v>2234</v>
      </c>
      <c r="N247" s="507">
        <f t="shared" si="40"/>
        <v>0</v>
      </c>
      <c r="O247" s="507">
        <f t="shared" si="41"/>
        <v>0</v>
      </c>
      <c r="P247" s="507">
        <f t="shared" si="42"/>
        <v>0</v>
      </c>
      <c r="Q247" s="507">
        <f t="shared" si="43"/>
        <v>0</v>
      </c>
      <c r="R247" s="507">
        <f t="shared" si="44"/>
        <v>0</v>
      </c>
      <c r="S247" s="507">
        <f t="shared" si="45"/>
        <v>0</v>
      </c>
      <c r="T247" s="507">
        <f t="shared" si="46"/>
        <v>0</v>
      </c>
      <c r="U247" s="507">
        <f t="shared" si="47"/>
        <v>0</v>
      </c>
      <c r="V247" s="507">
        <f t="shared" si="48"/>
        <v>0</v>
      </c>
      <c r="W247" s="507">
        <f t="shared" si="49"/>
        <v>0</v>
      </c>
      <c r="X247" s="507">
        <f t="shared" si="50"/>
        <v>0</v>
      </c>
      <c r="Y247" s="507">
        <f t="shared" si="51"/>
        <v>0</v>
      </c>
      <c r="Z247" s="11">
        <f t="shared" si="52"/>
        <v>0</v>
      </c>
      <c r="AC247" s="4">
        <v>516</v>
      </c>
      <c r="AD247" s="5" t="s">
        <v>734</v>
      </c>
      <c r="AE247" s="5" t="s">
        <v>702</v>
      </c>
      <c r="AF247" s="5" t="s">
        <v>735</v>
      </c>
      <c r="AG247" s="5" t="s">
        <v>736</v>
      </c>
      <c r="AH247" s="5" t="s">
        <v>18</v>
      </c>
      <c r="AI247" s="5" t="s">
        <v>16</v>
      </c>
      <c r="AJ247" s="5" t="s">
        <v>481</v>
      </c>
      <c r="AK247" s="5" t="s">
        <v>561</v>
      </c>
      <c r="AL247" s="5" t="s">
        <v>18</v>
      </c>
      <c r="AM247" s="6"/>
      <c r="AO247" s="5"/>
      <c r="AP247" s="5"/>
      <c r="AQ247" s="5"/>
      <c r="AR247" s="5"/>
      <c r="AS247" s="5"/>
      <c r="AU247" s="1547"/>
      <c r="AV247" s="35"/>
      <c r="AW247" s="36"/>
      <c r="AY247" s="34"/>
      <c r="AZ247" s="35"/>
      <c r="BA247" s="36"/>
      <c r="BC247" s="34"/>
      <c r="BD247" s="35"/>
      <c r="BE247" s="36"/>
      <c r="BG247" s="34"/>
      <c r="BH247" s="35"/>
      <c r="BI247" s="36"/>
      <c r="BK247" s="34"/>
      <c r="BL247" s="35"/>
      <c r="BM247" s="36"/>
      <c r="BO247" s="34"/>
      <c r="BP247" s="35"/>
      <c r="BQ247" s="36"/>
      <c r="BS247" s="1592"/>
      <c r="BT247" s="35"/>
      <c r="BU247" s="36"/>
      <c r="BW247" s="34"/>
      <c r="BX247" s="35"/>
      <c r="BY247" s="36"/>
      <c r="CA247" s="34"/>
      <c r="CB247" s="35"/>
      <c r="CC247" s="36"/>
      <c r="CE247" s="34"/>
      <c r="CF247" s="35"/>
      <c r="CG247" s="36"/>
      <c r="CI247" s="34"/>
      <c r="CJ247" s="35"/>
      <c r="CK247" s="36"/>
      <c r="CM247" s="34"/>
      <c r="CN247" s="35"/>
      <c r="CO247" s="36"/>
    </row>
    <row r="248" spans="1:93">
      <c r="A248" s="34"/>
      <c r="B248" s="35"/>
      <c r="C248" s="36"/>
      <c r="D248" s="37" t="str">
        <f>IF(C248&gt;=Mat!$E$71,"Material","No Mat")</f>
        <v>No Mat</v>
      </c>
      <c r="E248" s="834">
        <f>IF(C248&gt;=Mat!$E$71,C248/Mat!$E$71,0)</f>
        <v>0</v>
      </c>
      <c r="G248" s="34"/>
      <c r="H248" s="35"/>
      <c r="I248" s="48"/>
      <c r="J248" s="36"/>
      <c r="L248" s="506"/>
      <c r="M248" s="506" t="s">
        <v>2235</v>
      </c>
      <c r="N248" s="507">
        <f t="shared" si="40"/>
        <v>26507.29</v>
      </c>
      <c r="O248" s="507">
        <f t="shared" si="41"/>
        <v>25180.41</v>
      </c>
      <c r="P248" s="507">
        <f t="shared" si="42"/>
        <v>25397.41</v>
      </c>
      <c r="Q248" s="507">
        <f t="shared" si="43"/>
        <v>0</v>
      </c>
      <c r="R248" s="507">
        <f t="shared" si="44"/>
        <v>0</v>
      </c>
      <c r="S248" s="507">
        <f t="shared" si="45"/>
        <v>0</v>
      </c>
      <c r="T248" s="507">
        <f t="shared" si="46"/>
        <v>0</v>
      </c>
      <c r="U248" s="507">
        <f t="shared" si="47"/>
        <v>0</v>
      </c>
      <c r="V248" s="507">
        <f t="shared" si="48"/>
        <v>0</v>
      </c>
      <c r="W248" s="507">
        <f t="shared" si="49"/>
        <v>0</v>
      </c>
      <c r="X248" s="507">
        <f t="shared" si="50"/>
        <v>0</v>
      </c>
      <c r="Y248" s="507">
        <f t="shared" si="51"/>
        <v>0</v>
      </c>
      <c r="Z248" s="11">
        <f t="shared" si="52"/>
        <v>77085.11</v>
      </c>
      <c r="AC248" s="4">
        <v>518</v>
      </c>
      <c r="AD248" s="5" t="s">
        <v>737</v>
      </c>
      <c r="AE248" s="5" t="s">
        <v>702</v>
      </c>
      <c r="AF248" s="5" t="s">
        <v>738</v>
      </c>
      <c r="AG248" s="5" t="s">
        <v>739</v>
      </c>
      <c r="AH248" s="5" t="s">
        <v>18</v>
      </c>
      <c r="AI248" s="5" t="s">
        <v>16</v>
      </c>
      <c r="AJ248" s="5" t="s">
        <v>481</v>
      </c>
      <c r="AK248" s="5" t="s">
        <v>561</v>
      </c>
      <c r="AL248" s="5" t="s">
        <v>18</v>
      </c>
      <c r="AM248" s="6"/>
      <c r="AO248" s="5"/>
      <c r="AP248" s="5"/>
      <c r="AQ248" s="5"/>
      <c r="AR248" s="5"/>
      <c r="AS248" s="5"/>
      <c r="AU248" s="1547"/>
      <c r="AV248" s="35"/>
      <c r="AW248" s="36"/>
      <c r="AY248" s="34"/>
      <c r="AZ248" s="35"/>
      <c r="BA248" s="36"/>
      <c r="BC248" s="34"/>
      <c r="BD248" s="35"/>
      <c r="BE248" s="36"/>
      <c r="BG248" s="34"/>
      <c r="BH248" s="35"/>
      <c r="BI248" s="36"/>
      <c r="BK248" s="34"/>
      <c r="BL248" s="35"/>
      <c r="BM248" s="36"/>
      <c r="BO248" s="34"/>
      <c r="BP248" s="35"/>
      <c r="BQ248" s="36"/>
      <c r="BS248" s="1592"/>
      <c r="BT248" s="35"/>
      <c r="BU248" s="36"/>
      <c r="BW248" s="34"/>
      <c r="BX248" s="35"/>
      <c r="BY248" s="36"/>
      <c r="CA248" s="34"/>
      <c r="CB248" s="35"/>
      <c r="CC248" s="36"/>
      <c r="CE248" s="34"/>
      <c r="CF248" s="35"/>
      <c r="CG248" s="36"/>
      <c r="CI248" s="34"/>
      <c r="CJ248" s="35"/>
      <c r="CK248" s="36"/>
      <c r="CM248" s="34"/>
      <c r="CN248" s="35"/>
      <c r="CO248" s="36"/>
    </row>
    <row r="249" spans="1:93">
      <c r="A249" s="34"/>
      <c r="B249" s="35"/>
      <c r="C249" s="36"/>
      <c r="D249" s="37" t="str">
        <f>IF(C249&gt;=Mat!$E$71,"Material","No Mat")</f>
        <v>No Mat</v>
      </c>
      <c r="E249" s="834">
        <f>IF(C249&gt;=Mat!$E$71,C249/Mat!$E$71,0)</f>
        <v>0</v>
      </c>
      <c r="G249" s="34"/>
      <c r="H249" s="35"/>
      <c r="I249" s="48"/>
      <c r="J249" s="36"/>
      <c r="L249" s="506"/>
      <c r="M249" s="506" t="s">
        <v>660</v>
      </c>
      <c r="N249" s="507">
        <f t="shared" si="40"/>
        <v>0</v>
      </c>
      <c r="O249" s="507">
        <f t="shared" si="41"/>
        <v>0</v>
      </c>
      <c r="P249" s="507">
        <f t="shared" si="42"/>
        <v>0</v>
      </c>
      <c r="Q249" s="507">
        <f t="shared" si="43"/>
        <v>0</v>
      </c>
      <c r="R249" s="507">
        <f t="shared" si="44"/>
        <v>0</v>
      </c>
      <c r="S249" s="507">
        <f t="shared" si="45"/>
        <v>0</v>
      </c>
      <c r="T249" s="507">
        <f t="shared" si="46"/>
        <v>0</v>
      </c>
      <c r="U249" s="507">
        <f t="shared" si="47"/>
        <v>0</v>
      </c>
      <c r="V249" s="507">
        <f t="shared" si="48"/>
        <v>0</v>
      </c>
      <c r="W249" s="507">
        <f t="shared" si="49"/>
        <v>0</v>
      </c>
      <c r="X249" s="507">
        <f t="shared" si="50"/>
        <v>0</v>
      </c>
      <c r="Y249" s="507">
        <f t="shared" si="51"/>
        <v>0</v>
      </c>
      <c r="Z249" s="11">
        <f t="shared" si="52"/>
        <v>0</v>
      </c>
      <c r="AC249" s="4">
        <v>520</v>
      </c>
      <c r="AD249" s="5" t="s">
        <v>740</v>
      </c>
      <c r="AE249" s="5" t="s">
        <v>702</v>
      </c>
      <c r="AF249" s="5" t="s">
        <v>741</v>
      </c>
      <c r="AG249" s="5" t="s">
        <v>742</v>
      </c>
      <c r="AH249" s="5" t="s">
        <v>18</v>
      </c>
      <c r="AI249" s="5" t="s">
        <v>16</v>
      </c>
      <c r="AJ249" s="5" t="s">
        <v>481</v>
      </c>
      <c r="AK249" s="5" t="s">
        <v>561</v>
      </c>
      <c r="AL249" s="5" t="s">
        <v>18</v>
      </c>
      <c r="AM249" s="6"/>
      <c r="AO249" s="5"/>
      <c r="AP249" s="5"/>
      <c r="AQ249" s="5"/>
      <c r="AR249" s="5"/>
      <c r="AS249" s="5"/>
      <c r="AU249" s="1547"/>
      <c r="AV249" s="35"/>
      <c r="AW249" s="36"/>
      <c r="AY249" s="34"/>
      <c r="AZ249" s="35"/>
      <c r="BA249" s="36"/>
      <c r="BC249" s="34"/>
      <c r="BD249" s="35"/>
      <c r="BE249" s="36"/>
      <c r="BG249" s="34"/>
      <c r="BH249" s="35"/>
      <c r="BI249" s="36"/>
      <c r="BK249" s="34"/>
      <c r="BL249" s="35"/>
      <c r="BM249" s="36"/>
      <c r="BO249" s="34"/>
      <c r="BP249" s="35"/>
      <c r="BQ249" s="36"/>
      <c r="BS249" s="1592"/>
      <c r="BT249" s="35"/>
      <c r="BU249" s="36"/>
      <c r="BW249" s="34"/>
      <c r="BX249" s="35"/>
      <c r="BY249" s="36"/>
      <c r="CA249" s="34"/>
      <c r="CB249" s="35"/>
      <c r="CC249" s="36"/>
      <c r="CE249" s="34"/>
      <c r="CF249" s="35"/>
      <c r="CG249" s="36"/>
      <c r="CI249" s="34"/>
      <c r="CJ249" s="35"/>
      <c r="CK249" s="36"/>
      <c r="CM249" s="34"/>
      <c r="CN249" s="35"/>
      <c r="CO249" s="36"/>
    </row>
    <row r="250" spans="1:93">
      <c r="A250" s="34"/>
      <c r="B250" s="35"/>
      <c r="C250" s="36"/>
      <c r="D250" s="37" t="str">
        <f>IF(C250&gt;=Mat!$E$71,"Material","No Mat")</f>
        <v>No Mat</v>
      </c>
      <c r="E250" s="834">
        <f>IF(C250&gt;=Mat!$E$71,C250/Mat!$E$71,0)</f>
        <v>0</v>
      </c>
      <c r="G250" s="34"/>
      <c r="H250" s="35"/>
      <c r="I250" s="48"/>
      <c r="J250" s="36"/>
      <c r="L250" s="506"/>
      <c r="M250" s="506" t="s">
        <v>2221</v>
      </c>
      <c r="N250" s="507">
        <f t="shared" si="40"/>
        <v>0</v>
      </c>
      <c r="O250" s="507">
        <f t="shared" si="41"/>
        <v>0</v>
      </c>
      <c r="P250" s="507">
        <f t="shared" si="42"/>
        <v>0</v>
      </c>
      <c r="Q250" s="507">
        <f t="shared" si="43"/>
        <v>0</v>
      </c>
      <c r="R250" s="507">
        <f t="shared" si="44"/>
        <v>0</v>
      </c>
      <c r="S250" s="507">
        <f t="shared" si="45"/>
        <v>0</v>
      </c>
      <c r="T250" s="507">
        <f t="shared" si="46"/>
        <v>0</v>
      </c>
      <c r="U250" s="507">
        <f t="shared" si="47"/>
        <v>0</v>
      </c>
      <c r="V250" s="507">
        <f t="shared" si="48"/>
        <v>0</v>
      </c>
      <c r="W250" s="507">
        <f t="shared" si="49"/>
        <v>0</v>
      </c>
      <c r="X250" s="507">
        <f t="shared" si="50"/>
        <v>0</v>
      </c>
      <c r="Y250" s="507">
        <f t="shared" si="51"/>
        <v>0</v>
      </c>
      <c r="Z250" s="11">
        <f t="shared" si="52"/>
        <v>0</v>
      </c>
      <c r="AC250" s="4">
        <v>522</v>
      </c>
      <c r="AD250" s="5" t="s">
        <v>743</v>
      </c>
      <c r="AE250" s="5" t="s">
        <v>702</v>
      </c>
      <c r="AF250" s="5" t="s">
        <v>744</v>
      </c>
      <c r="AG250" s="5" t="s">
        <v>745</v>
      </c>
      <c r="AH250" s="5" t="s">
        <v>18</v>
      </c>
      <c r="AI250" s="5" t="s">
        <v>16</v>
      </c>
      <c r="AJ250" s="5" t="s">
        <v>481</v>
      </c>
      <c r="AK250" s="5" t="s">
        <v>561</v>
      </c>
      <c r="AL250" s="5" t="s">
        <v>18</v>
      </c>
      <c r="AM250" s="6"/>
      <c r="AO250" s="5"/>
      <c r="AP250" s="5"/>
      <c r="AQ250" s="5"/>
      <c r="AR250" s="5"/>
      <c r="AS250" s="5"/>
      <c r="AU250" s="1547"/>
      <c r="AV250" s="35"/>
      <c r="AW250" s="36"/>
      <c r="AY250" s="34"/>
      <c r="AZ250" s="35"/>
      <c r="BA250" s="36"/>
      <c r="BC250" s="34"/>
      <c r="BD250" s="35"/>
      <c r="BE250" s="36"/>
      <c r="BG250" s="34"/>
      <c r="BH250" s="35"/>
      <c r="BI250" s="36"/>
      <c r="BK250" s="34"/>
      <c r="BL250" s="35"/>
      <c r="BM250" s="36"/>
      <c r="BO250" s="34"/>
      <c r="BP250" s="35"/>
      <c r="BQ250" s="36"/>
      <c r="BS250" s="1592"/>
      <c r="BT250" s="35"/>
      <c r="BU250" s="36"/>
      <c r="BW250" s="34"/>
      <c r="BX250" s="35"/>
      <c r="BY250" s="36"/>
      <c r="CA250" s="34"/>
      <c r="CB250" s="35"/>
      <c r="CC250" s="36"/>
      <c r="CE250" s="34"/>
      <c r="CF250" s="35"/>
      <c r="CG250" s="36"/>
      <c r="CI250" s="34"/>
      <c r="CJ250" s="35"/>
      <c r="CK250" s="36"/>
      <c r="CM250" s="34"/>
      <c r="CN250" s="35"/>
      <c r="CO250" s="36"/>
    </row>
    <row r="251" spans="1:93">
      <c r="A251" s="34"/>
      <c r="B251" s="35"/>
      <c r="C251" s="36"/>
      <c r="D251" s="37" t="str">
        <f>IF(C251&gt;=Mat!$E$71,"Material","No Mat")</f>
        <v>No Mat</v>
      </c>
      <c r="E251" s="834">
        <f>IF(C251&gt;=Mat!$E$71,C251/Mat!$E$71,0)</f>
        <v>0</v>
      </c>
      <c r="G251" s="34"/>
      <c r="H251" s="35"/>
      <c r="I251" s="48"/>
      <c r="J251" s="36"/>
      <c r="L251" s="506"/>
      <c r="M251" s="506" t="s">
        <v>2226</v>
      </c>
      <c r="N251" s="507">
        <f t="shared" si="40"/>
        <v>0</v>
      </c>
      <c r="O251" s="507">
        <f t="shared" si="41"/>
        <v>0</v>
      </c>
      <c r="P251" s="507">
        <f t="shared" si="42"/>
        <v>354</v>
      </c>
      <c r="Q251" s="507">
        <f t="shared" si="43"/>
        <v>0</v>
      </c>
      <c r="R251" s="507">
        <f t="shared" si="44"/>
        <v>0</v>
      </c>
      <c r="S251" s="507">
        <f t="shared" si="45"/>
        <v>0</v>
      </c>
      <c r="T251" s="507">
        <f t="shared" si="46"/>
        <v>0</v>
      </c>
      <c r="U251" s="507">
        <f t="shared" si="47"/>
        <v>0</v>
      </c>
      <c r="V251" s="507">
        <f t="shared" si="48"/>
        <v>0</v>
      </c>
      <c r="W251" s="507">
        <f t="shared" si="49"/>
        <v>0</v>
      </c>
      <c r="X251" s="507">
        <f t="shared" si="50"/>
        <v>0</v>
      </c>
      <c r="Y251" s="507">
        <f t="shared" si="51"/>
        <v>0</v>
      </c>
      <c r="Z251" s="11">
        <f t="shared" si="52"/>
        <v>354</v>
      </c>
      <c r="AC251" s="4">
        <v>524</v>
      </c>
      <c r="AD251" s="5" t="s">
        <v>746</v>
      </c>
      <c r="AE251" s="5" t="s">
        <v>702</v>
      </c>
      <c r="AF251" s="5" t="s">
        <v>747</v>
      </c>
      <c r="AG251" s="5" t="s">
        <v>748</v>
      </c>
      <c r="AH251" s="5" t="s">
        <v>18</v>
      </c>
      <c r="AI251" s="5" t="s">
        <v>16</v>
      </c>
      <c r="AJ251" s="5" t="s">
        <v>481</v>
      </c>
      <c r="AK251" s="5" t="s">
        <v>561</v>
      </c>
      <c r="AL251" s="5" t="s">
        <v>18</v>
      </c>
      <c r="AM251" s="6"/>
      <c r="AO251" s="5"/>
      <c r="AP251" s="5"/>
      <c r="AQ251" s="5"/>
      <c r="AR251" s="5"/>
      <c r="AS251" s="5"/>
      <c r="AU251" s="1548"/>
      <c r="AV251" s="14"/>
      <c r="AW251" s="15"/>
      <c r="AY251" s="13"/>
      <c r="AZ251" s="14"/>
      <c r="BA251" s="15"/>
      <c r="BC251" s="13"/>
      <c r="BD251" s="14"/>
      <c r="BE251" s="15"/>
      <c r="BG251" s="13"/>
      <c r="BH251" s="14"/>
      <c r="BI251" s="15"/>
      <c r="BK251" s="13"/>
      <c r="BL251" s="14"/>
      <c r="BM251" s="15"/>
      <c r="BO251" s="13"/>
      <c r="BP251" s="14"/>
      <c r="BQ251" s="15"/>
      <c r="BS251" s="1593"/>
      <c r="BT251" s="14"/>
      <c r="BU251" s="15"/>
      <c r="BW251" s="13"/>
      <c r="BX251" s="14"/>
      <c r="BY251" s="15"/>
      <c r="CA251" s="13"/>
      <c r="CB251" s="14"/>
      <c r="CC251" s="15"/>
      <c r="CE251" s="13"/>
      <c r="CF251" s="14"/>
      <c r="CG251" s="15"/>
      <c r="CI251" s="13"/>
      <c r="CJ251" s="14"/>
      <c r="CK251" s="15"/>
      <c r="CM251" s="13"/>
      <c r="CN251" s="14"/>
      <c r="CO251" s="15"/>
    </row>
    <row r="252" spans="1:93">
      <c r="A252" s="34"/>
      <c r="B252" s="35"/>
      <c r="C252" s="36"/>
      <c r="D252" s="37" t="str">
        <f>IF(C252&gt;=Mat!$E$71,"Material","No Mat")</f>
        <v>No Mat</v>
      </c>
      <c r="E252" s="834">
        <f>IF(C252&gt;=Mat!$E$71,C252/Mat!$E$71,0)</f>
        <v>0</v>
      </c>
      <c r="G252" s="34"/>
      <c r="H252" s="35"/>
      <c r="I252" s="48"/>
      <c r="J252" s="36"/>
      <c r="L252" s="506"/>
      <c r="M252" s="506" t="s">
        <v>2222</v>
      </c>
      <c r="N252" s="507">
        <f t="shared" si="40"/>
        <v>0</v>
      </c>
      <c r="O252" s="507">
        <f t="shared" si="41"/>
        <v>82162.5</v>
      </c>
      <c r="P252" s="507">
        <f t="shared" si="42"/>
        <v>512337</v>
      </c>
      <c r="Q252" s="507">
        <f t="shared" si="43"/>
        <v>0</v>
      </c>
      <c r="R252" s="507">
        <f t="shared" si="44"/>
        <v>0</v>
      </c>
      <c r="S252" s="507">
        <f t="shared" si="45"/>
        <v>0</v>
      </c>
      <c r="T252" s="507">
        <f t="shared" si="46"/>
        <v>0</v>
      </c>
      <c r="U252" s="507">
        <f t="shared" si="47"/>
        <v>0</v>
      </c>
      <c r="V252" s="507">
        <f t="shared" si="48"/>
        <v>0</v>
      </c>
      <c r="W252" s="507">
        <f t="shared" si="49"/>
        <v>0</v>
      </c>
      <c r="X252" s="507">
        <f t="shared" si="50"/>
        <v>0</v>
      </c>
      <c r="Y252" s="507">
        <f t="shared" si="51"/>
        <v>0</v>
      </c>
      <c r="Z252" s="11">
        <f t="shared" si="52"/>
        <v>594499.5</v>
      </c>
      <c r="AC252" s="4">
        <v>526</v>
      </c>
      <c r="AD252" s="5" t="s">
        <v>749</v>
      </c>
      <c r="AE252" s="5" t="s">
        <v>702</v>
      </c>
      <c r="AF252" s="5" t="s">
        <v>750</v>
      </c>
      <c r="AG252" s="5" t="s">
        <v>751</v>
      </c>
      <c r="AH252" s="5" t="s">
        <v>18</v>
      </c>
      <c r="AI252" s="5" t="s">
        <v>16</v>
      </c>
      <c r="AJ252" s="5" t="s">
        <v>481</v>
      </c>
      <c r="AK252" s="5" t="s">
        <v>561</v>
      </c>
      <c r="AL252" s="5" t="s">
        <v>18</v>
      </c>
      <c r="AM252" s="6"/>
      <c r="AO252" s="5"/>
      <c r="AP252" s="5"/>
      <c r="AQ252" s="5"/>
      <c r="AR252" s="5"/>
      <c r="AS252" s="5"/>
      <c r="AU252" s="1548"/>
      <c r="AV252" s="14"/>
      <c r="AW252" s="15"/>
      <c r="AY252" s="13"/>
      <c r="AZ252" s="14"/>
      <c r="BA252" s="15"/>
      <c r="BC252" s="13"/>
      <c r="BD252" s="14"/>
      <c r="BE252" s="15"/>
      <c r="BG252" s="13"/>
      <c r="BH252" s="14"/>
      <c r="BI252" s="15"/>
      <c r="BK252" s="13"/>
      <c r="BL252" s="14"/>
      <c r="BM252" s="15"/>
      <c r="BO252" s="13"/>
      <c r="BP252" s="14"/>
      <c r="BQ252" s="15"/>
      <c r="BS252" s="1593"/>
      <c r="BT252" s="14"/>
      <c r="BU252" s="15"/>
      <c r="BW252" s="13"/>
      <c r="BX252" s="14"/>
      <c r="BY252" s="15"/>
      <c r="CA252" s="13"/>
      <c r="CB252" s="14"/>
      <c r="CC252" s="15"/>
      <c r="CE252" s="13"/>
      <c r="CF252" s="14"/>
      <c r="CG252" s="15"/>
      <c r="CI252" s="13"/>
      <c r="CJ252" s="14"/>
      <c r="CK252" s="15"/>
      <c r="CM252" s="13"/>
      <c r="CN252" s="14"/>
      <c r="CO252" s="15"/>
    </row>
    <row r="253" spans="1:93">
      <c r="A253" s="34"/>
      <c r="B253" s="35"/>
      <c r="C253" s="36"/>
      <c r="D253" s="37" t="str">
        <f>IF(C253&gt;=Mat!$E$71,"Material","No Mat")</f>
        <v>No Mat</v>
      </c>
      <c r="E253" s="834">
        <f>IF(C253&gt;=Mat!$E$71,C253/Mat!$E$71,0)</f>
        <v>0</v>
      </c>
      <c r="G253" s="34"/>
      <c r="H253" s="35"/>
      <c r="I253" s="48"/>
      <c r="J253" s="36"/>
      <c r="L253" s="506"/>
      <c r="M253" s="506" t="s">
        <v>2247</v>
      </c>
      <c r="N253" s="507">
        <f t="shared" si="40"/>
        <v>0</v>
      </c>
      <c r="O253" s="507">
        <f t="shared" si="41"/>
        <v>0</v>
      </c>
      <c r="P253" s="507">
        <f t="shared" si="42"/>
        <v>0</v>
      </c>
      <c r="Q253" s="507">
        <f t="shared" si="43"/>
        <v>0</v>
      </c>
      <c r="R253" s="507">
        <f t="shared" si="44"/>
        <v>0</v>
      </c>
      <c r="S253" s="507">
        <f t="shared" si="45"/>
        <v>0</v>
      </c>
      <c r="T253" s="507">
        <f t="shared" si="46"/>
        <v>0</v>
      </c>
      <c r="U253" s="507">
        <f t="shared" si="47"/>
        <v>0</v>
      </c>
      <c r="V253" s="507">
        <f t="shared" si="48"/>
        <v>0</v>
      </c>
      <c r="W253" s="507">
        <f t="shared" si="49"/>
        <v>0</v>
      </c>
      <c r="X253" s="507">
        <f t="shared" si="50"/>
        <v>0</v>
      </c>
      <c r="Y253" s="507">
        <f t="shared" si="51"/>
        <v>0</v>
      </c>
      <c r="Z253" s="11">
        <f t="shared" si="52"/>
        <v>0</v>
      </c>
      <c r="AC253" s="4">
        <v>528</v>
      </c>
      <c r="AD253" s="5" t="s">
        <v>754</v>
      </c>
      <c r="AE253" s="5" t="s">
        <v>752</v>
      </c>
      <c r="AF253" s="5" t="s">
        <v>755</v>
      </c>
      <c r="AG253" s="5" t="s">
        <v>756</v>
      </c>
      <c r="AH253" s="5" t="s">
        <v>18</v>
      </c>
      <c r="AI253" s="5" t="s">
        <v>16</v>
      </c>
      <c r="AJ253" s="5" t="s">
        <v>481</v>
      </c>
      <c r="AK253" s="5" t="s">
        <v>561</v>
      </c>
      <c r="AL253" s="5" t="s">
        <v>18</v>
      </c>
      <c r="AM253" s="6"/>
      <c r="AO253" s="5"/>
      <c r="AP253" s="5"/>
      <c r="AQ253" s="5"/>
      <c r="AR253" s="5"/>
      <c r="AS253" s="5"/>
      <c r="AU253" s="1548"/>
      <c r="AV253" s="14"/>
      <c r="AW253" s="15"/>
      <c r="AY253" s="13"/>
      <c r="AZ253" s="14"/>
      <c r="BA253" s="15"/>
      <c r="BC253" s="13"/>
      <c r="BD253" s="14"/>
      <c r="BE253" s="15"/>
      <c r="BG253" s="13"/>
      <c r="BH253" s="14"/>
      <c r="BI253" s="15"/>
      <c r="BK253" s="13"/>
      <c r="BL253" s="14"/>
      <c r="BM253" s="15"/>
      <c r="BO253" s="13"/>
      <c r="BP253" s="14"/>
      <c r="BQ253" s="15"/>
      <c r="BS253" s="1593"/>
      <c r="BT253" s="14"/>
      <c r="BU253" s="15"/>
      <c r="BW253" s="13"/>
      <c r="BX253" s="14"/>
      <c r="BY253" s="15"/>
      <c r="CA253" s="13"/>
      <c r="CB253" s="14"/>
      <c r="CC253" s="15"/>
      <c r="CE253" s="13"/>
      <c r="CF253" s="14"/>
      <c r="CG253" s="15"/>
      <c r="CI253" s="13"/>
      <c r="CJ253" s="14"/>
      <c r="CK253" s="15"/>
      <c r="CM253" s="13"/>
      <c r="CN253" s="14"/>
      <c r="CO253" s="15"/>
    </row>
    <row r="254" spans="1:93">
      <c r="A254" s="13"/>
      <c r="B254" s="14"/>
      <c r="C254" s="15"/>
      <c r="D254" s="37" t="str">
        <f>IF(C254&gt;=Mat!$E$71,"Material","No Mat")</f>
        <v>No Mat</v>
      </c>
      <c r="E254" s="834">
        <f>IF(C254&gt;=Mat!$E$71,C254/Mat!$E$71,0)</f>
        <v>0</v>
      </c>
      <c r="G254" s="34"/>
      <c r="H254" s="35"/>
      <c r="I254" s="48"/>
      <c r="J254" s="36"/>
      <c r="L254" s="506"/>
      <c r="M254" s="506" t="s">
        <v>2241</v>
      </c>
      <c r="N254" s="507">
        <f t="shared" si="40"/>
        <v>0</v>
      </c>
      <c r="O254" s="507">
        <f t="shared" si="41"/>
        <v>0</v>
      </c>
      <c r="P254" s="507">
        <f t="shared" si="42"/>
        <v>0</v>
      </c>
      <c r="Q254" s="507">
        <f t="shared" si="43"/>
        <v>0</v>
      </c>
      <c r="R254" s="507">
        <f t="shared" si="44"/>
        <v>0</v>
      </c>
      <c r="S254" s="507">
        <f t="shared" si="45"/>
        <v>0</v>
      </c>
      <c r="T254" s="507">
        <f t="shared" si="46"/>
        <v>0</v>
      </c>
      <c r="U254" s="507">
        <f t="shared" si="47"/>
        <v>0</v>
      </c>
      <c r="V254" s="507">
        <f t="shared" si="48"/>
        <v>0</v>
      </c>
      <c r="W254" s="507">
        <f t="shared" si="49"/>
        <v>0</v>
      </c>
      <c r="X254" s="507">
        <f t="shared" si="50"/>
        <v>0</v>
      </c>
      <c r="Y254" s="507">
        <f t="shared" si="51"/>
        <v>0</v>
      </c>
      <c r="Z254" s="11">
        <f t="shared" si="52"/>
        <v>0</v>
      </c>
      <c r="AC254" s="4">
        <v>530</v>
      </c>
      <c r="AD254" s="5" t="s">
        <v>757</v>
      </c>
      <c r="AE254" s="5" t="s">
        <v>752</v>
      </c>
      <c r="AF254" s="5" t="s">
        <v>758</v>
      </c>
      <c r="AG254" s="5" t="s">
        <v>759</v>
      </c>
      <c r="AH254" s="5" t="s">
        <v>18</v>
      </c>
      <c r="AI254" s="5" t="s">
        <v>16</v>
      </c>
      <c r="AJ254" s="5" t="s">
        <v>481</v>
      </c>
      <c r="AK254" s="5" t="s">
        <v>561</v>
      </c>
      <c r="AL254" s="5" t="s">
        <v>18</v>
      </c>
      <c r="AM254" s="6" t="s">
        <v>0</v>
      </c>
      <c r="AO254" s="5"/>
      <c r="AP254" s="5"/>
      <c r="AQ254" s="5"/>
      <c r="AR254" s="5"/>
      <c r="AS254" s="5"/>
      <c r="AU254" s="1548"/>
      <c r="AV254" s="14"/>
      <c r="AW254" s="15"/>
      <c r="AY254" s="13"/>
      <c r="AZ254" s="14"/>
      <c r="BA254" s="15"/>
      <c r="BC254" s="13"/>
      <c r="BD254" s="14"/>
      <c r="BE254" s="15"/>
      <c r="BG254" s="13"/>
      <c r="BH254" s="14"/>
      <c r="BI254" s="15"/>
      <c r="BK254" s="13"/>
      <c r="BL254" s="14"/>
      <c r="BM254" s="15"/>
      <c r="BO254" s="13"/>
      <c r="BP254" s="14"/>
      <c r="BQ254" s="15"/>
      <c r="BS254" s="1593"/>
      <c r="BT254" s="14"/>
      <c r="BU254" s="15"/>
      <c r="BW254" s="13"/>
      <c r="BX254" s="14"/>
      <c r="BY254" s="15"/>
      <c r="CA254" s="13"/>
      <c r="CB254" s="14"/>
      <c r="CC254" s="15"/>
      <c r="CE254" s="13"/>
      <c r="CF254" s="14"/>
      <c r="CG254" s="15"/>
      <c r="CI254" s="13"/>
      <c r="CJ254" s="14"/>
      <c r="CK254" s="15"/>
      <c r="CM254" s="13"/>
      <c r="CN254" s="14"/>
      <c r="CO254" s="15"/>
    </row>
    <row r="255" spans="1:93">
      <c r="A255" s="13"/>
      <c r="B255" s="14"/>
      <c r="C255" s="15"/>
      <c r="D255" s="37" t="str">
        <f>IF(C255&gt;=Mat!$E$71,"Material","No Mat")</f>
        <v>No Mat</v>
      </c>
      <c r="E255" s="834">
        <f>IF(C255&gt;=Mat!$E$71,C255/Mat!$E$71,0)</f>
        <v>0</v>
      </c>
      <c r="G255" s="34"/>
      <c r="H255" s="35"/>
      <c r="I255" s="48"/>
      <c r="J255" s="36"/>
      <c r="L255" s="506"/>
      <c r="M255" s="506" t="s">
        <v>2243</v>
      </c>
      <c r="N255" s="507">
        <f t="shared" si="40"/>
        <v>0</v>
      </c>
      <c r="O255" s="507">
        <f t="shared" si="41"/>
        <v>0</v>
      </c>
      <c r="P255" s="507">
        <f t="shared" si="42"/>
        <v>0</v>
      </c>
      <c r="Q255" s="507">
        <f t="shared" si="43"/>
        <v>0</v>
      </c>
      <c r="R255" s="507">
        <f t="shared" si="44"/>
        <v>0</v>
      </c>
      <c r="S255" s="507">
        <f t="shared" si="45"/>
        <v>0</v>
      </c>
      <c r="T255" s="507">
        <f t="shared" si="46"/>
        <v>0</v>
      </c>
      <c r="U255" s="507">
        <f t="shared" si="47"/>
        <v>0</v>
      </c>
      <c r="V255" s="507">
        <f t="shared" si="48"/>
        <v>0</v>
      </c>
      <c r="W255" s="507">
        <f t="shared" si="49"/>
        <v>0</v>
      </c>
      <c r="X255" s="507">
        <f t="shared" si="50"/>
        <v>0</v>
      </c>
      <c r="Y255" s="507">
        <f t="shared" si="51"/>
        <v>0</v>
      </c>
      <c r="Z255" s="11">
        <f t="shared" si="52"/>
        <v>0</v>
      </c>
      <c r="AC255" s="4">
        <v>532</v>
      </c>
      <c r="AD255" s="5" t="s">
        <v>760</v>
      </c>
      <c r="AE255" s="5" t="s">
        <v>752</v>
      </c>
      <c r="AF255" s="5" t="s">
        <v>761</v>
      </c>
      <c r="AG255" s="5" t="s">
        <v>762</v>
      </c>
      <c r="AH255" s="5" t="s">
        <v>18</v>
      </c>
      <c r="AI255" s="5" t="s">
        <v>16</v>
      </c>
      <c r="AJ255" s="5" t="s">
        <v>481</v>
      </c>
      <c r="AK255" s="5" t="s">
        <v>561</v>
      </c>
      <c r="AL255" s="5" t="s">
        <v>18</v>
      </c>
      <c r="AM255" s="6"/>
      <c r="AO255" s="5"/>
      <c r="AP255" s="5"/>
      <c r="AQ255" s="5"/>
      <c r="AR255" s="5"/>
      <c r="AS255" s="5"/>
      <c r="AU255" s="1548"/>
      <c r="AV255" s="14"/>
      <c r="AW255" s="15"/>
      <c r="AY255" s="13"/>
      <c r="AZ255" s="14"/>
      <c r="BA255" s="15"/>
      <c r="BC255" s="13"/>
      <c r="BD255" s="14"/>
      <c r="BE255" s="15"/>
      <c r="BG255" s="13"/>
      <c r="BH255" s="14"/>
      <c r="BI255" s="15"/>
      <c r="BK255" s="13"/>
      <c r="BL255" s="14"/>
      <c r="BM255" s="15"/>
      <c r="BO255" s="13"/>
      <c r="BP255" s="14"/>
      <c r="BQ255" s="15"/>
      <c r="BS255" s="1593"/>
      <c r="BT255" s="14"/>
      <c r="BU255" s="15"/>
      <c r="BW255" s="13"/>
      <c r="BX255" s="14"/>
      <c r="BY255" s="15"/>
      <c r="CA255" s="13"/>
      <c r="CB255" s="14"/>
      <c r="CC255" s="15"/>
      <c r="CE255" s="13"/>
      <c r="CF255" s="14"/>
      <c r="CG255" s="15"/>
      <c r="CI255" s="13"/>
      <c r="CJ255" s="14"/>
      <c r="CK255" s="15"/>
      <c r="CM255" s="13"/>
      <c r="CN255" s="14"/>
      <c r="CO255" s="15"/>
    </row>
    <row r="256" spans="1:93">
      <c r="A256" s="13"/>
      <c r="B256" s="14"/>
      <c r="C256" s="15"/>
      <c r="D256" s="37" t="str">
        <f>IF(C256&gt;=Mat!$E$71,"Material","No Mat")</f>
        <v>No Mat</v>
      </c>
      <c r="E256" s="834">
        <f>IF(C256&gt;=Mat!$E$71,C256/Mat!$E$71,0)</f>
        <v>0</v>
      </c>
      <c r="G256" s="34"/>
      <c r="H256" s="35"/>
      <c r="I256" s="48"/>
      <c r="J256" s="36"/>
      <c r="L256" s="506"/>
      <c r="M256" s="506" t="s">
        <v>2328</v>
      </c>
      <c r="N256" s="507">
        <f t="shared" si="40"/>
        <v>0</v>
      </c>
      <c r="O256" s="507">
        <f t="shared" si="41"/>
        <v>0</v>
      </c>
      <c r="P256" s="507">
        <f t="shared" si="42"/>
        <v>0</v>
      </c>
      <c r="Q256" s="507">
        <f t="shared" si="43"/>
        <v>0</v>
      </c>
      <c r="R256" s="507">
        <f t="shared" si="44"/>
        <v>0</v>
      </c>
      <c r="S256" s="507">
        <f t="shared" si="45"/>
        <v>0</v>
      </c>
      <c r="T256" s="507">
        <f t="shared" si="46"/>
        <v>0</v>
      </c>
      <c r="U256" s="507">
        <f t="shared" si="47"/>
        <v>0</v>
      </c>
      <c r="V256" s="507">
        <f t="shared" si="48"/>
        <v>0</v>
      </c>
      <c r="W256" s="507">
        <f t="shared" si="49"/>
        <v>0</v>
      </c>
      <c r="X256" s="507">
        <f t="shared" si="50"/>
        <v>0</v>
      </c>
      <c r="Y256" s="507">
        <f t="shared" si="51"/>
        <v>0</v>
      </c>
      <c r="Z256" s="11">
        <f t="shared" si="52"/>
        <v>0</v>
      </c>
      <c r="AC256" s="4">
        <v>534</v>
      </c>
      <c r="AD256" s="5" t="s">
        <v>763</v>
      </c>
      <c r="AE256" s="5" t="s">
        <v>752</v>
      </c>
      <c r="AF256" s="5" t="s">
        <v>764</v>
      </c>
      <c r="AG256" s="5" t="s">
        <v>765</v>
      </c>
      <c r="AH256" s="5" t="s">
        <v>18</v>
      </c>
      <c r="AI256" s="5" t="s">
        <v>16</v>
      </c>
      <c r="AJ256" s="5" t="s">
        <v>481</v>
      </c>
      <c r="AK256" s="5" t="s">
        <v>561</v>
      </c>
      <c r="AL256" s="5" t="s">
        <v>18</v>
      </c>
      <c r="AM256" s="6" t="s">
        <v>0</v>
      </c>
      <c r="AO256" s="5"/>
      <c r="AP256" s="5"/>
      <c r="AQ256" s="5"/>
      <c r="AR256" s="5"/>
      <c r="AS256" s="5"/>
      <c r="AU256" s="1548"/>
      <c r="AV256" s="14"/>
      <c r="AW256" s="15"/>
      <c r="AY256" s="13"/>
      <c r="AZ256" s="14"/>
      <c r="BA256" s="15"/>
      <c r="BC256" s="13"/>
      <c r="BD256" s="14"/>
      <c r="BE256" s="15"/>
      <c r="BG256" s="13"/>
      <c r="BH256" s="14"/>
      <c r="BI256" s="15"/>
      <c r="BK256" s="13"/>
      <c r="BL256" s="14"/>
      <c r="BM256" s="15"/>
      <c r="BO256" s="13"/>
      <c r="BP256" s="14"/>
      <c r="BQ256" s="15"/>
      <c r="BS256" s="1593"/>
      <c r="BT256" s="14"/>
      <c r="BU256" s="15"/>
      <c r="BW256" s="13"/>
      <c r="BX256" s="14"/>
      <c r="BY256" s="15"/>
      <c r="CA256" s="13"/>
      <c r="CB256" s="14"/>
      <c r="CC256" s="15"/>
      <c r="CE256" s="13"/>
      <c r="CF256" s="14"/>
      <c r="CG256" s="15"/>
      <c r="CI256" s="13"/>
      <c r="CJ256" s="14"/>
      <c r="CK256" s="15"/>
      <c r="CM256" s="13"/>
      <c r="CN256" s="14"/>
      <c r="CO256" s="15"/>
    </row>
    <row r="257" spans="1:93">
      <c r="A257" s="13"/>
      <c r="B257" s="14"/>
      <c r="C257" s="15"/>
      <c r="D257" s="37" t="str">
        <f>IF(C257&gt;=Mat!$E$71,"Material","No Mat")</f>
        <v>No Mat</v>
      </c>
      <c r="E257" s="834">
        <f>IF(C257&gt;=Mat!$E$71,C257/Mat!$E$71,0)</f>
        <v>0</v>
      </c>
      <c r="G257" s="34"/>
      <c r="H257" s="35"/>
      <c r="I257" s="48"/>
      <c r="J257" s="36"/>
      <c r="L257" s="506"/>
      <c r="M257" s="506" t="s">
        <v>2329</v>
      </c>
      <c r="N257" s="507">
        <f t="shared" si="40"/>
        <v>0</v>
      </c>
      <c r="O257" s="507">
        <f t="shared" si="41"/>
        <v>0</v>
      </c>
      <c r="P257" s="507">
        <f t="shared" si="42"/>
        <v>0</v>
      </c>
      <c r="Q257" s="507">
        <f t="shared" si="43"/>
        <v>0</v>
      </c>
      <c r="R257" s="507">
        <f t="shared" si="44"/>
        <v>0</v>
      </c>
      <c r="S257" s="507">
        <f t="shared" si="45"/>
        <v>0</v>
      </c>
      <c r="T257" s="507">
        <f t="shared" si="46"/>
        <v>0</v>
      </c>
      <c r="U257" s="507">
        <f t="shared" si="47"/>
        <v>0</v>
      </c>
      <c r="V257" s="507">
        <f t="shared" si="48"/>
        <v>0</v>
      </c>
      <c r="W257" s="507">
        <f t="shared" si="49"/>
        <v>0</v>
      </c>
      <c r="X257" s="507">
        <f t="shared" si="50"/>
        <v>0</v>
      </c>
      <c r="Y257" s="507">
        <f t="shared" si="51"/>
        <v>0</v>
      </c>
      <c r="Z257" s="11">
        <f t="shared" si="52"/>
        <v>0</v>
      </c>
      <c r="AC257" s="4">
        <v>536</v>
      </c>
      <c r="AD257" s="5" t="s">
        <v>766</v>
      </c>
      <c r="AE257" s="5" t="s">
        <v>752</v>
      </c>
      <c r="AF257" s="5" t="s">
        <v>767</v>
      </c>
      <c r="AG257" s="5" t="s">
        <v>768</v>
      </c>
      <c r="AH257" s="5" t="s">
        <v>18</v>
      </c>
      <c r="AI257" s="5" t="s">
        <v>16</v>
      </c>
      <c r="AJ257" s="5" t="s">
        <v>481</v>
      </c>
      <c r="AK257" s="5" t="s">
        <v>561</v>
      </c>
      <c r="AL257" s="5" t="s">
        <v>18</v>
      </c>
      <c r="AM257" s="6"/>
      <c r="AO257" s="5"/>
      <c r="AP257" s="5"/>
      <c r="AQ257" s="5"/>
      <c r="AR257" s="5"/>
      <c r="AS257" s="5"/>
      <c r="AU257" s="1548"/>
      <c r="AV257" s="14"/>
      <c r="AW257" s="15"/>
      <c r="AY257" s="13"/>
      <c r="AZ257" s="14"/>
      <c r="BA257" s="15"/>
      <c r="BC257" s="13"/>
      <c r="BD257" s="14"/>
      <c r="BE257" s="15"/>
      <c r="BG257" s="13"/>
      <c r="BH257" s="14"/>
      <c r="BI257" s="15"/>
      <c r="BK257" s="13"/>
      <c r="BL257" s="14"/>
      <c r="BM257" s="15"/>
      <c r="BO257" s="13"/>
      <c r="BP257" s="14"/>
      <c r="BQ257" s="15"/>
      <c r="BS257" s="1593"/>
      <c r="BT257" s="14"/>
      <c r="BU257" s="15"/>
      <c r="BW257" s="13"/>
      <c r="BX257" s="14"/>
      <c r="BY257" s="15"/>
      <c r="CA257" s="13"/>
      <c r="CB257" s="14"/>
      <c r="CC257" s="15"/>
      <c r="CE257" s="13"/>
      <c r="CF257" s="14"/>
      <c r="CG257" s="15"/>
      <c r="CI257" s="13"/>
      <c r="CJ257" s="14"/>
      <c r="CK257" s="15"/>
      <c r="CM257" s="13"/>
      <c r="CN257" s="14"/>
      <c r="CO257" s="15"/>
    </row>
    <row r="258" spans="1:93">
      <c r="A258" s="13"/>
      <c r="B258" s="14"/>
      <c r="C258" s="15"/>
      <c r="D258" s="37" t="str">
        <f>IF(C258&gt;=Mat!$E$71,"Material","No Mat")</f>
        <v>No Mat</v>
      </c>
      <c r="E258" s="834">
        <f>IF(C258&gt;=Mat!$E$71,C258/Mat!$E$71,0)</f>
        <v>0</v>
      </c>
      <c r="G258" s="34"/>
      <c r="H258" s="35"/>
      <c r="I258" s="48"/>
      <c r="J258" s="36"/>
      <c r="L258" s="506"/>
      <c r="M258" s="506" t="s">
        <v>2330</v>
      </c>
      <c r="N258" s="507">
        <f t="shared" si="40"/>
        <v>0</v>
      </c>
      <c r="O258" s="507">
        <f t="shared" si="41"/>
        <v>0</v>
      </c>
      <c r="P258" s="507">
        <f t="shared" si="42"/>
        <v>2200</v>
      </c>
      <c r="Q258" s="507">
        <f t="shared" si="43"/>
        <v>0</v>
      </c>
      <c r="R258" s="507">
        <f t="shared" si="44"/>
        <v>0</v>
      </c>
      <c r="S258" s="507">
        <f t="shared" si="45"/>
        <v>0</v>
      </c>
      <c r="T258" s="507">
        <f t="shared" si="46"/>
        <v>0</v>
      </c>
      <c r="U258" s="507">
        <f t="shared" si="47"/>
        <v>0</v>
      </c>
      <c r="V258" s="507">
        <f t="shared" si="48"/>
        <v>0</v>
      </c>
      <c r="W258" s="507">
        <f t="shared" si="49"/>
        <v>0</v>
      </c>
      <c r="X258" s="507">
        <f t="shared" si="50"/>
        <v>0</v>
      </c>
      <c r="Y258" s="507">
        <f t="shared" si="51"/>
        <v>0</v>
      </c>
      <c r="Z258" s="11">
        <f t="shared" si="52"/>
        <v>2200</v>
      </c>
      <c r="AC258" s="4">
        <v>538</v>
      </c>
      <c r="AD258" s="5" t="s">
        <v>769</v>
      </c>
      <c r="AE258" s="5" t="s">
        <v>752</v>
      </c>
      <c r="AF258" s="5" t="s">
        <v>770</v>
      </c>
      <c r="AG258" s="5" t="s">
        <v>771</v>
      </c>
      <c r="AH258" s="5" t="s">
        <v>18</v>
      </c>
      <c r="AI258" s="5" t="s">
        <v>16</v>
      </c>
      <c r="AJ258" s="5" t="s">
        <v>481</v>
      </c>
      <c r="AK258" s="5" t="s">
        <v>561</v>
      </c>
      <c r="AL258" s="5" t="s">
        <v>18</v>
      </c>
      <c r="AM258" s="6"/>
      <c r="AO258" s="5"/>
      <c r="AP258" s="5"/>
      <c r="AQ258" s="5"/>
      <c r="AR258" s="5"/>
      <c r="AS258" s="5"/>
      <c r="AU258" s="1548"/>
      <c r="AV258" s="14"/>
      <c r="AW258" s="15"/>
      <c r="AY258" s="13"/>
      <c r="AZ258" s="14"/>
      <c r="BA258" s="15"/>
      <c r="BC258" s="13"/>
      <c r="BD258" s="14"/>
      <c r="BE258" s="15"/>
      <c r="BG258" s="13"/>
      <c r="BH258" s="14"/>
      <c r="BI258" s="15"/>
      <c r="BK258" s="13"/>
      <c r="BL258" s="14"/>
      <c r="BM258" s="15"/>
      <c r="BO258" s="13"/>
      <c r="BP258" s="14"/>
      <c r="BQ258" s="15"/>
      <c r="BS258" s="1593"/>
      <c r="BT258" s="14"/>
      <c r="BU258" s="15"/>
      <c r="BW258" s="13"/>
      <c r="BX258" s="14"/>
      <c r="BY258" s="15"/>
      <c r="CA258" s="13"/>
      <c r="CB258" s="14"/>
      <c r="CC258" s="15"/>
      <c r="CE258" s="13"/>
      <c r="CF258" s="14"/>
      <c r="CG258" s="15"/>
      <c r="CI258" s="13"/>
      <c r="CJ258" s="14"/>
      <c r="CK258" s="15"/>
      <c r="CM258" s="13"/>
      <c r="CN258" s="14"/>
      <c r="CO258" s="15"/>
    </row>
    <row r="259" spans="1:93">
      <c r="A259" s="13"/>
      <c r="B259" s="14"/>
      <c r="C259" s="15"/>
      <c r="D259" s="37" t="str">
        <f>IF(C259&gt;=Mat!$E$71,"Material","No Mat")</f>
        <v>No Mat</v>
      </c>
      <c r="E259" s="834">
        <f>IF(C259&gt;=Mat!$E$71,C259/Mat!$E$71,0)</f>
        <v>0</v>
      </c>
      <c r="G259" s="34"/>
      <c r="H259" s="35"/>
      <c r="I259" s="48"/>
      <c r="J259" s="36"/>
      <c r="L259" s="506"/>
      <c r="M259" s="506" t="s">
        <v>674</v>
      </c>
      <c r="N259" s="507">
        <f t="shared" si="40"/>
        <v>0</v>
      </c>
      <c r="O259" s="507">
        <f t="shared" si="41"/>
        <v>0</v>
      </c>
      <c r="P259" s="507">
        <f t="shared" si="42"/>
        <v>0</v>
      </c>
      <c r="Q259" s="507">
        <f t="shared" si="43"/>
        <v>0</v>
      </c>
      <c r="R259" s="507">
        <f t="shared" si="44"/>
        <v>0</v>
      </c>
      <c r="S259" s="507">
        <f t="shared" si="45"/>
        <v>0</v>
      </c>
      <c r="T259" s="507">
        <f t="shared" si="46"/>
        <v>0</v>
      </c>
      <c r="U259" s="507">
        <f t="shared" si="47"/>
        <v>0</v>
      </c>
      <c r="V259" s="507">
        <f t="shared" si="48"/>
        <v>0</v>
      </c>
      <c r="W259" s="507">
        <f t="shared" si="49"/>
        <v>0</v>
      </c>
      <c r="X259" s="507">
        <f t="shared" si="50"/>
        <v>0</v>
      </c>
      <c r="Y259" s="507">
        <f t="shared" si="51"/>
        <v>0</v>
      </c>
      <c r="Z259" s="11">
        <f t="shared" si="52"/>
        <v>0</v>
      </c>
      <c r="AC259" s="4">
        <v>540</v>
      </c>
      <c r="AD259" s="5" t="s">
        <v>772</v>
      </c>
      <c r="AE259" s="5" t="s">
        <v>752</v>
      </c>
      <c r="AF259" s="5" t="s">
        <v>773</v>
      </c>
      <c r="AG259" s="5" t="s">
        <v>774</v>
      </c>
      <c r="AH259" s="5" t="s">
        <v>18</v>
      </c>
      <c r="AI259" s="5" t="s">
        <v>16</v>
      </c>
      <c r="AJ259" s="5" t="s">
        <v>481</v>
      </c>
      <c r="AK259" s="5" t="s">
        <v>561</v>
      </c>
      <c r="AL259" s="5" t="s">
        <v>18</v>
      </c>
      <c r="AM259" s="6"/>
      <c r="AO259" s="5"/>
      <c r="AP259" s="5"/>
      <c r="AQ259" s="5"/>
      <c r="AR259" s="5"/>
      <c r="AS259" s="5"/>
      <c r="AU259" s="1548"/>
      <c r="AV259" s="14"/>
      <c r="AW259" s="15"/>
      <c r="AY259" s="13"/>
      <c r="AZ259" s="14"/>
      <c r="BA259" s="15"/>
      <c r="BC259" s="13"/>
      <c r="BD259" s="14"/>
      <c r="BE259" s="15"/>
      <c r="BG259" s="13"/>
      <c r="BH259" s="14"/>
      <c r="BI259" s="15"/>
      <c r="BK259" s="13"/>
      <c r="BL259" s="14"/>
      <c r="BM259" s="15"/>
      <c r="BO259" s="13"/>
      <c r="BP259" s="14"/>
      <c r="BQ259" s="15"/>
      <c r="BS259" s="1593"/>
      <c r="BT259" s="14"/>
      <c r="BU259" s="15"/>
      <c r="BW259" s="13"/>
      <c r="BX259" s="14"/>
      <c r="BY259" s="15"/>
      <c r="CA259" s="13"/>
      <c r="CB259" s="14"/>
      <c r="CC259" s="15"/>
      <c r="CE259" s="13"/>
      <c r="CF259" s="14"/>
      <c r="CG259" s="15"/>
      <c r="CI259" s="13"/>
      <c r="CJ259" s="14"/>
      <c r="CK259" s="15"/>
      <c r="CM259" s="13"/>
      <c r="CN259" s="14"/>
      <c r="CO259" s="15"/>
    </row>
    <row r="260" spans="1:93">
      <c r="A260" s="13"/>
      <c r="B260" s="14"/>
      <c r="C260" s="15"/>
      <c r="D260" s="37" t="str">
        <f>IF(C260&gt;=Mat!$E$71,"Material","No Mat")</f>
        <v>No Mat</v>
      </c>
      <c r="E260" s="834">
        <f>IF(C260&gt;=Mat!$E$71,C260/Mat!$E$71,0)</f>
        <v>0</v>
      </c>
      <c r="G260" s="34"/>
      <c r="H260" s="35"/>
      <c r="I260" s="48"/>
      <c r="J260" s="36"/>
      <c r="L260" s="508"/>
      <c r="M260" s="506" t="s">
        <v>676</v>
      </c>
      <c r="N260" s="507">
        <f t="shared" si="40"/>
        <v>0</v>
      </c>
      <c r="O260" s="507">
        <f t="shared" si="41"/>
        <v>0</v>
      </c>
      <c r="P260" s="507">
        <f t="shared" si="42"/>
        <v>0</v>
      </c>
      <c r="Q260" s="507">
        <f t="shared" si="43"/>
        <v>0</v>
      </c>
      <c r="R260" s="507">
        <f t="shared" si="44"/>
        <v>0</v>
      </c>
      <c r="S260" s="507">
        <f t="shared" si="45"/>
        <v>0</v>
      </c>
      <c r="T260" s="507">
        <f t="shared" si="46"/>
        <v>0</v>
      </c>
      <c r="U260" s="507">
        <f t="shared" si="47"/>
        <v>0</v>
      </c>
      <c r="V260" s="507">
        <f t="shared" si="48"/>
        <v>0</v>
      </c>
      <c r="W260" s="507">
        <f t="shared" si="49"/>
        <v>0</v>
      </c>
      <c r="X260" s="507">
        <f t="shared" si="50"/>
        <v>0</v>
      </c>
      <c r="Y260" s="507">
        <f t="shared" si="51"/>
        <v>0</v>
      </c>
      <c r="Z260" s="11">
        <f t="shared" si="52"/>
        <v>0</v>
      </c>
      <c r="AC260" s="4">
        <v>542</v>
      </c>
      <c r="AD260" s="5" t="s">
        <v>775</v>
      </c>
      <c r="AE260" s="5" t="s">
        <v>752</v>
      </c>
      <c r="AF260" s="5" t="s">
        <v>776</v>
      </c>
      <c r="AG260" s="5" t="s">
        <v>777</v>
      </c>
      <c r="AH260" s="5" t="s">
        <v>18</v>
      </c>
      <c r="AI260" s="5" t="s">
        <v>16</v>
      </c>
      <c r="AJ260" s="5" t="s">
        <v>481</v>
      </c>
      <c r="AK260" s="5" t="s">
        <v>561</v>
      </c>
      <c r="AL260" s="5" t="s">
        <v>18</v>
      </c>
      <c r="AM260" s="6"/>
      <c r="AO260" s="5"/>
      <c r="AP260" s="5"/>
      <c r="AQ260" s="5"/>
      <c r="AR260" s="5"/>
      <c r="AS260" s="5"/>
      <c r="AU260" s="1548"/>
      <c r="AV260" s="14"/>
      <c r="AW260" s="15"/>
      <c r="AY260" s="13"/>
      <c r="AZ260" s="14"/>
      <c r="BA260" s="15"/>
      <c r="BC260" s="13"/>
      <c r="BD260" s="14"/>
      <c r="BE260" s="15"/>
      <c r="BG260" s="13"/>
      <c r="BH260" s="14"/>
      <c r="BI260" s="15"/>
      <c r="BK260" s="13"/>
      <c r="BL260" s="14"/>
      <c r="BM260" s="15"/>
      <c r="BO260" s="13"/>
      <c r="BP260" s="14"/>
      <c r="BQ260" s="15"/>
      <c r="BS260" s="1593"/>
      <c r="BT260" s="14"/>
      <c r="BU260" s="15"/>
      <c r="BW260" s="13"/>
      <c r="BX260" s="14"/>
      <c r="BY260" s="15"/>
      <c r="CA260" s="13"/>
      <c r="CB260" s="14"/>
      <c r="CC260" s="15"/>
      <c r="CE260" s="13"/>
      <c r="CF260" s="14"/>
      <c r="CG260" s="15"/>
      <c r="CI260" s="13"/>
      <c r="CJ260" s="14"/>
      <c r="CK260" s="15"/>
      <c r="CM260" s="13"/>
      <c r="CN260" s="14"/>
      <c r="CO260" s="15"/>
    </row>
    <row r="261" spans="1:93">
      <c r="A261" s="13"/>
      <c r="B261" s="14"/>
      <c r="C261" s="15"/>
      <c r="D261" s="37" t="str">
        <f>IF(C261&gt;=Mat!$E$71,"Material","No Mat")</f>
        <v>No Mat</v>
      </c>
      <c r="E261" s="834">
        <f>IF(C261&gt;=Mat!$E$71,C261/Mat!$E$71,0)</f>
        <v>0</v>
      </c>
      <c r="G261" s="34"/>
      <c r="H261" s="35"/>
      <c r="I261" s="48"/>
      <c r="J261" s="36"/>
      <c r="L261" s="508"/>
      <c r="M261" s="506" t="s">
        <v>679</v>
      </c>
      <c r="N261" s="507">
        <f t="shared" si="40"/>
        <v>0</v>
      </c>
      <c r="O261" s="507">
        <f t="shared" si="41"/>
        <v>0</v>
      </c>
      <c r="P261" s="507">
        <f t="shared" si="42"/>
        <v>0</v>
      </c>
      <c r="Q261" s="507">
        <f t="shared" si="43"/>
        <v>0</v>
      </c>
      <c r="R261" s="507">
        <f t="shared" si="44"/>
        <v>0</v>
      </c>
      <c r="S261" s="507">
        <f t="shared" si="45"/>
        <v>0</v>
      </c>
      <c r="T261" s="507">
        <f t="shared" si="46"/>
        <v>0</v>
      </c>
      <c r="U261" s="507">
        <f t="shared" si="47"/>
        <v>0</v>
      </c>
      <c r="V261" s="507">
        <f t="shared" si="48"/>
        <v>0</v>
      </c>
      <c r="W261" s="507">
        <f t="shared" si="49"/>
        <v>0</v>
      </c>
      <c r="X261" s="507">
        <f t="shared" si="50"/>
        <v>0</v>
      </c>
      <c r="Y261" s="507">
        <f t="shared" si="51"/>
        <v>0</v>
      </c>
      <c r="Z261" s="11">
        <f t="shared" si="52"/>
        <v>0</v>
      </c>
      <c r="AC261" s="4">
        <v>544</v>
      </c>
      <c r="AD261" s="5" t="s">
        <v>778</v>
      </c>
      <c r="AE261" s="5" t="s">
        <v>752</v>
      </c>
      <c r="AF261" s="5" t="s">
        <v>779</v>
      </c>
      <c r="AG261" s="5" t="s">
        <v>780</v>
      </c>
      <c r="AH261" s="5" t="s">
        <v>18</v>
      </c>
      <c r="AI261" s="5" t="s">
        <v>16</v>
      </c>
      <c r="AJ261" s="5" t="s">
        <v>481</v>
      </c>
      <c r="AK261" s="5" t="s">
        <v>561</v>
      </c>
      <c r="AL261" s="5" t="s">
        <v>18</v>
      </c>
      <c r="AM261" s="6"/>
      <c r="AO261" s="5"/>
      <c r="AP261" s="5"/>
      <c r="AQ261" s="5"/>
      <c r="AR261" s="5"/>
      <c r="AS261" s="5"/>
      <c r="AU261" s="1548"/>
      <c r="AV261" s="14"/>
      <c r="AW261" s="15"/>
      <c r="AY261" s="13"/>
      <c r="AZ261" s="14"/>
      <c r="BA261" s="15"/>
      <c r="BC261" s="13"/>
      <c r="BD261" s="14"/>
      <c r="BE261" s="15"/>
      <c r="BG261" s="13"/>
      <c r="BH261" s="14"/>
      <c r="BI261" s="15"/>
      <c r="BK261" s="13"/>
      <c r="BL261" s="14"/>
      <c r="BM261" s="15"/>
      <c r="BO261" s="13"/>
      <c r="BP261" s="14"/>
      <c r="BQ261" s="15"/>
      <c r="BS261" s="1593"/>
      <c r="BT261" s="14"/>
      <c r="BU261" s="15"/>
      <c r="BW261" s="13"/>
      <c r="BX261" s="14"/>
      <c r="BY261" s="15"/>
      <c r="CA261" s="13"/>
      <c r="CB261" s="14"/>
      <c r="CC261" s="15"/>
      <c r="CE261" s="13"/>
      <c r="CF261" s="14"/>
      <c r="CG261" s="15"/>
      <c r="CI261" s="13"/>
      <c r="CJ261" s="14"/>
      <c r="CK261" s="15"/>
      <c r="CM261" s="13"/>
      <c r="CN261" s="14"/>
      <c r="CO261" s="15"/>
    </row>
    <row r="262" spans="1:93">
      <c r="A262" s="13"/>
      <c r="B262" s="14"/>
      <c r="C262" s="15"/>
      <c r="D262" s="37" t="str">
        <f>IF(C262&gt;=Mat!$E$71,"Material","No Mat")</f>
        <v>No Mat</v>
      </c>
      <c r="E262" s="834">
        <f>IF(C262&gt;=Mat!$E$71,C262/Mat!$E$71,0)</f>
        <v>0</v>
      </c>
      <c r="G262" s="34"/>
      <c r="H262" s="35"/>
      <c r="I262" s="48"/>
      <c r="J262" s="36"/>
      <c r="L262" s="508"/>
      <c r="M262" s="506" t="s">
        <v>682</v>
      </c>
      <c r="N262" s="507">
        <f t="shared" si="40"/>
        <v>0</v>
      </c>
      <c r="O262" s="507">
        <f t="shared" si="41"/>
        <v>0</v>
      </c>
      <c r="P262" s="507">
        <f t="shared" si="42"/>
        <v>0</v>
      </c>
      <c r="Q262" s="507">
        <f t="shared" si="43"/>
        <v>0</v>
      </c>
      <c r="R262" s="507">
        <f t="shared" si="44"/>
        <v>0</v>
      </c>
      <c r="S262" s="507">
        <f t="shared" si="45"/>
        <v>0</v>
      </c>
      <c r="T262" s="507">
        <f t="shared" si="46"/>
        <v>0</v>
      </c>
      <c r="U262" s="507">
        <f t="shared" si="47"/>
        <v>0</v>
      </c>
      <c r="V262" s="507">
        <f t="shared" si="48"/>
        <v>0</v>
      </c>
      <c r="W262" s="507">
        <f t="shared" si="49"/>
        <v>0</v>
      </c>
      <c r="X262" s="507">
        <f t="shared" si="50"/>
        <v>0</v>
      </c>
      <c r="Y262" s="507">
        <f t="shared" si="51"/>
        <v>0</v>
      </c>
      <c r="Z262" s="11">
        <f t="shared" si="52"/>
        <v>0</v>
      </c>
      <c r="AC262" s="4">
        <v>546</v>
      </c>
      <c r="AD262" s="5" t="s">
        <v>783</v>
      </c>
      <c r="AE262" s="5" t="s">
        <v>781</v>
      </c>
      <c r="AF262" s="5" t="s">
        <v>784</v>
      </c>
      <c r="AG262" s="5" t="s">
        <v>785</v>
      </c>
      <c r="AH262" s="5" t="s">
        <v>18</v>
      </c>
      <c r="AI262" s="5" t="s">
        <v>16</v>
      </c>
      <c r="AJ262" s="5" t="s">
        <v>481</v>
      </c>
      <c r="AK262" s="5" t="s">
        <v>561</v>
      </c>
      <c r="AL262" s="5" t="s">
        <v>18</v>
      </c>
      <c r="AM262" s="6"/>
      <c r="AO262" s="5"/>
      <c r="AP262" s="5"/>
      <c r="AQ262" s="5"/>
      <c r="AR262" s="5"/>
      <c r="AS262" s="5"/>
      <c r="AU262" s="1548"/>
      <c r="AV262" s="14"/>
      <c r="AW262" s="15"/>
      <c r="AY262" s="13"/>
      <c r="AZ262" s="14"/>
      <c r="BA262" s="15"/>
      <c r="BC262" s="13"/>
      <c r="BD262" s="14"/>
      <c r="BE262" s="15"/>
      <c r="BG262" s="13"/>
      <c r="BH262" s="14"/>
      <c r="BI262" s="15"/>
      <c r="BK262" s="13"/>
      <c r="BL262" s="14"/>
      <c r="BM262" s="15"/>
      <c r="BO262" s="13"/>
      <c r="BP262" s="14"/>
      <c r="BQ262" s="15"/>
      <c r="BS262" s="1593"/>
      <c r="BT262" s="14"/>
      <c r="BU262" s="15"/>
      <c r="BW262" s="13"/>
      <c r="BX262" s="14"/>
      <c r="BY262" s="15"/>
      <c r="CA262" s="13"/>
      <c r="CB262" s="14"/>
      <c r="CC262" s="15"/>
      <c r="CE262" s="13"/>
      <c r="CF262" s="14"/>
      <c r="CG262" s="15"/>
      <c r="CI262" s="13"/>
      <c r="CJ262" s="14"/>
      <c r="CK262" s="15"/>
      <c r="CM262" s="13"/>
      <c r="CN262" s="14"/>
      <c r="CO262" s="15"/>
    </row>
    <row r="263" spans="1:93">
      <c r="A263" s="13"/>
      <c r="B263" s="14"/>
      <c r="C263" s="15"/>
      <c r="D263" s="37" t="str">
        <f>IF(C263&gt;=Mat!$E$71,"Material","No Mat")</f>
        <v>No Mat</v>
      </c>
      <c r="E263" s="834">
        <f>IF(C263&gt;=Mat!$E$71,C263/Mat!$E$71,0)</f>
        <v>0</v>
      </c>
      <c r="G263" s="34"/>
      <c r="H263" s="35"/>
      <c r="I263" s="48"/>
      <c r="J263" s="36"/>
      <c r="L263" s="508"/>
      <c r="M263" s="506" t="s">
        <v>685</v>
      </c>
      <c r="N263" s="507">
        <f t="shared" si="40"/>
        <v>0</v>
      </c>
      <c r="O263" s="507">
        <f t="shared" si="41"/>
        <v>0</v>
      </c>
      <c r="P263" s="507">
        <f t="shared" si="42"/>
        <v>0</v>
      </c>
      <c r="Q263" s="507">
        <f t="shared" si="43"/>
        <v>0</v>
      </c>
      <c r="R263" s="507">
        <f t="shared" si="44"/>
        <v>0</v>
      </c>
      <c r="S263" s="507">
        <f t="shared" si="45"/>
        <v>0</v>
      </c>
      <c r="T263" s="507">
        <f t="shared" si="46"/>
        <v>0</v>
      </c>
      <c r="U263" s="507">
        <f t="shared" si="47"/>
        <v>0</v>
      </c>
      <c r="V263" s="507">
        <f t="shared" si="48"/>
        <v>0</v>
      </c>
      <c r="W263" s="507">
        <f t="shared" si="49"/>
        <v>0</v>
      </c>
      <c r="X263" s="507">
        <f t="shared" si="50"/>
        <v>0</v>
      </c>
      <c r="Y263" s="507">
        <f t="shared" si="51"/>
        <v>0</v>
      </c>
      <c r="Z263" s="11">
        <f t="shared" si="52"/>
        <v>0</v>
      </c>
      <c r="AC263" s="4">
        <v>548</v>
      </c>
      <c r="AD263" s="5" t="s">
        <v>786</v>
      </c>
      <c r="AE263" s="5" t="s">
        <v>781</v>
      </c>
      <c r="AF263" s="5" t="s">
        <v>787</v>
      </c>
      <c r="AG263" s="5" t="s">
        <v>788</v>
      </c>
      <c r="AH263" s="5" t="s">
        <v>18</v>
      </c>
      <c r="AI263" s="5" t="s">
        <v>16</v>
      </c>
      <c r="AJ263" s="5" t="s">
        <v>481</v>
      </c>
      <c r="AK263" s="5" t="s">
        <v>561</v>
      </c>
      <c r="AL263" s="5" t="s">
        <v>18</v>
      </c>
      <c r="AM263" s="6"/>
      <c r="AO263" s="5"/>
      <c r="AP263" s="5"/>
      <c r="AQ263" s="5"/>
      <c r="AR263" s="5"/>
      <c r="AS263" s="5"/>
      <c r="AU263" s="1548"/>
      <c r="AV263" s="14"/>
      <c r="AW263" s="15"/>
      <c r="AY263" s="13"/>
      <c r="AZ263" s="14"/>
      <c r="BA263" s="15"/>
      <c r="BC263" s="13"/>
      <c r="BD263" s="14"/>
      <c r="BE263" s="15"/>
      <c r="BG263" s="13"/>
      <c r="BH263" s="14"/>
      <c r="BI263" s="15"/>
      <c r="BK263" s="13"/>
      <c r="BL263" s="14"/>
      <c r="BM263" s="15"/>
      <c r="BO263" s="13"/>
      <c r="BP263" s="14"/>
      <c r="BQ263" s="15"/>
      <c r="BS263" s="1593"/>
      <c r="BT263" s="14"/>
      <c r="BU263" s="15"/>
      <c r="BW263" s="13"/>
      <c r="BX263" s="14"/>
      <c r="BY263" s="15"/>
      <c r="CA263" s="13"/>
      <c r="CB263" s="14"/>
      <c r="CC263" s="15"/>
      <c r="CE263" s="13"/>
      <c r="CF263" s="14"/>
      <c r="CG263" s="15"/>
      <c r="CI263" s="13"/>
      <c r="CJ263" s="14"/>
      <c r="CK263" s="15"/>
      <c r="CM263" s="13"/>
      <c r="CN263" s="14"/>
      <c r="CO263" s="15"/>
    </row>
    <row r="264" spans="1:93">
      <c r="A264" s="13"/>
      <c r="B264" s="14"/>
      <c r="C264" s="15"/>
      <c r="D264" s="37" t="str">
        <f>IF(C264&gt;=Mat!$E$71,"Material","No Mat")</f>
        <v>No Mat</v>
      </c>
      <c r="E264" s="834">
        <f>IF(C264&gt;=Mat!$E$71,C264/Mat!$E$71,0)</f>
        <v>0</v>
      </c>
      <c r="G264" s="34"/>
      <c r="H264" s="35"/>
      <c r="I264" s="48"/>
      <c r="J264" s="36"/>
      <c r="L264" s="508"/>
      <c r="M264" s="506" t="s">
        <v>688</v>
      </c>
      <c r="N264" s="507">
        <f t="shared" si="40"/>
        <v>0</v>
      </c>
      <c r="O264" s="507">
        <f t="shared" si="41"/>
        <v>0</v>
      </c>
      <c r="P264" s="507">
        <f t="shared" si="42"/>
        <v>0</v>
      </c>
      <c r="Q264" s="507">
        <f t="shared" si="43"/>
        <v>0</v>
      </c>
      <c r="R264" s="507">
        <f t="shared" si="44"/>
        <v>0</v>
      </c>
      <c r="S264" s="507">
        <f t="shared" si="45"/>
        <v>0</v>
      </c>
      <c r="T264" s="507">
        <f t="shared" si="46"/>
        <v>0</v>
      </c>
      <c r="U264" s="507">
        <f t="shared" si="47"/>
        <v>0</v>
      </c>
      <c r="V264" s="507">
        <f t="shared" si="48"/>
        <v>0</v>
      </c>
      <c r="W264" s="507">
        <f t="shared" si="49"/>
        <v>0</v>
      </c>
      <c r="X264" s="507">
        <f t="shared" si="50"/>
        <v>0</v>
      </c>
      <c r="Y264" s="507">
        <f t="shared" si="51"/>
        <v>0</v>
      </c>
      <c r="Z264" s="11">
        <f t="shared" si="52"/>
        <v>0</v>
      </c>
      <c r="AC264" s="4">
        <v>565</v>
      </c>
      <c r="AD264" s="5" t="s">
        <v>789</v>
      </c>
      <c r="AE264" s="5" t="s">
        <v>781</v>
      </c>
      <c r="AF264" s="5" t="s">
        <v>790</v>
      </c>
      <c r="AG264" s="5" t="s">
        <v>791</v>
      </c>
      <c r="AH264" s="5" t="s">
        <v>18</v>
      </c>
      <c r="AI264" s="5" t="s">
        <v>16</v>
      </c>
      <c r="AJ264" s="5" t="s">
        <v>481</v>
      </c>
      <c r="AK264" s="5" t="s">
        <v>561</v>
      </c>
      <c r="AL264" s="5" t="s">
        <v>18</v>
      </c>
      <c r="AM264" s="6"/>
      <c r="AO264" s="5"/>
      <c r="AP264" s="5"/>
      <c r="AQ264" s="5"/>
      <c r="AR264" s="5"/>
      <c r="AS264" s="5"/>
      <c r="AU264" s="1548"/>
      <c r="AV264" s="14"/>
      <c r="AW264" s="15"/>
      <c r="AY264" s="13"/>
      <c r="AZ264" s="14"/>
      <c r="BA264" s="15"/>
      <c r="BC264" s="13"/>
      <c r="BD264" s="14"/>
      <c r="BE264" s="15"/>
      <c r="BG264" s="13"/>
      <c r="BH264" s="14"/>
      <c r="BI264" s="15"/>
      <c r="BK264" s="13"/>
      <c r="BL264" s="14"/>
      <c r="BM264" s="15"/>
      <c r="BO264" s="13"/>
      <c r="BP264" s="14"/>
      <c r="BQ264" s="15"/>
      <c r="BS264" s="1593"/>
      <c r="BT264" s="14"/>
      <c r="BU264" s="15"/>
      <c r="BW264" s="13"/>
      <c r="BX264" s="14"/>
      <c r="BY264" s="15"/>
      <c r="CA264" s="13"/>
      <c r="CB264" s="14"/>
      <c r="CC264" s="15"/>
      <c r="CE264" s="13"/>
      <c r="CF264" s="14"/>
      <c r="CG264" s="15"/>
      <c r="CI264" s="13"/>
      <c r="CJ264" s="14"/>
      <c r="CK264" s="15"/>
      <c r="CM264" s="13"/>
      <c r="CN264" s="14"/>
      <c r="CO264" s="15"/>
    </row>
    <row r="265" spans="1:93">
      <c r="A265" s="13"/>
      <c r="B265" s="14"/>
      <c r="C265" s="15"/>
      <c r="D265" s="37" t="str">
        <f>IF(C265&gt;=Mat!$E$71,"Material","No Mat")</f>
        <v>No Mat</v>
      </c>
      <c r="E265" s="834">
        <f>IF(C265&gt;=Mat!$E$71,C265/Mat!$E$71,0)</f>
        <v>0</v>
      </c>
      <c r="G265" s="34"/>
      <c r="H265" s="35"/>
      <c r="I265" s="48"/>
      <c r="J265" s="36"/>
      <c r="L265" s="508"/>
      <c r="M265" s="506" t="s">
        <v>691</v>
      </c>
      <c r="N265" s="507">
        <f t="shared" si="40"/>
        <v>0</v>
      </c>
      <c r="O265" s="507">
        <f t="shared" si="41"/>
        <v>0</v>
      </c>
      <c r="P265" s="507">
        <f t="shared" si="42"/>
        <v>0</v>
      </c>
      <c r="Q265" s="507">
        <f t="shared" si="43"/>
        <v>0</v>
      </c>
      <c r="R265" s="507">
        <f t="shared" si="44"/>
        <v>0</v>
      </c>
      <c r="S265" s="507">
        <f t="shared" si="45"/>
        <v>0</v>
      </c>
      <c r="T265" s="507">
        <f t="shared" si="46"/>
        <v>0</v>
      </c>
      <c r="U265" s="507">
        <f t="shared" si="47"/>
        <v>0</v>
      </c>
      <c r="V265" s="507">
        <f t="shared" si="48"/>
        <v>0</v>
      </c>
      <c r="W265" s="507">
        <f t="shared" si="49"/>
        <v>0</v>
      </c>
      <c r="X265" s="507">
        <f t="shared" si="50"/>
        <v>0</v>
      </c>
      <c r="Y265" s="507">
        <f t="shared" si="51"/>
        <v>0</v>
      </c>
      <c r="Z265" s="11">
        <f t="shared" si="52"/>
        <v>0</v>
      </c>
      <c r="AC265" s="4">
        <v>569</v>
      </c>
      <c r="AD265" s="5" t="s">
        <v>794</v>
      </c>
      <c r="AE265" s="5" t="s">
        <v>792</v>
      </c>
      <c r="AF265" s="5" t="s">
        <v>795</v>
      </c>
      <c r="AG265" s="5" t="s">
        <v>796</v>
      </c>
      <c r="AH265" s="5" t="s">
        <v>18</v>
      </c>
      <c r="AI265" s="5" t="s">
        <v>16</v>
      </c>
      <c r="AJ265" s="5" t="s">
        <v>481</v>
      </c>
      <c r="AK265" s="5" t="s">
        <v>561</v>
      </c>
      <c r="AL265" s="5" t="s">
        <v>18</v>
      </c>
      <c r="AM265" s="6"/>
      <c r="AO265" s="5"/>
      <c r="AP265" s="5"/>
      <c r="AQ265" s="5"/>
      <c r="AR265" s="5"/>
      <c r="AS265" s="5"/>
      <c r="AU265" s="1548"/>
      <c r="AV265" s="14"/>
      <c r="AW265" s="15"/>
      <c r="AY265" s="13"/>
      <c r="AZ265" s="14"/>
      <c r="BA265" s="15"/>
      <c r="BC265" s="13"/>
      <c r="BD265" s="14"/>
      <c r="BE265" s="15"/>
      <c r="BG265" s="13"/>
      <c r="BH265" s="14"/>
      <c r="BI265" s="15"/>
      <c r="BK265" s="13"/>
      <c r="BL265" s="14"/>
      <c r="BM265" s="15"/>
      <c r="BO265" s="13"/>
      <c r="BP265" s="14"/>
      <c r="BQ265" s="15"/>
      <c r="BS265" s="1593"/>
      <c r="BT265" s="14"/>
      <c r="BU265" s="15"/>
      <c r="BW265" s="13"/>
      <c r="BX265" s="14"/>
      <c r="BY265" s="15"/>
      <c r="CA265" s="13"/>
      <c r="CB265" s="14"/>
      <c r="CC265" s="15"/>
      <c r="CE265" s="13"/>
      <c r="CF265" s="14"/>
      <c r="CG265" s="15"/>
      <c r="CI265" s="13"/>
      <c r="CJ265" s="14"/>
      <c r="CK265" s="15"/>
      <c r="CM265" s="13"/>
      <c r="CN265" s="14"/>
      <c r="CO265" s="15"/>
    </row>
    <row r="266" spans="1:93">
      <c r="A266" s="13"/>
      <c r="B266" s="14"/>
      <c r="C266" s="15"/>
      <c r="D266" s="37" t="str">
        <f>IF(C266&gt;=Mat!$E$71,"Material","No Mat")</f>
        <v>No Mat</v>
      </c>
      <c r="E266" s="834">
        <f>IF(C266&gt;=Mat!$E$71,C266/Mat!$E$71,0)</f>
        <v>0</v>
      </c>
      <c r="G266" s="34"/>
      <c r="H266" s="35"/>
      <c r="I266" s="48"/>
      <c r="J266" s="36"/>
      <c r="L266" s="508"/>
      <c r="M266" s="506" t="s">
        <v>694</v>
      </c>
      <c r="N266" s="507">
        <f t="shared" si="40"/>
        <v>0</v>
      </c>
      <c r="O266" s="507">
        <f t="shared" si="41"/>
        <v>0</v>
      </c>
      <c r="P266" s="507">
        <f t="shared" si="42"/>
        <v>0</v>
      </c>
      <c r="Q266" s="507">
        <f t="shared" si="43"/>
        <v>0</v>
      </c>
      <c r="R266" s="507">
        <f t="shared" si="44"/>
        <v>0</v>
      </c>
      <c r="S266" s="507">
        <f t="shared" si="45"/>
        <v>0</v>
      </c>
      <c r="T266" s="507">
        <f t="shared" si="46"/>
        <v>0</v>
      </c>
      <c r="U266" s="507">
        <f t="shared" si="47"/>
        <v>0</v>
      </c>
      <c r="V266" s="507">
        <f t="shared" si="48"/>
        <v>0</v>
      </c>
      <c r="W266" s="507">
        <f t="shared" si="49"/>
        <v>0</v>
      </c>
      <c r="X266" s="507">
        <f t="shared" si="50"/>
        <v>0</v>
      </c>
      <c r="Y266" s="507">
        <f t="shared" si="51"/>
        <v>0</v>
      </c>
      <c r="Z266" s="11">
        <f t="shared" si="52"/>
        <v>0</v>
      </c>
      <c r="AC266" s="4">
        <v>571</v>
      </c>
      <c r="AD266" s="5" t="s">
        <v>797</v>
      </c>
      <c r="AE266" s="5" t="s">
        <v>792</v>
      </c>
      <c r="AF266" s="5" t="s">
        <v>798</v>
      </c>
      <c r="AG266" s="5" t="s">
        <v>799</v>
      </c>
      <c r="AH266" s="5" t="s">
        <v>18</v>
      </c>
      <c r="AI266" s="5" t="s">
        <v>16</v>
      </c>
      <c r="AJ266" s="5" t="s">
        <v>481</v>
      </c>
      <c r="AK266" s="5" t="s">
        <v>561</v>
      </c>
      <c r="AL266" s="5" t="s">
        <v>18</v>
      </c>
      <c r="AM266" s="6"/>
      <c r="AO266" s="5"/>
      <c r="AP266" s="5"/>
      <c r="AQ266" s="5"/>
      <c r="AR266" s="5"/>
      <c r="AS266" s="5"/>
      <c r="AU266" s="1548"/>
      <c r="AV266" s="14"/>
      <c r="AW266" s="15"/>
      <c r="AY266" s="13"/>
      <c r="AZ266" s="14"/>
      <c r="BA266" s="15"/>
      <c r="BC266" s="13"/>
      <c r="BD266" s="14"/>
      <c r="BE266" s="15"/>
      <c r="BG266" s="13"/>
      <c r="BH266" s="14"/>
      <c r="BI266" s="15"/>
      <c r="BK266" s="13"/>
      <c r="BL266" s="14"/>
      <c r="BM266" s="15"/>
      <c r="BO266" s="13"/>
      <c r="BP266" s="14"/>
      <c r="BQ266" s="15"/>
      <c r="BS266" s="1593"/>
      <c r="BT266" s="14"/>
      <c r="BU266" s="15"/>
      <c r="BW266" s="13"/>
      <c r="BX266" s="14"/>
      <c r="BY266" s="15"/>
      <c r="CA266" s="13"/>
      <c r="CB266" s="14"/>
      <c r="CC266" s="15"/>
      <c r="CE266" s="13"/>
      <c r="CF266" s="14"/>
      <c r="CG266" s="15"/>
      <c r="CI266" s="13"/>
      <c r="CJ266" s="14"/>
      <c r="CK266" s="15"/>
      <c r="CM266" s="13"/>
      <c r="CN266" s="14"/>
      <c r="CO266" s="15"/>
    </row>
    <row r="267" spans="1:93">
      <c r="A267" s="13"/>
      <c r="B267" s="14"/>
      <c r="C267" s="15"/>
      <c r="D267" s="37" t="str">
        <f>IF(C267&gt;=Mat!$E$71,"Material","No Mat")</f>
        <v>No Mat</v>
      </c>
      <c r="E267" s="834">
        <f>IF(C267&gt;=Mat!$E$71,C267/Mat!$E$71,0)</f>
        <v>0</v>
      </c>
      <c r="G267" s="34"/>
      <c r="H267" s="35"/>
      <c r="I267" s="48"/>
      <c r="J267" s="36"/>
      <c r="L267" s="508"/>
      <c r="M267" s="506" t="s">
        <v>697</v>
      </c>
      <c r="N267" s="507">
        <f t="shared" si="40"/>
        <v>0</v>
      </c>
      <c r="O267" s="507">
        <f t="shared" si="41"/>
        <v>0</v>
      </c>
      <c r="P267" s="507">
        <f t="shared" si="42"/>
        <v>0</v>
      </c>
      <c r="Q267" s="507">
        <f t="shared" si="43"/>
        <v>0</v>
      </c>
      <c r="R267" s="507">
        <f t="shared" si="44"/>
        <v>0</v>
      </c>
      <c r="S267" s="507">
        <f t="shared" si="45"/>
        <v>0</v>
      </c>
      <c r="T267" s="507">
        <f t="shared" si="46"/>
        <v>0</v>
      </c>
      <c r="U267" s="507">
        <f t="shared" si="47"/>
        <v>0</v>
      </c>
      <c r="V267" s="507">
        <f t="shared" si="48"/>
        <v>0</v>
      </c>
      <c r="W267" s="507">
        <f t="shared" si="49"/>
        <v>0</v>
      </c>
      <c r="X267" s="507">
        <f t="shared" si="50"/>
        <v>0</v>
      </c>
      <c r="Y267" s="507">
        <f t="shared" si="51"/>
        <v>0</v>
      </c>
      <c r="Z267" s="11">
        <f t="shared" si="52"/>
        <v>0</v>
      </c>
      <c r="AC267" s="4">
        <v>573</v>
      </c>
      <c r="AD267" s="5" t="s">
        <v>800</v>
      </c>
      <c r="AE267" s="5" t="s">
        <v>792</v>
      </c>
      <c r="AF267" s="5" t="s">
        <v>801</v>
      </c>
      <c r="AG267" s="5" t="s">
        <v>802</v>
      </c>
      <c r="AH267" s="5" t="s">
        <v>18</v>
      </c>
      <c r="AI267" s="5" t="s">
        <v>16</v>
      </c>
      <c r="AJ267" s="5" t="s">
        <v>481</v>
      </c>
      <c r="AK267" s="5" t="s">
        <v>561</v>
      </c>
      <c r="AL267" s="5" t="s">
        <v>18</v>
      </c>
      <c r="AM267" s="6"/>
      <c r="AO267" s="5"/>
      <c r="AP267" s="5"/>
      <c r="AQ267" s="5"/>
      <c r="AR267" s="5"/>
      <c r="AS267" s="5"/>
      <c r="AU267" s="1548"/>
      <c r="AV267" s="14"/>
      <c r="AW267" s="15"/>
      <c r="AY267" s="13"/>
      <c r="AZ267" s="14"/>
      <c r="BA267" s="15"/>
      <c r="BC267" s="13"/>
      <c r="BD267" s="14"/>
      <c r="BE267" s="15"/>
      <c r="BG267" s="13"/>
      <c r="BH267" s="14"/>
      <c r="BI267" s="15"/>
      <c r="BK267" s="13"/>
      <c r="BL267" s="14"/>
      <c r="BM267" s="15"/>
      <c r="BO267" s="13"/>
      <c r="BP267" s="14"/>
      <c r="BQ267" s="15"/>
      <c r="BS267" s="1593"/>
      <c r="BT267" s="14"/>
      <c r="BU267" s="15"/>
      <c r="BW267" s="13"/>
      <c r="BX267" s="14"/>
      <c r="BY267" s="15"/>
      <c r="CA267" s="13"/>
      <c r="CB267" s="14"/>
      <c r="CC267" s="15"/>
      <c r="CE267" s="13"/>
      <c r="CF267" s="14"/>
      <c r="CG267" s="15"/>
      <c r="CI267" s="13"/>
      <c r="CJ267" s="14"/>
      <c r="CK267" s="15"/>
      <c r="CM267" s="13"/>
      <c r="CN267" s="14"/>
      <c r="CO267" s="15"/>
    </row>
    <row r="268" spans="1:93">
      <c r="A268" s="13"/>
      <c r="B268" s="14"/>
      <c r="C268" s="15"/>
      <c r="D268" s="37" t="str">
        <f>IF(C268&gt;=Mat!$E$71,"Material","No Mat")</f>
        <v>No Mat</v>
      </c>
      <c r="E268" s="834">
        <f>IF(C268&gt;=Mat!$E$71,C268/Mat!$E$71,0)</f>
        <v>0</v>
      </c>
      <c r="G268" s="34"/>
      <c r="H268" s="35"/>
      <c r="I268" s="48"/>
      <c r="J268" s="36"/>
      <c r="L268" s="508"/>
      <c r="M268" s="506" t="s">
        <v>700</v>
      </c>
      <c r="N268" s="507">
        <f t="shared" si="40"/>
        <v>54283.21</v>
      </c>
      <c r="O268" s="507">
        <f t="shared" si="41"/>
        <v>54283.21</v>
      </c>
      <c r="P268" s="507">
        <f t="shared" si="42"/>
        <v>54283.21</v>
      </c>
      <c r="Q268" s="507">
        <f t="shared" si="43"/>
        <v>0</v>
      </c>
      <c r="R268" s="507">
        <f t="shared" si="44"/>
        <v>0</v>
      </c>
      <c r="S268" s="507">
        <f t="shared" si="45"/>
        <v>0</v>
      </c>
      <c r="T268" s="507">
        <f t="shared" si="46"/>
        <v>0</v>
      </c>
      <c r="U268" s="507">
        <f t="shared" si="47"/>
        <v>0</v>
      </c>
      <c r="V268" s="507">
        <f t="shared" si="48"/>
        <v>0</v>
      </c>
      <c r="W268" s="507">
        <f t="shared" si="49"/>
        <v>0</v>
      </c>
      <c r="X268" s="507">
        <f t="shared" si="50"/>
        <v>0</v>
      </c>
      <c r="Y268" s="507">
        <f t="shared" si="51"/>
        <v>0</v>
      </c>
      <c r="Z268" s="11">
        <f t="shared" si="52"/>
        <v>162849.63</v>
      </c>
      <c r="AC268" s="4">
        <v>575</v>
      </c>
      <c r="AD268" s="5" t="s">
        <v>803</v>
      </c>
      <c r="AE268" s="5" t="s">
        <v>792</v>
      </c>
      <c r="AF268" s="5" t="s">
        <v>804</v>
      </c>
      <c r="AG268" s="5" t="s">
        <v>805</v>
      </c>
      <c r="AH268" s="5" t="s">
        <v>18</v>
      </c>
      <c r="AI268" s="5" t="s">
        <v>16</v>
      </c>
      <c r="AJ268" s="5" t="s">
        <v>481</v>
      </c>
      <c r="AK268" s="5" t="s">
        <v>561</v>
      </c>
      <c r="AL268" s="5" t="s">
        <v>18</v>
      </c>
      <c r="AM268" s="6"/>
      <c r="AO268" s="5"/>
      <c r="AP268" s="5"/>
      <c r="AQ268" s="5"/>
      <c r="AR268" s="5"/>
      <c r="AS268" s="5"/>
      <c r="AU268" s="1548"/>
      <c r="AV268" s="14"/>
      <c r="AW268" s="15"/>
      <c r="AY268" s="13"/>
      <c r="AZ268" s="14"/>
      <c r="BA268" s="15"/>
      <c r="BC268" s="13"/>
      <c r="BD268" s="14"/>
      <c r="BE268" s="15"/>
      <c r="BG268" s="13"/>
      <c r="BH268" s="14"/>
      <c r="BI268" s="15"/>
      <c r="BK268" s="13"/>
      <c r="BL268" s="14"/>
      <c r="BM268" s="15"/>
      <c r="BO268" s="13"/>
      <c r="BP268" s="14"/>
      <c r="BQ268" s="15"/>
      <c r="BS268" s="1593"/>
      <c r="BT268" s="14"/>
      <c r="BU268" s="15"/>
      <c r="BW268" s="13"/>
      <c r="BX268" s="14"/>
      <c r="BY268" s="15"/>
      <c r="CA268" s="13"/>
      <c r="CB268" s="14"/>
      <c r="CC268" s="15"/>
      <c r="CE268" s="13"/>
      <c r="CF268" s="14"/>
      <c r="CG268" s="15"/>
      <c r="CI268" s="13"/>
      <c r="CJ268" s="14"/>
      <c r="CK268" s="15"/>
      <c r="CM268" s="13"/>
      <c r="CN268" s="14"/>
      <c r="CO268" s="15"/>
    </row>
    <row r="269" spans="1:93">
      <c r="A269" s="13"/>
      <c r="B269" s="14"/>
      <c r="C269" s="15"/>
      <c r="D269" s="37" t="str">
        <f>IF(C269&gt;=Mat!$E$71,"Material","No Mat")</f>
        <v>No Mat</v>
      </c>
      <c r="E269" s="834">
        <f>IF(C269&gt;=Mat!$E$71,C269/Mat!$E$71,0)</f>
        <v>0</v>
      </c>
      <c r="G269" s="34"/>
      <c r="H269" s="35"/>
      <c r="I269" s="48"/>
      <c r="J269" s="36"/>
      <c r="L269" s="508"/>
      <c r="M269" s="506" t="s">
        <v>2331</v>
      </c>
      <c r="N269" s="507">
        <f t="shared" si="40"/>
        <v>0</v>
      </c>
      <c r="O269" s="507">
        <f t="shared" si="41"/>
        <v>0</v>
      </c>
      <c r="P269" s="507">
        <f t="shared" si="42"/>
        <v>0</v>
      </c>
      <c r="Q269" s="507">
        <f t="shared" si="43"/>
        <v>0</v>
      </c>
      <c r="R269" s="507">
        <f t="shared" si="44"/>
        <v>0</v>
      </c>
      <c r="S269" s="507">
        <f t="shared" si="45"/>
        <v>0</v>
      </c>
      <c r="T269" s="507">
        <f t="shared" si="46"/>
        <v>0</v>
      </c>
      <c r="U269" s="507">
        <f t="shared" si="47"/>
        <v>0</v>
      </c>
      <c r="V269" s="507">
        <f t="shared" si="48"/>
        <v>0</v>
      </c>
      <c r="W269" s="507">
        <f t="shared" si="49"/>
        <v>0</v>
      </c>
      <c r="X269" s="507">
        <f t="shared" si="50"/>
        <v>0</v>
      </c>
      <c r="Y269" s="507">
        <f t="shared" si="51"/>
        <v>0</v>
      </c>
      <c r="Z269" s="11">
        <f t="shared" si="52"/>
        <v>0</v>
      </c>
      <c r="AC269" s="4">
        <v>577</v>
      </c>
      <c r="AD269" s="5" t="s">
        <v>806</v>
      </c>
      <c r="AE269" s="5" t="s">
        <v>792</v>
      </c>
      <c r="AF269" s="5" t="s">
        <v>807</v>
      </c>
      <c r="AG269" s="5" t="s">
        <v>796</v>
      </c>
      <c r="AH269" s="5" t="s">
        <v>18</v>
      </c>
      <c r="AI269" s="5" t="s">
        <v>16</v>
      </c>
      <c r="AJ269" s="5" t="s">
        <v>481</v>
      </c>
      <c r="AK269" s="5" t="s">
        <v>557</v>
      </c>
      <c r="AL269" s="5" t="s">
        <v>18</v>
      </c>
      <c r="AM269" s="6"/>
      <c r="AO269" s="5"/>
      <c r="AP269" s="5"/>
      <c r="AQ269" s="5"/>
      <c r="AR269" s="5"/>
      <c r="AS269" s="5"/>
      <c r="AU269" s="1548"/>
      <c r="AV269" s="14"/>
      <c r="AW269" s="15"/>
      <c r="AY269" s="13"/>
      <c r="AZ269" s="14"/>
      <c r="BA269" s="15"/>
      <c r="BC269" s="13"/>
      <c r="BD269" s="14"/>
      <c r="BE269" s="15"/>
      <c r="BG269" s="13"/>
      <c r="BH269" s="14"/>
      <c r="BI269" s="15"/>
      <c r="BK269" s="13"/>
      <c r="BL269" s="14"/>
      <c r="BM269" s="15"/>
      <c r="BO269" s="13"/>
      <c r="BP269" s="14"/>
      <c r="BQ269" s="15"/>
      <c r="BS269" s="1593"/>
      <c r="BT269" s="14"/>
      <c r="BU269" s="15"/>
      <c r="BW269" s="13"/>
      <c r="BX269" s="14"/>
      <c r="BY269" s="15"/>
      <c r="CA269" s="13"/>
      <c r="CB269" s="14"/>
      <c r="CC269" s="15"/>
      <c r="CE269" s="13"/>
      <c r="CF269" s="14"/>
      <c r="CG269" s="15"/>
      <c r="CI269" s="13"/>
      <c r="CJ269" s="14"/>
      <c r="CK269" s="15"/>
      <c r="CM269" s="13"/>
      <c r="CN269" s="14"/>
      <c r="CO269" s="15"/>
    </row>
    <row r="270" spans="1:93">
      <c r="A270" s="13"/>
      <c r="B270" s="14"/>
      <c r="C270" s="15"/>
      <c r="D270" s="37" t="str">
        <f>IF(C270&gt;=Mat!$E$71,"Material","No Mat")</f>
        <v>No Mat</v>
      </c>
      <c r="E270" s="834">
        <f>IF(C270&gt;=Mat!$E$71,C270/Mat!$E$71,0)</f>
        <v>0</v>
      </c>
      <c r="G270" s="34"/>
      <c r="H270" s="35"/>
      <c r="I270" s="48"/>
      <c r="J270" s="36"/>
      <c r="L270" s="508"/>
      <c r="M270" s="506" t="s">
        <v>705</v>
      </c>
      <c r="N270" s="507">
        <f t="shared" si="40"/>
        <v>0</v>
      </c>
      <c r="O270" s="507">
        <f t="shared" si="41"/>
        <v>0</v>
      </c>
      <c r="P270" s="507">
        <f t="shared" si="42"/>
        <v>0</v>
      </c>
      <c r="Q270" s="507">
        <f t="shared" si="43"/>
        <v>0</v>
      </c>
      <c r="R270" s="507">
        <f t="shared" si="44"/>
        <v>0</v>
      </c>
      <c r="S270" s="507">
        <f t="shared" si="45"/>
        <v>0</v>
      </c>
      <c r="T270" s="507">
        <f t="shared" si="46"/>
        <v>0</v>
      </c>
      <c r="U270" s="507">
        <f t="shared" si="47"/>
        <v>0</v>
      </c>
      <c r="V270" s="507">
        <f t="shared" si="48"/>
        <v>0</v>
      </c>
      <c r="W270" s="507">
        <f t="shared" si="49"/>
        <v>0</v>
      </c>
      <c r="X270" s="507">
        <f t="shared" si="50"/>
        <v>0</v>
      </c>
      <c r="Y270" s="507">
        <f t="shared" si="51"/>
        <v>0</v>
      </c>
      <c r="Z270" s="11">
        <f t="shared" si="52"/>
        <v>0</v>
      </c>
      <c r="AC270" s="4">
        <v>579</v>
      </c>
      <c r="AD270" s="5" t="s">
        <v>808</v>
      </c>
      <c r="AE270" s="5" t="s">
        <v>781</v>
      </c>
      <c r="AF270" s="5" t="s">
        <v>809</v>
      </c>
      <c r="AG270" s="5" t="s">
        <v>810</v>
      </c>
      <c r="AH270" s="5" t="s">
        <v>18</v>
      </c>
      <c r="AI270" s="5" t="s">
        <v>16</v>
      </c>
      <c r="AJ270" s="5" t="s">
        <v>481</v>
      </c>
      <c r="AK270" s="5" t="s">
        <v>561</v>
      </c>
      <c r="AL270" s="5" t="s">
        <v>18</v>
      </c>
      <c r="AM270" s="6"/>
      <c r="AO270" s="5"/>
      <c r="AP270" s="5"/>
      <c r="AQ270" s="5"/>
      <c r="AR270" s="5"/>
      <c r="AS270" s="5"/>
      <c r="AU270" s="1548"/>
      <c r="AV270" s="14"/>
      <c r="AW270" s="15"/>
      <c r="AY270" s="13"/>
      <c r="AZ270" s="14"/>
      <c r="BA270" s="15"/>
      <c r="BC270" s="13"/>
      <c r="BD270" s="14"/>
      <c r="BE270" s="15"/>
      <c r="BG270" s="13"/>
      <c r="BH270" s="14"/>
      <c r="BI270" s="15"/>
      <c r="BK270" s="13"/>
      <c r="BL270" s="14"/>
      <c r="BM270" s="15"/>
      <c r="BO270" s="13"/>
      <c r="BP270" s="14"/>
      <c r="BQ270" s="15"/>
      <c r="BS270" s="1593"/>
      <c r="BT270" s="14"/>
      <c r="BU270" s="15"/>
      <c r="BW270" s="13"/>
      <c r="BX270" s="14"/>
      <c r="BY270" s="15"/>
      <c r="CA270" s="13"/>
      <c r="CB270" s="14"/>
      <c r="CC270" s="15"/>
      <c r="CE270" s="13"/>
      <c r="CF270" s="14"/>
      <c r="CG270" s="15"/>
      <c r="CI270" s="13"/>
      <c r="CJ270" s="14"/>
      <c r="CK270" s="15"/>
      <c r="CM270" s="13"/>
      <c r="CN270" s="14"/>
      <c r="CO270" s="15"/>
    </row>
    <row r="271" spans="1:93">
      <c r="A271" s="13"/>
      <c r="B271" s="14"/>
      <c r="C271" s="15"/>
      <c r="D271" s="37" t="str">
        <f>IF(C271&gt;=Mat!$E$71,"Material","No Mat")</f>
        <v>No Mat</v>
      </c>
      <c r="E271" s="834">
        <f>IF(C271&gt;=Mat!$E$71,C271/Mat!$E$71,0)</f>
        <v>0</v>
      </c>
      <c r="G271" s="34"/>
      <c r="H271" s="35"/>
      <c r="I271" s="48"/>
      <c r="J271" s="36"/>
      <c r="L271" s="508"/>
      <c r="M271" s="506" t="s">
        <v>708</v>
      </c>
      <c r="N271" s="507">
        <f t="shared" si="40"/>
        <v>0</v>
      </c>
      <c r="O271" s="507">
        <f t="shared" si="41"/>
        <v>0</v>
      </c>
      <c r="P271" s="507">
        <f t="shared" si="42"/>
        <v>0</v>
      </c>
      <c r="Q271" s="507">
        <f t="shared" si="43"/>
        <v>0</v>
      </c>
      <c r="R271" s="507">
        <f t="shared" si="44"/>
        <v>0</v>
      </c>
      <c r="S271" s="507">
        <f t="shared" si="45"/>
        <v>0</v>
      </c>
      <c r="T271" s="507">
        <f t="shared" si="46"/>
        <v>0</v>
      </c>
      <c r="U271" s="507">
        <f t="shared" si="47"/>
        <v>0</v>
      </c>
      <c r="V271" s="507">
        <f t="shared" si="48"/>
        <v>0</v>
      </c>
      <c r="W271" s="507">
        <f t="shared" si="49"/>
        <v>0</v>
      </c>
      <c r="X271" s="507">
        <f t="shared" si="50"/>
        <v>0</v>
      </c>
      <c r="Y271" s="507">
        <f t="shared" si="51"/>
        <v>0</v>
      </c>
      <c r="Z271" s="11">
        <f t="shared" si="52"/>
        <v>0</v>
      </c>
      <c r="AC271" s="4">
        <v>581</v>
      </c>
      <c r="AD271" s="5" t="s">
        <v>811</v>
      </c>
      <c r="AE271" s="5" t="s">
        <v>781</v>
      </c>
      <c r="AF271" s="5" t="s">
        <v>812</v>
      </c>
      <c r="AG271" s="5" t="s">
        <v>813</v>
      </c>
      <c r="AH271" s="5" t="s">
        <v>18</v>
      </c>
      <c r="AI271" s="5" t="s">
        <v>16</v>
      </c>
      <c r="AJ271" s="5" t="s">
        <v>481</v>
      </c>
      <c r="AK271" s="5" t="s">
        <v>561</v>
      </c>
      <c r="AL271" s="5" t="s">
        <v>18</v>
      </c>
      <c r="AM271" s="6"/>
      <c r="AO271" s="5"/>
      <c r="AP271" s="5"/>
      <c r="AQ271" s="5"/>
      <c r="AR271" s="5"/>
      <c r="AS271" s="5"/>
      <c r="AU271" s="1548"/>
      <c r="AV271" s="14"/>
      <c r="AW271" s="15"/>
      <c r="AY271" s="13"/>
      <c r="AZ271" s="14"/>
      <c r="BA271" s="15"/>
      <c r="BC271" s="13"/>
      <c r="BD271" s="14"/>
      <c r="BE271" s="15"/>
      <c r="BG271" s="13"/>
      <c r="BH271" s="14"/>
      <c r="BI271" s="15"/>
      <c r="BK271" s="13"/>
      <c r="BL271" s="14"/>
      <c r="BM271" s="15"/>
      <c r="BO271" s="13"/>
      <c r="BP271" s="14"/>
      <c r="BQ271" s="15"/>
      <c r="BS271" s="1593"/>
      <c r="BT271" s="14"/>
      <c r="BU271" s="15"/>
      <c r="BW271" s="13"/>
      <c r="BX271" s="14"/>
      <c r="BY271" s="15"/>
      <c r="CA271" s="13"/>
      <c r="CB271" s="14"/>
      <c r="CC271" s="15"/>
      <c r="CE271" s="13"/>
      <c r="CF271" s="14"/>
      <c r="CG271" s="15"/>
      <c r="CI271" s="13"/>
      <c r="CJ271" s="14"/>
      <c r="CK271" s="15"/>
      <c r="CM271" s="13"/>
      <c r="CN271" s="14"/>
      <c r="CO271" s="15"/>
    </row>
    <row r="272" spans="1:93">
      <c r="A272" s="13"/>
      <c r="B272" s="14"/>
      <c r="C272" s="15"/>
      <c r="D272" s="37" t="str">
        <f>IF(C272&gt;=Mat!$E$71,"Material","No Mat")</f>
        <v>No Mat</v>
      </c>
      <c r="E272" s="834">
        <f>IF(C272&gt;=Mat!$E$71,C272/Mat!$E$71,0)</f>
        <v>0</v>
      </c>
      <c r="G272" s="34"/>
      <c r="H272" s="35"/>
      <c r="I272" s="48"/>
      <c r="J272" s="36"/>
      <c r="L272" s="508"/>
      <c r="M272" s="506" t="s">
        <v>711</v>
      </c>
      <c r="N272" s="507">
        <f t="shared" si="40"/>
        <v>0</v>
      </c>
      <c r="O272" s="507">
        <f t="shared" si="41"/>
        <v>0</v>
      </c>
      <c r="P272" s="507">
        <f t="shared" si="42"/>
        <v>0</v>
      </c>
      <c r="Q272" s="507">
        <f t="shared" si="43"/>
        <v>0</v>
      </c>
      <c r="R272" s="507">
        <f t="shared" si="44"/>
        <v>0</v>
      </c>
      <c r="S272" s="507">
        <f t="shared" si="45"/>
        <v>0</v>
      </c>
      <c r="T272" s="507">
        <f t="shared" si="46"/>
        <v>0</v>
      </c>
      <c r="U272" s="507">
        <f t="shared" si="47"/>
        <v>0</v>
      </c>
      <c r="V272" s="507">
        <f t="shared" si="48"/>
        <v>0</v>
      </c>
      <c r="W272" s="507">
        <f t="shared" si="49"/>
        <v>0</v>
      </c>
      <c r="X272" s="507">
        <f t="shared" si="50"/>
        <v>0</v>
      </c>
      <c r="Y272" s="507">
        <f t="shared" si="51"/>
        <v>0</v>
      </c>
      <c r="Z272" s="11">
        <f t="shared" si="52"/>
        <v>0</v>
      </c>
      <c r="AC272" s="4">
        <v>583</v>
      </c>
      <c r="AD272" s="5" t="s">
        <v>816</v>
      </c>
      <c r="AE272" s="5" t="s">
        <v>814</v>
      </c>
      <c r="AF272" s="5" t="s">
        <v>817</v>
      </c>
      <c r="AG272" s="5" t="s">
        <v>818</v>
      </c>
      <c r="AH272" s="5" t="s">
        <v>18</v>
      </c>
      <c r="AI272" s="5" t="s">
        <v>16</v>
      </c>
      <c r="AJ272" s="5" t="s">
        <v>481</v>
      </c>
      <c r="AK272" s="5" t="s">
        <v>561</v>
      </c>
      <c r="AL272" s="5" t="s">
        <v>18</v>
      </c>
      <c r="AM272" s="6"/>
      <c r="AO272" s="5"/>
      <c r="AP272" s="5"/>
      <c r="AQ272" s="5"/>
      <c r="AR272" s="5"/>
      <c r="AS272" s="5"/>
      <c r="AU272" s="1548"/>
      <c r="AV272" s="14"/>
      <c r="AW272" s="15"/>
      <c r="AY272" s="13"/>
      <c r="AZ272" s="14"/>
      <c r="BA272" s="15"/>
      <c r="BC272" s="13"/>
      <c r="BD272" s="14"/>
      <c r="BE272" s="15"/>
      <c r="BG272" s="13"/>
      <c r="BH272" s="14"/>
      <c r="BI272" s="15"/>
      <c r="BK272" s="13"/>
      <c r="BL272" s="14"/>
      <c r="BM272" s="15"/>
      <c r="BO272" s="13"/>
      <c r="BP272" s="14"/>
      <c r="BQ272" s="15"/>
      <c r="BS272" s="1593"/>
      <c r="BT272" s="14"/>
      <c r="BU272" s="15"/>
      <c r="BW272" s="13"/>
      <c r="BX272" s="14"/>
      <c r="BY272" s="15"/>
      <c r="CA272" s="13"/>
      <c r="CB272" s="14"/>
      <c r="CC272" s="15"/>
      <c r="CE272" s="13"/>
      <c r="CF272" s="14"/>
      <c r="CG272" s="15"/>
      <c r="CI272" s="13"/>
      <c r="CJ272" s="14"/>
      <c r="CK272" s="15"/>
      <c r="CM272" s="13"/>
      <c r="CN272" s="14"/>
      <c r="CO272" s="15"/>
    </row>
    <row r="273" spans="1:93">
      <c r="A273" s="13"/>
      <c r="B273" s="14"/>
      <c r="C273" s="15"/>
      <c r="D273" s="37" t="str">
        <f>IF(C273&gt;=Mat!$E$71,"Material","No Mat")</f>
        <v>No Mat</v>
      </c>
      <c r="E273" s="834">
        <f>IF(C273&gt;=Mat!$E$71,C273/Mat!$E$71,0)</f>
        <v>0</v>
      </c>
      <c r="G273" s="34"/>
      <c r="H273" s="35"/>
      <c r="I273" s="48"/>
      <c r="J273" s="36"/>
      <c r="L273" s="508"/>
      <c r="M273" s="506" t="s">
        <v>714</v>
      </c>
      <c r="N273" s="507">
        <f t="shared" ref="N273:N365" si="53">IFERROR(VLOOKUP(M273,$AV$8:$AW$298,2,FALSE),0)</f>
        <v>-5003.83</v>
      </c>
      <c r="O273" s="507">
        <f t="shared" ref="O273:O365" si="54">IFERROR(VLOOKUP(M273,$AZ$8:$BA$298,2,FALSE),0)</f>
        <v>-702462.42</v>
      </c>
      <c r="P273" s="507">
        <f t="shared" ref="P273:P365" si="55">IFERROR(VLOOKUP(M273,$BD$8:$BE$298,2,FALSE),0)</f>
        <v>2251432.9900000002</v>
      </c>
      <c r="Q273" s="507">
        <f t="shared" ref="Q273:Q365" si="56">IFERROR(VLOOKUP($M273,$BH$8:$BI$298,2,FALSE),0)</f>
        <v>0</v>
      </c>
      <c r="R273" s="507">
        <f t="shared" ref="R273:R365" si="57">IFERROR(VLOOKUP($M273,$BL$8:$BM$298,2,FALSE),0)</f>
        <v>0</v>
      </c>
      <c r="S273" s="507">
        <f t="shared" ref="S273:S365" si="58">IFERROR(VLOOKUP($M273,$BP$8:$BQ$298,2,FALSE),0)</f>
        <v>0</v>
      </c>
      <c r="T273" s="507">
        <f t="shared" ref="T273:T365" si="59">IFERROR(VLOOKUP($M273,$BT$8:$BU$298,2,FALSE),0)</f>
        <v>0</v>
      </c>
      <c r="U273" s="507">
        <f t="shared" ref="U273:U365" si="60">IFERROR(VLOOKUP($M273,$BX$8:$BY$298,2,FALSE),0)</f>
        <v>0</v>
      </c>
      <c r="V273" s="507">
        <f t="shared" ref="V273:V365" si="61">IFERROR(VLOOKUP($M273,$CB$8:$CC$298,2,FALSE),0)</f>
        <v>0</v>
      </c>
      <c r="W273" s="507">
        <f t="shared" ref="W273:W365" si="62">IFERROR(VLOOKUP($M273,$CF$8:$CG$298,2,FALSE),0)</f>
        <v>0</v>
      </c>
      <c r="X273" s="507">
        <f t="shared" ref="X273:X365" si="63">IFERROR(VLOOKUP($M273,$CJ$8:$CK$298,2,FALSE),0)</f>
        <v>0</v>
      </c>
      <c r="Y273" s="507">
        <f t="shared" ref="Y273:Y365" si="64">IFERROR(VLOOKUP($M273,$CN$8:$CO$298,2,FALSE),0)</f>
        <v>0</v>
      </c>
      <c r="Z273" s="11">
        <f t="shared" si="52"/>
        <v>1543966.7400000002</v>
      </c>
      <c r="AC273" s="4">
        <v>585</v>
      </c>
      <c r="AD273" s="5" t="s">
        <v>819</v>
      </c>
      <c r="AE273" s="5" t="s">
        <v>814</v>
      </c>
      <c r="AF273" s="5" t="s">
        <v>820</v>
      </c>
      <c r="AG273" s="5" t="s">
        <v>821</v>
      </c>
      <c r="AH273" s="5" t="s">
        <v>18</v>
      </c>
      <c r="AI273" s="5" t="s">
        <v>16</v>
      </c>
      <c r="AJ273" s="5" t="s">
        <v>481</v>
      </c>
      <c r="AK273" s="5" t="s">
        <v>561</v>
      </c>
      <c r="AL273" s="5" t="s">
        <v>18</v>
      </c>
      <c r="AM273" s="6"/>
      <c r="AO273" s="5"/>
      <c r="AP273" s="5"/>
      <c r="AQ273" s="5"/>
      <c r="AR273" s="5"/>
      <c r="AS273" s="5"/>
      <c r="AU273" s="1548"/>
      <c r="AV273" s="14"/>
      <c r="AW273" s="15"/>
      <c r="AY273" s="13"/>
      <c r="AZ273" s="14"/>
      <c r="BA273" s="15"/>
      <c r="BC273" s="13"/>
      <c r="BD273" s="14"/>
      <c r="BE273" s="15"/>
      <c r="BG273" s="13"/>
      <c r="BH273" s="14"/>
      <c r="BI273" s="15"/>
      <c r="BK273" s="13"/>
      <c r="BL273" s="14"/>
      <c r="BM273" s="15"/>
      <c r="BO273" s="13"/>
      <c r="BP273" s="14"/>
      <c r="BQ273" s="15"/>
      <c r="BS273" s="1593"/>
      <c r="BT273" s="14"/>
      <c r="BU273" s="15"/>
      <c r="BW273" s="13"/>
      <c r="BX273" s="14"/>
      <c r="BY273" s="15"/>
      <c r="CA273" s="13"/>
      <c r="CB273" s="14"/>
      <c r="CC273" s="15"/>
      <c r="CE273" s="13"/>
      <c r="CF273" s="14"/>
      <c r="CG273" s="15"/>
      <c r="CI273" s="13"/>
      <c r="CJ273" s="14"/>
      <c r="CK273" s="15"/>
      <c r="CM273" s="13"/>
      <c r="CN273" s="14"/>
      <c r="CO273" s="15"/>
    </row>
    <row r="274" spans="1:93">
      <c r="A274" s="13"/>
      <c r="B274" s="14"/>
      <c r="C274" s="15"/>
      <c r="D274" s="37" t="str">
        <f>IF(C274&gt;=Mat!$E$71,"Material","No Mat")</f>
        <v>No Mat</v>
      </c>
      <c r="E274" s="834">
        <f>IF(C274&gt;=Mat!$E$71,C274/Mat!$E$71,0)</f>
        <v>0</v>
      </c>
      <c r="G274" s="34"/>
      <c r="H274" s="35"/>
      <c r="I274" s="48"/>
      <c r="J274" s="36"/>
      <c r="L274" s="508"/>
      <c r="M274" s="506" t="s">
        <v>717</v>
      </c>
      <c r="N274" s="507">
        <f t="shared" si="53"/>
        <v>0</v>
      </c>
      <c r="O274" s="507">
        <f t="shared" si="54"/>
        <v>0</v>
      </c>
      <c r="P274" s="507">
        <f t="shared" si="55"/>
        <v>0</v>
      </c>
      <c r="Q274" s="507">
        <f t="shared" si="56"/>
        <v>0</v>
      </c>
      <c r="R274" s="507">
        <f t="shared" si="57"/>
        <v>0</v>
      </c>
      <c r="S274" s="507">
        <f t="shared" si="58"/>
        <v>0</v>
      </c>
      <c r="T274" s="507">
        <f t="shared" si="59"/>
        <v>0</v>
      </c>
      <c r="U274" s="507">
        <f t="shared" si="60"/>
        <v>0</v>
      </c>
      <c r="V274" s="507">
        <f t="shared" si="61"/>
        <v>0</v>
      </c>
      <c r="W274" s="507">
        <f t="shared" si="62"/>
        <v>0</v>
      </c>
      <c r="X274" s="507">
        <f t="shared" si="63"/>
        <v>0</v>
      </c>
      <c r="Y274" s="507">
        <f t="shared" si="64"/>
        <v>0</v>
      </c>
      <c r="Z274" s="11">
        <f t="shared" si="52"/>
        <v>0</v>
      </c>
      <c r="AC274" s="4">
        <v>587</v>
      </c>
      <c r="AD274" s="5" t="s">
        <v>822</v>
      </c>
      <c r="AE274" s="5" t="s">
        <v>814</v>
      </c>
      <c r="AF274" s="5" t="s">
        <v>823</v>
      </c>
      <c r="AG274" s="5" t="s">
        <v>824</v>
      </c>
      <c r="AH274" s="5" t="s">
        <v>18</v>
      </c>
      <c r="AI274" s="5" t="s">
        <v>16</v>
      </c>
      <c r="AJ274" s="5" t="s">
        <v>481</v>
      </c>
      <c r="AK274" s="5" t="s">
        <v>561</v>
      </c>
      <c r="AL274" s="5" t="s">
        <v>18</v>
      </c>
      <c r="AM274" s="6"/>
      <c r="AO274" s="5"/>
      <c r="AP274" s="5"/>
      <c r="AQ274" s="5"/>
      <c r="AR274" s="5"/>
      <c r="AS274" s="5"/>
      <c r="AU274" s="1548"/>
      <c r="AV274" s="14"/>
      <c r="AW274" s="15"/>
      <c r="AY274" s="13"/>
      <c r="AZ274" s="14"/>
      <c r="BA274" s="15"/>
      <c r="BC274" s="13"/>
      <c r="BD274" s="14"/>
      <c r="BE274" s="15"/>
      <c r="BG274" s="13"/>
      <c r="BH274" s="14"/>
      <c r="BI274" s="15"/>
      <c r="BK274" s="13"/>
      <c r="BL274" s="14"/>
      <c r="BM274" s="15"/>
      <c r="BO274" s="13"/>
      <c r="BP274" s="14"/>
      <c r="BQ274" s="15"/>
      <c r="BS274" s="1593"/>
      <c r="BT274" s="14"/>
      <c r="BU274" s="15"/>
      <c r="BW274" s="13"/>
      <c r="BX274" s="14"/>
      <c r="BY274" s="15"/>
      <c r="CA274" s="13"/>
      <c r="CB274" s="14"/>
      <c r="CC274" s="15"/>
      <c r="CE274" s="13"/>
      <c r="CF274" s="14"/>
      <c r="CG274" s="15"/>
      <c r="CI274" s="13"/>
      <c r="CJ274" s="14"/>
      <c r="CK274" s="15"/>
      <c r="CM274" s="13"/>
      <c r="CN274" s="14"/>
      <c r="CO274" s="15"/>
    </row>
    <row r="275" spans="1:93">
      <c r="A275" s="13"/>
      <c r="B275" s="14"/>
      <c r="C275" s="15"/>
      <c r="D275" s="37" t="str">
        <f>IF(C275&gt;=Mat!$E$71,"Material","No Mat")</f>
        <v>No Mat</v>
      </c>
      <c r="E275" s="834">
        <f>IF(C275&gt;=Mat!$E$71,C275/Mat!$E$71,0)</f>
        <v>0</v>
      </c>
      <c r="G275" s="34"/>
      <c r="H275" s="35"/>
      <c r="I275" s="48"/>
      <c r="J275" s="36"/>
      <c r="L275" s="508"/>
      <c r="M275" s="506" t="s">
        <v>720</v>
      </c>
      <c r="N275" s="507">
        <f t="shared" si="53"/>
        <v>0</v>
      </c>
      <c r="O275" s="507">
        <f t="shared" si="54"/>
        <v>0</v>
      </c>
      <c r="P275" s="507">
        <f t="shared" si="55"/>
        <v>0</v>
      </c>
      <c r="Q275" s="507">
        <f t="shared" si="56"/>
        <v>0</v>
      </c>
      <c r="R275" s="507">
        <f t="shared" si="57"/>
        <v>0</v>
      </c>
      <c r="S275" s="507">
        <f t="shared" si="58"/>
        <v>0</v>
      </c>
      <c r="T275" s="507">
        <f t="shared" si="59"/>
        <v>0</v>
      </c>
      <c r="U275" s="507">
        <f t="shared" si="60"/>
        <v>0</v>
      </c>
      <c r="V275" s="507">
        <f t="shared" si="61"/>
        <v>0</v>
      </c>
      <c r="W275" s="507">
        <f t="shared" si="62"/>
        <v>0</v>
      </c>
      <c r="X275" s="507">
        <f t="shared" si="63"/>
        <v>0</v>
      </c>
      <c r="Y275" s="507">
        <f t="shared" si="64"/>
        <v>0</v>
      </c>
      <c r="Z275" s="11">
        <f>SUM(N275:Y275)</f>
        <v>0</v>
      </c>
      <c r="AC275" s="4">
        <v>589</v>
      </c>
      <c r="AD275" s="5" t="s">
        <v>825</v>
      </c>
      <c r="AE275" s="5" t="s">
        <v>814</v>
      </c>
      <c r="AF275" s="5" t="s">
        <v>826</v>
      </c>
      <c r="AG275" s="5" t="s">
        <v>827</v>
      </c>
      <c r="AH275" s="5" t="s">
        <v>18</v>
      </c>
      <c r="AI275" s="5" t="s">
        <v>16</v>
      </c>
      <c r="AJ275" s="5" t="s">
        <v>481</v>
      </c>
      <c r="AK275" s="5" t="s">
        <v>561</v>
      </c>
      <c r="AL275" s="5" t="s">
        <v>18</v>
      </c>
      <c r="AM275" s="6"/>
      <c r="AO275" s="5"/>
      <c r="AP275" s="5"/>
      <c r="AQ275" s="5"/>
      <c r="AR275" s="5"/>
      <c r="AS275" s="5"/>
      <c r="AU275" s="1548"/>
      <c r="AV275" s="14"/>
      <c r="AW275" s="15"/>
      <c r="AY275" s="13"/>
      <c r="AZ275" s="14"/>
      <c r="BA275" s="15"/>
      <c r="BC275" s="13"/>
      <c r="BD275" s="14"/>
      <c r="BE275" s="15"/>
      <c r="BG275" s="13"/>
      <c r="BH275" s="14"/>
      <c r="BI275" s="15"/>
      <c r="BK275" s="13"/>
      <c r="BL275" s="14"/>
      <c r="BM275" s="15"/>
      <c r="BO275" s="13"/>
      <c r="BP275" s="14"/>
      <c r="BQ275" s="15"/>
      <c r="BS275" s="1593"/>
      <c r="BT275" s="14"/>
      <c r="BU275" s="15"/>
      <c r="BW275" s="13"/>
      <c r="BX275" s="14"/>
      <c r="BY275" s="15"/>
      <c r="CA275" s="13"/>
      <c r="CB275" s="14"/>
      <c r="CC275" s="15"/>
      <c r="CE275" s="13"/>
      <c r="CF275" s="14"/>
      <c r="CG275" s="15"/>
      <c r="CI275" s="13"/>
      <c r="CJ275" s="14"/>
      <c r="CK275" s="15"/>
      <c r="CM275" s="13"/>
      <c r="CN275" s="14"/>
      <c r="CO275" s="15"/>
    </row>
    <row r="276" spans="1:93">
      <c r="A276" s="13"/>
      <c r="B276" s="14"/>
      <c r="C276" s="15"/>
      <c r="D276" s="37" t="str">
        <f>IF(C276&gt;=Mat!$E$71,"Material","No Mat")</f>
        <v>No Mat</v>
      </c>
      <c r="E276" s="834">
        <f>IF(C276&gt;=Mat!$E$71,C276/Mat!$E$71,0)</f>
        <v>0</v>
      </c>
      <c r="G276" s="34"/>
      <c r="H276" s="35"/>
      <c r="I276" s="48"/>
      <c r="J276" s="36"/>
      <c r="L276" s="508"/>
      <c r="M276" s="506" t="s">
        <v>723</v>
      </c>
      <c r="N276" s="507">
        <f t="shared" si="53"/>
        <v>0</v>
      </c>
      <c r="O276" s="507">
        <f t="shared" si="54"/>
        <v>0</v>
      </c>
      <c r="P276" s="507">
        <f t="shared" si="55"/>
        <v>0</v>
      </c>
      <c r="Q276" s="507">
        <f t="shared" si="56"/>
        <v>0</v>
      </c>
      <c r="R276" s="507">
        <f t="shared" si="57"/>
        <v>0</v>
      </c>
      <c r="S276" s="507">
        <f t="shared" si="58"/>
        <v>0</v>
      </c>
      <c r="T276" s="507">
        <f t="shared" si="59"/>
        <v>0</v>
      </c>
      <c r="U276" s="507">
        <f t="shared" si="60"/>
        <v>0</v>
      </c>
      <c r="V276" s="507">
        <f t="shared" si="61"/>
        <v>0</v>
      </c>
      <c r="W276" s="507">
        <f t="shared" si="62"/>
        <v>0</v>
      </c>
      <c r="X276" s="507">
        <f t="shared" si="63"/>
        <v>0</v>
      </c>
      <c r="Y276" s="507">
        <f t="shared" si="64"/>
        <v>0</v>
      </c>
      <c r="Z276" s="11">
        <f>SUM(N276:Y276)</f>
        <v>0</v>
      </c>
      <c r="AC276" s="4">
        <v>591</v>
      </c>
      <c r="AD276" s="5" t="s">
        <v>828</v>
      </c>
      <c r="AE276" s="5" t="s">
        <v>814</v>
      </c>
      <c r="AF276" s="5" t="s">
        <v>829</v>
      </c>
      <c r="AG276" s="5" t="s">
        <v>830</v>
      </c>
      <c r="AH276" s="5" t="s">
        <v>18</v>
      </c>
      <c r="AI276" s="5" t="s">
        <v>16</v>
      </c>
      <c r="AJ276" s="5" t="s">
        <v>481</v>
      </c>
      <c r="AK276" s="5" t="s">
        <v>561</v>
      </c>
      <c r="AL276" s="5" t="s">
        <v>18</v>
      </c>
      <c r="AM276" s="6"/>
      <c r="AO276" s="5"/>
      <c r="AP276" s="5"/>
      <c r="AQ276" s="5"/>
      <c r="AR276" s="5"/>
      <c r="AS276" s="5"/>
      <c r="AU276" s="1548"/>
      <c r="AV276" s="14"/>
      <c r="AW276" s="15"/>
      <c r="AY276" s="13"/>
      <c r="AZ276" s="14"/>
      <c r="BA276" s="15"/>
      <c r="BC276" s="13"/>
      <c r="BD276" s="14"/>
      <c r="BE276" s="15"/>
      <c r="BG276" s="13"/>
      <c r="BH276" s="14"/>
      <c r="BI276" s="15"/>
      <c r="BK276" s="13"/>
      <c r="BL276" s="14"/>
      <c r="BM276" s="15"/>
      <c r="BO276" s="13"/>
      <c r="BP276" s="14"/>
      <c r="BQ276" s="15"/>
      <c r="BS276" s="1593"/>
      <c r="BT276" s="14"/>
      <c r="BU276" s="15"/>
      <c r="BW276" s="13"/>
      <c r="BX276" s="14"/>
      <c r="BY276" s="15"/>
      <c r="CA276" s="13"/>
      <c r="CB276" s="14"/>
      <c r="CC276" s="15"/>
      <c r="CE276" s="13"/>
      <c r="CF276" s="14"/>
      <c r="CG276" s="15"/>
      <c r="CI276" s="13"/>
      <c r="CJ276" s="14"/>
      <c r="CK276" s="15"/>
      <c r="CM276" s="13"/>
      <c r="CN276" s="14"/>
      <c r="CO276" s="15"/>
    </row>
    <row r="277" spans="1:93">
      <c r="A277" s="13"/>
      <c r="B277" s="14"/>
      <c r="C277" s="15"/>
      <c r="D277" s="37" t="str">
        <f>IF(C277&gt;=Mat!$E$71,"Material","No Mat")</f>
        <v>No Mat</v>
      </c>
      <c r="E277" s="834">
        <f>IF(C277&gt;=Mat!$E$71,C277/Mat!$E$71,0)</f>
        <v>0</v>
      </c>
      <c r="G277" s="34"/>
      <c r="H277" s="35"/>
      <c r="I277" s="48"/>
      <c r="J277" s="36"/>
      <c r="L277" s="508"/>
      <c r="M277" s="506" t="s">
        <v>726</v>
      </c>
      <c r="N277" s="507">
        <f t="shared" si="53"/>
        <v>0</v>
      </c>
      <c r="O277" s="507">
        <f t="shared" si="54"/>
        <v>0</v>
      </c>
      <c r="P277" s="507">
        <f t="shared" si="55"/>
        <v>0</v>
      </c>
      <c r="Q277" s="507">
        <f t="shared" si="56"/>
        <v>0</v>
      </c>
      <c r="R277" s="507">
        <f t="shared" si="57"/>
        <v>0</v>
      </c>
      <c r="S277" s="507">
        <f t="shared" si="58"/>
        <v>0</v>
      </c>
      <c r="T277" s="507">
        <f t="shared" si="59"/>
        <v>0</v>
      </c>
      <c r="U277" s="507">
        <f t="shared" si="60"/>
        <v>0</v>
      </c>
      <c r="V277" s="507">
        <f t="shared" si="61"/>
        <v>0</v>
      </c>
      <c r="W277" s="507">
        <f t="shared" si="62"/>
        <v>0</v>
      </c>
      <c r="X277" s="507">
        <f t="shared" si="63"/>
        <v>0</v>
      </c>
      <c r="Y277" s="507">
        <f t="shared" si="64"/>
        <v>0</v>
      </c>
      <c r="Z277" s="11">
        <f>SUM(N277:Y277)</f>
        <v>0</v>
      </c>
      <c r="AC277" s="4">
        <v>593</v>
      </c>
      <c r="AD277" s="5" t="s">
        <v>831</v>
      </c>
      <c r="AE277" s="5" t="s">
        <v>814</v>
      </c>
      <c r="AF277" s="5" t="s">
        <v>832</v>
      </c>
      <c r="AG277" s="5" t="s">
        <v>833</v>
      </c>
      <c r="AH277" s="5" t="s">
        <v>18</v>
      </c>
      <c r="AI277" s="5" t="s">
        <v>16</v>
      </c>
      <c r="AJ277" s="5" t="s">
        <v>481</v>
      </c>
      <c r="AK277" s="5" t="s">
        <v>561</v>
      </c>
      <c r="AL277" s="5" t="s">
        <v>18</v>
      </c>
      <c r="AM277" s="6"/>
      <c r="AO277" s="5"/>
      <c r="AP277" s="5"/>
      <c r="AQ277" s="5"/>
      <c r="AR277" s="5"/>
      <c r="AS277" s="5"/>
      <c r="AU277" s="1548"/>
      <c r="AV277" s="14"/>
      <c r="AW277" s="15"/>
      <c r="AY277" s="13"/>
      <c r="AZ277" s="14"/>
      <c r="BA277" s="15"/>
      <c r="BC277" s="13"/>
      <c r="BD277" s="14"/>
      <c r="BE277" s="15"/>
      <c r="BG277" s="13"/>
      <c r="BH277" s="14"/>
      <c r="BI277" s="15"/>
      <c r="BK277" s="13"/>
      <c r="BL277" s="14"/>
      <c r="BM277" s="15"/>
      <c r="BO277" s="13"/>
      <c r="BP277" s="14"/>
      <c r="BQ277" s="15"/>
      <c r="BS277" s="1593"/>
      <c r="BT277" s="14"/>
      <c r="BU277" s="15"/>
      <c r="BW277" s="13"/>
      <c r="BX277" s="14"/>
      <c r="BY277" s="15"/>
      <c r="CA277" s="13"/>
      <c r="CB277" s="14"/>
      <c r="CC277" s="15"/>
      <c r="CE277" s="13"/>
      <c r="CF277" s="14"/>
      <c r="CG277" s="15"/>
      <c r="CI277" s="13"/>
      <c r="CJ277" s="14"/>
      <c r="CK277" s="15"/>
      <c r="CM277" s="13"/>
      <c r="CN277" s="14"/>
      <c r="CO277" s="15"/>
    </row>
    <row r="278" spans="1:93">
      <c r="A278" s="13"/>
      <c r="B278" s="14"/>
      <c r="C278" s="15"/>
      <c r="D278" s="37" t="str">
        <f>IF(C278&gt;=Mat!$E$71,"Material","No Mat")</f>
        <v>No Mat</v>
      </c>
      <c r="E278" s="834">
        <f>IF(C278&gt;=Mat!$E$71,C278/Mat!$E$71,0)</f>
        <v>0</v>
      </c>
      <c r="G278" s="34"/>
      <c r="H278" s="35"/>
      <c r="I278" s="48"/>
      <c r="J278" s="36"/>
      <c r="L278" s="508"/>
      <c r="M278" s="506" t="s">
        <v>729</v>
      </c>
      <c r="N278" s="507">
        <f t="shared" si="53"/>
        <v>0</v>
      </c>
      <c r="O278" s="507">
        <f t="shared" si="54"/>
        <v>0</v>
      </c>
      <c r="P278" s="507">
        <f t="shared" si="55"/>
        <v>0</v>
      </c>
      <c r="Q278" s="507">
        <f t="shared" si="56"/>
        <v>0</v>
      </c>
      <c r="R278" s="507">
        <f t="shared" si="57"/>
        <v>0</v>
      </c>
      <c r="S278" s="507">
        <f t="shared" si="58"/>
        <v>0</v>
      </c>
      <c r="T278" s="507">
        <f t="shared" si="59"/>
        <v>0</v>
      </c>
      <c r="U278" s="507">
        <f t="shared" si="60"/>
        <v>0</v>
      </c>
      <c r="V278" s="507">
        <f t="shared" si="61"/>
        <v>0</v>
      </c>
      <c r="W278" s="507">
        <f t="shared" si="62"/>
        <v>0</v>
      </c>
      <c r="X278" s="507">
        <f t="shared" si="63"/>
        <v>0</v>
      </c>
      <c r="Y278" s="507">
        <f t="shared" si="64"/>
        <v>0</v>
      </c>
      <c r="Z278" s="11">
        <f>SUM(N278:Y278)</f>
        <v>0</v>
      </c>
      <c r="AC278" s="4">
        <v>595</v>
      </c>
      <c r="AD278" s="5" t="s">
        <v>839</v>
      </c>
      <c r="AE278" s="5" t="s">
        <v>837</v>
      </c>
      <c r="AF278" s="5" t="s">
        <v>840</v>
      </c>
      <c r="AG278" s="5" t="s">
        <v>824</v>
      </c>
      <c r="AH278" s="5" t="s">
        <v>18</v>
      </c>
      <c r="AI278" s="5" t="s">
        <v>16</v>
      </c>
      <c r="AJ278" s="5" t="s">
        <v>481</v>
      </c>
      <c r="AK278" s="5" t="s">
        <v>561</v>
      </c>
      <c r="AL278" s="5" t="s">
        <v>18</v>
      </c>
      <c r="AM278" s="6"/>
      <c r="AO278" s="5"/>
      <c r="AP278" s="5"/>
      <c r="AQ278" s="5"/>
      <c r="AR278" s="5"/>
      <c r="AS278" s="5"/>
      <c r="AU278" s="1548"/>
      <c r="AV278" s="14"/>
      <c r="AW278" s="15"/>
      <c r="AY278" s="13"/>
      <c r="AZ278" s="14"/>
      <c r="BA278" s="15"/>
      <c r="BC278" s="13"/>
      <c r="BD278" s="14"/>
      <c r="BE278" s="15"/>
      <c r="BG278" s="13"/>
      <c r="BH278" s="14"/>
      <c r="BI278" s="15"/>
      <c r="BK278" s="13"/>
      <c r="BL278" s="14"/>
      <c r="BM278" s="15"/>
      <c r="BO278" s="13"/>
      <c r="BP278" s="14"/>
      <c r="BQ278" s="15"/>
      <c r="BS278" s="1593"/>
      <c r="BT278" s="14"/>
      <c r="BU278" s="15"/>
      <c r="BW278" s="13"/>
      <c r="BX278" s="14"/>
      <c r="BY278" s="15"/>
      <c r="CA278" s="13"/>
      <c r="CB278" s="14"/>
      <c r="CC278" s="15"/>
      <c r="CE278" s="13"/>
      <c r="CF278" s="14"/>
      <c r="CG278" s="15"/>
      <c r="CI278" s="13"/>
      <c r="CJ278" s="14"/>
      <c r="CK278" s="15"/>
      <c r="CM278" s="13"/>
      <c r="CN278" s="14"/>
      <c r="CO278" s="15"/>
    </row>
    <row r="279" spans="1:93">
      <c r="A279" s="13"/>
      <c r="B279" s="14"/>
      <c r="C279" s="15"/>
      <c r="D279" s="37" t="str">
        <f>IF(C279&gt;=Mat!$E$71,"Material","No Mat")</f>
        <v>No Mat</v>
      </c>
      <c r="E279" s="834">
        <f>IF(C279&gt;=Mat!$E$71,C279/Mat!$E$71,0)</f>
        <v>0</v>
      </c>
      <c r="G279" s="34"/>
      <c r="H279" s="35"/>
      <c r="I279" s="48"/>
      <c r="J279" s="36"/>
      <c r="L279" s="508"/>
      <c r="M279" s="506" t="s">
        <v>732</v>
      </c>
      <c r="N279" s="507">
        <f t="shared" si="53"/>
        <v>0</v>
      </c>
      <c r="O279" s="507">
        <f t="shared" si="54"/>
        <v>0</v>
      </c>
      <c r="P279" s="507">
        <f t="shared" si="55"/>
        <v>0</v>
      </c>
      <c r="Q279" s="507">
        <f t="shared" si="56"/>
        <v>0</v>
      </c>
      <c r="R279" s="507">
        <f t="shared" si="57"/>
        <v>0</v>
      </c>
      <c r="S279" s="507">
        <f t="shared" si="58"/>
        <v>0</v>
      </c>
      <c r="T279" s="507">
        <f t="shared" si="59"/>
        <v>0</v>
      </c>
      <c r="U279" s="507">
        <f t="shared" si="60"/>
        <v>0</v>
      </c>
      <c r="V279" s="507">
        <f t="shared" si="61"/>
        <v>0</v>
      </c>
      <c r="W279" s="507">
        <f t="shared" si="62"/>
        <v>0</v>
      </c>
      <c r="X279" s="507">
        <f t="shared" si="63"/>
        <v>0</v>
      </c>
      <c r="Y279" s="507">
        <f t="shared" si="64"/>
        <v>0</v>
      </c>
      <c r="Z279" s="11">
        <f>SUM(N279:Y279)</f>
        <v>0</v>
      </c>
      <c r="AC279" s="4">
        <v>597</v>
      </c>
      <c r="AD279" s="5" t="s">
        <v>843</v>
      </c>
      <c r="AE279" s="5" t="s">
        <v>841</v>
      </c>
      <c r="AF279" s="5" t="s">
        <v>844</v>
      </c>
      <c r="AG279" s="5" t="s">
        <v>0</v>
      </c>
      <c r="AH279" s="5" t="s">
        <v>18</v>
      </c>
      <c r="AI279" s="5" t="s">
        <v>16</v>
      </c>
      <c r="AJ279" s="5" t="s">
        <v>481</v>
      </c>
      <c r="AK279" s="5" t="s">
        <v>561</v>
      </c>
      <c r="AL279" s="5" t="s">
        <v>18</v>
      </c>
      <c r="AM279" s="6"/>
      <c r="AO279" s="5"/>
      <c r="AP279" s="5"/>
      <c r="AQ279" s="5"/>
      <c r="AR279" s="5"/>
      <c r="AS279" s="5"/>
      <c r="AU279" s="1548"/>
      <c r="AV279" s="14"/>
      <c r="AW279" s="15"/>
      <c r="AY279" s="13"/>
      <c r="AZ279" s="14"/>
      <c r="BA279" s="15"/>
      <c r="BC279" s="13"/>
      <c r="BD279" s="14"/>
      <c r="BE279" s="15"/>
      <c r="BG279" s="13"/>
      <c r="BH279" s="14"/>
      <c r="BI279" s="15"/>
      <c r="BK279" s="13"/>
      <c r="BL279" s="14"/>
      <c r="BM279" s="15"/>
      <c r="BO279" s="13"/>
      <c r="BP279" s="14"/>
      <c r="BQ279" s="15"/>
      <c r="BS279" s="1593"/>
      <c r="BT279" s="14"/>
      <c r="BU279" s="15"/>
      <c r="BW279" s="13"/>
      <c r="BX279" s="14"/>
      <c r="BY279" s="15"/>
      <c r="CA279" s="13"/>
      <c r="CB279" s="14"/>
      <c r="CC279" s="15"/>
      <c r="CE279" s="13"/>
      <c r="CF279" s="14"/>
      <c r="CG279" s="15"/>
      <c r="CI279" s="13"/>
      <c r="CJ279" s="14"/>
      <c r="CK279" s="15"/>
      <c r="CM279" s="13"/>
      <c r="CN279" s="14"/>
      <c r="CO279" s="15"/>
    </row>
    <row r="280" spans="1:93">
      <c r="A280" s="13"/>
      <c r="B280" s="14"/>
      <c r="C280" s="15"/>
      <c r="D280" s="37" t="str">
        <f>IF(C280&gt;=Mat!$E$71,"Material","No Mat")</f>
        <v>No Mat</v>
      </c>
      <c r="E280" s="834">
        <f>IF(C280&gt;=Mat!$E$71,C280/Mat!$E$71,0)</f>
        <v>0</v>
      </c>
      <c r="G280" s="34"/>
      <c r="H280" s="35"/>
      <c r="I280" s="48"/>
      <c r="J280" s="36"/>
      <c r="L280" s="508"/>
      <c r="M280" s="506" t="s">
        <v>735</v>
      </c>
      <c r="N280" s="507">
        <f t="shared" si="53"/>
        <v>0</v>
      </c>
      <c r="O280" s="507">
        <f t="shared" si="54"/>
        <v>0</v>
      </c>
      <c r="P280" s="507">
        <f t="shared" si="55"/>
        <v>0</v>
      </c>
      <c r="Q280" s="507">
        <f t="shared" si="56"/>
        <v>0</v>
      </c>
      <c r="R280" s="507">
        <f t="shared" si="57"/>
        <v>0</v>
      </c>
      <c r="S280" s="507">
        <f t="shared" si="58"/>
        <v>0</v>
      </c>
      <c r="T280" s="507">
        <f t="shared" si="59"/>
        <v>0</v>
      </c>
      <c r="U280" s="507">
        <f t="shared" si="60"/>
        <v>0</v>
      </c>
      <c r="V280" s="507">
        <f t="shared" si="61"/>
        <v>0</v>
      </c>
      <c r="W280" s="507">
        <f t="shared" si="62"/>
        <v>0</v>
      </c>
      <c r="X280" s="507">
        <f t="shared" si="63"/>
        <v>0</v>
      </c>
      <c r="Y280" s="507">
        <f t="shared" si="64"/>
        <v>0</v>
      </c>
      <c r="Z280" s="11">
        <f t="shared" ref="Z280:Z364" si="65">SUM(N280:Y280)</f>
        <v>0</v>
      </c>
      <c r="AC280" s="4">
        <v>599</v>
      </c>
      <c r="AD280" s="5" t="s">
        <v>847</v>
      </c>
      <c r="AE280" s="5" t="s">
        <v>845</v>
      </c>
      <c r="AF280" s="5" t="s">
        <v>848</v>
      </c>
      <c r="AG280" s="5" t="s">
        <v>0</v>
      </c>
      <c r="AH280" s="5" t="s">
        <v>18</v>
      </c>
      <c r="AI280" s="5" t="s">
        <v>16</v>
      </c>
      <c r="AJ280" s="5" t="s">
        <v>481</v>
      </c>
      <c r="AK280" s="5" t="s">
        <v>561</v>
      </c>
      <c r="AL280" s="5" t="s">
        <v>18</v>
      </c>
      <c r="AM280" s="6"/>
      <c r="AO280" s="5"/>
      <c r="AP280" s="5"/>
      <c r="AQ280" s="5"/>
      <c r="AR280" s="5"/>
      <c r="AS280" s="5"/>
      <c r="AU280" s="1548"/>
      <c r="AV280" s="14"/>
      <c r="AW280" s="15"/>
      <c r="AY280" s="13"/>
      <c r="AZ280" s="14"/>
      <c r="BA280" s="15"/>
      <c r="BC280" s="13"/>
      <c r="BD280" s="14"/>
      <c r="BE280" s="15"/>
      <c r="BG280" s="13"/>
      <c r="BH280" s="14"/>
      <c r="BI280" s="15"/>
      <c r="BK280" s="13"/>
      <c r="BL280" s="14"/>
      <c r="BM280" s="15"/>
      <c r="BO280" s="13"/>
      <c r="BP280" s="14"/>
      <c r="BQ280" s="15"/>
      <c r="BS280" s="1593"/>
      <c r="BT280" s="14"/>
      <c r="BU280" s="15"/>
      <c r="BW280" s="13"/>
      <c r="BX280" s="14"/>
      <c r="BY280" s="15"/>
      <c r="CA280" s="13"/>
      <c r="CB280" s="14"/>
      <c r="CC280" s="15"/>
      <c r="CE280" s="13"/>
      <c r="CF280" s="14"/>
      <c r="CG280" s="15"/>
      <c r="CI280" s="13"/>
      <c r="CJ280" s="14"/>
      <c r="CK280" s="15"/>
      <c r="CM280" s="13"/>
      <c r="CN280" s="14"/>
      <c r="CO280" s="15"/>
    </row>
    <row r="281" spans="1:93">
      <c r="A281" s="13"/>
      <c r="B281" s="14"/>
      <c r="C281" s="15"/>
      <c r="D281" s="37" t="str">
        <f>IF(C281&gt;=Mat!$E$71,"Material","No Mat")</f>
        <v>No Mat</v>
      </c>
      <c r="E281" s="834">
        <f>IF(C281&gt;=Mat!$E$71,C281/Mat!$E$71,0)</f>
        <v>0</v>
      </c>
      <c r="G281" s="34"/>
      <c r="H281" s="35"/>
      <c r="I281" s="48"/>
      <c r="J281" s="36"/>
      <c r="L281" s="508"/>
      <c r="M281" s="506" t="s">
        <v>738</v>
      </c>
      <c r="N281" s="507">
        <f t="shared" si="53"/>
        <v>0</v>
      </c>
      <c r="O281" s="507">
        <f t="shared" si="54"/>
        <v>0</v>
      </c>
      <c r="P281" s="507">
        <f t="shared" si="55"/>
        <v>0</v>
      </c>
      <c r="Q281" s="507">
        <f t="shared" si="56"/>
        <v>0</v>
      </c>
      <c r="R281" s="507">
        <f t="shared" si="57"/>
        <v>0</v>
      </c>
      <c r="S281" s="507">
        <f t="shared" si="58"/>
        <v>0</v>
      </c>
      <c r="T281" s="507">
        <f t="shared" si="59"/>
        <v>0</v>
      </c>
      <c r="U281" s="507">
        <f t="shared" si="60"/>
        <v>0</v>
      </c>
      <c r="V281" s="507">
        <f t="shared" si="61"/>
        <v>0</v>
      </c>
      <c r="W281" s="507">
        <f t="shared" si="62"/>
        <v>0</v>
      </c>
      <c r="X281" s="507">
        <f t="shared" si="63"/>
        <v>0</v>
      </c>
      <c r="Y281" s="507">
        <f t="shared" si="64"/>
        <v>0</v>
      </c>
      <c r="Z281" s="11">
        <f t="shared" si="65"/>
        <v>0</v>
      </c>
      <c r="AC281" s="4">
        <v>601</v>
      </c>
      <c r="AD281" s="5" t="s">
        <v>857</v>
      </c>
      <c r="AE281" s="5" t="s">
        <v>854</v>
      </c>
      <c r="AF281" s="5" t="s">
        <v>858</v>
      </c>
      <c r="AG281" s="5" t="s">
        <v>859</v>
      </c>
      <c r="AH281" s="5" t="s">
        <v>18</v>
      </c>
      <c r="AI281" s="5" t="s">
        <v>16</v>
      </c>
      <c r="AJ281" s="5" t="s">
        <v>481</v>
      </c>
      <c r="AK281" s="5" t="s">
        <v>561</v>
      </c>
      <c r="AL281" s="5" t="s">
        <v>18</v>
      </c>
      <c r="AM281" s="6"/>
      <c r="AO281" s="5"/>
      <c r="AP281" s="5"/>
      <c r="AQ281" s="5"/>
      <c r="AR281" s="5"/>
      <c r="AS281" s="5"/>
      <c r="AU281" s="1548"/>
      <c r="AV281" s="14"/>
      <c r="AW281" s="15"/>
      <c r="AY281" s="13"/>
      <c r="AZ281" s="14"/>
      <c r="BA281" s="15"/>
      <c r="BC281" s="13"/>
      <c r="BD281" s="14"/>
      <c r="BE281" s="15"/>
      <c r="BG281" s="13"/>
      <c r="BH281" s="14"/>
      <c r="BI281" s="15"/>
      <c r="BK281" s="13"/>
      <c r="BL281" s="14"/>
      <c r="BM281" s="15"/>
      <c r="BO281" s="13"/>
      <c r="BP281" s="14"/>
      <c r="BQ281" s="15"/>
      <c r="BS281" s="1593"/>
      <c r="BT281" s="14"/>
      <c r="BU281" s="15"/>
      <c r="BW281" s="13"/>
      <c r="BX281" s="14"/>
      <c r="BY281" s="15"/>
      <c r="CA281" s="13"/>
      <c r="CB281" s="14"/>
      <c r="CC281" s="15"/>
      <c r="CE281" s="13"/>
      <c r="CF281" s="14"/>
      <c r="CG281" s="15"/>
      <c r="CI281" s="13"/>
      <c r="CJ281" s="14"/>
      <c r="CK281" s="15"/>
      <c r="CM281" s="13"/>
      <c r="CN281" s="14"/>
      <c r="CO281" s="15"/>
    </row>
    <row r="282" spans="1:93">
      <c r="A282" s="13"/>
      <c r="B282" s="14"/>
      <c r="C282" s="15"/>
      <c r="D282" s="37" t="str">
        <f>IF(C282&gt;=Mat!$E$71,"Material","No Mat")</f>
        <v>No Mat</v>
      </c>
      <c r="E282" s="834">
        <f>IF(C282&gt;=Mat!$E$71,C282/Mat!$E$71,0)</f>
        <v>0</v>
      </c>
      <c r="G282" s="34"/>
      <c r="H282" s="35"/>
      <c r="I282" s="48"/>
      <c r="J282" s="36"/>
      <c r="L282" s="508"/>
      <c r="M282" s="506" t="s">
        <v>2229</v>
      </c>
      <c r="N282" s="507">
        <f t="shared" si="53"/>
        <v>0</v>
      </c>
      <c r="O282" s="507">
        <f t="shared" si="54"/>
        <v>4630</v>
      </c>
      <c r="P282" s="507">
        <f t="shared" si="55"/>
        <v>202575</v>
      </c>
      <c r="Q282" s="507">
        <f t="shared" si="56"/>
        <v>0</v>
      </c>
      <c r="R282" s="507">
        <f t="shared" si="57"/>
        <v>0</v>
      </c>
      <c r="S282" s="507">
        <f t="shared" si="58"/>
        <v>0</v>
      </c>
      <c r="T282" s="507">
        <f t="shared" si="59"/>
        <v>0</v>
      </c>
      <c r="U282" s="507">
        <f t="shared" si="60"/>
        <v>0</v>
      </c>
      <c r="V282" s="507">
        <f t="shared" si="61"/>
        <v>0</v>
      </c>
      <c r="W282" s="507">
        <f t="shared" si="62"/>
        <v>0</v>
      </c>
      <c r="X282" s="507">
        <f t="shared" si="63"/>
        <v>0</v>
      </c>
      <c r="Y282" s="507">
        <f t="shared" si="64"/>
        <v>0</v>
      </c>
      <c r="Z282" s="11">
        <f t="shared" si="65"/>
        <v>207205</v>
      </c>
      <c r="AC282" s="4">
        <v>603</v>
      </c>
      <c r="AD282" s="5" t="s">
        <v>860</v>
      </c>
      <c r="AE282" s="5" t="s">
        <v>854</v>
      </c>
      <c r="AF282" s="5" t="s">
        <v>861</v>
      </c>
      <c r="AG282" s="5" t="s">
        <v>862</v>
      </c>
      <c r="AH282" s="5" t="s">
        <v>18</v>
      </c>
      <c r="AI282" s="5" t="s">
        <v>16</v>
      </c>
      <c r="AJ282" s="5" t="s">
        <v>481</v>
      </c>
      <c r="AK282" s="5" t="s">
        <v>561</v>
      </c>
      <c r="AL282" s="5" t="s">
        <v>18</v>
      </c>
      <c r="AM282" s="6"/>
      <c r="AO282" s="5"/>
      <c r="AP282" s="5"/>
      <c r="AQ282" s="5"/>
      <c r="AR282" s="5"/>
      <c r="AS282" s="5"/>
      <c r="AU282" s="1548"/>
      <c r="AV282" s="14"/>
      <c r="AW282" s="15"/>
      <c r="AY282" s="13"/>
      <c r="AZ282" s="14"/>
      <c r="BA282" s="15"/>
      <c r="BC282" s="13"/>
      <c r="BD282" s="14"/>
      <c r="BE282" s="15"/>
      <c r="BG282" s="13"/>
      <c r="BH282" s="14"/>
      <c r="BI282" s="15"/>
      <c r="BK282" s="13"/>
      <c r="BL282" s="14"/>
      <c r="BM282" s="15"/>
      <c r="BO282" s="13"/>
      <c r="BP282" s="14"/>
      <c r="BQ282" s="15"/>
      <c r="BS282" s="1593"/>
      <c r="BT282" s="14"/>
      <c r="BU282" s="15"/>
      <c r="BW282" s="13"/>
      <c r="BX282" s="14"/>
      <c r="BY282" s="15"/>
      <c r="CA282" s="13"/>
      <c r="CB282" s="14"/>
      <c r="CC282" s="15"/>
      <c r="CE282" s="13"/>
      <c r="CF282" s="14"/>
      <c r="CG282" s="15"/>
      <c r="CI282" s="13"/>
      <c r="CJ282" s="14"/>
      <c r="CK282" s="15"/>
      <c r="CM282" s="13"/>
      <c r="CN282" s="14"/>
      <c r="CO282" s="15"/>
    </row>
    <row r="283" spans="1:93">
      <c r="A283" s="13"/>
      <c r="B283" s="14"/>
      <c r="C283" s="15"/>
      <c r="D283" s="37" t="str">
        <f>IF(C283&gt;=Mat!$E$71,"Material","No Mat")</f>
        <v>No Mat</v>
      </c>
      <c r="E283" s="834">
        <f>IF(C283&gt;=Mat!$E$71,C283/Mat!$E$71,0)</f>
        <v>0</v>
      </c>
      <c r="G283" s="34"/>
      <c r="H283" s="35"/>
      <c r="I283" s="48"/>
      <c r="J283" s="36"/>
      <c r="L283" s="508"/>
      <c r="M283" s="506" t="s">
        <v>744</v>
      </c>
      <c r="N283" s="507">
        <f t="shared" si="53"/>
        <v>0</v>
      </c>
      <c r="O283" s="507">
        <f t="shared" si="54"/>
        <v>1000</v>
      </c>
      <c r="P283" s="507">
        <f t="shared" si="55"/>
        <v>0</v>
      </c>
      <c r="Q283" s="507">
        <f t="shared" si="56"/>
        <v>0</v>
      </c>
      <c r="R283" s="507">
        <f t="shared" si="57"/>
        <v>0</v>
      </c>
      <c r="S283" s="507">
        <f t="shared" si="58"/>
        <v>0</v>
      </c>
      <c r="T283" s="507">
        <f t="shared" si="59"/>
        <v>0</v>
      </c>
      <c r="U283" s="507">
        <f t="shared" si="60"/>
        <v>0</v>
      </c>
      <c r="V283" s="507">
        <f t="shared" si="61"/>
        <v>0</v>
      </c>
      <c r="W283" s="507">
        <f t="shared" si="62"/>
        <v>0</v>
      </c>
      <c r="X283" s="507">
        <f t="shared" si="63"/>
        <v>0</v>
      </c>
      <c r="Y283" s="507">
        <f t="shared" si="64"/>
        <v>0</v>
      </c>
      <c r="Z283" s="11">
        <f t="shared" si="65"/>
        <v>1000</v>
      </c>
      <c r="AC283" s="4">
        <v>605</v>
      </c>
      <c r="AD283" s="5" t="s">
        <v>866</v>
      </c>
      <c r="AE283" s="5" t="s">
        <v>865</v>
      </c>
      <c r="AF283" s="5" t="s">
        <v>867</v>
      </c>
      <c r="AG283" s="5" t="s">
        <v>868</v>
      </c>
      <c r="AH283" s="5" t="s">
        <v>18</v>
      </c>
      <c r="AI283" s="5" t="s">
        <v>16</v>
      </c>
      <c r="AJ283" s="5" t="s">
        <v>481</v>
      </c>
      <c r="AK283" s="5" t="s">
        <v>561</v>
      </c>
      <c r="AL283" s="5" t="s">
        <v>18</v>
      </c>
      <c r="AM283" s="6"/>
      <c r="AO283" s="5"/>
      <c r="AP283" s="5"/>
      <c r="AQ283" s="5"/>
      <c r="AR283" s="5"/>
      <c r="AS283" s="5"/>
      <c r="AU283" s="1548"/>
      <c r="AV283" s="14"/>
      <c r="AW283" s="15"/>
      <c r="AY283" s="13"/>
      <c r="AZ283" s="14"/>
      <c r="BA283" s="15"/>
      <c r="BC283" s="13"/>
      <c r="BD283" s="14"/>
      <c r="BE283" s="15"/>
      <c r="BG283" s="13"/>
      <c r="BH283" s="14"/>
      <c r="BI283" s="15"/>
      <c r="BK283" s="13"/>
      <c r="BL283" s="14"/>
      <c r="BM283" s="15"/>
      <c r="BO283" s="13"/>
      <c r="BP283" s="14"/>
      <c r="BQ283" s="15"/>
      <c r="BS283" s="1593"/>
      <c r="BT283" s="14"/>
      <c r="BU283" s="15"/>
      <c r="BW283" s="13"/>
      <c r="BX283" s="14"/>
      <c r="BY283" s="15"/>
      <c r="CA283" s="13"/>
      <c r="CB283" s="14"/>
      <c r="CC283" s="15"/>
      <c r="CE283" s="13"/>
      <c r="CF283" s="14"/>
      <c r="CG283" s="15"/>
      <c r="CI283" s="13"/>
      <c r="CJ283" s="14"/>
      <c r="CK283" s="15"/>
      <c r="CM283" s="13"/>
      <c r="CN283" s="14"/>
      <c r="CO283" s="15"/>
    </row>
    <row r="284" spans="1:93">
      <c r="A284" s="13"/>
      <c r="B284" s="14"/>
      <c r="C284" s="15"/>
      <c r="D284" s="37" t="str">
        <f>IF(C284&gt;=Mat!$E$71,"Material","No Mat")</f>
        <v>No Mat</v>
      </c>
      <c r="E284" s="834">
        <f>IF(C284&gt;=Mat!$E$71,C284/Mat!$E$71,0)</f>
        <v>0</v>
      </c>
      <c r="G284" s="34"/>
      <c r="H284" s="35"/>
      <c r="I284" s="48"/>
      <c r="J284" s="36"/>
      <c r="L284" s="508"/>
      <c r="M284" s="506" t="s">
        <v>747</v>
      </c>
      <c r="N284" s="507">
        <f t="shared" si="53"/>
        <v>0</v>
      </c>
      <c r="O284" s="507">
        <f t="shared" si="54"/>
        <v>2855.45</v>
      </c>
      <c r="P284" s="507">
        <f t="shared" si="55"/>
        <v>1717.8</v>
      </c>
      <c r="Q284" s="507">
        <f t="shared" si="56"/>
        <v>0</v>
      </c>
      <c r="R284" s="507">
        <f t="shared" si="57"/>
        <v>0</v>
      </c>
      <c r="S284" s="507">
        <f t="shared" si="58"/>
        <v>0</v>
      </c>
      <c r="T284" s="507">
        <f t="shared" si="59"/>
        <v>0</v>
      </c>
      <c r="U284" s="507">
        <f t="shared" si="60"/>
        <v>0</v>
      </c>
      <c r="V284" s="507">
        <f t="shared" si="61"/>
        <v>0</v>
      </c>
      <c r="W284" s="507">
        <f t="shared" si="62"/>
        <v>0</v>
      </c>
      <c r="X284" s="507">
        <f t="shared" si="63"/>
        <v>0</v>
      </c>
      <c r="Y284" s="507">
        <f t="shared" si="64"/>
        <v>0</v>
      </c>
      <c r="Z284" s="11">
        <f t="shared" si="65"/>
        <v>4573.25</v>
      </c>
      <c r="AC284" s="4">
        <v>607</v>
      </c>
      <c r="AD284" s="5" t="s">
        <v>869</v>
      </c>
      <c r="AE284" s="5" t="s">
        <v>865</v>
      </c>
      <c r="AF284" s="5" t="s">
        <v>870</v>
      </c>
      <c r="AG284" s="5" t="s">
        <v>871</v>
      </c>
      <c r="AH284" s="5" t="s">
        <v>18</v>
      </c>
      <c r="AI284" s="5" t="s">
        <v>16</v>
      </c>
      <c r="AJ284" s="5" t="s">
        <v>481</v>
      </c>
      <c r="AK284" s="5" t="s">
        <v>561</v>
      </c>
      <c r="AL284" s="5" t="s">
        <v>18</v>
      </c>
      <c r="AM284" s="6"/>
      <c r="AO284" s="5"/>
      <c r="AP284" s="5"/>
      <c r="AQ284" s="5"/>
      <c r="AR284" s="5"/>
      <c r="AS284" s="5"/>
      <c r="AU284" s="1548"/>
      <c r="AV284" s="14"/>
      <c r="AW284" s="15"/>
      <c r="AY284" s="13"/>
      <c r="AZ284" s="14"/>
      <c r="BA284" s="15"/>
      <c r="BC284" s="13"/>
      <c r="BD284" s="14"/>
      <c r="BE284" s="15"/>
      <c r="BG284" s="13"/>
      <c r="BH284" s="14"/>
      <c r="BI284" s="15"/>
      <c r="BK284" s="13"/>
      <c r="BL284" s="14"/>
      <c r="BM284" s="15"/>
      <c r="BO284" s="13"/>
      <c r="BP284" s="14"/>
      <c r="BQ284" s="15"/>
      <c r="BS284" s="1593"/>
      <c r="BT284" s="14"/>
      <c r="BU284" s="15"/>
      <c r="BW284" s="13"/>
      <c r="BX284" s="14"/>
      <c r="BY284" s="15"/>
      <c r="CA284" s="13"/>
      <c r="CB284" s="14"/>
      <c r="CC284" s="15"/>
      <c r="CE284" s="13"/>
      <c r="CF284" s="14"/>
      <c r="CG284" s="15"/>
      <c r="CI284" s="13"/>
      <c r="CJ284" s="14"/>
      <c r="CK284" s="15"/>
      <c r="CM284" s="13"/>
      <c r="CN284" s="14"/>
      <c r="CO284" s="15"/>
    </row>
    <row r="285" spans="1:93">
      <c r="A285" s="13"/>
      <c r="B285" s="14"/>
      <c r="C285" s="15"/>
      <c r="D285" s="37" t="str">
        <f>IF(C285&gt;=Mat!$E$71,"Material","No Mat")</f>
        <v>No Mat</v>
      </c>
      <c r="E285" s="834">
        <f>IF(C285&gt;=Mat!$E$71,C285/Mat!$E$71,0)</f>
        <v>0</v>
      </c>
      <c r="G285" s="34"/>
      <c r="H285" s="35"/>
      <c r="I285" s="48"/>
      <c r="J285" s="36"/>
      <c r="L285" s="508"/>
      <c r="M285" s="506" t="s">
        <v>750</v>
      </c>
      <c r="N285" s="507">
        <f t="shared" si="53"/>
        <v>0</v>
      </c>
      <c r="O285" s="507">
        <f t="shared" si="54"/>
        <v>0</v>
      </c>
      <c r="P285" s="507">
        <f t="shared" si="55"/>
        <v>0</v>
      </c>
      <c r="Q285" s="507">
        <f t="shared" si="56"/>
        <v>0</v>
      </c>
      <c r="R285" s="507">
        <f t="shared" si="57"/>
        <v>0</v>
      </c>
      <c r="S285" s="507">
        <f t="shared" si="58"/>
        <v>0</v>
      </c>
      <c r="T285" s="507">
        <f t="shared" si="59"/>
        <v>0</v>
      </c>
      <c r="U285" s="507">
        <f t="shared" si="60"/>
        <v>0</v>
      </c>
      <c r="V285" s="507">
        <f t="shared" si="61"/>
        <v>0</v>
      </c>
      <c r="W285" s="507">
        <f t="shared" si="62"/>
        <v>0</v>
      </c>
      <c r="X285" s="507">
        <f t="shared" si="63"/>
        <v>0</v>
      </c>
      <c r="Y285" s="507">
        <f t="shared" si="64"/>
        <v>0</v>
      </c>
      <c r="Z285" s="11">
        <f t="shared" si="65"/>
        <v>0</v>
      </c>
      <c r="AC285" s="4">
        <v>609</v>
      </c>
      <c r="AD285" s="5" t="s">
        <v>876</v>
      </c>
      <c r="AE285" s="5" t="s">
        <v>874</v>
      </c>
      <c r="AF285" s="5" t="s">
        <v>877</v>
      </c>
      <c r="AG285" s="5" t="s">
        <v>0</v>
      </c>
      <c r="AH285" s="5" t="s">
        <v>18</v>
      </c>
      <c r="AI285" s="5" t="s">
        <v>16</v>
      </c>
      <c r="AJ285" s="5" t="s">
        <v>17</v>
      </c>
      <c r="AK285" s="5" t="s">
        <v>873</v>
      </c>
      <c r="AL285" s="5" t="s">
        <v>18</v>
      </c>
      <c r="AM285" s="6"/>
      <c r="AO285" s="5"/>
      <c r="AP285" s="5"/>
      <c r="AQ285" s="5"/>
      <c r="AR285" s="5"/>
      <c r="AS285" s="5"/>
      <c r="AU285" s="1548"/>
      <c r="AV285" s="14"/>
      <c r="AW285" s="15"/>
      <c r="AY285" s="13"/>
      <c r="AZ285" s="14"/>
      <c r="BA285" s="15"/>
      <c r="BC285" s="13"/>
      <c r="BD285" s="14"/>
      <c r="BE285" s="15"/>
      <c r="BG285" s="13"/>
      <c r="BH285" s="14"/>
      <c r="BI285" s="15"/>
      <c r="BK285" s="13"/>
      <c r="BL285" s="14"/>
      <c r="BM285" s="15"/>
      <c r="BO285" s="13"/>
      <c r="BP285" s="14"/>
      <c r="BQ285" s="15"/>
      <c r="BS285" s="1593"/>
      <c r="BT285" s="14"/>
      <c r="BU285" s="15"/>
      <c r="BW285" s="13"/>
      <c r="BX285" s="14"/>
      <c r="BY285" s="15"/>
      <c r="CA285" s="13"/>
      <c r="CB285" s="14"/>
      <c r="CC285" s="15"/>
      <c r="CE285" s="13"/>
      <c r="CF285" s="14"/>
      <c r="CG285" s="15"/>
      <c r="CI285" s="13"/>
      <c r="CJ285" s="14"/>
      <c r="CK285" s="15"/>
      <c r="CM285" s="13"/>
      <c r="CN285" s="14"/>
      <c r="CO285" s="15"/>
    </row>
    <row r="286" spans="1:93">
      <c r="A286" s="13"/>
      <c r="B286" s="14"/>
      <c r="C286" s="15"/>
      <c r="D286" s="37" t="str">
        <f>IF(C286&gt;=Mat!$E$71,"Material","No Mat")</f>
        <v>No Mat</v>
      </c>
      <c r="E286" s="834">
        <f>IF(C286&gt;=Mat!$E$71,C286/Mat!$E$71,0)</f>
        <v>0</v>
      </c>
      <c r="G286" s="34"/>
      <c r="H286" s="35"/>
      <c r="I286" s="48"/>
      <c r="J286" s="36"/>
      <c r="L286" s="508"/>
      <c r="M286" s="506" t="s">
        <v>755</v>
      </c>
      <c r="N286" s="507">
        <f t="shared" si="53"/>
        <v>0</v>
      </c>
      <c r="O286" s="507">
        <f t="shared" si="54"/>
        <v>0</v>
      </c>
      <c r="P286" s="507">
        <f t="shared" si="55"/>
        <v>0</v>
      </c>
      <c r="Q286" s="507">
        <f t="shared" si="56"/>
        <v>0</v>
      </c>
      <c r="R286" s="507">
        <f t="shared" si="57"/>
        <v>0</v>
      </c>
      <c r="S286" s="507">
        <f t="shared" si="58"/>
        <v>0</v>
      </c>
      <c r="T286" s="507">
        <f t="shared" si="59"/>
        <v>0</v>
      </c>
      <c r="U286" s="507">
        <f t="shared" si="60"/>
        <v>0</v>
      </c>
      <c r="V286" s="507">
        <f t="shared" si="61"/>
        <v>0</v>
      </c>
      <c r="W286" s="507">
        <f t="shared" si="62"/>
        <v>0</v>
      </c>
      <c r="X286" s="507">
        <f t="shared" si="63"/>
        <v>0</v>
      </c>
      <c r="Y286" s="507">
        <f t="shared" si="64"/>
        <v>0</v>
      </c>
      <c r="Z286" s="11">
        <f t="shared" si="65"/>
        <v>0</v>
      </c>
      <c r="AC286" s="4">
        <v>611</v>
      </c>
      <c r="AD286" s="5" t="s">
        <v>880</v>
      </c>
      <c r="AE286" s="5" t="s">
        <v>878</v>
      </c>
      <c r="AF286" s="5" t="s">
        <v>881</v>
      </c>
      <c r="AG286" s="5" t="s">
        <v>0</v>
      </c>
      <c r="AH286" s="5" t="s">
        <v>18</v>
      </c>
      <c r="AI286" s="5" t="s">
        <v>16</v>
      </c>
      <c r="AJ286" s="5" t="s">
        <v>17</v>
      </c>
      <c r="AK286" s="5" t="s">
        <v>873</v>
      </c>
      <c r="AL286" s="5" t="s">
        <v>18</v>
      </c>
      <c r="AM286" s="6"/>
      <c r="AO286" s="5"/>
      <c r="AP286" s="5"/>
      <c r="AQ286" s="5"/>
      <c r="AR286" s="5"/>
      <c r="AS286" s="5"/>
      <c r="AU286" s="1548"/>
      <c r="AV286" s="14"/>
      <c r="AW286" s="15"/>
      <c r="AY286" s="13"/>
      <c r="AZ286" s="14"/>
      <c r="BA286" s="15"/>
      <c r="BC286" s="13"/>
      <c r="BD286" s="14"/>
      <c r="BE286" s="15"/>
      <c r="BG286" s="13"/>
      <c r="BH286" s="14"/>
      <c r="BI286" s="15"/>
      <c r="BK286" s="13"/>
      <c r="BL286" s="14"/>
      <c r="BM286" s="15"/>
      <c r="BO286" s="13"/>
      <c r="BP286" s="14"/>
      <c r="BQ286" s="15"/>
      <c r="BS286" s="1593"/>
      <c r="BT286" s="14"/>
      <c r="BU286" s="15"/>
      <c r="BW286" s="13"/>
      <c r="BX286" s="14"/>
      <c r="BY286" s="15"/>
      <c r="CA286" s="13"/>
      <c r="CB286" s="14"/>
      <c r="CC286" s="15"/>
      <c r="CE286" s="13"/>
      <c r="CF286" s="14"/>
      <c r="CG286" s="15"/>
      <c r="CI286" s="13"/>
      <c r="CJ286" s="14"/>
      <c r="CK286" s="15"/>
      <c r="CM286" s="13"/>
      <c r="CN286" s="14"/>
      <c r="CO286" s="15"/>
    </row>
    <row r="287" spans="1:93" ht="15.75" thickBot="1">
      <c r="A287" s="13"/>
      <c r="B287" s="14"/>
      <c r="C287" s="15"/>
      <c r="D287" s="37" t="str">
        <f>IF(C287&gt;=Mat!$E$71,"Material","No Mat")</f>
        <v>No Mat</v>
      </c>
      <c r="E287" s="834">
        <f>IF(C287&gt;=Mat!$E$71,C287/Mat!$E$71,0)</f>
        <v>0</v>
      </c>
      <c r="G287" s="34"/>
      <c r="H287" s="35"/>
      <c r="I287" s="48"/>
      <c r="J287" s="36"/>
      <c r="L287" s="508"/>
      <c r="M287" s="506" t="s">
        <v>2332</v>
      </c>
      <c r="N287" s="507">
        <f t="shared" si="53"/>
        <v>0</v>
      </c>
      <c r="O287" s="507">
        <f t="shared" si="54"/>
        <v>0</v>
      </c>
      <c r="P287" s="507">
        <f t="shared" si="55"/>
        <v>0</v>
      </c>
      <c r="Q287" s="507">
        <f t="shared" si="56"/>
        <v>0</v>
      </c>
      <c r="R287" s="507">
        <f t="shared" si="57"/>
        <v>0</v>
      </c>
      <c r="S287" s="507">
        <f t="shared" si="58"/>
        <v>0</v>
      </c>
      <c r="T287" s="507">
        <f t="shared" si="59"/>
        <v>0</v>
      </c>
      <c r="U287" s="507">
        <f t="shared" si="60"/>
        <v>0</v>
      </c>
      <c r="V287" s="507">
        <f t="shared" si="61"/>
        <v>0</v>
      </c>
      <c r="W287" s="507">
        <f t="shared" si="62"/>
        <v>0</v>
      </c>
      <c r="X287" s="507">
        <f t="shared" si="63"/>
        <v>0</v>
      </c>
      <c r="Y287" s="507">
        <f t="shared" si="64"/>
        <v>0</v>
      </c>
      <c r="Z287" s="11">
        <f t="shared" si="65"/>
        <v>0</v>
      </c>
      <c r="AC287" s="4">
        <v>613</v>
      </c>
      <c r="AD287" s="5" t="s">
        <v>884</v>
      </c>
      <c r="AE287" s="5" t="s">
        <v>882</v>
      </c>
      <c r="AF287" s="5" t="s">
        <v>885</v>
      </c>
      <c r="AG287" s="5" t="s">
        <v>0</v>
      </c>
      <c r="AH287" s="5" t="s">
        <v>18</v>
      </c>
      <c r="AI287" s="5" t="s">
        <v>16</v>
      </c>
      <c r="AJ287" s="5" t="s">
        <v>17</v>
      </c>
      <c r="AK287" s="5" t="s">
        <v>873</v>
      </c>
      <c r="AL287" s="5" t="s">
        <v>18</v>
      </c>
      <c r="AM287" s="6"/>
      <c r="AO287" s="8"/>
      <c r="AP287" s="8"/>
      <c r="AQ287" s="8"/>
      <c r="AR287" s="8"/>
      <c r="AS287" s="5"/>
      <c r="AU287" s="1548"/>
      <c r="AV287" s="14"/>
      <c r="AW287" s="15"/>
      <c r="AY287" s="13"/>
      <c r="AZ287" s="14"/>
      <c r="BA287" s="15"/>
      <c r="BC287" s="13"/>
      <c r="BD287" s="14"/>
      <c r="BE287" s="15"/>
      <c r="BG287" s="13"/>
      <c r="BH287" s="14"/>
      <c r="BI287" s="15"/>
      <c r="BK287" s="13"/>
      <c r="BL287" s="14"/>
      <c r="BM287" s="15"/>
      <c r="BO287" s="13"/>
      <c r="BP287" s="14"/>
      <c r="BQ287" s="15"/>
      <c r="BS287" s="1593"/>
      <c r="BT287" s="14"/>
      <c r="BU287" s="15"/>
      <c r="BW287" s="13"/>
      <c r="BX287" s="14"/>
      <c r="BY287" s="15"/>
      <c r="CA287" s="13"/>
      <c r="CB287" s="14"/>
      <c r="CC287" s="15"/>
      <c r="CE287" s="13"/>
      <c r="CF287" s="14"/>
      <c r="CG287" s="15"/>
      <c r="CI287" s="13"/>
      <c r="CJ287" s="14"/>
      <c r="CK287" s="15"/>
      <c r="CM287" s="13"/>
      <c r="CN287" s="14"/>
      <c r="CO287" s="15"/>
    </row>
    <row r="288" spans="1:93">
      <c r="A288" s="13"/>
      <c r="B288" s="14"/>
      <c r="C288" s="15"/>
      <c r="D288" s="37" t="str">
        <f>IF(C288&gt;=Mat!$E$71,"Material","No Mat")</f>
        <v>No Mat</v>
      </c>
      <c r="E288" s="834">
        <f>IF(C288&gt;=Mat!$E$71,C288/Mat!$E$71,0)</f>
        <v>0</v>
      </c>
      <c r="G288" s="34"/>
      <c r="H288" s="35"/>
      <c r="I288" s="48"/>
      <c r="J288" s="36"/>
      <c r="L288" s="508"/>
      <c r="M288" s="506" t="s">
        <v>758</v>
      </c>
      <c r="N288" s="507">
        <f t="shared" si="53"/>
        <v>55675.19</v>
      </c>
      <c r="O288" s="507">
        <f t="shared" si="54"/>
        <v>45701.1</v>
      </c>
      <c r="P288" s="507">
        <f t="shared" si="55"/>
        <v>76611.69</v>
      </c>
      <c r="Q288" s="507">
        <f t="shared" si="56"/>
        <v>0</v>
      </c>
      <c r="R288" s="507">
        <f t="shared" si="57"/>
        <v>0</v>
      </c>
      <c r="S288" s="507">
        <f t="shared" si="58"/>
        <v>0</v>
      </c>
      <c r="T288" s="507">
        <f t="shared" si="59"/>
        <v>0</v>
      </c>
      <c r="U288" s="507">
        <f t="shared" si="60"/>
        <v>0</v>
      </c>
      <c r="V288" s="507">
        <f t="shared" si="61"/>
        <v>0</v>
      </c>
      <c r="W288" s="507">
        <f t="shared" si="62"/>
        <v>0</v>
      </c>
      <c r="X288" s="507">
        <f t="shared" si="63"/>
        <v>0</v>
      </c>
      <c r="Y288" s="507">
        <f t="shared" si="64"/>
        <v>0</v>
      </c>
      <c r="Z288" s="11">
        <f t="shared" si="65"/>
        <v>177987.98</v>
      </c>
      <c r="AC288" s="4">
        <v>615</v>
      </c>
      <c r="AD288" s="5" t="s">
        <v>888</v>
      </c>
      <c r="AE288" s="5" t="s">
        <v>873</v>
      </c>
      <c r="AF288" s="5" t="s">
        <v>889</v>
      </c>
      <c r="AG288" s="5" t="s">
        <v>0</v>
      </c>
      <c r="AH288" s="5" t="s">
        <v>18</v>
      </c>
      <c r="AI288" s="5" t="s">
        <v>16</v>
      </c>
      <c r="AJ288" s="5" t="s">
        <v>17</v>
      </c>
      <c r="AK288" s="5" t="s">
        <v>887</v>
      </c>
      <c r="AL288" s="5" t="s">
        <v>18</v>
      </c>
      <c r="AM288" s="6"/>
      <c r="AU288" s="1548"/>
      <c r="AV288" s="14"/>
      <c r="AW288" s="15"/>
      <c r="AY288" s="13"/>
      <c r="AZ288" s="14"/>
      <c r="BA288" s="15"/>
      <c r="BC288" s="13"/>
      <c r="BD288" s="14"/>
      <c r="BE288" s="15"/>
      <c r="BG288" s="13"/>
      <c r="BH288" s="14"/>
      <c r="BI288" s="15"/>
      <c r="BK288" s="13"/>
      <c r="BL288" s="14"/>
      <c r="BM288" s="15"/>
      <c r="BO288" s="13"/>
      <c r="BP288" s="14"/>
      <c r="BQ288" s="15"/>
      <c r="BS288" s="1593"/>
      <c r="BT288" s="14"/>
      <c r="BU288" s="15"/>
      <c r="BW288" s="13"/>
      <c r="BX288" s="14"/>
      <c r="BY288" s="15"/>
      <c r="CA288" s="13"/>
      <c r="CB288" s="14"/>
      <c r="CC288" s="15"/>
      <c r="CE288" s="13"/>
      <c r="CF288" s="14"/>
      <c r="CG288" s="15"/>
      <c r="CI288" s="13"/>
      <c r="CJ288" s="14"/>
      <c r="CK288" s="15"/>
      <c r="CM288" s="13"/>
      <c r="CN288" s="14"/>
      <c r="CO288" s="15"/>
    </row>
    <row r="289" spans="1:93">
      <c r="A289" s="13"/>
      <c r="B289" s="14"/>
      <c r="C289" s="15"/>
      <c r="D289" s="37" t="str">
        <f>IF(C289&gt;=Mat!$E$71,"Material","No Mat")</f>
        <v>No Mat</v>
      </c>
      <c r="E289" s="834">
        <f>IF(C289&gt;=Mat!$E$71,C289/Mat!$E$71,0)</f>
        <v>0</v>
      </c>
      <c r="G289" s="34"/>
      <c r="H289" s="35"/>
      <c r="I289" s="48"/>
      <c r="J289" s="36"/>
      <c r="L289" s="508"/>
      <c r="M289" s="506" t="s">
        <v>761</v>
      </c>
      <c r="N289" s="507">
        <f t="shared" si="53"/>
        <v>0</v>
      </c>
      <c r="O289" s="507">
        <f t="shared" si="54"/>
        <v>0</v>
      </c>
      <c r="P289" s="507">
        <f t="shared" si="55"/>
        <v>0</v>
      </c>
      <c r="Q289" s="507">
        <f t="shared" si="56"/>
        <v>0</v>
      </c>
      <c r="R289" s="507">
        <f t="shared" si="57"/>
        <v>0</v>
      </c>
      <c r="S289" s="507">
        <f t="shared" si="58"/>
        <v>0</v>
      </c>
      <c r="T289" s="507">
        <f t="shared" si="59"/>
        <v>0</v>
      </c>
      <c r="U289" s="507">
        <f t="shared" si="60"/>
        <v>0</v>
      </c>
      <c r="V289" s="507">
        <f t="shared" si="61"/>
        <v>0</v>
      </c>
      <c r="W289" s="507">
        <f t="shared" si="62"/>
        <v>0</v>
      </c>
      <c r="X289" s="507">
        <f t="shared" si="63"/>
        <v>0</v>
      </c>
      <c r="Y289" s="507">
        <f t="shared" si="64"/>
        <v>0</v>
      </c>
      <c r="Z289" s="11">
        <f t="shared" si="65"/>
        <v>0</v>
      </c>
      <c r="AC289" s="4">
        <v>617</v>
      </c>
      <c r="AD289" s="5" t="s">
        <v>890</v>
      </c>
      <c r="AE289" s="5" t="s">
        <v>873</v>
      </c>
      <c r="AF289" s="5" t="s">
        <v>891</v>
      </c>
      <c r="AG289" s="5" t="s">
        <v>0</v>
      </c>
      <c r="AH289" s="5" t="s">
        <v>18</v>
      </c>
      <c r="AI289" s="5" t="s">
        <v>12</v>
      </c>
      <c r="AJ289" s="5" t="s">
        <v>17</v>
      </c>
      <c r="AK289" s="5" t="s">
        <v>887</v>
      </c>
      <c r="AL289" s="5" t="s">
        <v>18</v>
      </c>
      <c r="AM289" s="6" t="s">
        <v>0</v>
      </c>
      <c r="AU289" s="1548"/>
      <c r="AV289" s="14"/>
      <c r="AW289" s="15"/>
      <c r="AY289" s="13"/>
      <c r="AZ289" s="14"/>
      <c r="BA289" s="15"/>
      <c r="BC289" s="13"/>
      <c r="BD289" s="14"/>
      <c r="BE289" s="15"/>
      <c r="BG289" s="13"/>
      <c r="BH289" s="14"/>
      <c r="BI289" s="15"/>
      <c r="BK289" s="13"/>
      <c r="BL289" s="14"/>
      <c r="BM289" s="15"/>
      <c r="BO289" s="13"/>
      <c r="BP289" s="14"/>
      <c r="BQ289" s="15"/>
      <c r="BS289" s="1593"/>
      <c r="BT289" s="14"/>
      <c r="BU289" s="15"/>
      <c r="BW289" s="13"/>
      <c r="BX289" s="14"/>
      <c r="BY289" s="15"/>
      <c r="CA289" s="13"/>
      <c r="CB289" s="14"/>
      <c r="CC289" s="15"/>
      <c r="CE289" s="13"/>
      <c r="CF289" s="14"/>
      <c r="CG289" s="15"/>
      <c r="CI289" s="13"/>
      <c r="CJ289" s="14"/>
      <c r="CK289" s="15"/>
      <c r="CM289" s="13"/>
      <c r="CN289" s="14"/>
      <c r="CO289" s="15"/>
    </row>
    <row r="290" spans="1:93" ht="15.75" thickBot="1">
      <c r="A290" s="13"/>
      <c r="B290" s="14"/>
      <c r="C290" s="15"/>
      <c r="D290" s="37" t="str">
        <f>IF(C290&gt;=Mat!$E$71,"Material","No Mat")</f>
        <v>No Mat</v>
      </c>
      <c r="E290" s="834">
        <f>IF(C290&gt;=Mat!$E$71,C290/Mat!$E$71,0)</f>
        <v>0</v>
      </c>
      <c r="G290" s="34"/>
      <c r="H290" s="35"/>
      <c r="I290" s="48"/>
      <c r="J290" s="36"/>
      <c r="L290" s="508"/>
      <c r="M290" s="506" t="s">
        <v>764</v>
      </c>
      <c r="N290" s="507">
        <f t="shared" si="53"/>
        <v>0</v>
      </c>
      <c r="O290" s="507">
        <f t="shared" si="54"/>
        <v>0</v>
      </c>
      <c r="P290" s="507">
        <f t="shared" si="55"/>
        <v>0</v>
      </c>
      <c r="Q290" s="507">
        <f t="shared" si="56"/>
        <v>0</v>
      </c>
      <c r="R290" s="507">
        <f t="shared" si="57"/>
        <v>0</v>
      </c>
      <c r="S290" s="507">
        <f t="shared" si="58"/>
        <v>0</v>
      </c>
      <c r="T290" s="507">
        <f t="shared" si="59"/>
        <v>0</v>
      </c>
      <c r="U290" s="507">
        <f t="shared" si="60"/>
        <v>0</v>
      </c>
      <c r="V290" s="507">
        <f t="shared" si="61"/>
        <v>0</v>
      </c>
      <c r="W290" s="507">
        <f t="shared" si="62"/>
        <v>0</v>
      </c>
      <c r="X290" s="507">
        <f t="shared" si="63"/>
        <v>0</v>
      </c>
      <c r="Y290" s="507">
        <f t="shared" si="64"/>
        <v>0</v>
      </c>
      <c r="Z290" s="11">
        <f t="shared" si="65"/>
        <v>0</v>
      </c>
      <c r="AC290" s="7"/>
      <c r="AD290" s="8"/>
      <c r="AE290" s="8"/>
      <c r="AF290" s="8"/>
      <c r="AG290" s="8"/>
      <c r="AH290" s="8"/>
      <c r="AI290" s="8"/>
      <c r="AJ290" s="8"/>
      <c r="AK290" s="8"/>
      <c r="AL290" s="8"/>
      <c r="AM290" s="9"/>
      <c r="AU290" s="1548"/>
      <c r="AV290" s="14"/>
      <c r="AW290" s="15"/>
      <c r="AY290" s="13"/>
      <c r="AZ290" s="14"/>
      <c r="BA290" s="15"/>
      <c r="BC290" s="13"/>
      <c r="BD290" s="14"/>
      <c r="BE290" s="15"/>
      <c r="BG290" s="13"/>
      <c r="BH290" s="14"/>
      <c r="BI290" s="15"/>
      <c r="BK290" s="13"/>
      <c r="BL290" s="14"/>
      <c r="BM290" s="15"/>
      <c r="BO290" s="13"/>
      <c r="BP290" s="14"/>
      <c r="BQ290" s="15"/>
      <c r="BS290" s="1593"/>
      <c r="BT290" s="14"/>
      <c r="BU290" s="15"/>
      <c r="BW290" s="13"/>
      <c r="BX290" s="14"/>
      <c r="BY290" s="15"/>
      <c r="CA290" s="13"/>
      <c r="CB290" s="14"/>
      <c r="CC290" s="15"/>
      <c r="CE290" s="13"/>
      <c r="CF290" s="14"/>
      <c r="CG290" s="15"/>
      <c r="CI290" s="13"/>
      <c r="CJ290" s="14"/>
      <c r="CK290" s="15"/>
      <c r="CM290" s="13"/>
      <c r="CN290" s="14"/>
      <c r="CO290" s="15"/>
    </row>
    <row r="291" spans="1:93">
      <c r="A291" s="13"/>
      <c r="B291" s="14"/>
      <c r="C291" s="15"/>
      <c r="D291" s="37" t="str">
        <f>IF(C291&gt;=Mat!$E$71,"Material","No Mat")</f>
        <v>No Mat</v>
      </c>
      <c r="E291" s="834">
        <f>IF(C291&gt;=Mat!$E$71,C291/Mat!$E$71,0)</f>
        <v>0</v>
      </c>
      <c r="G291" s="34"/>
      <c r="H291" s="35"/>
      <c r="I291" s="48"/>
      <c r="J291" s="36"/>
      <c r="L291" s="508"/>
      <c r="M291" s="506" t="s">
        <v>2333</v>
      </c>
      <c r="N291" s="507">
        <f t="shared" si="53"/>
        <v>0</v>
      </c>
      <c r="O291" s="507">
        <f t="shared" si="54"/>
        <v>0</v>
      </c>
      <c r="P291" s="507">
        <f t="shared" si="55"/>
        <v>0</v>
      </c>
      <c r="Q291" s="507">
        <f t="shared" si="56"/>
        <v>0</v>
      </c>
      <c r="R291" s="507">
        <f t="shared" si="57"/>
        <v>0</v>
      </c>
      <c r="S291" s="507">
        <f t="shared" si="58"/>
        <v>0</v>
      </c>
      <c r="T291" s="507">
        <f t="shared" si="59"/>
        <v>0</v>
      </c>
      <c r="U291" s="507">
        <f t="shared" si="60"/>
        <v>0</v>
      </c>
      <c r="V291" s="507">
        <f t="shared" si="61"/>
        <v>0</v>
      </c>
      <c r="W291" s="507">
        <f t="shared" si="62"/>
        <v>0</v>
      </c>
      <c r="X291" s="507">
        <f t="shared" si="63"/>
        <v>0</v>
      </c>
      <c r="Y291" s="507">
        <f t="shared" si="64"/>
        <v>0</v>
      </c>
      <c r="Z291" s="11">
        <f t="shared" si="65"/>
        <v>0</v>
      </c>
      <c r="AU291" s="1548"/>
      <c r="AV291" s="14"/>
      <c r="AW291" s="15"/>
      <c r="AY291" s="13"/>
      <c r="AZ291" s="14"/>
      <c r="BA291" s="15"/>
      <c r="BC291" s="13"/>
      <c r="BD291" s="14"/>
      <c r="BE291" s="15"/>
      <c r="BG291" s="13"/>
      <c r="BH291" s="14"/>
      <c r="BI291" s="15"/>
      <c r="BK291" s="13"/>
      <c r="BL291" s="14"/>
      <c r="BM291" s="15"/>
      <c r="BO291" s="13"/>
      <c r="BP291" s="14"/>
      <c r="BQ291" s="15"/>
      <c r="BS291" s="1593"/>
      <c r="BT291" s="14"/>
      <c r="BU291" s="15"/>
      <c r="BW291" s="13"/>
      <c r="BX291" s="14"/>
      <c r="BY291" s="15"/>
      <c r="CA291" s="13"/>
      <c r="CB291" s="14"/>
      <c r="CC291" s="15"/>
      <c r="CE291" s="13"/>
      <c r="CF291" s="14"/>
      <c r="CG291" s="15"/>
      <c r="CI291" s="13"/>
      <c r="CJ291" s="14"/>
      <c r="CK291" s="15"/>
      <c r="CM291" s="13"/>
      <c r="CN291" s="14"/>
      <c r="CO291" s="15"/>
    </row>
    <row r="292" spans="1:93">
      <c r="A292" s="13"/>
      <c r="B292" s="14"/>
      <c r="C292" s="15"/>
      <c r="D292" s="37" t="str">
        <f>IF(C292&gt;=Mat!$E$71,"Material","No Mat")</f>
        <v>No Mat</v>
      </c>
      <c r="E292" s="834">
        <f>IF(C292&gt;=Mat!$E$71,C292/Mat!$E$71,0)</f>
        <v>0</v>
      </c>
      <c r="G292" s="34"/>
      <c r="H292" s="35"/>
      <c r="I292" s="48"/>
      <c r="J292" s="36"/>
      <c r="L292" s="508"/>
      <c r="M292" s="506" t="s">
        <v>2230</v>
      </c>
      <c r="N292" s="507">
        <f t="shared" si="53"/>
        <v>0</v>
      </c>
      <c r="O292" s="507">
        <f t="shared" si="54"/>
        <v>0</v>
      </c>
      <c r="P292" s="507">
        <f t="shared" si="55"/>
        <v>0</v>
      </c>
      <c r="Q292" s="507">
        <f t="shared" si="56"/>
        <v>0</v>
      </c>
      <c r="R292" s="507">
        <f t="shared" si="57"/>
        <v>0</v>
      </c>
      <c r="S292" s="507">
        <f t="shared" si="58"/>
        <v>0</v>
      </c>
      <c r="T292" s="507">
        <f t="shared" si="59"/>
        <v>0</v>
      </c>
      <c r="U292" s="507">
        <f t="shared" si="60"/>
        <v>0</v>
      </c>
      <c r="V292" s="507">
        <f t="shared" si="61"/>
        <v>0</v>
      </c>
      <c r="W292" s="507">
        <f t="shared" si="62"/>
        <v>0</v>
      </c>
      <c r="X292" s="507">
        <f t="shared" si="63"/>
        <v>0</v>
      </c>
      <c r="Y292" s="507">
        <f t="shared" si="64"/>
        <v>0</v>
      </c>
      <c r="Z292" s="11">
        <f t="shared" si="65"/>
        <v>0</v>
      </c>
      <c r="AU292" s="1548"/>
      <c r="AV292" s="14"/>
      <c r="AW292" s="15"/>
      <c r="AY292" s="13"/>
      <c r="AZ292" s="14"/>
      <c r="BA292" s="15"/>
      <c r="BC292" s="13"/>
      <c r="BD292" s="14"/>
      <c r="BE292" s="15"/>
      <c r="BG292" s="13"/>
      <c r="BH292" s="14"/>
      <c r="BI292" s="15"/>
      <c r="BK292" s="13"/>
      <c r="BL292" s="14"/>
      <c r="BM292" s="15"/>
      <c r="BO292" s="13"/>
      <c r="BP292" s="14"/>
      <c r="BQ292" s="15"/>
      <c r="BS292" s="1593"/>
      <c r="BT292" s="14"/>
      <c r="BU292" s="15"/>
      <c r="BW292" s="13"/>
      <c r="BX292" s="14"/>
      <c r="BY292" s="15"/>
      <c r="CA292" s="13"/>
      <c r="CB292" s="14"/>
      <c r="CC292" s="15"/>
      <c r="CE292" s="13"/>
      <c r="CF292" s="14"/>
      <c r="CG292" s="15"/>
      <c r="CI292" s="13"/>
      <c r="CJ292" s="14"/>
      <c r="CK292" s="15"/>
      <c r="CM292" s="13"/>
      <c r="CN292" s="14"/>
      <c r="CO292" s="15"/>
    </row>
    <row r="293" spans="1:93">
      <c r="A293" s="13"/>
      <c r="B293" s="14"/>
      <c r="C293" s="15"/>
      <c r="D293" s="37" t="str">
        <f>IF(C293&gt;=Mat!$E$71,"Material","No Mat")</f>
        <v>No Mat</v>
      </c>
      <c r="E293" s="834">
        <f>IF(C293&gt;=Mat!$E$71,C293/Mat!$E$71,0)</f>
        <v>0</v>
      </c>
      <c r="G293" s="34"/>
      <c r="H293" s="35"/>
      <c r="I293" s="48"/>
      <c r="J293" s="36"/>
      <c r="L293" s="508"/>
      <c r="M293" s="506" t="s">
        <v>770</v>
      </c>
      <c r="N293" s="507">
        <f t="shared" si="53"/>
        <v>0</v>
      </c>
      <c r="O293" s="507">
        <f t="shared" si="54"/>
        <v>0</v>
      </c>
      <c r="P293" s="507">
        <f t="shared" si="55"/>
        <v>0</v>
      </c>
      <c r="Q293" s="507">
        <f t="shared" si="56"/>
        <v>0</v>
      </c>
      <c r="R293" s="507">
        <f t="shared" si="57"/>
        <v>0</v>
      </c>
      <c r="S293" s="507">
        <f t="shared" si="58"/>
        <v>0</v>
      </c>
      <c r="T293" s="507">
        <f t="shared" si="59"/>
        <v>0</v>
      </c>
      <c r="U293" s="507">
        <f t="shared" si="60"/>
        <v>0</v>
      </c>
      <c r="V293" s="507">
        <f t="shared" si="61"/>
        <v>0</v>
      </c>
      <c r="W293" s="507">
        <f t="shared" si="62"/>
        <v>0</v>
      </c>
      <c r="X293" s="507">
        <f t="shared" si="63"/>
        <v>0</v>
      </c>
      <c r="Y293" s="507">
        <f t="shared" si="64"/>
        <v>0</v>
      </c>
      <c r="Z293" s="11">
        <f t="shared" si="65"/>
        <v>0</v>
      </c>
      <c r="AU293" s="1548"/>
      <c r="AV293" s="14"/>
      <c r="AW293" s="15"/>
      <c r="AY293" s="13"/>
      <c r="AZ293" s="14"/>
      <c r="BA293" s="15"/>
      <c r="BC293" s="13"/>
      <c r="BD293" s="14"/>
      <c r="BE293" s="15"/>
      <c r="BG293" s="13"/>
      <c r="BH293" s="14"/>
      <c r="BI293" s="15"/>
      <c r="BK293" s="13"/>
      <c r="BL293" s="14"/>
      <c r="BM293" s="15"/>
      <c r="BO293" s="13"/>
      <c r="BP293" s="14"/>
      <c r="BQ293" s="15"/>
      <c r="BS293" s="1593"/>
      <c r="BT293" s="14"/>
      <c r="BU293" s="15"/>
      <c r="BW293" s="13"/>
      <c r="BX293" s="14"/>
      <c r="BY293" s="15"/>
      <c r="CA293" s="13"/>
      <c r="CB293" s="14"/>
      <c r="CC293" s="15"/>
      <c r="CE293" s="13"/>
      <c r="CF293" s="14"/>
      <c r="CG293" s="15"/>
      <c r="CI293" s="13"/>
      <c r="CJ293" s="14"/>
      <c r="CK293" s="15"/>
      <c r="CM293" s="13"/>
      <c r="CN293" s="14"/>
      <c r="CO293" s="15"/>
    </row>
    <row r="294" spans="1:93">
      <c r="A294" s="13"/>
      <c r="B294" s="14"/>
      <c r="C294" s="15"/>
      <c r="D294" s="37" t="str">
        <f>IF(C294&gt;=Mat!$E$71,"Material","No Mat")</f>
        <v>No Mat</v>
      </c>
      <c r="E294" s="834">
        <f>IF(C294&gt;=Mat!$E$71,C294/Mat!$E$71,0)</f>
        <v>0</v>
      </c>
      <c r="G294" s="34"/>
      <c r="H294" s="35"/>
      <c r="I294" s="48"/>
      <c r="J294" s="36"/>
      <c r="L294" s="508"/>
      <c r="M294" s="506" t="s">
        <v>2231</v>
      </c>
      <c r="N294" s="507">
        <f t="shared" si="53"/>
        <v>36961.910000000003</v>
      </c>
      <c r="O294" s="507">
        <f t="shared" si="54"/>
        <v>51963.75</v>
      </c>
      <c r="P294" s="507">
        <f t="shared" si="55"/>
        <v>548338.06000000006</v>
      </c>
      <c r="Q294" s="507">
        <f t="shared" si="56"/>
        <v>0</v>
      </c>
      <c r="R294" s="507">
        <f t="shared" si="57"/>
        <v>0</v>
      </c>
      <c r="S294" s="507">
        <f t="shared" si="58"/>
        <v>0</v>
      </c>
      <c r="T294" s="507">
        <f t="shared" si="59"/>
        <v>0</v>
      </c>
      <c r="U294" s="507">
        <f t="shared" si="60"/>
        <v>0</v>
      </c>
      <c r="V294" s="507">
        <f t="shared" si="61"/>
        <v>0</v>
      </c>
      <c r="W294" s="507">
        <f t="shared" si="62"/>
        <v>0</v>
      </c>
      <c r="X294" s="507">
        <f t="shared" si="63"/>
        <v>0</v>
      </c>
      <c r="Y294" s="507">
        <f t="shared" si="64"/>
        <v>0</v>
      </c>
      <c r="Z294" s="11">
        <f t="shared" si="65"/>
        <v>637263.72000000009</v>
      </c>
      <c r="AU294" s="1548"/>
      <c r="AV294" s="14"/>
      <c r="AW294" s="15"/>
      <c r="AY294" s="13"/>
      <c r="AZ294" s="14"/>
      <c r="BA294" s="15"/>
      <c r="BC294" s="13"/>
      <c r="BD294" s="14"/>
      <c r="BE294" s="15"/>
      <c r="BG294" s="13"/>
      <c r="BH294" s="14"/>
      <c r="BI294" s="15"/>
      <c r="BK294" s="13"/>
      <c r="BL294" s="14"/>
      <c r="BM294" s="15"/>
      <c r="BO294" s="13"/>
      <c r="BP294" s="14"/>
      <c r="BQ294" s="15"/>
      <c r="BS294" s="1593"/>
      <c r="BT294" s="14"/>
      <c r="BU294" s="15"/>
      <c r="BW294" s="13"/>
      <c r="BX294" s="14"/>
      <c r="BY294" s="15"/>
      <c r="CA294" s="13"/>
      <c r="CB294" s="14"/>
      <c r="CC294" s="15"/>
      <c r="CE294" s="13"/>
      <c r="CF294" s="14"/>
      <c r="CG294" s="15"/>
      <c r="CI294" s="13"/>
      <c r="CJ294" s="14"/>
      <c r="CK294" s="15"/>
      <c r="CM294" s="13"/>
      <c r="CN294" s="14"/>
      <c r="CO294" s="15"/>
    </row>
    <row r="295" spans="1:93">
      <c r="A295" s="13"/>
      <c r="B295" s="14"/>
      <c r="C295" s="15"/>
      <c r="D295" s="37" t="str">
        <f>IF(C295&gt;=Mat!$E$71,"Material","No Mat")</f>
        <v>No Mat</v>
      </c>
      <c r="E295" s="834">
        <f>IF(C295&gt;=Mat!$E$71,C295/Mat!$E$71,0)</f>
        <v>0</v>
      </c>
      <c r="G295" s="34"/>
      <c r="H295" s="35"/>
      <c r="I295" s="48"/>
      <c r="J295" s="36"/>
      <c r="L295" s="508"/>
      <c r="M295" s="506" t="s">
        <v>2334</v>
      </c>
      <c r="N295" s="507">
        <f t="shared" si="53"/>
        <v>0</v>
      </c>
      <c r="O295" s="507">
        <f t="shared" si="54"/>
        <v>0</v>
      </c>
      <c r="P295" s="507">
        <f t="shared" si="55"/>
        <v>0</v>
      </c>
      <c r="Q295" s="507">
        <f t="shared" si="56"/>
        <v>0</v>
      </c>
      <c r="R295" s="507">
        <f t="shared" si="57"/>
        <v>0</v>
      </c>
      <c r="S295" s="507">
        <f t="shared" si="58"/>
        <v>0</v>
      </c>
      <c r="T295" s="507">
        <f t="shared" si="59"/>
        <v>0</v>
      </c>
      <c r="U295" s="507">
        <f t="shared" si="60"/>
        <v>0</v>
      </c>
      <c r="V295" s="507">
        <f t="shared" si="61"/>
        <v>0</v>
      </c>
      <c r="W295" s="507">
        <f t="shared" si="62"/>
        <v>0</v>
      </c>
      <c r="X295" s="507">
        <f t="shared" si="63"/>
        <v>0</v>
      </c>
      <c r="Y295" s="507">
        <f t="shared" si="64"/>
        <v>0</v>
      </c>
      <c r="Z295" s="11">
        <f t="shared" si="65"/>
        <v>0</v>
      </c>
      <c r="AU295" s="1548"/>
      <c r="AV295" s="14"/>
      <c r="AW295" s="15"/>
      <c r="AY295" s="13"/>
      <c r="AZ295" s="14"/>
      <c r="BA295" s="15"/>
      <c r="BC295" s="13"/>
      <c r="BD295" s="14"/>
      <c r="BE295" s="15"/>
      <c r="BG295" s="13"/>
      <c r="BH295" s="14"/>
      <c r="BI295" s="15"/>
      <c r="BK295" s="13"/>
      <c r="BL295" s="14"/>
      <c r="BM295" s="15"/>
      <c r="BO295" s="13"/>
      <c r="BP295" s="14"/>
      <c r="BQ295" s="15"/>
      <c r="BS295" s="1593"/>
      <c r="BT295" s="14"/>
      <c r="BU295" s="15"/>
      <c r="BW295" s="13"/>
      <c r="BX295" s="14"/>
      <c r="BY295" s="15"/>
      <c r="CA295" s="13"/>
      <c r="CB295" s="14"/>
      <c r="CC295" s="15"/>
      <c r="CE295" s="13"/>
      <c r="CF295" s="14"/>
      <c r="CG295" s="15"/>
      <c r="CI295" s="13"/>
      <c r="CJ295" s="14"/>
      <c r="CK295" s="15"/>
      <c r="CM295" s="13"/>
      <c r="CN295" s="14"/>
      <c r="CO295" s="15"/>
    </row>
    <row r="296" spans="1:93">
      <c r="A296" s="13"/>
      <c r="B296" s="14"/>
      <c r="C296" s="15"/>
      <c r="D296" s="37" t="str">
        <f>IF(C296&gt;=Mat!$E$71,"Material","No Mat")</f>
        <v>No Mat</v>
      </c>
      <c r="E296" s="834">
        <f>IF(C296&gt;=Mat!$E$71,C296/Mat!$E$71,0)</f>
        <v>0</v>
      </c>
      <c r="G296" s="34"/>
      <c r="H296" s="35"/>
      <c r="I296" s="48"/>
      <c r="J296" s="36"/>
      <c r="L296" s="508"/>
      <c r="M296" s="506" t="s">
        <v>2335</v>
      </c>
      <c r="N296" s="507">
        <f t="shared" si="53"/>
        <v>0</v>
      </c>
      <c r="O296" s="507">
        <f t="shared" si="54"/>
        <v>0</v>
      </c>
      <c r="P296" s="507">
        <f t="shared" si="55"/>
        <v>0</v>
      </c>
      <c r="Q296" s="507">
        <f t="shared" si="56"/>
        <v>0</v>
      </c>
      <c r="R296" s="507">
        <f t="shared" si="57"/>
        <v>0</v>
      </c>
      <c r="S296" s="507">
        <f t="shared" si="58"/>
        <v>0</v>
      </c>
      <c r="T296" s="507">
        <f t="shared" si="59"/>
        <v>0</v>
      </c>
      <c r="U296" s="507">
        <f t="shared" si="60"/>
        <v>0</v>
      </c>
      <c r="V296" s="507">
        <f t="shared" si="61"/>
        <v>0</v>
      </c>
      <c r="W296" s="507">
        <f t="shared" si="62"/>
        <v>0</v>
      </c>
      <c r="X296" s="507">
        <f t="shared" si="63"/>
        <v>0</v>
      </c>
      <c r="Y296" s="507">
        <f t="shared" si="64"/>
        <v>0</v>
      </c>
      <c r="Z296" s="11">
        <f t="shared" si="65"/>
        <v>0</v>
      </c>
      <c r="AU296" s="1548"/>
      <c r="AV296" s="14"/>
      <c r="AW296" s="15"/>
      <c r="AY296" s="13"/>
      <c r="AZ296" s="14"/>
      <c r="BA296" s="15"/>
      <c r="BC296" s="13"/>
      <c r="BD296" s="14"/>
      <c r="BE296" s="15"/>
      <c r="BG296" s="13"/>
      <c r="BH296" s="14"/>
      <c r="BI296" s="15"/>
      <c r="BK296" s="13"/>
      <c r="BL296" s="14"/>
      <c r="BM296" s="15"/>
      <c r="BO296" s="13"/>
      <c r="BP296" s="14"/>
      <c r="BQ296" s="15"/>
      <c r="BS296" s="1593"/>
      <c r="BT296" s="14"/>
      <c r="BU296" s="15"/>
      <c r="BW296" s="13"/>
      <c r="BX296" s="14"/>
      <c r="BY296" s="15"/>
      <c r="CA296" s="13"/>
      <c r="CB296" s="14"/>
      <c r="CC296" s="15"/>
      <c r="CE296" s="13"/>
      <c r="CF296" s="14"/>
      <c r="CG296" s="15"/>
      <c r="CI296" s="13"/>
      <c r="CJ296" s="14"/>
      <c r="CK296" s="15"/>
      <c r="CM296" s="13"/>
      <c r="CN296" s="14"/>
      <c r="CO296" s="15"/>
    </row>
    <row r="297" spans="1:93">
      <c r="A297" s="13"/>
      <c r="B297" s="14"/>
      <c r="C297" s="15"/>
      <c r="D297" s="37" t="str">
        <f>IF(C297&gt;=Mat!$E$71,"Material","No Mat")</f>
        <v>No Mat</v>
      </c>
      <c r="E297" s="834">
        <f>IF(C297&gt;=Mat!$E$71,C297/Mat!$E$71,0)</f>
        <v>0</v>
      </c>
      <c r="G297" s="34"/>
      <c r="H297" s="35"/>
      <c r="I297" s="48"/>
      <c r="J297" s="36"/>
      <c r="L297" s="508"/>
      <c r="M297" s="506" t="s">
        <v>776</v>
      </c>
      <c r="N297" s="507">
        <f t="shared" si="53"/>
        <v>0</v>
      </c>
      <c r="O297" s="507">
        <f t="shared" si="54"/>
        <v>0</v>
      </c>
      <c r="P297" s="507">
        <f t="shared" si="55"/>
        <v>0</v>
      </c>
      <c r="Q297" s="507">
        <f t="shared" si="56"/>
        <v>0</v>
      </c>
      <c r="R297" s="507">
        <f t="shared" si="57"/>
        <v>0</v>
      </c>
      <c r="S297" s="507">
        <f t="shared" si="58"/>
        <v>0</v>
      </c>
      <c r="T297" s="507">
        <f t="shared" si="59"/>
        <v>0</v>
      </c>
      <c r="U297" s="507">
        <f t="shared" si="60"/>
        <v>0</v>
      </c>
      <c r="V297" s="507">
        <f t="shared" si="61"/>
        <v>0</v>
      </c>
      <c r="W297" s="507">
        <f t="shared" si="62"/>
        <v>0</v>
      </c>
      <c r="X297" s="507">
        <f t="shared" si="63"/>
        <v>0</v>
      </c>
      <c r="Y297" s="507">
        <f t="shared" si="64"/>
        <v>0</v>
      </c>
      <c r="Z297" s="11">
        <f t="shared" si="65"/>
        <v>0</v>
      </c>
      <c r="AU297" s="1548"/>
      <c r="AV297" s="14"/>
      <c r="AW297" s="15"/>
      <c r="AY297" s="13"/>
      <c r="AZ297" s="14"/>
      <c r="BA297" s="15"/>
      <c r="BC297" s="13"/>
      <c r="BD297" s="14"/>
      <c r="BE297" s="15"/>
      <c r="BG297" s="13"/>
      <c r="BH297" s="14"/>
      <c r="BI297" s="15"/>
      <c r="BK297" s="13"/>
      <c r="BL297" s="14"/>
      <c r="BM297" s="15"/>
      <c r="BO297" s="13"/>
      <c r="BP297" s="14"/>
      <c r="BQ297" s="15"/>
      <c r="BS297" s="1593"/>
      <c r="BT297" s="14"/>
      <c r="BU297" s="15"/>
      <c r="BW297" s="13"/>
      <c r="BX297" s="14"/>
      <c r="BY297" s="15"/>
      <c r="CA297" s="13"/>
      <c r="CB297" s="14"/>
      <c r="CC297" s="15"/>
      <c r="CE297" s="13"/>
      <c r="CF297" s="14"/>
      <c r="CG297" s="15"/>
      <c r="CI297" s="13"/>
      <c r="CJ297" s="14"/>
      <c r="CK297" s="15"/>
      <c r="CM297" s="13"/>
      <c r="CN297" s="14"/>
      <c r="CO297" s="15"/>
    </row>
    <row r="298" spans="1:93" ht="15.75" thickBot="1">
      <c r="A298" s="13"/>
      <c r="B298" s="14"/>
      <c r="C298" s="15"/>
      <c r="D298" s="37" t="str">
        <f>IF(C298&gt;=Mat!$E$71,"Material","No Mat")</f>
        <v>No Mat</v>
      </c>
      <c r="E298" s="834">
        <f>IF(C298&gt;=Mat!$E$71,C298/Mat!$E$71,0)</f>
        <v>0</v>
      </c>
      <c r="G298" s="34"/>
      <c r="H298" s="35"/>
      <c r="I298" s="48"/>
      <c r="J298" s="36"/>
      <c r="L298" s="508"/>
      <c r="M298" s="506" t="s">
        <v>779</v>
      </c>
      <c r="N298" s="507">
        <f t="shared" si="53"/>
        <v>0</v>
      </c>
      <c r="O298" s="507">
        <f t="shared" si="54"/>
        <v>0</v>
      </c>
      <c r="P298" s="507">
        <f t="shared" si="55"/>
        <v>0</v>
      </c>
      <c r="Q298" s="507">
        <f t="shared" si="56"/>
        <v>0</v>
      </c>
      <c r="R298" s="507">
        <f t="shared" si="57"/>
        <v>0</v>
      </c>
      <c r="S298" s="507">
        <f t="shared" si="58"/>
        <v>0</v>
      </c>
      <c r="T298" s="507">
        <f t="shared" si="59"/>
        <v>0</v>
      </c>
      <c r="U298" s="507">
        <f t="shared" si="60"/>
        <v>0</v>
      </c>
      <c r="V298" s="507">
        <f t="shared" si="61"/>
        <v>0</v>
      </c>
      <c r="W298" s="507">
        <f t="shared" si="62"/>
        <v>0</v>
      </c>
      <c r="X298" s="507">
        <f t="shared" si="63"/>
        <v>0</v>
      </c>
      <c r="Y298" s="507">
        <f t="shared" si="64"/>
        <v>0</v>
      </c>
      <c r="Z298" s="11">
        <f t="shared" si="65"/>
        <v>0</v>
      </c>
      <c r="AU298" s="1549"/>
      <c r="AV298" s="17"/>
      <c r="AW298" s="18"/>
      <c r="AY298" s="16"/>
      <c r="AZ298" s="17"/>
      <c r="BA298" s="18"/>
      <c r="BC298" s="16"/>
      <c r="BD298" s="17"/>
      <c r="BE298" s="18"/>
      <c r="BG298" s="16"/>
      <c r="BH298" s="17"/>
      <c r="BI298" s="18"/>
      <c r="BK298" s="16"/>
      <c r="BL298" s="17"/>
      <c r="BM298" s="18"/>
      <c r="BO298" s="16"/>
      <c r="BP298" s="17"/>
      <c r="BQ298" s="18"/>
      <c r="BS298" s="1594"/>
      <c r="BT298" s="17"/>
      <c r="BU298" s="18"/>
      <c r="BW298" s="16"/>
      <c r="BX298" s="17"/>
      <c r="BY298" s="18"/>
      <c r="CA298" s="16"/>
      <c r="CB298" s="17"/>
      <c r="CC298" s="18"/>
      <c r="CE298" s="16"/>
      <c r="CF298" s="17"/>
      <c r="CG298" s="18"/>
      <c r="CI298" s="16"/>
      <c r="CJ298" s="17"/>
      <c r="CK298" s="18"/>
      <c r="CM298" s="16"/>
      <c r="CN298" s="17"/>
      <c r="CO298" s="18"/>
    </row>
    <row r="299" spans="1:93">
      <c r="A299" s="13"/>
      <c r="B299" s="14"/>
      <c r="C299" s="15"/>
      <c r="D299" s="37" t="str">
        <f>IF(C299&gt;=Mat!$E$71,"Material","No Mat")</f>
        <v>No Mat</v>
      </c>
      <c r="E299" s="834">
        <f>IF(C299&gt;=Mat!$E$71,C299/Mat!$E$71,0)</f>
        <v>0</v>
      </c>
      <c r="G299" s="34"/>
      <c r="H299" s="35"/>
      <c r="I299" s="48"/>
      <c r="J299" s="36"/>
      <c r="L299" s="508"/>
      <c r="M299" s="506" t="s">
        <v>2227</v>
      </c>
      <c r="N299" s="507">
        <f t="shared" si="53"/>
        <v>12130</v>
      </c>
      <c r="O299" s="507">
        <f t="shared" si="54"/>
        <v>0</v>
      </c>
      <c r="P299" s="507">
        <f t="shared" si="55"/>
        <v>22880</v>
      </c>
      <c r="Q299" s="507">
        <f t="shared" si="56"/>
        <v>0</v>
      </c>
      <c r="R299" s="507">
        <f t="shared" si="57"/>
        <v>0</v>
      </c>
      <c r="S299" s="507">
        <f t="shared" si="58"/>
        <v>0</v>
      </c>
      <c r="T299" s="507">
        <f t="shared" si="59"/>
        <v>0</v>
      </c>
      <c r="U299" s="507">
        <f t="shared" si="60"/>
        <v>0</v>
      </c>
      <c r="V299" s="507">
        <f t="shared" si="61"/>
        <v>0</v>
      </c>
      <c r="W299" s="507">
        <f t="shared" si="62"/>
        <v>0</v>
      </c>
      <c r="X299" s="507">
        <f t="shared" si="63"/>
        <v>0</v>
      </c>
      <c r="Y299" s="507">
        <f t="shared" si="64"/>
        <v>0</v>
      </c>
      <c r="Z299" s="11">
        <f t="shared" si="65"/>
        <v>35010</v>
      </c>
    </row>
    <row r="300" spans="1:93" ht="15.75" thickBot="1">
      <c r="A300" s="13"/>
      <c r="B300" s="14"/>
      <c r="C300" s="15"/>
      <c r="D300" s="37" t="str">
        <f>IF(C300&gt;=Mat!$E$71,"Material","No Mat")</f>
        <v>No Mat</v>
      </c>
      <c r="E300" s="834">
        <f>IF(C300&gt;=Mat!$E$71,C300/Mat!$E$71,0)</f>
        <v>0</v>
      </c>
      <c r="G300" s="50"/>
      <c r="H300" s="51"/>
      <c r="I300" s="49"/>
      <c r="J300" s="52"/>
      <c r="L300" s="508"/>
      <c r="M300" s="506" t="s">
        <v>2223</v>
      </c>
      <c r="N300" s="507">
        <f t="shared" si="53"/>
        <v>450</v>
      </c>
      <c r="O300" s="507">
        <f t="shared" si="54"/>
        <v>1601.4</v>
      </c>
      <c r="P300" s="507">
        <f t="shared" si="55"/>
        <v>0</v>
      </c>
      <c r="Q300" s="507">
        <f t="shared" si="56"/>
        <v>0</v>
      </c>
      <c r="R300" s="507">
        <f t="shared" si="57"/>
        <v>0</v>
      </c>
      <c r="S300" s="507">
        <f t="shared" si="58"/>
        <v>0</v>
      </c>
      <c r="T300" s="507">
        <f t="shared" si="59"/>
        <v>0</v>
      </c>
      <c r="U300" s="507">
        <f t="shared" si="60"/>
        <v>0</v>
      </c>
      <c r="V300" s="507">
        <f t="shared" si="61"/>
        <v>0</v>
      </c>
      <c r="W300" s="507">
        <f t="shared" si="62"/>
        <v>0</v>
      </c>
      <c r="X300" s="507">
        <f t="shared" si="63"/>
        <v>0</v>
      </c>
      <c r="Y300" s="507">
        <f t="shared" si="64"/>
        <v>0</v>
      </c>
      <c r="Z300" s="11">
        <f t="shared" si="65"/>
        <v>2051.4</v>
      </c>
    </row>
    <row r="301" spans="1:93" ht="15.75" thickBot="1">
      <c r="A301" s="16"/>
      <c r="B301" s="17"/>
      <c r="C301" s="18"/>
      <c r="D301" s="37" t="str">
        <f>IF(C301&gt;=Mat!$E$71,"Material","No Mat")</f>
        <v>No Mat</v>
      </c>
      <c r="E301" s="834">
        <f>IF(C301&gt;=Mat!$E$71,C301/Mat!$E$71,0)</f>
        <v>0</v>
      </c>
      <c r="L301" s="508"/>
      <c r="M301" s="506" t="s">
        <v>787</v>
      </c>
      <c r="N301" s="507">
        <f t="shared" si="53"/>
        <v>0</v>
      </c>
      <c r="O301" s="507">
        <f t="shared" si="54"/>
        <v>0</v>
      </c>
      <c r="P301" s="507">
        <f t="shared" si="55"/>
        <v>0</v>
      </c>
      <c r="Q301" s="507">
        <f t="shared" si="56"/>
        <v>0</v>
      </c>
      <c r="R301" s="507">
        <f t="shared" si="57"/>
        <v>0</v>
      </c>
      <c r="S301" s="507">
        <f t="shared" si="58"/>
        <v>0</v>
      </c>
      <c r="T301" s="507">
        <f t="shared" si="59"/>
        <v>0</v>
      </c>
      <c r="U301" s="507">
        <f t="shared" si="60"/>
        <v>0</v>
      </c>
      <c r="V301" s="507">
        <f t="shared" si="61"/>
        <v>0</v>
      </c>
      <c r="W301" s="507">
        <f t="shared" si="62"/>
        <v>0</v>
      </c>
      <c r="X301" s="507">
        <f t="shared" si="63"/>
        <v>0</v>
      </c>
      <c r="Y301" s="507">
        <f t="shared" si="64"/>
        <v>0</v>
      </c>
      <c r="Z301" s="11">
        <f t="shared" si="65"/>
        <v>0</v>
      </c>
      <c r="AC301">
        <v>83</v>
      </c>
      <c r="AD301" t="s">
        <v>88</v>
      </c>
      <c r="AE301" t="s">
        <v>69</v>
      </c>
      <c r="AI301" t="s">
        <v>89</v>
      </c>
      <c r="AM301" t="s">
        <v>0</v>
      </c>
    </row>
    <row r="302" spans="1:93">
      <c r="L302" s="508"/>
      <c r="M302" s="506" t="s">
        <v>2336</v>
      </c>
      <c r="N302" s="507">
        <f t="shared" si="53"/>
        <v>0</v>
      </c>
      <c r="O302" s="507">
        <f t="shared" si="54"/>
        <v>0</v>
      </c>
      <c r="P302" s="507">
        <f t="shared" si="55"/>
        <v>0</v>
      </c>
      <c r="Q302" s="507">
        <f t="shared" si="56"/>
        <v>0</v>
      </c>
      <c r="R302" s="507">
        <f t="shared" si="57"/>
        <v>0</v>
      </c>
      <c r="S302" s="507">
        <f t="shared" si="58"/>
        <v>0</v>
      </c>
      <c r="T302" s="507">
        <f t="shared" si="59"/>
        <v>0</v>
      </c>
      <c r="U302" s="507">
        <f t="shared" si="60"/>
        <v>0</v>
      </c>
      <c r="V302" s="507">
        <f t="shared" si="61"/>
        <v>0</v>
      </c>
      <c r="W302" s="507">
        <f t="shared" si="62"/>
        <v>0</v>
      </c>
      <c r="X302" s="507">
        <f t="shared" si="63"/>
        <v>0</v>
      </c>
      <c r="Y302" s="507">
        <f t="shared" si="64"/>
        <v>0</v>
      </c>
      <c r="Z302" s="11">
        <f t="shared" si="65"/>
        <v>0</v>
      </c>
      <c r="AC302">
        <v>95</v>
      </c>
      <c r="AD302" t="s">
        <v>100</v>
      </c>
      <c r="AE302" t="s">
        <v>69</v>
      </c>
      <c r="AI302" t="s">
        <v>101</v>
      </c>
      <c r="AM302" t="s">
        <v>0</v>
      </c>
    </row>
    <row r="303" spans="1:93">
      <c r="L303" s="508"/>
      <c r="M303" s="506" t="s">
        <v>790</v>
      </c>
      <c r="N303" s="507">
        <f t="shared" si="53"/>
        <v>0</v>
      </c>
      <c r="O303" s="507">
        <f t="shared" si="54"/>
        <v>39850</v>
      </c>
      <c r="P303" s="507">
        <f t="shared" si="55"/>
        <v>0</v>
      </c>
      <c r="Q303" s="507">
        <f t="shared" si="56"/>
        <v>0</v>
      </c>
      <c r="R303" s="507">
        <f t="shared" si="57"/>
        <v>0</v>
      </c>
      <c r="S303" s="507">
        <f t="shared" si="58"/>
        <v>0</v>
      </c>
      <c r="T303" s="507">
        <f t="shared" si="59"/>
        <v>0</v>
      </c>
      <c r="U303" s="507">
        <f t="shared" si="60"/>
        <v>0</v>
      </c>
      <c r="V303" s="507">
        <f t="shared" si="61"/>
        <v>0</v>
      </c>
      <c r="W303" s="507">
        <f t="shared" si="62"/>
        <v>0</v>
      </c>
      <c r="X303" s="507">
        <f t="shared" si="63"/>
        <v>0</v>
      </c>
      <c r="Y303" s="507">
        <f t="shared" si="64"/>
        <v>0</v>
      </c>
      <c r="Z303" s="11">
        <f t="shared" si="65"/>
        <v>39850</v>
      </c>
      <c r="AC303">
        <v>107</v>
      </c>
      <c r="AD303" t="s">
        <v>112</v>
      </c>
      <c r="AE303" t="s">
        <v>69</v>
      </c>
      <c r="AI303" t="s">
        <v>113</v>
      </c>
      <c r="AM303" t="s">
        <v>0</v>
      </c>
    </row>
    <row r="304" spans="1:93">
      <c r="L304" s="508"/>
      <c r="M304" s="506" t="s">
        <v>4208</v>
      </c>
      <c r="N304" s="507">
        <f>IFERROR(VLOOKUP(M304,$AV$8:$AW$298,2,FALSE),0)</f>
        <v>0</v>
      </c>
      <c r="O304" s="507">
        <f>IFERROR(VLOOKUP(M304,$AZ$8:$BA$298,2,FALSE),0)</f>
        <v>0</v>
      </c>
      <c r="P304" s="507">
        <f>IFERROR(VLOOKUP(M304,$BD$8:$BE$298,2,FALSE),0)</f>
        <v>0</v>
      </c>
      <c r="Q304" s="507">
        <f t="shared" si="56"/>
        <v>0</v>
      </c>
      <c r="R304" s="507">
        <f t="shared" si="57"/>
        <v>0</v>
      </c>
      <c r="S304" s="507">
        <f t="shared" si="58"/>
        <v>0</v>
      </c>
      <c r="T304" s="507">
        <f t="shared" si="59"/>
        <v>0</v>
      </c>
      <c r="U304" s="507">
        <f t="shared" si="60"/>
        <v>0</v>
      </c>
      <c r="V304" s="507">
        <f t="shared" si="61"/>
        <v>0</v>
      </c>
      <c r="W304" s="507">
        <f t="shared" si="62"/>
        <v>0</v>
      </c>
      <c r="X304" s="507">
        <f t="shared" si="63"/>
        <v>0</v>
      </c>
      <c r="Y304" s="507">
        <f t="shared" si="64"/>
        <v>0</v>
      </c>
      <c r="Z304" s="11">
        <f t="shared" si="65"/>
        <v>0</v>
      </c>
      <c r="AC304">
        <v>111</v>
      </c>
      <c r="AD304" t="s">
        <v>116</v>
      </c>
      <c r="AE304" t="s">
        <v>19</v>
      </c>
      <c r="AI304" t="s">
        <v>117</v>
      </c>
      <c r="AM304" t="s">
        <v>0</v>
      </c>
    </row>
    <row r="305" spans="12:39">
      <c r="L305" s="508"/>
      <c r="M305" s="506" t="s">
        <v>2242</v>
      </c>
      <c r="N305" s="507">
        <f t="shared" si="53"/>
        <v>0</v>
      </c>
      <c r="O305" s="507">
        <f t="shared" si="54"/>
        <v>0</v>
      </c>
      <c r="P305" s="507">
        <f t="shared" si="55"/>
        <v>0</v>
      </c>
      <c r="Q305" s="507">
        <f t="shared" si="56"/>
        <v>0</v>
      </c>
      <c r="R305" s="507">
        <f t="shared" si="57"/>
        <v>0</v>
      </c>
      <c r="S305" s="507">
        <f t="shared" si="58"/>
        <v>0</v>
      </c>
      <c r="T305" s="507">
        <f t="shared" si="59"/>
        <v>0</v>
      </c>
      <c r="U305" s="507">
        <f t="shared" si="60"/>
        <v>0</v>
      </c>
      <c r="V305" s="507">
        <f t="shared" si="61"/>
        <v>0</v>
      </c>
      <c r="W305" s="507">
        <f t="shared" si="62"/>
        <v>0</v>
      </c>
      <c r="X305" s="507">
        <f t="shared" si="63"/>
        <v>0</v>
      </c>
      <c r="Y305" s="507">
        <f t="shared" si="64"/>
        <v>0</v>
      </c>
      <c r="Z305" s="11">
        <f t="shared" si="65"/>
        <v>0</v>
      </c>
      <c r="AC305">
        <v>121</v>
      </c>
      <c r="AD305" t="s">
        <v>126</v>
      </c>
      <c r="AE305" t="s">
        <v>3</v>
      </c>
      <c r="AI305" t="s">
        <v>127</v>
      </c>
      <c r="AM305" t="s">
        <v>0</v>
      </c>
    </row>
    <row r="306" spans="12:39">
      <c r="L306" s="508"/>
      <c r="M306" s="506" t="s">
        <v>795</v>
      </c>
      <c r="N306" s="507">
        <f t="shared" si="53"/>
        <v>0</v>
      </c>
      <c r="O306" s="507">
        <f t="shared" si="54"/>
        <v>0</v>
      </c>
      <c r="P306" s="507">
        <f t="shared" si="55"/>
        <v>999500</v>
      </c>
      <c r="Q306" s="507">
        <f t="shared" si="56"/>
        <v>0</v>
      </c>
      <c r="R306" s="507">
        <f t="shared" si="57"/>
        <v>0</v>
      </c>
      <c r="S306" s="507">
        <f t="shared" si="58"/>
        <v>0</v>
      </c>
      <c r="T306" s="507">
        <f t="shared" si="59"/>
        <v>0</v>
      </c>
      <c r="U306" s="507">
        <f t="shared" si="60"/>
        <v>0</v>
      </c>
      <c r="V306" s="507">
        <f t="shared" si="61"/>
        <v>0</v>
      </c>
      <c r="W306" s="507">
        <f t="shared" si="62"/>
        <v>0</v>
      </c>
      <c r="X306" s="507">
        <f t="shared" si="63"/>
        <v>0</v>
      </c>
      <c r="Y306" s="507">
        <f t="shared" si="64"/>
        <v>0</v>
      </c>
      <c r="Z306" s="11">
        <f t="shared" si="65"/>
        <v>999500</v>
      </c>
      <c r="AC306">
        <v>123</v>
      </c>
      <c r="AD306" t="s">
        <v>128</v>
      </c>
      <c r="AE306" t="s">
        <v>126</v>
      </c>
      <c r="AI306" t="s">
        <v>129</v>
      </c>
      <c r="AM306" t="s">
        <v>0</v>
      </c>
    </row>
    <row r="307" spans="12:39">
      <c r="L307" s="508"/>
      <c r="M307" s="506" t="s">
        <v>2244</v>
      </c>
      <c r="N307" s="507">
        <f t="shared" si="53"/>
        <v>0</v>
      </c>
      <c r="O307" s="507">
        <f t="shared" si="54"/>
        <v>0</v>
      </c>
      <c r="P307" s="507">
        <f t="shared" si="55"/>
        <v>1074000</v>
      </c>
      <c r="Q307" s="507">
        <f t="shared" si="56"/>
        <v>0</v>
      </c>
      <c r="R307" s="507">
        <f t="shared" si="57"/>
        <v>0</v>
      </c>
      <c r="S307" s="507">
        <f t="shared" si="58"/>
        <v>0</v>
      </c>
      <c r="T307" s="507">
        <f t="shared" si="59"/>
        <v>0</v>
      </c>
      <c r="U307" s="507">
        <f t="shared" si="60"/>
        <v>0</v>
      </c>
      <c r="V307" s="507">
        <f t="shared" si="61"/>
        <v>0</v>
      </c>
      <c r="W307" s="507">
        <f t="shared" si="62"/>
        <v>0</v>
      </c>
      <c r="X307" s="507">
        <f t="shared" si="63"/>
        <v>0</v>
      </c>
      <c r="Y307" s="507">
        <f t="shared" si="64"/>
        <v>0</v>
      </c>
      <c r="Z307" s="11">
        <f t="shared" si="65"/>
        <v>1074000</v>
      </c>
      <c r="AC307">
        <v>125</v>
      </c>
      <c r="AD307" t="s">
        <v>130</v>
      </c>
      <c r="AE307" t="s">
        <v>128</v>
      </c>
      <c r="AI307" t="s">
        <v>131</v>
      </c>
      <c r="AM307" t="s">
        <v>0</v>
      </c>
    </row>
    <row r="308" spans="12:39">
      <c r="M308" s="506" t="s">
        <v>801</v>
      </c>
      <c r="N308" s="507">
        <f t="shared" si="53"/>
        <v>0</v>
      </c>
      <c r="O308" s="507">
        <f t="shared" si="54"/>
        <v>0</v>
      </c>
      <c r="P308" s="507">
        <f t="shared" si="55"/>
        <v>0</v>
      </c>
      <c r="Q308" s="507">
        <f t="shared" si="56"/>
        <v>0</v>
      </c>
      <c r="R308" s="507">
        <f t="shared" si="57"/>
        <v>0</v>
      </c>
      <c r="S308" s="507">
        <f t="shared" si="58"/>
        <v>0</v>
      </c>
      <c r="T308" s="507">
        <f t="shared" si="59"/>
        <v>0</v>
      </c>
      <c r="U308" s="507">
        <f t="shared" si="60"/>
        <v>0</v>
      </c>
      <c r="V308" s="507">
        <f t="shared" si="61"/>
        <v>0</v>
      </c>
      <c r="W308" s="507">
        <f t="shared" si="62"/>
        <v>0</v>
      </c>
      <c r="X308" s="507">
        <f t="shared" si="63"/>
        <v>0</v>
      </c>
      <c r="Y308" s="507">
        <f t="shared" si="64"/>
        <v>0</v>
      </c>
      <c r="Z308" s="11">
        <f t="shared" si="65"/>
        <v>0</v>
      </c>
      <c r="AC308">
        <v>162</v>
      </c>
      <c r="AD308" t="s">
        <v>161</v>
      </c>
      <c r="AE308" t="s">
        <v>128</v>
      </c>
      <c r="AI308" t="s">
        <v>162</v>
      </c>
      <c r="AM308" t="s">
        <v>0</v>
      </c>
    </row>
    <row r="309" spans="12:39">
      <c r="M309" s="506" t="s">
        <v>2245</v>
      </c>
      <c r="N309" s="507">
        <f t="shared" si="53"/>
        <v>0</v>
      </c>
      <c r="O309" s="507">
        <f t="shared" si="54"/>
        <v>0</v>
      </c>
      <c r="P309" s="507">
        <f t="shared" si="55"/>
        <v>0</v>
      </c>
      <c r="Q309" s="507">
        <f t="shared" si="56"/>
        <v>0</v>
      </c>
      <c r="R309" s="507">
        <f t="shared" si="57"/>
        <v>0</v>
      </c>
      <c r="S309" s="507">
        <f t="shared" si="58"/>
        <v>0</v>
      </c>
      <c r="T309" s="507">
        <f t="shared" si="59"/>
        <v>0</v>
      </c>
      <c r="U309" s="507">
        <f t="shared" si="60"/>
        <v>0</v>
      </c>
      <c r="V309" s="507">
        <f t="shared" si="61"/>
        <v>0</v>
      </c>
      <c r="W309" s="507">
        <f t="shared" si="62"/>
        <v>0</v>
      </c>
      <c r="X309" s="507">
        <f t="shared" si="63"/>
        <v>0</v>
      </c>
      <c r="Y309" s="507">
        <f t="shared" si="64"/>
        <v>0</v>
      </c>
      <c r="Z309" s="11">
        <f t="shared" si="65"/>
        <v>0</v>
      </c>
      <c r="AC309">
        <v>170</v>
      </c>
      <c r="AD309" t="s">
        <v>172</v>
      </c>
      <c r="AE309" t="s">
        <v>128</v>
      </c>
      <c r="AI309" t="s">
        <v>173</v>
      </c>
      <c r="AM309" t="s">
        <v>0</v>
      </c>
    </row>
    <row r="310" spans="12:39">
      <c r="M310" s="506" t="s">
        <v>807</v>
      </c>
      <c r="N310" s="507">
        <f t="shared" si="53"/>
        <v>2850</v>
      </c>
      <c r="O310" s="507">
        <f t="shared" si="54"/>
        <v>0</v>
      </c>
      <c r="P310" s="507">
        <f t="shared" si="55"/>
        <v>0</v>
      </c>
      <c r="Q310" s="507">
        <f t="shared" si="56"/>
        <v>0</v>
      </c>
      <c r="R310" s="507">
        <f t="shared" si="57"/>
        <v>0</v>
      </c>
      <c r="S310" s="507">
        <f t="shared" si="58"/>
        <v>0</v>
      </c>
      <c r="T310" s="507">
        <f t="shared" si="59"/>
        <v>0</v>
      </c>
      <c r="U310" s="507">
        <f t="shared" si="60"/>
        <v>0</v>
      </c>
      <c r="V310" s="507">
        <f t="shared" si="61"/>
        <v>0</v>
      </c>
      <c r="W310" s="507">
        <f t="shared" si="62"/>
        <v>0</v>
      </c>
      <c r="X310" s="507">
        <f t="shared" si="63"/>
        <v>0</v>
      </c>
      <c r="Y310" s="507">
        <f t="shared" si="64"/>
        <v>0</v>
      </c>
      <c r="Z310" s="11">
        <f t="shared" si="65"/>
        <v>2850</v>
      </c>
      <c r="AC310">
        <v>180</v>
      </c>
      <c r="AD310" t="s">
        <v>186</v>
      </c>
      <c r="AE310" t="s">
        <v>128</v>
      </c>
      <c r="AI310" t="s">
        <v>187</v>
      </c>
      <c r="AM310" t="s">
        <v>0</v>
      </c>
    </row>
    <row r="311" spans="12:39">
      <c r="M311" s="508" t="s">
        <v>2337</v>
      </c>
      <c r="N311" s="507">
        <f t="shared" si="53"/>
        <v>0</v>
      </c>
      <c r="O311" s="507">
        <f t="shared" si="54"/>
        <v>0</v>
      </c>
      <c r="P311" s="507">
        <f t="shared" si="55"/>
        <v>0</v>
      </c>
      <c r="Q311" s="507">
        <f t="shared" si="56"/>
        <v>0</v>
      </c>
      <c r="R311" s="507">
        <f t="shared" si="57"/>
        <v>0</v>
      </c>
      <c r="S311" s="507">
        <f t="shared" si="58"/>
        <v>0</v>
      </c>
      <c r="T311" s="507">
        <f t="shared" si="59"/>
        <v>0</v>
      </c>
      <c r="U311" s="507">
        <f t="shared" si="60"/>
        <v>0</v>
      </c>
      <c r="V311" s="507">
        <f t="shared" si="61"/>
        <v>0</v>
      </c>
      <c r="W311" s="507">
        <f t="shared" si="62"/>
        <v>0</v>
      </c>
      <c r="X311" s="507">
        <f t="shared" si="63"/>
        <v>0</v>
      </c>
      <c r="Y311" s="507">
        <f t="shared" si="64"/>
        <v>0</v>
      </c>
      <c r="Z311" s="11">
        <f t="shared" si="65"/>
        <v>0</v>
      </c>
      <c r="AC311">
        <v>184</v>
      </c>
      <c r="AD311" t="s">
        <v>191</v>
      </c>
      <c r="AE311" t="s">
        <v>128</v>
      </c>
      <c r="AI311" t="s">
        <v>192</v>
      </c>
      <c r="AM311" t="s">
        <v>0</v>
      </c>
    </row>
    <row r="312" spans="12:39">
      <c r="M312" s="508" t="s">
        <v>2338</v>
      </c>
      <c r="N312" s="507">
        <f t="shared" si="53"/>
        <v>0</v>
      </c>
      <c r="O312" s="507">
        <f t="shared" si="54"/>
        <v>0</v>
      </c>
      <c r="P312" s="507">
        <f t="shared" si="55"/>
        <v>0</v>
      </c>
      <c r="Q312" s="507">
        <f t="shared" si="56"/>
        <v>0</v>
      </c>
      <c r="R312" s="507">
        <f t="shared" si="57"/>
        <v>0</v>
      </c>
      <c r="S312" s="507">
        <f t="shared" si="58"/>
        <v>0</v>
      </c>
      <c r="T312" s="507">
        <f t="shared" si="59"/>
        <v>0</v>
      </c>
      <c r="U312" s="507">
        <f t="shared" si="60"/>
        <v>0</v>
      </c>
      <c r="V312" s="507">
        <f t="shared" si="61"/>
        <v>0</v>
      </c>
      <c r="W312" s="507">
        <f t="shared" si="62"/>
        <v>0</v>
      </c>
      <c r="X312" s="507">
        <f t="shared" si="63"/>
        <v>0</v>
      </c>
      <c r="Y312" s="507">
        <f t="shared" si="64"/>
        <v>0</v>
      </c>
      <c r="Z312" s="11">
        <f t="shared" si="65"/>
        <v>0</v>
      </c>
      <c r="AC312">
        <v>190</v>
      </c>
      <c r="AD312" t="s">
        <v>199</v>
      </c>
      <c r="AE312" t="s">
        <v>128</v>
      </c>
      <c r="AI312" t="s">
        <v>200</v>
      </c>
      <c r="AM312" t="s">
        <v>0</v>
      </c>
    </row>
    <row r="313" spans="12:39">
      <c r="M313" s="508" t="s">
        <v>2228</v>
      </c>
      <c r="N313" s="507">
        <f t="shared" si="53"/>
        <v>0</v>
      </c>
      <c r="O313" s="507">
        <f t="shared" si="54"/>
        <v>44847.95</v>
      </c>
      <c r="P313" s="507">
        <f t="shared" si="55"/>
        <v>0</v>
      </c>
      <c r="Q313" s="507">
        <f t="shared" si="56"/>
        <v>0</v>
      </c>
      <c r="R313" s="507">
        <f t="shared" si="57"/>
        <v>0</v>
      </c>
      <c r="S313" s="507">
        <f t="shared" si="58"/>
        <v>0</v>
      </c>
      <c r="T313" s="507">
        <f t="shared" si="59"/>
        <v>0</v>
      </c>
      <c r="U313" s="507">
        <f t="shared" si="60"/>
        <v>0</v>
      </c>
      <c r="V313" s="507">
        <f t="shared" si="61"/>
        <v>0</v>
      </c>
      <c r="W313" s="507">
        <f t="shared" si="62"/>
        <v>0</v>
      </c>
      <c r="X313" s="507">
        <f t="shared" si="63"/>
        <v>0</v>
      </c>
      <c r="Y313" s="507">
        <f t="shared" si="64"/>
        <v>0</v>
      </c>
      <c r="Z313" s="11">
        <f t="shared" si="65"/>
        <v>44847.95</v>
      </c>
      <c r="AC313">
        <v>194</v>
      </c>
      <c r="AD313" t="s">
        <v>203</v>
      </c>
      <c r="AE313" t="s">
        <v>126</v>
      </c>
      <c r="AI313" t="s">
        <v>204</v>
      </c>
      <c r="AM313" t="s">
        <v>0</v>
      </c>
    </row>
    <row r="314" spans="12:39">
      <c r="M314" s="508" t="s">
        <v>2248</v>
      </c>
      <c r="N314" s="507">
        <f t="shared" si="53"/>
        <v>0</v>
      </c>
      <c r="O314" s="507">
        <f t="shared" si="54"/>
        <v>0</v>
      </c>
      <c r="P314" s="507">
        <f t="shared" si="55"/>
        <v>3300</v>
      </c>
      <c r="Q314" s="507">
        <f t="shared" si="56"/>
        <v>0</v>
      </c>
      <c r="R314" s="507">
        <f t="shared" si="57"/>
        <v>0</v>
      </c>
      <c r="S314" s="507">
        <f t="shared" si="58"/>
        <v>0</v>
      </c>
      <c r="T314" s="507">
        <f t="shared" si="59"/>
        <v>0</v>
      </c>
      <c r="U314" s="507">
        <f t="shared" si="60"/>
        <v>0</v>
      </c>
      <c r="V314" s="507">
        <f t="shared" si="61"/>
        <v>0</v>
      </c>
      <c r="W314" s="507">
        <f t="shared" si="62"/>
        <v>0</v>
      </c>
      <c r="X314" s="507">
        <f t="shared" si="63"/>
        <v>0</v>
      </c>
      <c r="Y314" s="507">
        <f t="shared" si="64"/>
        <v>0</v>
      </c>
      <c r="Z314" s="11">
        <f t="shared" si="65"/>
        <v>3300</v>
      </c>
      <c r="AC314">
        <v>196</v>
      </c>
      <c r="AD314" t="s">
        <v>205</v>
      </c>
      <c r="AE314" t="s">
        <v>203</v>
      </c>
      <c r="AI314" t="s">
        <v>206</v>
      </c>
      <c r="AM314" t="s">
        <v>0</v>
      </c>
    </row>
    <row r="315" spans="12:39">
      <c r="M315" s="508" t="s">
        <v>2339</v>
      </c>
      <c r="N315" s="507">
        <f t="shared" si="53"/>
        <v>0</v>
      </c>
      <c r="O315" s="507">
        <f t="shared" si="54"/>
        <v>0</v>
      </c>
      <c r="P315" s="507">
        <f t="shared" si="55"/>
        <v>0</v>
      </c>
      <c r="Q315" s="507">
        <f t="shared" si="56"/>
        <v>0</v>
      </c>
      <c r="R315" s="507">
        <f t="shared" si="57"/>
        <v>0</v>
      </c>
      <c r="S315" s="507">
        <f t="shared" si="58"/>
        <v>0</v>
      </c>
      <c r="T315" s="507">
        <f t="shared" si="59"/>
        <v>0</v>
      </c>
      <c r="U315" s="507">
        <f t="shared" si="60"/>
        <v>0</v>
      </c>
      <c r="V315" s="507">
        <f t="shared" si="61"/>
        <v>0</v>
      </c>
      <c r="W315" s="507">
        <f t="shared" si="62"/>
        <v>0</v>
      </c>
      <c r="X315" s="507">
        <f t="shared" si="63"/>
        <v>0</v>
      </c>
      <c r="Y315" s="507">
        <f t="shared" si="64"/>
        <v>0</v>
      </c>
      <c r="Z315" s="11">
        <f t="shared" si="65"/>
        <v>0</v>
      </c>
      <c r="AC315">
        <v>200</v>
      </c>
      <c r="AD315" t="s">
        <v>210</v>
      </c>
      <c r="AE315" t="s">
        <v>203</v>
      </c>
      <c r="AI315" t="s">
        <v>211</v>
      </c>
      <c r="AM315" t="s">
        <v>0</v>
      </c>
    </row>
    <row r="316" spans="12:39">
      <c r="M316" s="508" t="s">
        <v>826</v>
      </c>
      <c r="N316" s="507">
        <f t="shared" si="53"/>
        <v>0</v>
      </c>
      <c r="O316" s="507">
        <f t="shared" si="54"/>
        <v>0</v>
      </c>
      <c r="P316" s="507">
        <f t="shared" si="55"/>
        <v>73066.22</v>
      </c>
      <c r="Q316" s="507">
        <f t="shared" si="56"/>
        <v>0</v>
      </c>
      <c r="R316" s="507">
        <f t="shared" si="57"/>
        <v>0</v>
      </c>
      <c r="S316" s="507">
        <f t="shared" si="58"/>
        <v>0</v>
      </c>
      <c r="T316" s="507">
        <f t="shared" si="59"/>
        <v>0</v>
      </c>
      <c r="U316" s="507">
        <f t="shared" si="60"/>
        <v>0</v>
      </c>
      <c r="V316" s="507">
        <f t="shared" si="61"/>
        <v>0</v>
      </c>
      <c r="W316" s="507">
        <f t="shared" si="62"/>
        <v>0</v>
      </c>
      <c r="X316" s="507">
        <f t="shared" si="63"/>
        <v>0</v>
      </c>
      <c r="Y316" s="507">
        <f t="shared" si="64"/>
        <v>0</v>
      </c>
      <c r="Z316" s="11">
        <f t="shared" si="65"/>
        <v>73066.22</v>
      </c>
      <c r="AC316">
        <v>204</v>
      </c>
      <c r="AD316" t="s">
        <v>214</v>
      </c>
      <c r="AE316" t="s">
        <v>126</v>
      </c>
      <c r="AI316" t="s">
        <v>215</v>
      </c>
      <c r="AM316" t="s">
        <v>0</v>
      </c>
    </row>
    <row r="317" spans="12:39">
      <c r="M317" s="508" t="s">
        <v>829</v>
      </c>
      <c r="N317" s="507">
        <f t="shared" si="53"/>
        <v>0</v>
      </c>
      <c r="O317" s="507">
        <f t="shared" si="54"/>
        <v>0</v>
      </c>
      <c r="P317" s="507">
        <f t="shared" si="55"/>
        <v>0</v>
      </c>
      <c r="Q317" s="507">
        <f t="shared" si="56"/>
        <v>0</v>
      </c>
      <c r="R317" s="507">
        <f t="shared" si="57"/>
        <v>0</v>
      </c>
      <c r="S317" s="507">
        <f t="shared" si="58"/>
        <v>0</v>
      </c>
      <c r="T317" s="507">
        <f t="shared" si="59"/>
        <v>0</v>
      </c>
      <c r="U317" s="507">
        <f t="shared" si="60"/>
        <v>0</v>
      </c>
      <c r="V317" s="507">
        <f t="shared" si="61"/>
        <v>0</v>
      </c>
      <c r="W317" s="507">
        <f t="shared" si="62"/>
        <v>0</v>
      </c>
      <c r="X317" s="507">
        <f t="shared" si="63"/>
        <v>0</v>
      </c>
      <c r="Y317" s="507">
        <f t="shared" si="64"/>
        <v>0</v>
      </c>
      <c r="Z317" s="11">
        <f t="shared" si="65"/>
        <v>0</v>
      </c>
      <c r="AC317">
        <v>206</v>
      </c>
      <c r="AD317" t="s">
        <v>216</v>
      </c>
      <c r="AE317" t="s">
        <v>214</v>
      </c>
      <c r="AI317" t="s">
        <v>111</v>
      </c>
      <c r="AM317" t="s">
        <v>0</v>
      </c>
    </row>
    <row r="318" spans="12:39">
      <c r="M318" s="508" t="s">
        <v>832</v>
      </c>
      <c r="N318" s="507">
        <f t="shared" si="53"/>
        <v>1190</v>
      </c>
      <c r="O318" s="507">
        <f t="shared" si="54"/>
        <v>6625</v>
      </c>
      <c r="P318" s="507">
        <f t="shared" si="55"/>
        <v>750</v>
      </c>
      <c r="Q318" s="507">
        <f t="shared" si="56"/>
        <v>0</v>
      </c>
      <c r="R318" s="507">
        <f t="shared" si="57"/>
        <v>0</v>
      </c>
      <c r="S318" s="507">
        <f t="shared" si="58"/>
        <v>0</v>
      </c>
      <c r="T318" s="507">
        <f t="shared" si="59"/>
        <v>0</v>
      </c>
      <c r="U318" s="507">
        <f t="shared" si="60"/>
        <v>0</v>
      </c>
      <c r="V318" s="507">
        <f t="shared" si="61"/>
        <v>0</v>
      </c>
      <c r="W318" s="507">
        <f t="shared" si="62"/>
        <v>0</v>
      </c>
      <c r="X318" s="507">
        <f t="shared" si="63"/>
        <v>0</v>
      </c>
      <c r="Y318" s="507">
        <f t="shared" si="64"/>
        <v>0</v>
      </c>
      <c r="Z318" s="11">
        <f t="shared" si="65"/>
        <v>8565</v>
      </c>
      <c r="AC318">
        <v>210</v>
      </c>
      <c r="AD318" t="s">
        <v>220</v>
      </c>
      <c r="AE318" t="s">
        <v>214</v>
      </c>
      <c r="AI318" t="s">
        <v>221</v>
      </c>
      <c r="AM318" t="s">
        <v>0</v>
      </c>
    </row>
    <row r="319" spans="12:39">
      <c r="M319" s="508" t="s">
        <v>840</v>
      </c>
      <c r="N319" s="507">
        <f t="shared" si="53"/>
        <v>0</v>
      </c>
      <c r="O319" s="507">
        <f t="shared" si="54"/>
        <v>0</v>
      </c>
      <c r="P319" s="507">
        <f t="shared" si="55"/>
        <v>0</v>
      </c>
      <c r="Q319" s="507">
        <f t="shared" si="56"/>
        <v>0</v>
      </c>
      <c r="R319" s="507">
        <f t="shared" si="57"/>
        <v>0</v>
      </c>
      <c r="S319" s="507">
        <f t="shared" si="58"/>
        <v>0</v>
      </c>
      <c r="T319" s="507">
        <f t="shared" si="59"/>
        <v>0</v>
      </c>
      <c r="U319" s="507">
        <f t="shared" si="60"/>
        <v>0</v>
      </c>
      <c r="V319" s="507">
        <f t="shared" si="61"/>
        <v>0</v>
      </c>
      <c r="W319" s="507">
        <f t="shared" si="62"/>
        <v>0</v>
      </c>
      <c r="X319" s="507">
        <f t="shared" si="63"/>
        <v>0</v>
      </c>
      <c r="Y319" s="507">
        <f t="shared" si="64"/>
        <v>0</v>
      </c>
      <c r="Z319" s="11">
        <f t="shared" si="65"/>
        <v>0</v>
      </c>
      <c r="AC319">
        <v>216</v>
      </c>
      <c r="AD319" t="s">
        <v>225</v>
      </c>
      <c r="AE319" t="s">
        <v>139</v>
      </c>
      <c r="AI319" t="s">
        <v>226</v>
      </c>
      <c r="AM319" t="s">
        <v>0</v>
      </c>
    </row>
    <row r="320" spans="12:39">
      <c r="M320" s="508" t="s">
        <v>844</v>
      </c>
      <c r="N320" s="507">
        <f t="shared" si="53"/>
        <v>0</v>
      </c>
      <c r="O320" s="507">
        <f t="shared" si="54"/>
        <v>0</v>
      </c>
      <c r="P320" s="507">
        <f t="shared" si="55"/>
        <v>0</v>
      </c>
      <c r="Q320" s="507">
        <f t="shared" si="56"/>
        <v>0</v>
      </c>
      <c r="R320" s="507">
        <f t="shared" si="57"/>
        <v>0</v>
      </c>
      <c r="S320" s="507">
        <f t="shared" si="58"/>
        <v>0</v>
      </c>
      <c r="T320" s="507">
        <f t="shared" si="59"/>
        <v>0</v>
      </c>
      <c r="U320" s="507">
        <f t="shared" si="60"/>
        <v>0</v>
      </c>
      <c r="V320" s="507">
        <f t="shared" si="61"/>
        <v>0</v>
      </c>
      <c r="W320" s="507">
        <f t="shared" si="62"/>
        <v>0</v>
      </c>
      <c r="X320" s="507">
        <f t="shared" si="63"/>
        <v>0</v>
      </c>
      <c r="Y320" s="507">
        <f t="shared" si="64"/>
        <v>0</v>
      </c>
      <c r="Z320" s="11">
        <f t="shared" si="65"/>
        <v>0</v>
      </c>
      <c r="AC320">
        <v>220</v>
      </c>
      <c r="AD320" t="s">
        <v>229</v>
      </c>
      <c r="AE320" t="s">
        <v>225</v>
      </c>
      <c r="AI320" t="s">
        <v>230</v>
      </c>
      <c r="AM320" t="s">
        <v>0</v>
      </c>
    </row>
    <row r="321" spans="12:39">
      <c r="M321" s="508" t="s">
        <v>848</v>
      </c>
      <c r="N321" s="507">
        <f t="shared" si="53"/>
        <v>0</v>
      </c>
      <c r="O321" s="507">
        <f t="shared" si="54"/>
        <v>0</v>
      </c>
      <c r="P321" s="507">
        <f t="shared" si="55"/>
        <v>0</v>
      </c>
      <c r="Q321" s="507">
        <f t="shared" si="56"/>
        <v>0</v>
      </c>
      <c r="R321" s="507">
        <f t="shared" si="57"/>
        <v>0</v>
      </c>
      <c r="S321" s="507">
        <f t="shared" si="58"/>
        <v>0</v>
      </c>
      <c r="T321" s="507">
        <f t="shared" si="59"/>
        <v>0</v>
      </c>
      <c r="U321" s="507">
        <f t="shared" si="60"/>
        <v>0</v>
      </c>
      <c r="V321" s="507">
        <f t="shared" si="61"/>
        <v>0</v>
      </c>
      <c r="W321" s="507">
        <f t="shared" si="62"/>
        <v>0</v>
      </c>
      <c r="X321" s="507">
        <f t="shared" si="63"/>
        <v>0</v>
      </c>
      <c r="Y321" s="507">
        <f t="shared" si="64"/>
        <v>0</v>
      </c>
      <c r="Z321" s="11">
        <f t="shared" si="65"/>
        <v>0</v>
      </c>
      <c r="AC321">
        <v>222</v>
      </c>
      <c r="AD321" t="s">
        <v>231</v>
      </c>
      <c r="AE321" t="s">
        <v>229</v>
      </c>
      <c r="AI321" t="s">
        <v>232</v>
      </c>
      <c r="AM321" t="s">
        <v>0</v>
      </c>
    </row>
    <row r="322" spans="12:39">
      <c r="M322" s="508" t="s">
        <v>2340</v>
      </c>
      <c r="N322" s="507">
        <f t="shared" si="53"/>
        <v>0</v>
      </c>
      <c r="O322" s="507">
        <f t="shared" si="54"/>
        <v>0</v>
      </c>
      <c r="P322" s="507">
        <f t="shared" si="55"/>
        <v>0</v>
      </c>
      <c r="Q322" s="507">
        <f t="shared" si="56"/>
        <v>0</v>
      </c>
      <c r="R322" s="507">
        <f t="shared" si="57"/>
        <v>0</v>
      </c>
      <c r="S322" s="507">
        <f t="shared" si="58"/>
        <v>0</v>
      </c>
      <c r="T322" s="507">
        <f t="shared" si="59"/>
        <v>0</v>
      </c>
      <c r="U322" s="507">
        <f t="shared" si="60"/>
        <v>0</v>
      </c>
      <c r="V322" s="507">
        <f t="shared" si="61"/>
        <v>0</v>
      </c>
      <c r="W322" s="507">
        <f t="shared" si="62"/>
        <v>0</v>
      </c>
      <c r="X322" s="507">
        <f t="shared" si="63"/>
        <v>0</v>
      </c>
      <c r="Y322" s="507">
        <f t="shared" si="64"/>
        <v>0</v>
      </c>
      <c r="Z322" s="11">
        <f t="shared" si="65"/>
        <v>0</v>
      </c>
      <c r="AC322">
        <v>226</v>
      </c>
      <c r="AD322" t="s">
        <v>235</v>
      </c>
      <c r="AE322" t="s">
        <v>231</v>
      </c>
      <c r="AI322" t="s">
        <v>236</v>
      </c>
      <c r="AM322" t="s">
        <v>0</v>
      </c>
    </row>
    <row r="323" spans="12:39">
      <c r="M323" s="508" t="s">
        <v>861</v>
      </c>
      <c r="N323" s="507">
        <f t="shared" si="53"/>
        <v>0</v>
      </c>
      <c r="O323" s="507">
        <f t="shared" si="54"/>
        <v>0</v>
      </c>
      <c r="P323" s="507">
        <f t="shared" si="55"/>
        <v>0</v>
      </c>
      <c r="Q323" s="507">
        <f t="shared" si="56"/>
        <v>0</v>
      </c>
      <c r="R323" s="507">
        <f t="shared" si="57"/>
        <v>0</v>
      </c>
      <c r="S323" s="507">
        <f t="shared" si="58"/>
        <v>0</v>
      </c>
      <c r="T323" s="507">
        <f t="shared" si="59"/>
        <v>0</v>
      </c>
      <c r="U323" s="507">
        <f t="shared" si="60"/>
        <v>0</v>
      </c>
      <c r="V323" s="507">
        <f t="shared" si="61"/>
        <v>0</v>
      </c>
      <c r="W323" s="507">
        <f t="shared" si="62"/>
        <v>0</v>
      </c>
      <c r="X323" s="507">
        <f t="shared" si="63"/>
        <v>0</v>
      </c>
      <c r="Y323" s="507">
        <f t="shared" si="64"/>
        <v>0</v>
      </c>
      <c r="Z323" s="11">
        <f t="shared" si="65"/>
        <v>0</v>
      </c>
      <c r="AC323">
        <v>242</v>
      </c>
      <c r="AD323" t="s">
        <v>250</v>
      </c>
      <c r="AE323" t="s">
        <v>229</v>
      </c>
      <c r="AI323" t="s">
        <v>251</v>
      </c>
      <c r="AM323" t="s">
        <v>0</v>
      </c>
    </row>
    <row r="324" spans="12:39">
      <c r="M324" s="508" t="s">
        <v>2220</v>
      </c>
      <c r="N324" s="507">
        <f t="shared" si="53"/>
        <v>0</v>
      </c>
      <c r="O324" s="507">
        <f t="shared" si="54"/>
        <v>0</v>
      </c>
      <c r="P324" s="507">
        <f t="shared" si="55"/>
        <v>0</v>
      </c>
      <c r="Q324" s="507">
        <f t="shared" si="56"/>
        <v>0</v>
      </c>
      <c r="R324" s="507">
        <f t="shared" si="57"/>
        <v>0</v>
      </c>
      <c r="S324" s="507">
        <f t="shared" si="58"/>
        <v>0</v>
      </c>
      <c r="T324" s="507">
        <f t="shared" si="59"/>
        <v>0</v>
      </c>
      <c r="U324" s="507">
        <f t="shared" si="60"/>
        <v>0</v>
      </c>
      <c r="V324" s="507">
        <f t="shared" si="61"/>
        <v>0</v>
      </c>
      <c r="W324" s="507">
        <f t="shared" si="62"/>
        <v>0</v>
      </c>
      <c r="X324" s="507">
        <f t="shared" si="63"/>
        <v>0</v>
      </c>
      <c r="Y324" s="507">
        <f t="shared" si="64"/>
        <v>0</v>
      </c>
      <c r="Z324" s="11">
        <f t="shared" si="65"/>
        <v>0</v>
      </c>
      <c r="AC324">
        <v>258</v>
      </c>
      <c r="AD324" t="s">
        <v>266</v>
      </c>
      <c r="AE324" t="s">
        <v>229</v>
      </c>
      <c r="AI324" t="s">
        <v>267</v>
      </c>
      <c r="AM324" t="s">
        <v>0</v>
      </c>
    </row>
    <row r="325" spans="12:39">
      <c r="M325" s="508" t="s">
        <v>870</v>
      </c>
      <c r="N325" s="507">
        <f t="shared" si="53"/>
        <v>0</v>
      </c>
      <c r="O325" s="507">
        <f t="shared" si="54"/>
        <v>0</v>
      </c>
      <c r="P325" s="507">
        <f t="shared" si="55"/>
        <v>0</v>
      </c>
      <c r="Q325" s="507">
        <f t="shared" si="56"/>
        <v>0</v>
      </c>
      <c r="R325" s="507">
        <f t="shared" si="57"/>
        <v>0</v>
      </c>
      <c r="S325" s="507">
        <f t="shared" si="58"/>
        <v>0</v>
      </c>
      <c r="T325" s="507">
        <f t="shared" si="59"/>
        <v>0</v>
      </c>
      <c r="U325" s="507">
        <f t="shared" si="60"/>
        <v>0</v>
      </c>
      <c r="V325" s="507">
        <f t="shared" si="61"/>
        <v>0</v>
      </c>
      <c r="W325" s="507">
        <f t="shared" si="62"/>
        <v>0</v>
      </c>
      <c r="X325" s="507">
        <f t="shared" si="63"/>
        <v>0</v>
      </c>
      <c r="Y325" s="507">
        <f t="shared" si="64"/>
        <v>0</v>
      </c>
      <c r="Z325" s="11">
        <f t="shared" si="65"/>
        <v>0</v>
      </c>
      <c r="AC325">
        <v>272</v>
      </c>
      <c r="AD325" t="s">
        <v>280</v>
      </c>
      <c r="AE325" t="s">
        <v>229</v>
      </c>
      <c r="AI325" t="s">
        <v>281</v>
      </c>
      <c r="AM325" t="s">
        <v>0</v>
      </c>
    </row>
    <row r="326" spans="12:39">
      <c r="M326" s="508" t="s">
        <v>877</v>
      </c>
      <c r="N326" s="507">
        <f t="shared" si="53"/>
        <v>0</v>
      </c>
      <c r="O326" s="507">
        <f t="shared" si="54"/>
        <v>0</v>
      </c>
      <c r="P326" s="507">
        <f t="shared" si="55"/>
        <v>0</v>
      </c>
      <c r="Q326" s="507">
        <f t="shared" si="56"/>
        <v>0</v>
      </c>
      <c r="R326" s="507">
        <f t="shared" si="57"/>
        <v>0</v>
      </c>
      <c r="S326" s="507">
        <f t="shared" si="58"/>
        <v>0</v>
      </c>
      <c r="T326" s="507">
        <f t="shared" si="59"/>
        <v>0</v>
      </c>
      <c r="U326" s="507">
        <f t="shared" si="60"/>
        <v>0</v>
      </c>
      <c r="V326" s="507">
        <f t="shared" si="61"/>
        <v>0</v>
      </c>
      <c r="W326" s="507">
        <f t="shared" si="62"/>
        <v>0</v>
      </c>
      <c r="X326" s="507">
        <f t="shared" si="63"/>
        <v>0</v>
      </c>
      <c r="Y326" s="507">
        <f t="shared" si="64"/>
        <v>0</v>
      </c>
      <c r="Z326" s="11">
        <f t="shared" si="65"/>
        <v>0</v>
      </c>
      <c r="AC326">
        <v>274</v>
      </c>
      <c r="AD326" t="s">
        <v>282</v>
      </c>
      <c r="AE326" t="s">
        <v>280</v>
      </c>
      <c r="AI326" t="s">
        <v>283</v>
      </c>
      <c r="AM326" t="s">
        <v>0</v>
      </c>
    </row>
    <row r="327" spans="12:39">
      <c r="M327" s="508" t="s">
        <v>881</v>
      </c>
      <c r="N327" s="507">
        <f t="shared" si="53"/>
        <v>0</v>
      </c>
      <c r="O327" s="507">
        <f t="shared" si="54"/>
        <v>0</v>
      </c>
      <c r="P327" s="507">
        <f t="shared" si="55"/>
        <v>0</v>
      </c>
      <c r="Q327" s="507">
        <f t="shared" si="56"/>
        <v>0</v>
      </c>
      <c r="R327" s="507">
        <f t="shared" si="57"/>
        <v>0</v>
      </c>
      <c r="S327" s="507">
        <f t="shared" si="58"/>
        <v>0</v>
      </c>
      <c r="T327" s="507">
        <f t="shared" si="59"/>
        <v>0</v>
      </c>
      <c r="U327" s="507">
        <f t="shared" si="60"/>
        <v>0</v>
      </c>
      <c r="V327" s="507">
        <f t="shared" si="61"/>
        <v>0</v>
      </c>
      <c r="W327" s="507">
        <f t="shared" si="62"/>
        <v>0</v>
      </c>
      <c r="X327" s="507">
        <f t="shared" si="63"/>
        <v>0</v>
      </c>
      <c r="Y327" s="507">
        <f t="shared" si="64"/>
        <v>0</v>
      </c>
      <c r="Z327" s="11">
        <f t="shared" si="65"/>
        <v>0</v>
      </c>
      <c r="AC327">
        <v>305</v>
      </c>
      <c r="AD327" t="s">
        <v>296</v>
      </c>
      <c r="AE327" t="s">
        <v>280</v>
      </c>
      <c r="AI327" t="s">
        <v>297</v>
      </c>
      <c r="AM327" t="s">
        <v>0</v>
      </c>
    </row>
    <row r="328" spans="12:39">
      <c r="M328" s="508" t="s">
        <v>885</v>
      </c>
      <c r="N328" s="507">
        <f t="shared" si="53"/>
        <v>0</v>
      </c>
      <c r="O328" s="507">
        <f t="shared" si="54"/>
        <v>0</v>
      </c>
      <c r="P328" s="507">
        <f t="shared" si="55"/>
        <v>0</v>
      </c>
      <c r="Q328" s="507">
        <f t="shared" si="56"/>
        <v>0</v>
      </c>
      <c r="R328" s="507">
        <f t="shared" si="57"/>
        <v>0</v>
      </c>
      <c r="S328" s="507">
        <f t="shared" si="58"/>
        <v>0</v>
      </c>
      <c r="T328" s="507">
        <f t="shared" si="59"/>
        <v>0</v>
      </c>
      <c r="U328" s="507">
        <f t="shared" si="60"/>
        <v>0</v>
      </c>
      <c r="V328" s="507">
        <f t="shared" si="61"/>
        <v>0</v>
      </c>
      <c r="W328" s="507">
        <f t="shared" si="62"/>
        <v>0</v>
      </c>
      <c r="X328" s="507">
        <f t="shared" si="63"/>
        <v>0</v>
      </c>
      <c r="Y328" s="507">
        <f t="shared" si="64"/>
        <v>0</v>
      </c>
      <c r="Z328" s="11">
        <f t="shared" si="65"/>
        <v>0</v>
      </c>
      <c r="AC328">
        <v>313</v>
      </c>
      <c r="AD328" t="s">
        <v>303</v>
      </c>
      <c r="AE328" t="s">
        <v>229</v>
      </c>
      <c r="AI328" t="s">
        <v>304</v>
      </c>
      <c r="AM328" t="s">
        <v>0</v>
      </c>
    </row>
    <row r="329" spans="12:39">
      <c r="L329" t="s">
        <v>3864</v>
      </c>
      <c r="M329" s="508" t="s">
        <v>889</v>
      </c>
      <c r="N329" s="507">
        <f t="shared" si="53"/>
        <v>0</v>
      </c>
      <c r="O329" s="507">
        <f t="shared" si="54"/>
        <v>0</v>
      </c>
      <c r="P329" s="507">
        <f t="shared" si="55"/>
        <v>0</v>
      </c>
      <c r="Q329" s="507">
        <f t="shared" si="56"/>
        <v>0</v>
      </c>
      <c r="R329" s="507">
        <f t="shared" si="57"/>
        <v>0</v>
      </c>
      <c r="S329" s="507">
        <f t="shared" si="58"/>
        <v>0</v>
      </c>
      <c r="T329" s="507">
        <f t="shared" si="59"/>
        <v>0</v>
      </c>
      <c r="U329" s="507">
        <f t="shared" si="60"/>
        <v>0</v>
      </c>
      <c r="V329" s="507">
        <f t="shared" si="61"/>
        <v>0</v>
      </c>
      <c r="W329" s="507">
        <f t="shared" si="62"/>
        <v>0</v>
      </c>
      <c r="X329" s="507">
        <f t="shared" si="63"/>
        <v>0</v>
      </c>
      <c r="Y329" s="507">
        <f t="shared" si="64"/>
        <v>0</v>
      </c>
      <c r="Z329" s="11">
        <f t="shared" si="65"/>
        <v>0</v>
      </c>
      <c r="AC329">
        <v>321</v>
      </c>
      <c r="AD329" t="s">
        <v>311</v>
      </c>
      <c r="AE329" t="s">
        <v>229</v>
      </c>
      <c r="AI329" t="s">
        <v>312</v>
      </c>
      <c r="AM329" t="s">
        <v>0</v>
      </c>
    </row>
    <row r="330" spans="12:39">
      <c r="L330" t="s">
        <v>3866</v>
      </c>
      <c r="M330" s="508" t="s">
        <v>891</v>
      </c>
      <c r="N330" s="507">
        <f t="shared" si="53"/>
        <v>0</v>
      </c>
      <c r="O330" s="507">
        <f t="shared" si="54"/>
        <v>0</v>
      </c>
      <c r="P330" s="507">
        <f t="shared" si="55"/>
        <v>0</v>
      </c>
      <c r="Q330" s="507">
        <f t="shared" si="56"/>
        <v>0</v>
      </c>
      <c r="R330" s="507">
        <f t="shared" si="57"/>
        <v>0</v>
      </c>
      <c r="S330" s="507">
        <f t="shared" si="58"/>
        <v>0</v>
      </c>
      <c r="T330" s="507">
        <f t="shared" si="59"/>
        <v>0</v>
      </c>
      <c r="U330" s="507">
        <f t="shared" si="60"/>
        <v>0</v>
      </c>
      <c r="V330" s="507">
        <f t="shared" si="61"/>
        <v>0</v>
      </c>
      <c r="W330" s="507">
        <f t="shared" si="62"/>
        <v>0</v>
      </c>
      <c r="X330" s="507">
        <f t="shared" si="63"/>
        <v>0</v>
      </c>
      <c r="Y330" s="507">
        <f t="shared" si="64"/>
        <v>0</v>
      </c>
      <c r="Z330" s="11">
        <f t="shared" si="65"/>
        <v>0</v>
      </c>
      <c r="AC330">
        <v>331</v>
      </c>
      <c r="AD330" t="s">
        <v>321</v>
      </c>
      <c r="AE330" t="s">
        <v>229</v>
      </c>
      <c r="AI330" t="s">
        <v>322</v>
      </c>
      <c r="AM330" t="s">
        <v>0</v>
      </c>
    </row>
    <row r="331" spans="12:39">
      <c r="L331" t="s">
        <v>3852</v>
      </c>
      <c r="M331" s="508" t="s">
        <v>2393</v>
      </c>
      <c r="N331" s="507">
        <f t="shared" si="53"/>
        <v>0</v>
      </c>
      <c r="O331" s="507">
        <f t="shared" si="54"/>
        <v>0</v>
      </c>
      <c r="P331" s="507">
        <f t="shared" si="55"/>
        <v>0</v>
      </c>
      <c r="Q331" s="507">
        <f t="shared" si="56"/>
        <v>0</v>
      </c>
      <c r="R331" s="507">
        <f t="shared" si="57"/>
        <v>0</v>
      </c>
      <c r="S331" s="507">
        <f t="shared" si="58"/>
        <v>0</v>
      </c>
      <c r="T331" s="507">
        <f t="shared" si="59"/>
        <v>0</v>
      </c>
      <c r="U331" s="507">
        <f t="shared" si="60"/>
        <v>0</v>
      </c>
      <c r="V331" s="507">
        <f t="shared" si="61"/>
        <v>0</v>
      </c>
      <c r="W331" s="507">
        <f t="shared" si="62"/>
        <v>0</v>
      </c>
      <c r="X331" s="507">
        <f t="shared" si="63"/>
        <v>0</v>
      </c>
      <c r="Y331" s="507">
        <f t="shared" si="64"/>
        <v>0</v>
      </c>
      <c r="Z331" s="11">
        <f t="shared" si="65"/>
        <v>0</v>
      </c>
      <c r="AC331">
        <v>359</v>
      </c>
      <c r="AD331" t="s">
        <v>349</v>
      </c>
      <c r="AE331" t="s">
        <v>225</v>
      </c>
      <c r="AI331" t="s">
        <v>350</v>
      </c>
      <c r="AM331" t="s">
        <v>0</v>
      </c>
    </row>
    <row r="332" spans="12:39">
      <c r="L332" t="s">
        <v>3860</v>
      </c>
      <c r="M332" s="508" t="s">
        <v>3865</v>
      </c>
      <c r="N332" s="507">
        <f t="shared" ref="N332:N338" si="66">IFERROR(VLOOKUP(M332,$AV$8:$AW$298,2,FALSE),0)</f>
        <v>0</v>
      </c>
      <c r="O332" s="507">
        <f t="shared" ref="O332:O338" si="67">IFERROR(VLOOKUP(M332,$AZ$8:$BA$298,2,FALSE),0)</f>
        <v>0</v>
      </c>
      <c r="P332" s="507">
        <f t="shared" ref="P332:P338" si="68">IFERROR(VLOOKUP(M332,$BD$8:$BE$298,2,FALSE),0)</f>
        <v>0</v>
      </c>
      <c r="Q332" s="507">
        <f t="shared" si="56"/>
        <v>0</v>
      </c>
      <c r="R332" s="507">
        <f t="shared" si="57"/>
        <v>0</v>
      </c>
      <c r="S332" s="507">
        <f t="shared" si="58"/>
        <v>0</v>
      </c>
      <c r="T332" s="507">
        <f t="shared" si="59"/>
        <v>0</v>
      </c>
      <c r="U332" s="507">
        <f t="shared" si="60"/>
        <v>0</v>
      </c>
      <c r="V332" s="507">
        <f t="shared" si="61"/>
        <v>0</v>
      </c>
      <c r="W332" s="507">
        <f t="shared" si="62"/>
        <v>0</v>
      </c>
      <c r="X332" s="507">
        <f t="shared" si="63"/>
        <v>0</v>
      </c>
      <c r="Y332" s="507">
        <f t="shared" si="64"/>
        <v>0</v>
      </c>
      <c r="Z332" s="11"/>
      <c r="AC332">
        <v>361</v>
      </c>
      <c r="AD332" t="s">
        <v>351</v>
      </c>
      <c r="AE332" t="s">
        <v>349</v>
      </c>
      <c r="AI332" t="s">
        <v>352</v>
      </c>
      <c r="AM332" t="s">
        <v>0</v>
      </c>
    </row>
    <row r="333" spans="12:39">
      <c r="L333" t="s">
        <v>3862</v>
      </c>
      <c r="M333" s="508" t="s">
        <v>3867</v>
      </c>
      <c r="N333" s="507">
        <f t="shared" si="66"/>
        <v>0</v>
      </c>
      <c r="O333" s="507">
        <f t="shared" si="67"/>
        <v>0</v>
      </c>
      <c r="P333" s="507">
        <f t="shared" si="68"/>
        <v>0</v>
      </c>
      <c r="Q333" s="507">
        <f t="shared" si="56"/>
        <v>0</v>
      </c>
      <c r="R333" s="507">
        <f t="shared" si="57"/>
        <v>0</v>
      </c>
      <c r="S333" s="507">
        <f t="shared" si="58"/>
        <v>0</v>
      </c>
      <c r="T333" s="507">
        <f t="shared" si="59"/>
        <v>0</v>
      </c>
      <c r="U333" s="507">
        <f t="shared" si="60"/>
        <v>0</v>
      </c>
      <c r="V333" s="507">
        <f t="shared" si="61"/>
        <v>0</v>
      </c>
      <c r="W333" s="507">
        <f t="shared" si="62"/>
        <v>0</v>
      </c>
      <c r="X333" s="507">
        <f t="shared" si="63"/>
        <v>0</v>
      </c>
      <c r="Y333" s="507">
        <f t="shared" si="64"/>
        <v>0</v>
      </c>
      <c r="Z333" s="11"/>
      <c r="AC333">
        <v>363</v>
      </c>
      <c r="AD333" t="s">
        <v>353</v>
      </c>
      <c r="AE333" t="s">
        <v>351</v>
      </c>
      <c r="AI333" t="s">
        <v>354</v>
      </c>
      <c r="AM333" t="s">
        <v>0</v>
      </c>
    </row>
    <row r="334" spans="12:39">
      <c r="M334" s="508" t="s">
        <v>3853</v>
      </c>
      <c r="N334" s="507">
        <f t="shared" si="66"/>
        <v>0</v>
      </c>
      <c r="O334" s="507">
        <f t="shared" si="67"/>
        <v>0</v>
      </c>
      <c r="P334" s="507">
        <f t="shared" si="68"/>
        <v>0</v>
      </c>
      <c r="Q334" s="507">
        <f t="shared" si="56"/>
        <v>0</v>
      </c>
      <c r="R334" s="507">
        <f t="shared" si="57"/>
        <v>0</v>
      </c>
      <c r="S334" s="507">
        <f t="shared" si="58"/>
        <v>0</v>
      </c>
      <c r="T334" s="507">
        <f t="shared" si="59"/>
        <v>0</v>
      </c>
      <c r="U334" s="507">
        <f t="shared" si="60"/>
        <v>0</v>
      </c>
      <c r="V334" s="507">
        <f t="shared" si="61"/>
        <v>0</v>
      </c>
      <c r="W334" s="507">
        <f t="shared" si="62"/>
        <v>0</v>
      </c>
      <c r="X334" s="507">
        <f t="shared" si="63"/>
        <v>0</v>
      </c>
      <c r="Y334" s="507">
        <f t="shared" si="64"/>
        <v>0</v>
      </c>
      <c r="Z334" s="11"/>
      <c r="AC334">
        <v>383</v>
      </c>
      <c r="AD334" t="s">
        <v>373</v>
      </c>
      <c r="AE334" t="s">
        <v>225</v>
      </c>
      <c r="AI334" t="s">
        <v>374</v>
      </c>
      <c r="AM334" t="s">
        <v>0</v>
      </c>
    </row>
    <row r="335" spans="12:39">
      <c r="M335" s="508" t="s">
        <v>3861</v>
      </c>
      <c r="N335" s="507">
        <f t="shared" si="66"/>
        <v>0</v>
      </c>
      <c r="O335" s="507">
        <f t="shared" si="67"/>
        <v>4500</v>
      </c>
      <c r="P335" s="507">
        <f t="shared" si="68"/>
        <v>1105000</v>
      </c>
      <c r="Q335" s="507">
        <f t="shared" si="56"/>
        <v>0</v>
      </c>
      <c r="R335" s="507">
        <f t="shared" si="57"/>
        <v>0</v>
      </c>
      <c r="S335" s="507">
        <f t="shared" si="58"/>
        <v>0</v>
      </c>
      <c r="T335" s="507">
        <f t="shared" si="59"/>
        <v>0</v>
      </c>
      <c r="U335" s="507">
        <f t="shared" si="60"/>
        <v>0</v>
      </c>
      <c r="V335" s="507">
        <f t="shared" si="61"/>
        <v>0</v>
      </c>
      <c r="W335" s="507">
        <f t="shared" si="62"/>
        <v>0</v>
      </c>
      <c r="X335" s="507">
        <f t="shared" si="63"/>
        <v>0</v>
      </c>
      <c r="Y335" s="507">
        <f t="shared" si="64"/>
        <v>0</v>
      </c>
      <c r="Z335" s="11"/>
    </row>
    <row r="336" spans="12:39">
      <c r="M336" s="508" t="s">
        <v>3863</v>
      </c>
      <c r="N336" s="507">
        <f t="shared" si="66"/>
        <v>0</v>
      </c>
      <c r="O336" s="507">
        <f t="shared" si="67"/>
        <v>0</v>
      </c>
      <c r="P336" s="507">
        <f t="shared" si="68"/>
        <v>0</v>
      </c>
      <c r="Q336" s="507">
        <f t="shared" si="56"/>
        <v>0</v>
      </c>
      <c r="R336" s="507">
        <f t="shared" si="57"/>
        <v>0</v>
      </c>
      <c r="S336" s="507">
        <f t="shared" si="58"/>
        <v>0</v>
      </c>
      <c r="T336" s="507">
        <f t="shared" si="59"/>
        <v>0</v>
      </c>
      <c r="U336" s="507">
        <f t="shared" si="60"/>
        <v>0</v>
      </c>
      <c r="V336" s="507">
        <f t="shared" si="61"/>
        <v>0</v>
      </c>
      <c r="W336" s="507">
        <f t="shared" si="62"/>
        <v>0</v>
      </c>
      <c r="X336" s="507">
        <f t="shared" si="63"/>
        <v>0</v>
      </c>
      <c r="Y336" s="507">
        <f t="shared" si="64"/>
        <v>0</v>
      </c>
      <c r="Z336" s="11"/>
    </row>
    <row r="337" spans="13:90">
      <c r="M337" s="508" t="s">
        <v>3859</v>
      </c>
      <c r="N337" s="507">
        <f t="shared" si="66"/>
        <v>0</v>
      </c>
      <c r="O337" s="507">
        <f t="shared" si="67"/>
        <v>0</v>
      </c>
      <c r="P337" s="507">
        <f t="shared" si="68"/>
        <v>0</v>
      </c>
      <c r="Q337" s="507">
        <f t="shared" si="56"/>
        <v>0</v>
      </c>
      <c r="R337" s="507">
        <f t="shared" si="57"/>
        <v>0</v>
      </c>
      <c r="S337" s="507">
        <f t="shared" si="58"/>
        <v>0</v>
      </c>
      <c r="T337" s="507">
        <f t="shared" si="59"/>
        <v>0</v>
      </c>
      <c r="U337" s="507">
        <f t="shared" si="60"/>
        <v>0</v>
      </c>
      <c r="V337" s="507">
        <f t="shared" si="61"/>
        <v>0</v>
      </c>
      <c r="W337" s="507">
        <f t="shared" si="62"/>
        <v>0</v>
      </c>
      <c r="X337" s="507">
        <f t="shared" si="63"/>
        <v>0</v>
      </c>
      <c r="Y337" s="507">
        <f t="shared" si="64"/>
        <v>0</v>
      </c>
      <c r="Z337" s="11"/>
    </row>
    <row r="338" spans="13:90">
      <c r="M338" s="508" t="s">
        <v>3885</v>
      </c>
      <c r="N338" s="507">
        <f t="shared" si="66"/>
        <v>0</v>
      </c>
      <c r="O338" s="507">
        <f t="shared" si="67"/>
        <v>0</v>
      </c>
      <c r="P338" s="507">
        <f t="shared" si="68"/>
        <v>0</v>
      </c>
      <c r="Q338" s="507">
        <f t="shared" si="56"/>
        <v>0</v>
      </c>
      <c r="R338" s="507">
        <f t="shared" si="57"/>
        <v>0</v>
      </c>
      <c r="S338" s="507">
        <f t="shared" si="58"/>
        <v>0</v>
      </c>
      <c r="T338" s="507">
        <f t="shared" si="59"/>
        <v>0</v>
      </c>
      <c r="U338" s="507">
        <f t="shared" si="60"/>
        <v>0</v>
      </c>
      <c r="V338" s="507">
        <f t="shared" si="61"/>
        <v>0</v>
      </c>
      <c r="W338" s="507">
        <f t="shared" si="62"/>
        <v>0</v>
      </c>
      <c r="X338" s="507">
        <f t="shared" si="63"/>
        <v>0</v>
      </c>
      <c r="Y338" s="507">
        <f t="shared" si="64"/>
        <v>0</v>
      </c>
      <c r="Z338" s="11"/>
    </row>
    <row r="339" spans="13:90">
      <c r="M339" s="508" t="s">
        <v>3900</v>
      </c>
      <c r="N339" s="507">
        <f t="shared" ref="N339:N350" si="69">IFERROR(VLOOKUP(M339,$AV$8:$AW$298,2,FALSE),0)</f>
        <v>0</v>
      </c>
      <c r="O339" s="507">
        <f t="shared" ref="O339:O350" si="70">IFERROR(VLOOKUP(M339,$AZ$8:$BA$298,2,FALSE),0)</f>
        <v>266118.21999999997</v>
      </c>
      <c r="P339" s="507">
        <f t="shared" ref="P339:P350" si="71">IFERROR(VLOOKUP(M339,$BD$8:$BE$298,2,FALSE),0)</f>
        <v>65502.27</v>
      </c>
      <c r="Q339" s="507">
        <f t="shared" si="56"/>
        <v>0</v>
      </c>
      <c r="R339" s="507">
        <f t="shared" si="57"/>
        <v>0</v>
      </c>
      <c r="S339" s="507">
        <f t="shared" si="58"/>
        <v>0</v>
      </c>
      <c r="T339" s="507">
        <f t="shared" si="59"/>
        <v>0</v>
      </c>
      <c r="U339" s="507">
        <f t="shared" si="60"/>
        <v>0</v>
      </c>
      <c r="V339" s="507">
        <f t="shared" si="61"/>
        <v>0</v>
      </c>
      <c r="W339" s="507">
        <f t="shared" si="62"/>
        <v>0</v>
      </c>
      <c r="X339" s="507">
        <f t="shared" si="63"/>
        <v>0</v>
      </c>
      <c r="Y339" s="507">
        <f t="shared" si="64"/>
        <v>0</v>
      </c>
      <c r="Z339" s="11"/>
    </row>
    <row r="340" spans="13:90">
      <c r="M340" s="508" t="s">
        <v>3901</v>
      </c>
      <c r="N340" s="507">
        <f t="shared" si="69"/>
        <v>0</v>
      </c>
      <c r="O340" s="507">
        <f t="shared" si="70"/>
        <v>0</v>
      </c>
      <c r="P340" s="507">
        <f t="shared" si="71"/>
        <v>0</v>
      </c>
      <c r="Q340" s="507">
        <f t="shared" si="56"/>
        <v>0</v>
      </c>
      <c r="R340" s="507">
        <f t="shared" si="57"/>
        <v>0</v>
      </c>
      <c r="S340" s="507">
        <f t="shared" si="58"/>
        <v>0</v>
      </c>
      <c r="T340" s="507">
        <f t="shared" si="59"/>
        <v>0</v>
      </c>
      <c r="U340" s="507">
        <f t="shared" si="60"/>
        <v>0</v>
      </c>
      <c r="V340" s="507">
        <f t="shared" si="61"/>
        <v>0</v>
      </c>
      <c r="W340" s="507">
        <f t="shared" si="62"/>
        <v>0</v>
      </c>
      <c r="X340" s="507">
        <f t="shared" si="63"/>
        <v>0</v>
      </c>
      <c r="Y340" s="507">
        <f t="shared" si="64"/>
        <v>0</v>
      </c>
      <c r="Z340" s="11"/>
      <c r="CL340" s="1628"/>
    </row>
    <row r="341" spans="13:90">
      <c r="M341" s="508" t="s">
        <v>3902</v>
      </c>
      <c r="N341" s="507">
        <f t="shared" si="69"/>
        <v>0</v>
      </c>
      <c r="O341" s="507">
        <f t="shared" si="70"/>
        <v>0</v>
      </c>
      <c r="P341" s="507">
        <f t="shared" si="71"/>
        <v>0</v>
      </c>
      <c r="Q341" s="507">
        <f t="shared" si="56"/>
        <v>0</v>
      </c>
      <c r="R341" s="507">
        <f t="shared" si="57"/>
        <v>0</v>
      </c>
      <c r="S341" s="507">
        <f t="shared" si="58"/>
        <v>0</v>
      </c>
      <c r="T341" s="507">
        <f t="shared" si="59"/>
        <v>0</v>
      </c>
      <c r="U341" s="507">
        <f t="shared" si="60"/>
        <v>0</v>
      </c>
      <c r="V341" s="507">
        <f t="shared" si="61"/>
        <v>0</v>
      </c>
      <c r="W341" s="507">
        <f t="shared" si="62"/>
        <v>0</v>
      </c>
      <c r="X341" s="507">
        <f t="shared" si="63"/>
        <v>0</v>
      </c>
      <c r="Y341" s="507">
        <f t="shared" si="64"/>
        <v>0</v>
      </c>
      <c r="Z341" s="11"/>
      <c r="CL341" s="1628"/>
    </row>
    <row r="342" spans="13:90">
      <c r="M342" s="508" t="s">
        <v>3991</v>
      </c>
      <c r="N342" s="507">
        <f>IFERROR(VLOOKUP(M342,$AV$8:$AW$298,2,FALSE),0)</f>
        <v>0</v>
      </c>
      <c r="O342" s="507">
        <f>IFERROR(VLOOKUP(M342,$AZ$8:$BA$298,2,FALSE),0)</f>
        <v>0</v>
      </c>
      <c r="P342" s="507">
        <f>IFERROR(VLOOKUP(M342,$BD$8:$BE$298,2,FALSE),0)</f>
        <v>0</v>
      </c>
      <c r="Q342" s="507">
        <f t="shared" si="56"/>
        <v>0</v>
      </c>
      <c r="R342" s="507">
        <f t="shared" si="57"/>
        <v>0</v>
      </c>
      <c r="S342" s="507">
        <f t="shared" si="58"/>
        <v>0</v>
      </c>
      <c r="T342" s="507">
        <f t="shared" si="59"/>
        <v>0</v>
      </c>
      <c r="U342" s="507">
        <f t="shared" si="60"/>
        <v>0</v>
      </c>
      <c r="V342" s="507">
        <f t="shared" si="61"/>
        <v>0</v>
      </c>
      <c r="W342" s="507">
        <f t="shared" si="62"/>
        <v>0</v>
      </c>
      <c r="X342" s="507">
        <f t="shared" si="63"/>
        <v>0</v>
      </c>
      <c r="Y342" s="507">
        <f t="shared" si="64"/>
        <v>0</v>
      </c>
      <c r="Z342" s="11"/>
      <c r="CL342" s="1628"/>
    </row>
    <row r="343" spans="13:90">
      <c r="M343" s="508" t="s">
        <v>4003</v>
      </c>
      <c r="N343" s="507">
        <f>IFERROR(VLOOKUP(M343,$AV$8:$AW$298,2,FALSE),0)</f>
        <v>0</v>
      </c>
      <c r="O343" s="507">
        <f>IFERROR(VLOOKUP(M343,$AZ$8:$BA$298,2,FALSE),0)</f>
        <v>0</v>
      </c>
      <c r="P343" s="507">
        <f>IFERROR(VLOOKUP(M343,$BD$8:$BE$298,2,FALSE),0)</f>
        <v>0</v>
      </c>
      <c r="Q343" s="507">
        <f t="shared" si="56"/>
        <v>0</v>
      </c>
      <c r="R343" s="507">
        <f t="shared" si="57"/>
        <v>0</v>
      </c>
      <c r="S343" s="507">
        <f t="shared" si="58"/>
        <v>0</v>
      </c>
      <c r="T343" s="507">
        <f t="shared" si="59"/>
        <v>0</v>
      </c>
      <c r="U343" s="507">
        <f t="shared" si="60"/>
        <v>0</v>
      </c>
      <c r="V343" s="507">
        <f t="shared" si="61"/>
        <v>0</v>
      </c>
      <c r="W343" s="507">
        <f t="shared" si="62"/>
        <v>0</v>
      </c>
      <c r="X343" s="507">
        <f t="shared" si="63"/>
        <v>0</v>
      </c>
      <c r="Y343" s="507">
        <f t="shared" si="64"/>
        <v>0</v>
      </c>
      <c r="Z343" s="11"/>
      <c r="CL343" s="1628"/>
    </row>
    <row r="344" spans="13:90">
      <c r="M344" s="508" t="s">
        <v>4032</v>
      </c>
      <c r="N344" s="507">
        <f>IFERROR(VLOOKUP(M344,$AV$8:$AW$298,2,FALSE),0)</f>
        <v>0</v>
      </c>
      <c r="O344" s="507">
        <f>IFERROR(VLOOKUP(M344,$AZ$8:$BA$298,2,FALSE),0)</f>
        <v>0</v>
      </c>
      <c r="P344" s="507">
        <f>IFERROR(VLOOKUP(M344,$BD$8:$BE$298,2,FALSE),0)</f>
        <v>0</v>
      </c>
      <c r="Q344" s="507">
        <f t="shared" si="56"/>
        <v>0</v>
      </c>
      <c r="R344" s="507">
        <f t="shared" si="57"/>
        <v>0</v>
      </c>
      <c r="S344" s="507">
        <f t="shared" si="58"/>
        <v>0</v>
      </c>
      <c r="T344" s="507">
        <f t="shared" si="59"/>
        <v>0</v>
      </c>
      <c r="U344" s="507">
        <f t="shared" si="60"/>
        <v>0</v>
      </c>
      <c r="V344" s="507">
        <f t="shared" si="61"/>
        <v>0</v>
      </c>
      <c r="W344" s="507">
        <f t="shared" si="62"/>
        <v>0</v>
      </c>
      <c r="X344" s="507">
        <f t="shared" si="63"/>
        <v>0</v>
      </c>
      <c r="Y344" s="507">
        <f t="shared" si="64"/>
        <v>0</v>
      </c>
      <c r="Z344" s="11"/>
      <c r="CL344" s="1628"/>
    </row>
    <row r="345" spans="13:90">
      <c r="M345" s="508" t="s">
        <v>4034</v>
      </c>
      <c r="N345" s="507">
        <f>IFERROR(VLOOKUP(M345,$AV$8:$AW$298,2,FALSE),0)</f>
        <v>0</v>
      </c>
      <c r="O345" s="507">
        <f>IFERROR(VLOOKUP(M345,$AZ$8:$BA$298,2,FALSE),0)</f>
        <v>0</v>
      </c>
      <c r="P345" s="507">
        <f>IFERROR(VLOOKUP(M345,$BD$8:$BE$298,2,FALSE),0)</f>
        <v>0</v>
      </c>
      <c r="Q345" s="507">
        <f t="shared" si="56"/>
        <v>0</v>
      </c>
      <c r="R345" s="507">
        <f t="shared" si="57"/>
        <v>0</v>
      </c>
      <c r="S345" s="507">
        <f t="shared" si="58"/>
        <v>0</v>
      </c>
      <c r="T345" s="507">
        <f t="shared" si="59"/>
        <v>0</v>
      </c>
      <c r="U345" s="507">
        <f t="shared" si="60"/>
        <v>0</v>
      </c>
      <c r="V345" s="507">
        <f t="shared" si="61"/>
        <v>0</v>
      </c>
      <c r="W345" s="507">
        <f t="shared" si="62"/>
        <v>0</v>
      </c>
      <c r="X345" s="507">
        <f t="shared" si="63"/>
        <v>0</v>
      </c>
      <c r="Y345" s="507">
        <f t="shared" si="64"/>
        <v>0</v>
      </c>
      <c r="Z345" s="11"/>
    </row>
    <row r="346" spans="13:90">
      <c r="M346" s="508" t="s">
        <v>4039</v>
      </c>
      <c r="N346" s="507">
        <f>IFERROR(VLOOKUP(M346,$AV$8:$AW$298,2,FALSE),0)</f>
        <v>0</v>
      </c>
      <c r="O346" s="507">
        <f>IFERROR(VLOOKUP(M346,$AZ$8:$BA$298,2,FALSE),0)</f>
        <v>0</v>
      </c>
      <c r="P346" s="507">
        <f>IFERROR(VLOOKUP(M346,$BD$8:$BE$298,2,FALSE),0)</f>
        <v>0</v>
      </c>
      <c r="Q346" s="507">
        <f t="shared" si="56"/>
        <v>0</v>
      </c>
      <c r="R346" s="507">
        <f t="shared" si="57"/>
        <v>0</v>
      </c>
      <c r="S346" s="507">
        <f t="shared" si="58"/>
        <v>0</v>
      </c>
      <c r="T346" s="507">
        <f t="shared" si="59"/>
        <v>0</v>
      </c>
      <c r="U346" s="507">
        <f t="shared" si="60"/>
        <v>0</v>
      </c>
      <c r="V346" s="507">
        <f t="shared" si="61"/>
        <v>0</v>
      </c>
      <c r="W346" s="507">
        <f t="shared" si="62"/>
        <v>0</v>
      </c>
      <c r="X346" s="507">
        <f t="shared" si="63"/>
        <v>0</v>
      </c>
      <c r="Y346" s="507">
        <f t="shared" si="64"/>
        <v>0</v>
      </c>
      <c r="Z346" s="11"/>
    </row>
    <row r="347" spans="13:90">
      <c r="M347" s="508" t="s">
        <v>3903</v>
      </c>
      <c r="N347" s="507">
        <f t="shared" si="69"/>
        <v>0</v>
      </c>
      <c r="O347" s="507">
        <f t="shared" si="70"/>
        <v>4625</v>
      </c>
      <c r="P347" s="507">
        <f t="shared" si="71"/>
        <v>0</v>
      </c>
      <c r="Q347" s="507">
        <f t="shared" si="56"/>
        <v>0</v>
      </c>
      <c r="R347" s="507">
        <f t="shared" si="57"/>
        <v>0</v>
      </c>
      <c r="S347" s="507">
        <f t="shared" si="58"/>
        <v>0</v>
      </c>
      <c r="T347" s="507">
        <f t="shared" si="59"/>
        <v>0</v>
      </c>
      <c r="U347" s="507">
        <f t="shared" si="60"/>
        <v>0</v>
      </c>
      <c r="V347" s="507">
        <f t="shared" si="61"/>
        <v>0</v>
      </c>
      <c r="W347" s="507">
        <f t="shared" si="62"/>
        <v>0</v>
      </c>
      <c r="X347" s="507">
        <f t="shared" si="63"/>
        <v>0</v>
      </c>
      <c r="Y347" s="507">
        <f t="shared" si="64"/>
        <v>0</v>
      </c>
      <c r="Z347" s="11"/>
      <c r="AC347">
        <v>395</v>
      </c>
      <c r="AD347" t="s">
        <v>385</v>
      </c>
      <c r="AE347" t="s">
        <v>225</v>
      </c>
      <c r="AI347" t="s">
        <v>386</v>
      </c>
      <c r="AM347" t="s">
        <v>0</v>
      </c>
    </row>
    <row r="348" spans="13:90">
      <c r="M348" s="508" t="s">
        <v>3943</v>
      </c>
      <c r="N348" s="507">
        <f t="shared" si="69"/>
        <v>0</v>
      </c>
      <c r="O348" s="507">
        <f t="shared" si="70"/>
        <v>0</v>
      </c>
      <c r="P348" s="507">
        <f t="shared" si="71"/>
        <v>4998.54</v>
      </c>
      <c r="Q348" s="507">
        <f t="shared" si="56"/>
        <v>0</v>
      </c>
      <c r="R348" s="507">
        <f t="shared" si="57"/>
        <v>0</v>
      </c>
      <c r="S348" s="507">
        <f t="shared" si="58"/>
        <v>0</v>
      </c>
      <c r="T348" s="507">
        <f t="shared" si="59"/>
        <v>0</v>
      </c>
      <c r="U348" s="507">
        <f t="shared" si="60"/>
        <v>0</v>
      </c>
      <c r="V348" s="507">
        <f t="shared" si="61"/>
        <v>0</v>
      </c>
      <c r="W348" s="507">
        <f t="shared" si="62"/>
        <v>0</v>
      </c>
      <c r="X348" s="507">
        <f t="shared" si="63"/>
        <v>0</v>
      </c>
      <c r="Y348" s="507">
        <f t="shared" si="64"/>
        <v>0</v>
      </c>
      <c r="Z348" s="11"/>
      <c r="AC348">
        <v>397</v>
      </c>
      <c r="AD348" t="s">
        <v>387</v>
      </c>
      <c r="AE348" t="s">
        <v>385</v>
      </c>
      <c r="AI348" t="s">
        <v>388</v>
      </c>
      <c r="AM348" t="s">
        <v>0</v>
      </c>
    </row>
    <row r="349" spans="13:90">
      <c r="M349" s="508" t="s">
        <v>3926</v>
      </c>
      <c r="N349" s="507">
        <f t="shared" si="69"/>
        <v>0</v>
      </c>
      <c r="O349" s="507">
        <f t="shared" si="70"/>
        <v>0</v>
      </c>
      <c r="P349" s="507">
        <f t="shared" si="71"/>
        <v>1191000</v>
      </c>
      <c r="Q349" s="507">
        <f t="shared" si="56"/>
        <v>0</v>
      </c>
      <c r="R349" s="507">
        <f t="shared" si="57"/>
        <v>0</v>
      </c>
      <c r="S349" s="507">
        <f t="shared" si="58"/>
        <v>0</v>
      </c>
      <c r="T349" s="507">
        <f t="shared" si="59"/>
        <v>0</v>
      </c>
      <c r="U349" s="507">
        <f t="shared" si="60"/>
        <v>0</v>
      </c>
      <c r="V349" s="507">
        <f t="shared" si="61"/>
        <v>0</v>
      </c>
      <c r="W349" s="507">
        <f t="shared" si="62"/>
        <v>0</v>
      </c>
      <c r="X349" s="507">
        <f t="shared" si="63"/>
        <v>0</v>
      </c>
      <c r="Y349" s="507">
        <f t="shared" si="64"/>
        <v>0</v>
      </c>
      <c r="Z349" s="11"/>
      <c r="AC349">
        <v>401</v>
      </c>
      <c r="AD349" t="s">
        <v>391</v>
      </c>
      <c r="AE349" t="s">
        <v>139</v>
      </c>
      <c r="AI349" t="s">
        <v>392</v>
      </c>
      <c r="AM349" t="s">
        <v>0</v>
      </c>
    </row>
    <row r="350" spans="13:90">
      <c r="M350" s="508" t="s">
        <v>3927</v>
      </c>
      <c r="N350" s="507">
        <f t="shared" si="69"/>
        <v>0</v>
      </c>
      <c r="O350" s="507">
        <f t="shared" si="70"/>
        <v>0</v>
      </c>
      <c r="P350" s="507">
        <f t="shared" si="71"/>
        <v>0</v>
      </c>
      <c r="Q350" s="507">
        <f t="shared" si="56"/>
        <v>0</v>
      </c>
      <c r="R350" s="507">
        <f t="shared" si="57"/>
        <v>0</v>
      </c>
      <c r="S350" s="507">
        <f t="shared" si="58"/>
        <v>0</v>
      </c>
      <c r="T350" s="507">
        <f t="shared" si="59"/>
        <v>0</v>
      </c>
      <c r="U350" s="507">
        <f t="shared" si="60"/>
        <v>0</v>
      </c>
      <c r="V350" s="507">
        <f t="shared" si="61"/>
        <v>0</v>
      </c>
      <c r="W350" s="507">
        <f t="shared" si="62"/>
        <v>0</v>
      </c>
      <c r="X350" s="507">
        <f t="shared" si="63"/>
        <v>0</v>
      </c>
      <c r="Y350" s="507">
        <f t="shared" si="64"/>
        <v>0</v>
      </c>
      <c r="Z350" s="11"/>
      <c r="AC350">
        <v>415</v>
      </c>
      <c r="AD350" t="s">
        <v>405</v>
      </c>
      <c r="AE350" t="s">
        <v>391</v>
      </c>
      <c r="AI350" t="s">
        <v>406</v>
      </c>
      <c r="AM350" t="s">
        <v>0</v>
      </c>
    </row>
    <row r="351" spans="13:90">
      <c r="M351" s="508" t="s">
        <v>3928</v>
      </c>
      <c r="N351" s="507">
        <f>IFERROR(VLOOKUP(M351,$AV$8:$AW$298,2,FALSE),0)</f>
        <v>0</v>
      </c>
      <c r="O351" s="507">
        <f>IFERROR(VLOOKUP(M351,$AZ$8:$BA$298,2,FALSE),0)</f>
        <v>0</v>
      </c>
      <c r="P351" s="507">
        <f>IFERROR(VLOOKUP(M351,$BD$8:$BE$298,2,FALSE),0)</f>
        <v>203388</v>
      </c>
      <c r="Q351" s="507">
        <f t="shared" si="56"/>
        <v>0</v>
      </c>
      <c r="R351" s="507">
        <f t="shared" si="57"/>
        <v>0</v>
      </c>
      <c r="S351" s="507">
        <f t="shared" si="58"/>
        <v>0</v>
      </c>
      <c r="T351" s="507">
        <f t="shared" si="59"/>
        <v>0</v>
      </c>
      <c r="U351" s="507">
        <f t="shared" si="60"/>
        <v>0</v>
      </c>
      <c r="V351" s="507">
        <f t="shared" si="61"/>
        <v>0</v>
      </c>
      <c r="W351" s="507">
        <f t="shared" si="62"/>
        <v>0</v>
      </c>
      <c r="X351" s="507">
        <f t="shared" si="63"/>
        <v>0</v>
      </c>
      <c r="Y351" s="507">
        <f t="shared" si="64"/>
        <v>0</v>
      </c>
      <c r="Z351" s="11"/>
      <c r="AC351">
        <v>444</v>
      </c>
      <c r="AD351" t="s">
        <v>418</v>
      </c>
      <c r="AE351" t="s">
        <v>391</v>
      </c>
      <c r="AI351" t="s">
        <v>419</v>
      </c>
      <c r="AM351" t="s">
        <v>0</v>
      </c>
    </row>
    <row r="352" spans="13:90">
      <c r="M352" s="508" t="s">
        <v>3929</v>
      </c>
      <c r="N352" s="507">
        <f t="shared" ref="N352:N357" si="72">IFERROR(VLOOKUP(M352,$AV$8:$AW$298,2,FALSE),0)</f>
        <v>0</v>
      </c>
      <c r="O352" s="507">
        <f t="shared" ref="O352:O357" si="73">IFERROR(VLOOKUP(M352,$AZ$8:$BA$298,2,FALSE),0)</f>
        <v>0</v>
      </c>
      <c r="P352" s="507">
        <f t="shared" ref="P352:P357" si="74">IFERROR(VLOOKUP(M352,$BD$8:$BE$298,2,FALSE),0)</f>
        <v>620.62</v>
      </c>
      <c r="Q352" s="507">
        <f t="shared" si="56"/>
        <v>0</v>
      </c>
      <c r="R352" s="507">
        <f t="shared" si="57"/>
        <v>0</v>
      </c>
      <c r="S352" s="507">
        <f t="shared" si="58"/>
        <v>0</v>
      </c>
      <c r="T352" s="507">
        <f t="shared" si="59"/>
        <v>0</v>
      </c>
      <c r="U352" s="507">
        <f t="shared" si="60"/>
        <v>0</v>
      </c>
      <c r="V352" s="507">
        <f t="shared" si="61"/>
        <v>0</v>
      </c>
      <c r="W352" s="507">
        <f t="shared" si="62"/>
        <v>0</v>
      </c>
      <c r="X352" s="507">
        <f t="shared" si="63"/>
        <v>0</v>
      </c>
      <c r="Y352" s="507">
        <f t="shared" si="64"/>
        <v>0</v>
      </c>
      <c r="Z352" s="11"/>
      <c r="AC352">
        <v>446</v>
      </c>
      <c r="AD352" t="s">
        <v>420</v>
      </c>
      <c r="AE352" t="s">
        <v>418</v>
      </c>
      <c r="AI352" t="s">
        <v>421</v>
      </c>
      <c r="AM352" t="s">
        <v>0</v>
      </c>
    </row>
    <row r="353" spans="13:90">
      <c r="M353" s="508" t="s">
        <v>3930</v>
      </c>
      <c r="N353" s="507">
        <f t="shared" si="72"/>
        <v>0</v>
      </c>
      <c r="O353" s="507">
        <f t="shared" si="73"/>
        <v>0</v>
      </c>
      <c r="P353" s="507">
        <f t="shared" si="74"/>
        <v>0</v>
      </c>
      <c r="Q353" s="507">
        <f t="shared" si="56"/>
        <v>0</v>
      </c>
      <c r="R353" s="507">
        <f t="shared" si="57"/>
        <v>0</v>
      </c>
      <c r="S353" s="507">
        <f t="shared" si="58"/>
        <v>0</v>
      </c>
      <c r="T353" s="507">
        <f t="shared" si="59"/>
        <v>0</v>
      </c>
      <c r="U353" s="507">
        <f t="shared" si="60"/>
        <v>0</v>
      </c>
      <c r="V353" s="507">
        <f t="shared" si="61"/>
        <v>0</v>
      </c>
      <c r="W353" s="507">
        <f t="shared" si="62"/>
        <v>0</v>
      </c>
      <c r="X353" s="507">
        <f t="shared" si="63"/>
        <v>0</v>
      </c>
      <c r="Y353" s="507">
        <f t="shared" si="64"/>
        <v>0</v>
      </c>
      <c r="Z353" s="11"/>
      <c r="AC353">
        <v>456</v>
      </c>
      <c r="AD353" t="s">
        <v>429</v>
      </c>
      <c r="AE353" t="s">
        <v>284</v>
      </c>
      <c r="AI353" t="s">
        <v>430</v>
      </c>
      <c r="AM353" t="s">
        <v>0</v>
      </c>
    </row>
    <row r="354" spans="13:90">
      <c r="M354" s="508" t="s">
        <v>3945</v>
      </c>
      <c r="N354" s="507">
        <f t="shared" si="72"/>
        <v>0</v>
      </c>
      <c r="O354" s="507">
        <f t="shared" si="73"/>
        <v>0</v>
      </c>
      <c r="P354" s="507">
        <f t="shared" si="74"/>
        <v>0</v>
      </c>
      <c r="Q354" s="507">
        <f t="shared" si="56"/>
        <v>0</v>
      </c>
      <c r="R354" s="507">
        <f t="shared" si="57"/>
        <v>0</v>
      </c>
      <c r="S354" s="507">
        <f t="shared" si="58"/>
        <v>0</v>
      </c>
      <c r="T354" s="507">
        <f t="shared" si="59"/>
        <v>0</v>
      </c>
      <c r="U354" s="507">
        <f t="shared" si="60"/>
        <v>0</v>
      </c>
      <c r="V354" s="507">
        <f t="shared" si="61"/>
        <v>0</v>
      </c>
      <c r="W354" s="507">
        <f t="shared" si="62"/>
        <v>0</v>
      </c>
      <c r="X354" s="507">
        <f t="shared" si="63"/>
        <v>0</v>
      </c>
      <c r="Y354" s="507">
        <f t="shared" si="64"/>
        <v>0</v>
      </c>
      <c r="Z354" s="11"/>
      <c r="CL354" s="1628"/>
    </row>
    <row r="355" spans="13:90">
      <c r="M355" s="508" t="s">
        <v>3957</v>
      </c>
      <c r="N355" s="507">
        <f t="shared" si="72"/>
        <v>0</v>
      </c>
      <c r="O355" s="507">
        <f t="shared" si="73"/>
        <v>0</v>
      </c>
      <c r="P355" s="507">
        <f t="shared" si="74"/>
        <v>0</v>
      </c>
      <c r="Q355" s="507">
        <f t="shared" si="56"/>
        <v>0</v>
      </c>
      <c r="R355" s="507">
        <f t="shared" si="57"/>
        <v>0</v>
      </c>
      <c r="S355" s="507">
        <f t="shared" si="58"/>
        <v>0</v>
      </c>
      <c r="T355" s="507">
        <f t="shared" si="59"/>
        <v>0</v>
      </c>
      <c r="U355" s="507">
        <f t="shared" si="60"/>
        <v>0</v>
      </c>
      <c r="V355" s="507">
        <f t="shared" si="61"/>
        <v>0</v>
      </c>
      <c r="W355" s="507">
        <f t="shared" si="62"/>
        <v>0</v>
      </c>
      <c r="X355" s="507">
        <f t="shared" si="63"/>
        <v>0</v>
      </c>
      <c r="Y355" s="507">
        <f t="shared" si="64"/>
        <v>0</v>
      </c>
      <c r="Z355" s="11"/>
      <c r="AC355">
        <v>460</v>
      </c>
      <c r="AD355" t="s">
        <v>433</v>
      </c>
      <c r="AE355" t="s">
        <v>284</v>
      </c>
      <c r="AI355" t="s">
        <v>434</v>
      </c>
      <c r="AM355" t="s">
        <v>0</v>
      </c>
    </row>
    <row r="356" spans="13:90">
      <c r="M356" s="508" t="s">
        <v>3956</v>
      </c>
      <c r="N356" s="507">
        <f t="shared" si="72"/>
        <v>0</v>
      </c>
      <c r="O356" s="507">
        <f t="shared" si="73"/>
        <v>0</v>
      </c>
      <c r="P356" s="507">
        <f t="shared" si="74"/>
        <v>0</v>
      </c>
      <c r="Q356" s="507">
        <f t="shared" si="56"/>
        <v>0</v>
      </c>
      <c r="R356" s="507">
        <f t="shared" si="57"/>
        <v>0</v>
      </c>
      <c r="S356" s="507">
        <f t="shared" si="58"/>
        <v>0</v>
      </c>
      <c r="T356" s="507">
        <f t="shared" si="59"/>
        <v>0</v>
      </c>
      <c r="U356" s="507">
        <f t="shared" si="60"/>
        <v>0</v>
      </c>
      <c r="V356" s="507">
        <f t="shared" si="61"/>
        <v>0</v>
      </c>
      <c r="W356" s="507">
        <f t="shared" si="62"/>
        <v>0</v>
      </c>
      <c r="X356" s="507">
        <f t="shared" si="63"/>
        <v>0</v>
      </c>
      <c r="Y356" s="507">
        <f t="shared" si="64"/>
        <v>0</v>
      </c>
      <c r="Z356" s="11"/>
      <c r="CL356" s="1743"/>
    </row>
    <row r="357" spans="13:90">
      <c r="M357" s="508" t="s">
        <v>3980</v>
      </c>
      <c r="N357" s="507">
        <f t="shared" si="72"/>
        <v>0</v>
      </c>
      <c r="O357" s="507">
        <f t="shared" si="73"/>
        <v>0</v>
      </c>
      <c r="P357" s="507">
        <f t="shared" si="74"/>
        <v>0</v>
      </c>
      <c r="Q357" s="507">
        <f t="shared" si="56"/>
        <v>0</v>
      </c>
      <c r="R357" s="507">
        <f t="shared" si="57"/>
        <v>0</v>
      </c>
      <c r="S357" s="507">
        <f t="shared" si="58"/>
        <v>0</v>
      </c>
      <c r="T357" s="507">
        <f t="shared" si="59"/>
        <v>0</v>
      </c>
      <c r="U357" s="507">
        <f t="shared" si="60"/>
        <v>0</v>
      </c>
      <c r="V357" s="507">
        <f t="shared" si="61"/>
        <v>0</v>
      </c>
      <c r="W357" s="507">
        <f t="shared" si="62"/>
        <v>0</v>
      </c>
      <c r="X357" s="507">
        <f t="shared" si="63"/>
        <v>0</v>
      </c>
      <c r="Y357" s="507">
        <f t="shared" si="64"/>
        <v>0</v>
      </c>
      <c r="Z357" s="11"/>
      <c r="CL357" s="1743"/>
    </row>
    <row r="358" spans="13:90">
      <c r="M358" s="508" t="s">
        <v>4041</v>
      </c>
      <c r="N358" s="507">
        <f>IFERROR(VLOOKUP(M358,$AV$8:$AW$298,2,FALSE),0)</f>
        <v>0</v>
      </c>
      <c r="O358" s="507">
        <f>IFERROR(VLOOKUP(M358,$AZ$8:$BA$298,2,FALSE),0)</f>
        <v>0</v>
      </c>
      <c r="P358" s="507">
        <f>IFERROR(VLOOKUP(M358,$BD$8:$BE$298,2,FALSE),0)</f>
        <v>0</v>
      </c>
      <c r="Q358" s="507">
        <f t="shared" si="56"/>
        <v>0</v>
      </c>
      <c r="R358" s="507">
        <f t="shared" si="57"/>
        <v>0</v>
      </c>
      <c r="S358" s="507">
        <f t="shared" si="58"/>
        <v>0</v>
      </c>
      <c r="T358" s="507">
        <f t="shared" si="59"/>
        <v>0</v>
      </c>
      <c r="U358" s="507">
        <f t="shared" si="60"/>
        <v>0</v>
      </c>
      <c r="V358" s="507">
        <f t="shared" si="61"/>
        <v>0</v>
      </c>
      <c r="W358" s="507">
        <f t="shared" si="62"/>
        <v>0</v>
      </c>
      <c r="X358" s="507">
        <f t="shared" si="63"/>
        <v>0</v>
      </c>
      <c r="Y358" s="507">
        <f t="shared" si="64"/>
        <v>0</v>
      </c>
      <c r="Z358" s="11"/>
      <c r="AC358">
        <v>466</v>
      </c>
      <c r="AD358" t="s">
        <v>439</v>
      </c>
      <c r="AE358" t="s">
        <v>433</v>
      </c>
      <c r="AI358" t="s">
        <v>440</v>
      </c>
      <c r="AM358" t="s">
        <v>0</v>
      </c>
    </row>
    <row r="359" spans="13:90">
      <c r="M359" s="508" t="s">
        <v>4260</v>
      </c>
      <c r="N359" s="507">
        <f>IFERROR(VLOOKUP(M359,$AV$8:$AW$298,2,FALSE),0)</f>
        <v>0</v>
      </c>
      <c r="O359" s="507">
        <f>IFERROR(VLOOKUP(M359,$AZ$8:$BA$298,2,FALSE),0)</f>
        <v>128920</v>
      </c>
      <c r="P359" s="507">
        <f>IFERROR(VLOOKUP(M359,$BD$8:$BE$298,2,FALSE),0)</f>
        <v>128920</v>
      </c>
      <c r="Q359" s="507">
        <f t="shared" si="56"/>
        <v>0</v>
      </c>
      <c r="R359" s="507">
        <f t="shared" si="57"/>
        <v>0</v>
      </c>
      <c r="S359" s="507">
        <f t="shared" si="58"/>
        <v>0</v>
      </c>
      <c r="T359" s="507">
        <f t="shared" si="59"/>
        <v>0</v>
      </c>
      <c r="U359" s="507">
        <f t="shared" si="60"/>
        <v>0</v>
      </c>
      <c r="V359" s="507">
        <f t="shared" si="61"/>
        <v>0</v>
      </c>
      <c r="W359" s="507">
        <f t="shared" si="62"/>
        <v>0</v>
      </c>
      <c r="X359" s="507">
        <f t="shared" si="63"/>
        <v>0</v>
      </c>
      <c r="Y359" s="507">
        <f t="shared" si="64"/>
        <v>0</v>
      </c>
      <c r="Z359" s="11"/>
      <c r="AC359">
        <v>468</v>
      </c>
      <c r="AD359" t="s">
        <v>441</v>
      </c>
      <c r="AE359" t="s">
        <v>439</v>
      </c>
      <c r="AI359" t="s">
        <v>442</v>
      </c>
      <c r="AM359" t="s">
        <v>0</v>
      </c>
    </row>
    <row r="360" spans="13:90">
      <c r="M360" s="508" t="s">
        <v>2810</v>
      </c>
      <c r="N360" s="507">
        <f t="shared" si="53"/>
        <v>0</v>
      </c>
      <c r="O360" s="507">
        <f t="shared" si="54"/>
        <v>0</v>
      </c>
      <c r="P360" s="507">
        <f t="shared" si="55"/>
        <v>0</v>
      </c>
      <c r="Q360" s="507">
        <f t="shared" si="56"/>
        <v>0</v>
      </c>
      <c r="R360" s="507">
        <f t="shared" si="57"/>
        <v>0</v>
      </c>
      <c r="S360" s="507">
        <f t="shared" si="58"/>
        <v>0</v>
      </c>
      <c r="T360" s="507">
        <f t="shared" si="59"/>
        <v>0</v>
      </c>
      <c r="U360" s="507">
        <f t="shared" si="60"/>
        <v>0</v>
      </c>
      <c r="V360" s="507">
        <f t="shared" si="61"/>
        <v>0</v>
      </c>
      <c r="W360" s="507">
        <f t="shared" si="62"/>
        <v>0</v>
      </c>
      <c r="X360" s="507">
        <f t="shared" si="63"/>
        <v>0</v>
      </c>
      <c r="Y360" s="507">
        <f t="shared" si="64"/>
        <v>0</v>
      </c>
      <c r="Z360" s="11">
        <f t="shared" si="65"/>
        <v>0</v>
      </c>
      <c r="AC360">
        <v>484</v>
      </c>
      <c r="AD360" t="s">
        <v>463</v>
      </c>
      <c r="AE360" t="s">
        <v>439</v>
      </c>
      <c r="AI360" t="s">
        <v>464</v>
      </c>
      <c r="AM360" t="s">
        <v>0</v>
      </c>
    </row>
    <row r="361" spans="13:90">
      <c r="M361" s="508" t="s">
        <v>2811</v>
      </c>
      <c r="N361" s="507">
        <f t="shared" si="53"/>
        <v>0</v>
      </c>
      <c r="O361" s="507">
        <f t="shared" si="54"/>
        <v>0</v>
      </c>
      <c r="P361" s="507">
        <f t="shared" si="55"/>
        <v>0</v>
      </c>
      <c r="Q361" s="507">
        <f t="shared" si="56"/>
        <v>0</v>
      </c>
      <c r="R361" s="507">
        <f t="shared" si="57"/>
        <v>0</v>
      </c>
      <c r="S361" s="507">
        <f t="shared" si="58"/>
        <v>0</v>
      </c>
      <c r="T361" s="507">
        <f t="shared" si="59"/>
        <v>0</v>
      </c>
      <c r="U361" s="507">
        <f t="shared" si="60"/>
        <v>0</v>
      </c>
      <c r="V361" s="507">
        <f t="shared" si="61"/>
        <v>0</v>
      </c>
      <c r="W361" s="507">
        <f t="shared" si="62"/>
        <v>0</v>
      </c>
      <c r="X361" s="507">
        <f t="shared" si="63"/>
        <v>0</v>
      </c>
      <c r="Y361" s="507">
        <f t="shared" si="64"/>
        <v>0</v>
      </c>
      <c r="Z361" s="11">
        <f t="shared" si="65"/>
        <v>0</v>
      </c>
      <c r="AC361">
        <v>492</v>
      </c>
      <c r="AD361" t="s">
        <v>474</v>
      </c>
      <c r="AE361" t="s">
        <v>433</v>
      </c>
      <c r="AI361" t="s">
        <v>475</v>
      </c>
      <c r="AM361" t="s">
        <v>0</v>
      </c>
    </row>
    <row r="362" spans="13:90">
      <c r="M362" s="508" t="s">
        <v>2812</v>
      </c>
      <c r="N362" s="507">
        <f t="shared" si="53"/>
        <v>0</v>
      </c>
      <c r="O362" s="507">
        <f t="shared" si="54"/>
        <v>0</v>
      </c>
      <c r="P362" s="507">
        <f t="shared" si="55"/>
        <v>0</v>
      </c>
      <c r="Q362" s="507">
        <f t="shared" si="56"/>
        <v>0</v>
      </c>
      <c r="R362" s="507">
        <f t="shared" si="57"/>
        <v>0</v>
      </c>
      <c r="S362" s="507">
        <f t="shared" si="58"/>
        <v>0</v>
      </c>
      <c r="T362" s="507">
        <f t="shared" si="59"/>
        <v>0</v>
      </c>
      <c r="U362" s="507">
        <f t="shared" si="60"/>
        <v>0</v>
      </c>
      <c r="V362" s="507">
        <f t="shared" si="61"/>
        <v>0</v>
      </c>
      <c r="W362" s="507">
        <f t="shared" si="62"/>
        <v>0</v>
      </c>
      <c r="X362" s="507">
        <f t="shared" si="63"/>
        <v>0</v>
      </c>
      <c r="Y362" s="507">
        <f t="shared" si="64"/>
        <v>0</v>
      </c>
      <c r="Z362" s="11">
        <f t="shared" si="65"/>
        <v>0</v>
      </c>
      <c r="AC362">
        <v>500</v>
      </c>
      <c r="AD362" t="s">
        <v>482</v>
      </c>
      <c r="AE362" t="s">
        <v>411</v>
      </c>
      <c r="AI362" t="s">
        <v>483</v>
      </c>
      <c r="AM362" t="s">
        <v>0</v>
      </c>
    </row>
    <row r="363" spans="13:90">
      <c r="M363" s="508" t="s">
        <v>2813</v>
      </c>
      <c r="N363" s="507">
        <f t="shared" si="53"/>
        <v>0</v>
      </c>
      <c r="O363" s="507">
        <f t="shared" si="54"/>
        <v>0</v>
      </c>
      <c r="P363" s="507">
        <f t="shared" si="55"/>
        <v>0</v>
      </c>
      <c r="Q363" s="507">
        <f t="shared" si="56"/>
        <v>0</v>
      </c>
      <c r="R363" s="507">
        <f t="shared" si="57"/>
        <v>0</v>
      </c>
      <c r="S363" s="507">
        <f t="shared" si="58"/>
        <v>0</v>
      </c>
      <c r="T363" s="507">
        <f t="shared" si="59"/>
        <v>0</v>
      </c>
      <c r="U363" s="507">
        <f t="shared" si="60"/>
        <v>0</v>
      </c>
      <c r="V363" s="507">
        <f t="shared" si="61"/>
        <v>0</v>
      </c>
      <c r="W363" s="507">
        <f t="shared" si="62"/>
        <v>0</v>
      </c>
      <c r="X363" s="507">
        <f t="shared" si="63"/>
        <v>0</v>
      </c>
      <c r="Y363" s="507">
        <f t="shared" si="64"/>
        <v>0</v>
      </c>
      <c r="Z363" s="11">
        <f t="shared" si="65"/>
        <v>0</v>
      </c>
      <c r="AC363">
        <v>502</v>
      </c>
      <c r="AD363" t="s">
        <v>484</v>
      </c>
      <c r="AE363" t="s">
        <v>482</v>
      </c>
      <c r="AI363" t="s">
        <v>485</v>
      </c>
      <c r="AM363" t="s">
        <v>0</v>
      </c>
    </row>
    <row r="364" spans="13:90">
      <c r="M364" s="508" t="s">
        <v>2814</v>
      </c>
      <c r="N364" s="507">
        <f t="shared" si="53"/>
        <v>0</v>
      </c>
      <c r="O364" s="507">
        <f t="shared" si="54"/>
        <v>0</v>
      </c>
      <c r="P364" s="507">
        <f t="shared" si="55"/>
        <v>0</v>
      </c>
      <c r="Q364" s="507">
        <f t="shared" si="56"/>
        <v>0</v>
      </c>
      <c r="R364" s="507">
        <f t="shared" si="57"/>
        <v>0</v>
      </c>
      <c r="S364" s="507">
        <f t="shared" si="58"/>
        <v>0</v>
      </c>
      <c r="T364" s="507">
        <f t="shared" si="59"/>
        <v>0</v>
      </c>
      <c r="U364" s="507">
        <f t="shared" si="60"/>
        <v>0</v>
      </c>
      <c r="V364" s="507">
        <f t="shared" si="61"/>
        <v>0</v>
      </c>
      <c r="W364" s="507">
        <f t="shared" si="62"/>
        <v>0</v>
      </c>
      <c r="X364" s="507">
        <f t="shared" si="63"/>
        <v>0</v>
      </c>
      <c r="Y364" s="507">
        <f t="shared" si="64"/>
        <v>0</v>
      </c>
      <c r="Z364" s="11">
        <f t="shared" si="65"/>
        <v>0</v>
      </c>
      <c r="AC364">
        <v>504</v>
      </c>
      <c r="AD364" t="s">
        <v>486</v>
      </c>
      <c r="AE364" t="s">
        <v>484</v>
      </c>
      <c r="AI364" t="s">
        <v>487</v>
      </c>
      <c r="AM364" t="s">
        <v>0</v>
      </c>
    </row>
    <row r="365" spans="13:90">
      <c r="M365" s="508" t="s">
        <v>2815</v>
      </c>
      <c r="N365" s="507">
        <f t="shared" si="53"/>
        <v>0</v>
      </c>
      <c r="O365" s="507">
        <f t="shared" si="54"/>
        <v>0</v>
      </c>
      <c r="P365" s="507">
        <f t="shared" si="55"/>
        <v>0</v>
      </c>
      <c r="Q365" s="507">
        <f t="shared" si="56"/>
        <v>0</v>
      </c>
      <c r="R365" s="507">
        <f t="shared" si="57"/>
        <v>0</v>
      </c>
      <c r="S365" s="507">
        <f t="shared" si="58"/>
        <v>0</v>
      </c>
      <c r="T365" s="507">
        <f t="shared" si="59"/>
        <v>0</v>
      </c>
      <c r="U365" s="507">
        <f t="shared" si="60"/>
        <v>0</v>
      </c>
      <c r="V365" s="507">
        <f t="shared" si="61"/>
        <v>0</v>
      </c>
      <c r="W365" s="507">
        <f t="shared" si="62"/>
        <v>0</v>
      </c>
      <c r="X365" s="507">
        <f t="shared" si="63"/>
        <v>0</v>
      </c>
      <c r="Y365" s="507">
        <f t="shared" si="64"/>
        <v>0</v>
      </c>
      <c r="AC365">
        <v>512</v>
      </c>
      <c r="AD365" t="s">
        <v>496</v>
      </c>
      <c r="AE365" t="s">
        <v>484</v>
      </c>
      <c r="AI365" t="s">
        <v>497</v>
      </c>
      <c r="AM365" t="s">
        <v>0</v>
      </c>
    </row>
    <row r="366" spans="13:90">
      <c r="M366" s="508" t="s">
        <v>2816</v>
      </c>
      <c r="N366" s="507">
        <f t="shared" ref="N366:N371" si="75">IFERROR(VLOOKUP(M366,$AV$8:$AW$298,2,FALSE),0)</f>
        <v>0</v>
      </c>
      <c r="O366" s="507">
        <f t="shared" ref="O366:O371" si="76">IFERROR(VLOOKUP(M366,$AZ$8:$BA$298,2,FALSE),0)</f>
        <v>0</v>
      </c>
      <c r="P366" s="507">
        <f t="shared" ref="P366:P371" si="77">IFERROR(VLOOKUP(M366,$BD$8:$BE$298,2,FALSE),0)</f>
        <v>0</v>
      </c>
      <c r="Q366" s="507">
        <f t="shared" ref="Q366:Q371" si="78">IFERROR(VLOOKUP($M366,$BH$8:$BI$298,2,FALSE),0)</f>
        <v>0</v>
      </c>
      <c r="R366" s="507">
        <f t="shared" ref="R366:R371" si="79">IFERROR(VLOOKUP($M366,$BL$8:$BM$298,2,FALSE),0)</f>
        <v>0</v>
      </c>
      <c r="S366" s="507">
        <f t="shared" ref="S366:S371" si="80">IFERROR(VLOOKUP($M366,$BP$8:$BQ$298,2,FALSE),0)</f>
        <v>0</v>
      </c>
      <c r="T366" s="507">
        <f t="shared" ref="T366:T371" si="81">IFERROR(VLOOKUP($M366,$BT$8:$BU$298,2,FALSE),0)</f>
        <v>0</v>
      </c>
      <c r="U366" s="507">
        <f t="shared" ref="U366:U371" si="82">IFERROR(VLOOKUP($M366,$BX$8:$BY$298,2,FALSE),0)</f>
        <v>0</v>
      </c>
      <c r="V366" s="507">
        <f t="shared" ref="V366:V371" si="83">IFERROR(VLOOKUP($M366,$CB$8:$CC$298,2,FALSE),0)</f>
        <v>0</v>
      </c>
      <c r="W366" s="507">
        <f t="shared" ref="W366:W371" si="84">IFERROR(VLOOKUP($M366,$CF$8:$CG$298,2,FALSE),0)</f>
        <v>0</v>
      </c>
      <c r="X366" s="507">
        <f t="shared" ref="X366:X371" si="85">IFERROR(VLOOKUP($M366,$CJ$8:$CK$298,2,FALSE),0)</f>
        <v>0</v>
      </c>
      <c r="Y366" s="507">
        <f t="shared" ref="Y366:Y371" si="86">IFERROR(VLOOKUP($M366,$CN$8:$CO$298,2,FALSE),0)</f>
        <v>0</v>
      </c>
      <c r="AC366">
        <v>522</v>
      </c>
      <c r="AD366" t="s">
        <v>507</v>
      </c>
      <c r="AE366" t="s">
        <v>482</v>
      </c>
      <c r="AI366" t="s">
        <v>508</v>
      </c>
      <c r="AM366" t="s">
        <v>500</v>
      </c>
    </row>
    <row r="367" spans="13:90">
      <c r="M367" s="508" t="s">
        <v>2817</v>
      </c>
      <c r="N367" s="507">
        <f t="shared" si="75"/>
        <v>0</v>
      </c>
      <c r="O367" s="507">
        <f t="shared" si="76"/>
        <v>0</v>
      </c>
      <c r="P367" s="507">
        <f t="shared" si="77"/>
        <v>0</v>
      </c>
      <c r="Q367" s="507">
        <f t="shared" si="78"/>
        <v>0</v>
      </c>
      <c r="R367" s="507">
        <f t="shared" si="79"/>
        <v>0</v>
      </c>
      <c r="S367" s="507">
        <f t="shared" si="80"/>
        <v>0</v>
      </c>
      <c r="T367" s="507">
        <f t="shared" si="81"/>
        <v>0</v>
      </c>
      <c r="U367" s="507">
        <f t="shared" si="82"/>
        <v>0</v>
      </c>
      <c r="V367" s="507">
        <f t="shared" si="83"/>
        <v>0</v>
      </c>
      <c r="W367" s="507">
        <f t="shared" si="84"/>
        <v>0</v>
      </c>
      <c r="X367" s="507">
        <f t="shared" si="85"/>
        <v>0</v>
      </c>
      <c r="Y367" s="507">
        <f t="shared" si="86"/>
        <v>0</v>
      </c>
      <c r="AC367">
        <v>540</v>
      </c>
      <c r="AD367" t="s">
        <v>525</v>
      </c>
      <c r="AE367" t="s">
        <v>482</v>
      </c>
      <c r="AI367" t="s">
        <v>526</v>
      </c>
      <c r="AM367" t="s">
        <v>0</v>
      </c>
    </row>
    <row r="368" spans="13:90">
      <c r="M368" s="508" t="s">
        <v>2857</v>
      </c>
      <c r="N368" s="507">
        <f t="shared" si="75"/>
        <v>0</v>
      </c>
      <c r="O368" s="507">
        <f t="shared" si="76"/>
        <v>0</v>
      </c>
      <c r="P368" s="507">
        <f t="shared" si="77"/>
        <v>0</v>
      </c>
      <c r="Q368" s="507">
        <f t="shared" si="78"/>
        <v>0</v>
      </c>
      <c r="R368" s="507">
        <f t="shared" si="79"/>
        <v>0</v>
      </c>
      <c r="S368" s="507">
        <f t="shared" si="80"/>
        <v>0</v>
      </c>
      <c r="T368" s="507">
        <f t="shared" si="81"/>
        <v>0</v>
      </c>
      <c r="U368" s="507">
        <f t="shared" si="82"/>
        <v>0</v>
      </c>
      <c r="V368" s="507">
        <f t="shared" si="83"/>
        <v>0</v>
      </c>
      <c r="W368" s="507">
        <f t="shared" si="84"/>
        <v>0</v>
      </c>
      <c r="X368" s="507">
        <f t="shared" si="85"/>
        <v>0</v>
      </c>
      <c r="Y368" s="507">
        <f t="shared" si="86"/>
        <v>0</v>
      </c>
      <c r="AC368">
        <v>542</v>
      </c>
      <c r="AD368" t="s">
        <v>527</v>
      </c>
      <c r="AE368" t="s">
        <v>525</v>
      </c>
      <c r="AI368" t="s">
        <v>528</v>
      </c>
      <c r="AM368" t="s">
        <v>0</v>
      </c>
    </row>
    <row r="369" spans="2:39">
      <c r="M369" s="508" t="s">
        <v>2859</v>
      </c>
      <c r="N369" s="507">
        <f t="shared" si="75"/>
        <v>0</v>
      </c>
      <c r="O369" s="507">
        <f t="shared" si="76"/>
        <v>0</v>
      </c>
      <c r="P369" s="507">
        <f t="shared" si="77"/>
        <v>0</v>
      </c>
      <c r="Q369" s="507">
        <f t="shared" si="78"/>
        <v>0</v>
      </c>
      <c r="R369" s="507">
        <f t="shared" si="79"/>
        <v>0</v>
      </c>
      <c r="S369" s="507">
        <f t="shared" si="80"/>
        <v>0</v>
      </c>
      <c r="T369" s="507">
        <f t="shared" si="81"/>
        <v>0</v>
      </c>
      <c r="U369" s="507">
        <f t="shared" si="82"/>
        <v>0</v>
      </c>
      <c r="V369" s="507">
        <f t="shared" si="83"/>
        <v>0</v>
      </c>
      <c r="W369" s="507">
        <f t="shared" si="84"/>
        <v>0</v>
      </c>
      <c r="X369" s="507">
        <f t="shared" si="85"/>
        <v>0</v>
      </c>
      <c r="Y369" s="507">
        <f t="shared" si="86"/>
        <v>0</v>
      </c>
      <c r="AC369">
        <v>556</v>
      </c>
      <c r="AD369" t="s">
        <v>547</v>
      </c>
      <c r="AE369" t="s">
        <v>482</v>
      </c>
      <c r="AI369" t="s">
        <v>548</v>
      </c>
      <c r="AM369" t="s">
        <v>0</v>
      </c>
    </row>
    <row r="370" spans="2:39">
      <c r="M370" s="508" t="s">
        <v>2871</v>
      </c>
      <c r="N370" s="507">
        <f t="shared" si="75"/>
        <v>0</v>
      </c>
      <c r="O370" s="507">
        <f t="shared" si="76"/>
        <v>0</v>
      </c>
      <c r="P370" s="507">
        <f t="shared" si="77"/>
        <v>0</v>
      </c>
      <c r="Q370" s="507">
        <f t="shared" si="78"/>
        <v>0</v>
      </c>
      <c r="R370" s="507">
        <f t="shared" si="79"/>
        <v>0</v>
      </c>
      <c r="S370" s="507">
        <f t="shared" si="80"/>
        <v>0</v>
      </c>
      <c r="T370" s="507">
        <f t="shared" si="81"/>
        <v>0</v>
      </c>
      <c r="U370" s="507">
        <f t="shared" si="82"/>
        <v>0</v>
      </c>
      <c r="V370" s="507">
        <f t="shared" si="83"/>
        <v>0</v>
      </c>
      <c r="W370" s="507">
        <f t="shared" si="84"/>
        <v>0</v>
      </c>
      <c r="X370" s="507">
        <f t="shared" si="85"/>
        <v>0</v>
      </c>
      <c r="Y370" s="507">
        <f t="shared" si="86"/>
        <v>0</v>
      </c>
      <c r="AC370">
        <v>558</v>
      </c>
      <c r="AD370" t="s">
        <v>549</v>
      </c>
      <c r="AE370" t="s">
        <v>547</v>
      </c>
      <c r="AI370" t="s">
        <v>550</v>
      </c>
      <c r="AM370" t="s">
        <v>0</v>
      </c>
    </row>
    <row r="371" spans="2:39">
      <c r="M371" s="508" t="s">
        <v>3847</v>
      </c>
      <c r="N371" s="507">
        <f t="shared" si="75"/>
        <v>45048.24</v>
      </c>
      <c r="O371" s="507">
        <f t="shared" si="76"/>
        <v>0</v>
      </c>
      <c r="P371" s="507">
        <f t="shared" si="77"/>
        <v>0</v>
      </c>
      <c r="Q371" s="507">
        <f t="shared" si="78"/>
        <v>0</v>
      </c>
      <c r="R371" s="507">
        <f t="shared" si="79"/>
        <v>0</v>
      </c>
      <c r="S371" s="507">
        <f t="shared" si="80"/>
        <v>0</v>
      </c>
      <c r="T371" s="507">
        <f t="shared" si="81"/>
        <v>0</v>
      </c>
      <c r="U371" s="507">
        <f t="shared" si="82"/>
        <v>0</v>
      </c>
      <c r="V371" s="507">
        <f t="shared" si="83"/>
        <v>0</v>
      </c>
      <c r="W371" s="507">
        <f t="shared" si="84"/>
        <v>0</v>
      </c>
      <c r="X371" s="507">
        <f t="shared" si="85"/>
        <v>0</v>
      </c>
      <c r="Y371" s="507">
        <f t="shared" si="86"/>
        <v>0</v>
      </c>
      <c r="AC371">
        <v>587</v>
      </c>
      <c r="AD371" t="s">
        <v>562</v>
      </c>
      <c r="AE371" t="s">
        <v>557</v>
      </c>
      <c r="AI371" t="s">
        <v>563</v>
      </c>
      <c r="AM371" t="s">
        <v>0</v>
      </c>
    </row>
    <row r="372" spans="2:39">
      <c r="AC372">
        <v>589</v>
      </c>
      <c r="AD372" t="s">
        <v>564</v>
      </c>
      <c r="AE372" t="s">
        <v>562</v>
      </c>
      <c r="AI372" t="s">
        <v>565</v>
      </c>
      <c r="AM372" t="s">
        <v>0</v>
      </c>
    </row>
    <row r="373" spans="2:39">
      <c r="B373" t="s">
        <v>25</v>
      </c>
      <c r="AC373">
        <v>591</v>
      </c>
      <c r="AD373" t="s">
        <v>566</v>
      </c>
      <c r="AE373" t="s">
        <v>564</v>
      </c>
      <c r="AI373" t="s">
        <v>567</v>
      </c>
      <c r="AM373" t="s">
        <v>0</v>
      </c>
    </row>
    <row r="374" spans="2:39">
      <c r="B374" t="s">
        <v>436</v>
      </c>
      <c r="AC374">
        <v>599</v>
      </c>
      <c r="AD374" t="s">
        <v>577</v>
      </c>
      <c r="AE374" t="s">
        <v>564</v>
      </c>
      <c r="AI374" t="s">
        <v>578</v>
      </c>
      <c r="AM374" t="s">
        <v>0</v>
      </c>
    </row>
    <row r="375" spans="2:39">
      <c r="B375" t="s">
        <v>119</v>
      </c>
      <c r="AC375">
        <v>615</v>
      </c>
      <c r="AD375" t="s">
        <v>600</v>
      </c>
      <c r="AE375" t="s">
        <v>564</v>
      </c>
      <c r="AI375" t="s">
        <v>601</v>
      </c>
      <c r="AM375" t="s">
        <v>0</v>
      </c>
    </row>
    <row r="376" spans="2:39">
      <c r="B376" t="s">
        <v>477</v>
      </c>
      <c r="AC376">
        <v>625</v>
      </c>
      <c r="AD376" t="s">
        <v>614</v>
      </c>
      <c r="AE376" t="s">
        <v>564</v>
      </c>
      <c r="AI376" t="s">
        <v>615</v>
      </c>
      <c r="AM376" t="s">
        <v>0</v>
      </c>
    </row>
    <row r="377" spans="2:39">
      <c r="B377" t="s">
        <v>479</v>
      </c>
      <c r="AC377">
        <v>635</v>
      </c>
      <c r="AD377" t="s">
        <v>627</v>
      </c>
      <c r="AE377" t="s">
        <v>564</v>
      </c>
      <c r="AI377" t="s">
        <v>628</v>
      </c>
      <c r="AM377" t="s">
        <v>0</v>
      </c>
    </row>
    <row r="378" spans="2:39">
      <c r="B378" t="s">
        <v>57</v>
      </c>
      <c r="AC378">
        <v>643</v>
      </c>
      <c r="AD378" t="s">
        <v>638</v>
      </c>
      <c r="AE378" t="s">
        <v>564</v>
      </c>
      <c r="AI378" t="s">
        <v>639</v>
      </c>
      <c r="AM378" t="s">
        <v>0</v>
      </c>
    </row>
    <row r="379" spans="2:39">
      <c r="B379" t="s">
        <v>2211</v>
      </c>
      <c r="AC379">
        <v>653</v>
      </c>
      <c r="AD379" t="s">
        <v>652</v>
      </c>
      <c r="AE379" t="s">
        <v>562</v>
      </c>
      <c r="AI379" t="s">
        <v>653</v>
      </c>
      <c r="AM379" t="s">
        <v>0</v>
      </c>
    </row>
    <row r="380" spans="2:39">
      <c r="B380" t="s">
        <v>2212</v>
      </c>
      <c r="AC380">
        <v>655</v>
      </c>
      <c r="AD380" t="s">
        <v>654</v>
      </c>
      <c r="AE380" t="s">
        <v>652</v>
      </c>
      <c r="AI380" t="s">
        <v>655</v>
      </c>
      <c r="AM380" t="s">
        <v>0</v>
      </c>
    </row>
    <row r="381" spans="2:39">
      <c r="B381" t="s">
        <v>2213</v>
      </c>
      <c r="AC381">
        <v>667</v>
      </c>
      <c r="AD381" t="s">
        <v>671</v>
      </c>
      <c r="AE381" t="s">
        <v>654</v>
      </c>
      <c r="AI381" t="s">
        <v>672</v>
      </c>
      <c r="AM381" t="s">
        <v>0</v>
      </c>
    </row>
    <row r="382" spans="2:39">
      <c r="B382" t="s">
        <v>2214</v>
      </c>
      <c r="AC382">
        <v>689</v>
      </c>
      <c r="AD382" t="s">
        <v>702</v>
      </c>
      <c r="AE382" t="s">
        <v>654</v>
      </c>
      <c r="AI382" t="s">
        <v>703</v>
      </c>
      <c r="AM382" t="s">
        <v>0</v>
      </c>
    </row>
    <row r="383" spans="2:39">
      <c r="B383" t="s">
        <v>2215</v>
      </c>
      <c r="AC383">
        <v>740</v>
      </c>
      <c r="AD383" t="s">
        <v>752</v>
      </c>
      <c r="AE383" t="s">
        <v>654</v>
      </c>
      <c r="AI383" t="s">
        <v>753</v>
      </c>
      <c r="AM383" t="s">
        <v>0</v>
      </c>
    </row>
    <row r="384" spans="2:39">
      <c r="B384" t="s">
        <v>2216</v>
      </c>
      <c r="AC384">
        <v>760</v>
      </c>
      <c r="AD384" t="s">
        <v>781</v>
      </c>
      <c r="AE384" t="s">
        <v>652</v>
      </c>
      <c r="AI384" t="s">
        <v>782</v>
      </c>
      <c r="AM384" t="s">
        <v>0</v>
      </c>
    </row>
    <row r="385" spans="2:44">
      <c r="B385" t="s">
        <v>218</v>
      </c>
      <c r="AC385">
        <v>768</v>
      </c>
      <c r="AD385" t="s">
        <v>792</v>
      </c>
      <c r="AE385" t="s">
        <v>781</v>
      </c>
      <c r="AI385" t="s">
        <v>793</v>
      </c>
      <c r="AM385" t="s">
        <v>0</v>
      </c>
    </row>
    <row r="386" spans="2:44">
      <c r="B386" t="s">
        <v>234</v>
      </c>
      <c r="AC386">
        <v>784</v>
      </c>
      <c r="AD386" t="s">
        <v>814</v>
      </c>
      <c r="AE386" t="s">
        <v>781</v>
      </c>
      <c r="AI386" t="s">
        <v>815</v>
      </c>
      <c r="AM386" t="s">
        <v>0</v>
      </c>
    </row>
    <row r="387" spans="2:44">
      <c r="B387" t="s">
        <v>253</v>
      </c>
    </row>
    <row r="388" spans="2:44">
      <c r="B388" t="s">
        <v>2217</v>
      </c>
      <c r="AC388">
        <v>798</v>
      </c>
      <c r="AD388" t="s">
        <v>834</v>
      </c>
      <c r="AE388" t="s">
        <v>781</v>
      </c>
      <c r="AI388" t="s">
        <v>835</v>
      </c>
      <c r="AM388" t="s">
        <v>836</v>
      </c>
    </row>
    <row r="389" spans="2:44">
      <c r="B389" t="s">
        <v>2218</v>
      </c>
      <c r="AC389">
        <v>800</v>
      </c>
      <c r="AD389" t="s">
        <v>837</v>
      </c>
      <c r="AE389" t="s">
        <v>781</v>
      </c>
      <c r="AI389" t="s">
        <v>838</v>
      </c>
      <c r="AM389" t="s">
        <v>0</v>
      </c>
    </row>
    <row r="390" spans="2:44">
      <c r="B390" t="s">
        <v>48</v>
      </c>
      <c r="AC390">
        <v>804</v>
      </c>
      <c r="AD390" t="s">
        <v>841</v>
      </c>
      <c r="AE390" t="s">
        <v>562</v>
      </c>
      <c r="AI390" t="s">
        <v>842</v>
      </c>
      <c r="AM390" t="s">
        <v>0</v>
      </c>
    </row>
    <row r="391" spans="2:44">
      <c r="B391" t="s">
        <v>50</v>
      </c>
      <c r="AC391">
        <v>808</v>
      </c>
      <c r="AD391" t="s">
        <v>845</v>
      </c>
      <c r="AE391" t="s">
        <v>562</v>
      </c>
      <c r="AI391" t="s">
        <v>846</v>
      </c>
      <c r="AM391" t="s">
        <v>0</v>
      </c>
    </row>
    <row r="392" spans="2:44">
      <c r="B392" t="s">
        <v>52</v>
      </c>
      <c r="AC392">
        <v>812</v>
      </c>
      <c r="AD392" t="s">
        <v>849</v>
      </c>
      <c r="AE392" t="s">
        <v>557</v>
      </c>
      <c r="AI392" t="s">
        <v>850</v>
      </c>
      <c r="AM392" t="s">
        <v>0</v>
      </c>
    </row>
    <row r="393" spans="2:44">
      <c r="B393" t="s">
        <v>178</v>
      </c>
      <c r="AC393">
        <v>814</v>
      </c>
      <c r="AD393" t="s">
        <v>851</v>
      </c>
      <c r="AE393" t="s">
        <v>849</v>
      </c>
      <c r="AI393" t="s">
        <v>852</v>
      </c>
      <c r="AM393" t="s">
        <v>853</v>
      </c>
    </row>
    <row r="394" spans="2:44">
      <c r="B394" t="s">
        <v>265</v>
      </c>
      <c r="AC394">
        <v>816</v>
      </c>
      <c r="AD394" t="s">
        <v>854</v>
      </c>
      <c r="AE394" t="s">
        <v>851</v>
      </c>
      <c r="AI394" t="s">
        <v>855</v>
      </c>
      <c r="AM394" t="s">
        <v>856</v>
      </c>
    </row>
    <row r="395" spans="2:44">
      <c r="B395" t="s">
        <v>277</v>
      </c>
      <c r="AC395">
        <v>822</v>
      </c>
      <c r="AD395" t="s">
        <v>863</v>
      </c>
      <c r="AE395" t="s">
        <v>557</v>
      </c>
      <c r="AI395" t="s">
        <v>864</v>
      </c>
      <c r="AM395" t="s">
        <v>0</v>
      </c>
    </row>
    <row r="396" spans="2:44">
      <c r="B396" t="s">
        <v>2219</v>
      </c>
      <c r="AC396">
        <v>824</v>
      </c>
      <c r="AD396" t="s">
        <v>865</v>
      </c>
      <c r="AE396" t="s">
        <v>863</v>
      </c>
      <c r="AI396" t="s">
        <v>864</v>
      </c>
      <c r="AM396" t="s">
        <v>0</v>
      </c>
    </row>
    <row r="397" spans="2:44">
      <c r="B397" t="s">
        <v>29</v>
      </c>
      <c r="AC397">
        <v>832</v>
      </c>
      <c r="AD397" t="s">
        <v>874</v>
      </c>
      <c r="AE397" t="s">
        <v>561</v>
      </c>
      <c r="AI397" t="s">
        <v>875</v>
      </c>
      <c r="AM397" t="s">
        <v>0</v>
      </c>
    </row>
    <row r="398" spans="2:44">
      <c r="B398" t="s">
        <v>31</v>
      </c>
      <c r="AC398">
        <v>836</v>
      </c>
      <c r="AD398" t="s">
        <v>878</v>
      </c>
      <c r="AE398" t="s">
        <v>561</v>
      </c>
      <c r="AI398" t="s">
        <v>879</v>
      </c>
      <c r="AM398" t="s">
        <v>0</v>
      </c>
    </row>
    <row r="399" spans="2:44">
      <c r="B399" t="s">
        <v>33</v>
      </c>
      <c r="AC399">
        <v>840</v>
      </c>
      <c r="AD399" t="s">
        <v>882</v>
      </c>
      <c r="AE399" t="s">
        <v>561</v>
      </c>
      <c r="AI399" t="s">
        <v>883</v>
      </c>
      <c r="AM399" t="s">
        <v>0</v>
      </c>
    </row>
    <row r="400" spans="2:44">
      <c r="B400" t="s">
        <v>35</v>
      </c>
      <c r="AC400">
        <v>1</v>
      </c>
      <c r="AD400" t="s">
        <v>3</v>
      </c>
      <c r="AE400" t="s">
        <v>0</v>
      </c>
      <c r="AH400" t="s">
        <v>0</v>
      </c>
      <c r="AI400" t="s">
        <v>15</v>
      </c>
      <c r="AL400" t="s">
        <v>0</v>
      </c>
      <c r="AM400" t="s">
        <v>0</v>
      </c>
      <c r="AR400" t="s">
        <v>0</v>
      </c>
    </row>
    <row r="401" spans="1:39">
      <c r="B401" t="s">
        <v>39</v>
      </c>
      <c r="AC401">
        <v>214</v>
      </c>
      <c r="AD401" t="s">
        <v>139</v>
      </c>
      <c r="AE401" t="s">
        <v>0</v>
      </c>
      <c r="AI401" t="s">
        <v>224</v>
      </c>
      <c r="AM401" t="s">
        <v>0</v>
      </c>
    </row>
    <row r="402" spans="1:39">
      <c r="B402" t="s">
        <v>41</v>
      </c>
      <c r="AC402">
        <v>454</v>
      </c>
      <c r="AD402" t="s">
        <v>284</v>
      </c>
      <c r="AE402" t="s">
        <v>0</v>
      </c>
      <c r="AI402" t="s">
        <v>428</v>
      </c>
      <c r="AM402" t="s">
        <v>0</v>
      </c>
    </row>
    <row r="403" spans="1:39">
      <c r="B403" t="s">
        <v>1971</v>
      </c>
      <c r="AC403">
        <v>498</v>
      </c>
      <c r="AD403" t="s">
        <v>411</v>
      </c>
      <c r="AE403" t="s">
        <v>0</v>
      </c>
      <c r="AI403" t="s">
        <v>480</v>
      </c>
      <c r="AM403" t="s">
        <v>0</v>
      </c>
    </row>
    <row r="404" spans="1:39">
      <c r="B404" t="s">
        <v>2220</v>
      </c>
      <c r="AC404">
        <v>585</v>
      </c>
      <c r="AD404" t="s">
        <v>557</v>
      </c>
      <c r="AE404" t="s">
        <v>0</v>
      </c>
      <c r="AI404" t="s">
        <v>560</v>
      </c>
      <c r="AM404" t="s">
        <v>0</v>
      </c>
    </row>
    <row r="405" spans="1:39">
      <c r="B405" t="s">
        <v>870</v>
      </c>
      <c r="AC405">
        <v>830</v>
      </c>
      <c r="AD405" t="s">
        <v>561</v>
      </c>
      <c r="AE405" t="s">
        <v>0</v>
      </c>
      <c r="AI405" t="s">
        <v>872</v>
      </c>
      <c r="AM405" t="s">
        <v>0</v>
      </c>
    </row>
    <row r="406" spans="1:39">
      <c r="B406" t="s">
        <v>287</v>
      </c>
      <c r="AC406">
        <v>844</v>
      </c>
      <c r="AD406" t="s">
        <v>873</v>
      </c>
      <c r="AE406" t="s">
        <v>0</v>
      </c>
      <c r="AI406" t="s">
        <v>886</v>
      </c>
      <c r="AM406" t="s">
        <v>0</v>
      </c>
    </row>
    <row r="407" spans="1:39">
      <c r="B407" t="s">
        <v>291</v>
      </c>
      <c r="AD407" t="s">
        <v>138</v>
      </c>
    </row>
    <row r="408" spans="1:39">
      <c r="B408" t="s">
        <v>293</v>
      </c>
      <c r="AD408" t="s">
        <v>0</v>
      </c>
    </row>
    <row r="409" spans="1:39">
      <c r="B409" t="s">
        <v>295</v>
      </c>
    </row>
    <row r="410" spans="1:39">
      <c r="B410" t="s">
        <v>910</v>
      </c>
    </row>
    <row r="411" spans="1:39">
      <c r="A411" s="28" t="s">
        <v>909</v>
      </c>
      <c r="B411" t="s">
        <v>299</v>
      </c>
    </row>
    <row r="412" spans="1:39">
      <c r="B412" t="s">
        <v>2221</v>
      </c>
    </row>
    <row r="413" spans="1:39">
      <c r="B413" t="s">
        <v>2222</v>
      </c>
    </row>
    <row r="414" spans="1:39">
      <c r="B414" t="s">
        <v>2223</v>
      </c>
    </row>
    <row r="415" spans="1:39">
      <c r="B415" t="s">
        <v>790</v>
      </c>
    </row>
    <row r="416" spans="1:39">
      <c r="B416" t="s">
        <v>861</v>
      </c>
    </row>
    <row r="417" spans="2:2">
      <c r="B417" t="s">
        <v>913</v>
      </c>
    </row>
    <row r="418" spans="2:2">
      <c r="B418" t="s">
        <v>2224</v>
      </c>
    </row>
    <row r="419" spans="2:2">
      <c r="B419" t="s">
        <v>2225</v>
      </c>
    </row>
    <row r="420" spans="2:2">
      <c r="B420" t="s">
        <v>603</v>
      </c>
    </row>
    <row r="421" spans="2:2">
      <c r="B421" t="s">
        <v>609</v>
      </c>
    </row>
    <row r="422" spans="2:2">
      <c r="B422" t="s">
        <v>2226</v>
      </c>
    </row>
    <row r="423" spans="2:2">
      <c r="B423" t="s">
        <v>685</v>
      </c>
    </row>
    <row r="424" spans="2:2">
      <c r="B424" t="s">
        <v>694</v>
      </c>
    </row>
    <row r="425" spans="2:2">
      <c r="B425" t="s">
        <v>697</v>
      </c>
    </row>
    <row r="426" spans="2:2">
      <c r="B426" t="s">
        <v>2227</v>
      </c>
    </row>
    <row r="427" spans="2:2">
      <c r="B427" t="s">
        <v>795</v>
      </c>
    </row>
    <row r="428" spans="2:2">
      <c r="B428" t="s">
        <v>807</v>
      </c>
    </row>
    <row r="429" spans="2:2">
      <c r="B429" t="s">
        <v>2228</v>
      </c>
    </row>
    <row r="430" spans="2:2">
      <c r="B430" t="s">
        <v>832</v>
      </c>
    </row>
    <row r="431" spans="2:2">
      <c r="B431" t="s">
        <v>644</v>
      </c>
    </row>
    <row r="432" spans="2:2">
      <c r="B432" t="s">
        <v>708</v>
      </c>
    </row>
    <row r="433" spans="2:2">
      <c r="B433" t="s">
        <v>714</v>
      </c>
    </row>
    <row r="434" spans="2:2">
      <c r="B434" t="s">
        <v>726</v>
      </c>
    </row>
    <row r="435" spans="2:2">
      <c r="B435" t="s">
        <v>729</v>
      </c>
    </row>
    <row r="436" spans="2:2">
      <c r="B436" t="s">
        <v>2229</v>
      </c>
    </row>
    <row r="437" spans="2:2">
      <c r="B437" t="s">
        <v>747</v>
      </c>
    </row>
    <row r="438" spans="2:2">
      <c r="B438" t="s">
        <v>758</v>
      </c>
    </row>
    <row r="439" spans="2:2">
      <c r="B439" t="s">
        <v>2230</v>
      </c>
    </row>
    <row r="440" spans="2:2">
      <c r="B440" t="s">
        <v>770</v>
      </c>
    </row>
    <row r="441" spans="2:2">
      <c r="B441" t="s">
        <v>2231</v>
      </c>
    </row>
    <row r="442" spans="2:2">
      <c r="B442" t="s">
        <v>2232</v>
      </c>
    </row>
    <row r="443" spans="2:2">
      <c r="B443" t="s">
        <v>2233</v>
      </c>
    </row>
    <row r="444" spans="2:2">
      <c r="B444" t="s">
        <v>2234</v>
      </c>
    </row>
    <row r="445" spans="2:2">
      <c r="B445" t="s">
        <v>2235</v>
      </c>
    </row>
  </sheetData>
  <mergeCells count="15">
    <mergeCell ref="B1:C1"/>
    <mergeCell ref="I8:J8"/>
    <mergeCell ref="AU1:AW1"/>
    <mergeCell ref="AY1:BA1"/>
    <mergeCell ref="BC1:BE1"/>
    <mergeCell ref="CE1:CG1"/>
    <mergeCell ref="CI1:CK1"/>
    <mergeCell ref="CM1:CO1"/>
    <mergeCell ref="L1:N1"/>
    <mergeCell ref="BG1:BI1"/>
    <mergeCell ref="BK1:BM1"/>
    <mergeCell ref="BO1:BQ1"/>
    <mergeCell ref="BS1:BU1"/>
    <mergeCell ref="BW1:BY1"/>
    <mergeCell ref="CA1:CC1"/>
  </mergeCells>
  <conditionalFormatting sqref="C3 B1:B161 B163:B65536">
    <cfRule type="duplicateValues" dxfId="96" priority="53" stopIfTrue="1"/>
  </conditionalFormatting>
  <conditionalFormatting sqref="H10:H300">
    <cfRule type="duplicateValues" dxfId="95" priority="49" stopIfTrue="1"/>
  </conditionalFormatting>
  <conditionalFormatting sqref="H11:H16">
    <cfRule type="duplicateValues" dxfId="94" priority="48" stopIfTrue="1"/>
  </conditionalFormatting>
  <conditionalFormatting sqref="AV4:AV13 AV15:AV298">
    <cfRule type="duplicateValues" dxfId="93" priority="47" stopIfTrue="1"/>
  </conditionalFormatting>
  <conditionalFormatting sqref="AZ4:AZ13 AZ15:AZ298">
    <cfRule type="duplicateValues" dxfId="92" priority="46" stopIfTrue="1"/>
  </conditionalFormatting>
  <conditionalFormatting sqref="BD4:BD13 BD15:BD298">
    <cfRule type="duplicateValues" dxfId="91" priority="44" stopIfTrue="1"/>
  </conditionalFormatting>
  <conditionalFormatting sqref="BH4:BH12 BH14:BH298">
    <cfRule type="duplicateValues" dxfId="90" priority="43" stopIfTrue="1"/>
  </conditionalFormatting>
  <conditionalFormatting sqref="BL4:BL12 BL14:BL298">
    <cfRule type="duplicateValues" dxfId="89" priority="42" stopIfTrue="1"/>
  </conditionalFormatting>
  <conditionalFormatting sqref="BP4:BP8 BP64:BP298">
    <cfRule type="duplicateValues" dxfId="88" priority="41" stopIfTrue="1"/>
  </conditionalFormatting>
  <conditionalFormatting sqref="BT4:BT12 BT14:BT298">
    <cfRule type="duplicateValues" dxfId="87" priority="40" stopIfTrue="1"/>
  </conditionalFormatting>
  <conditionalFormatting sqref="BX4:BX12 BX14:BX298">
    <cfRule type="duplicateValues" dxfId="86" priority="39" stopIfTrue="1"/>
  </conditionalFormatting>
  <conditionalFormatting sqref="CB4:CB12 CB14:CB298">
    <cfRule type="duplicateValues" dxfId="85" priority="38" stopIfTrue="1"/>
  </conditionalFormatting>
  <conditionalFormatting sqref="CF4:CF298">
    <cfRule type="duplicateValues" dxfId="84" priority="37" stopIfTrue="1"/>
  </conditionalFormatting>
  <conditionalFormatting sqref="CJ4:CJ298">
    <cfRule type="duplicateValues" dxfId="83" priority="36" stopIfTrue="1"/>
  </conditionalFormatting>
  <conditionalFormatting sqref="CN4:CN8 CN10:CN67 CN70:CN298">
    <cfRule type="duplicateValues" dxfId="82" priority="35" stopIfTrue="1"/>
  </conditionalFormatting>
  <conditionalFormatting sqref="M4:M7">
    <cfRule type="duplicateValues" dxfId="81" priority="34" stopIfTrue="1"/>
  </conditionalFormatting>
  <conditionalFormatting sqref="M1:M1048576">
    <cfRule type="duplicateValues" dxfId="80" priority="12" stopIfTrue="1"/>
    <cfRule type="duplicateValues" dxfId="79" priority="33" stopIfTrue="1"/>
  </conditionalFormatting>
  <conditionalFormatting sqref="C163:C258 C48:C161">
    <cfRule type="duplicateValues" dxfId="78" priority="31" stopIfTrue="1"/>
  </conditionalFormatting>
  <conditionalFormatting sqref="C163:C371 C12:C161">
    <cfRule type="duplicateValues" dxfId="77" priority="30" stopIfTrue="1"/>
  </conditionalFormatting>
  <conditionalFormatting sqref="M360">
    <cfRule type="duplicateValues" dxfId="76" priority="29" stopIfTrue="1"/>
  </conditionalFormatting>
  <conditionalFormatting sqref="M361">
    <cfRule type="duplicateValues" dxfId="75" priority="28" stopIfTrue="1"/>
  </conditionalFormatting>
  <conditionalFormatting sqref="CN9">
    <cfRule type="duplicateValues" dxfId="74" priority="27" stopIfTrue="1"/>
  </conditionalFormatting>
  <conditionalFormatting sqref="BP9:BP12 BP14:BP63">
    <cfRule type="duplicateValues" dxfId="73" priority="24" stopIfTrue="1"/>
  </conditionalFormatting>
  <conditionalFormatting sqref="BQ63">
    <cfRule type="duplicateValues" dxfId="72" priority="23" stopIfTrue="1"/>
  </conditionalFormatting>
  <conditionalFormatting sqref="BQ63">
    <cfRule type="duplicateValues" dxfId="71" priority="22" stopIfTrue="1"/>
  </conditionalFormatting>
  <conditionalFormatting sqref="AV14">
    <cfRule type="duplicateValues" dxfId="70" priority="21" stopIfTrue="1"/>
  </conditionalFormatting>
  <conditionalFormatting sqref="AZ14">
    <cfRule type="duplicateValues" dxfId="69" priority="20" stopIfTrue="1"/>
  </conditionalFormatting>
  <conditionalFormatting sqref="BD14">
    <cfRule type="duplicateValues" dxfId="68" priority="19" stopIfTrue="1"/>
  </conditionalFormatting>
  <conditionalFormatting sqref="BH13">
    <cfRule type="duplicateValues" dxfId="67" priority="18" stopIfTrue="1"/>
  </conditionalFormatting>
  <conditionalFormatting sqref="BL13">
    <cfRule type="duplicateValues" dxfId="66" priority="17" stopIfTrue="1"/>
  </conditionalFormatting>
  <conditionalFormatting sqref="BP13">
    <cfRule type="duplicateValues" dxfId="65" priority="16" stopIfTrue="1"/>
  </conditionalFormatting>
  <conditionalFormatting sqref="BT13">
    <cfRule type="duplicateValues" dxfId="64" priority="15" stopIfTrue="1"/>
  </conditionalFormatting>
  <conditionalFormatting sqref="BX13">
    <cfRule type="duplicateValues" dxfId="63" priority="14" stopIfTrue="1"/>
  </conditionalFormatting>
  <conditionalFormatting sqref="CB13">
    <cfRule type="duplicateValues" dxfId="62" priority="13" stopIfTrue="1"/>
  </conditionalFormatting>
  <conditionalFormatting sqref="CO64:CO67">
    <cfRule type="duplicateValues" dxfId="61" priority="11" stopIfTrue="1"/>
  </conditionalFormatting>
  <conditionalFormatting sqref="CO64:CO67">
    <cfRule type="duplicateValues" dxfId="60" priority="10" stopIfTrue="1"/>
  </conditionalFormatting>
  <conditionalFormatting sqref="CN68">
    <cfRule type="duplicateValues" dxfId="59" priority="9" stopIfTrue="1"/>
  </conditionalFormatting>
  <conditionalFormatting sqref="CO68">
    <cfRule type="duplicateValues" dxfId="58" priority="8" stopIfTrue="1"/>
  </conditionalFormatting>
  <conditionalFormatting sqref="CO68">
    <cfRule type="duplicateValues" dxfId="57" priority="7" stopIfTrue="1"/>
  </conditionalFormatting>
  <conditionalFormatting sqref="CN69">
    <cfRule type="duplicateValues" dxfId="56" priority="6" stopIfTrue="1"/>
  </conditionalFormatting>
  <conditionalFormatting sqref="CO69">
    <cfRule type="duplicateValues" dxfId="55" priority="5" stopIfTrue="1"/>
  </conditionalFormatting>
  <conditionalFormatting sqref="CO69">
    <cfRule type="duplicateValues" dxfId="54" priority="4" stopIfTrue="1"/>
  </conditionalFormatting>
  <conditionalFormatting sqref="B162">
    <cfRule type="duplicateValues" dxfId="53" priority="3" stopIfTrue="1"/>
  </conditionalFormatting>
  <conditionalFormatting sqref="C162">
    <cfRule type="duplicateValues" dxfId="52" priority="2" stopIfTrue="1"/>
  </conditionalFormatting>
  <conditionalFormatting sqref="C162">
    <cfRule type="duplicateValues" dxfId="51" priority="1" stopIfTrue="1"/>
  </conditionalFormatting>
  <dataValidations count="3">
    <dataValidation type="list" allowBlank="1" showInputMessage="1" showErrorMessage="1" sqref="BD8 BH8 BL8 BP8 BT8 BX8 CB8 CF8 CJ8 CN8 AZ8 AV8 H10 B11">
      <formula1>$AI$8:$AI$287</formula1>
    </dataValidation>
    <dataValidation type="list" allowBlank="1" showInputMessage="1" showErrorMessage="1" sqref="AZ9:AZ110 BD9:BD110 BH9:BH110 B12:B113 BP9:BP110 BT9:BT110 BX9:BX110 CF9:CF110 CJ9:CJ110 CB9:CB110 AV9:AV110 CN69:CN110 H11:H112 CN9:CN67 B161:B162 BL9:BL110">
      <formula1>$AF$8:$AF$289</formula1>
    </dataValidation>
    <dataValidation type="list" allowBlank="1" showInputMessage="1" showErrorMessage="1" sqref="B3">
      <formula1>$CQ$1:$CQ$36</formula1>
    </dataValidation>
  </dataValidations>
  <hyperlinks>
    <hyperlink ref="A7" location="IPT!A1" display="IPT!A1"/>
  </hyperlinks>
  <pageMargins left="0.70866141732283472" right="0.70866141732283472" top="0.74803149606299213" bottom="0.94488188976377963" header="0.31496062992125984" footer="0.31496062992125984"/>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2:Q452"/>
  <sheetViews>
    <sheetView topLeftCell="A70" workbookViewId="0">
      <pane ySplit="4500" topLeftCell="A169" activePane="bottomLeft"/>
      <selection activeCell="C73" sqref="C73"/>
      <selection pane="bottomLeft" activeCell="A186" sqref="A186"/>
    </sheetView>
  </sheetViews>
  <sheetFormatPr baseColWidth="10" defaultColWidth="9.140625" defaultRowHeight="15"/>
  <cols>
    <col min="1" max="1" width="45" customWidth="1"/>
    <col min="2" max="2" width="15.7109375" customWidth="1"/>
    <col min="3" max="5" width="15" customWidth="1"/>
    <col min="6" max="6" width="15.5703125" customWidth="1"/>
    <col min="7" max="7" width="14.5703125" customWidth="1"/>
    <col min="8" max="9" width="15.28515625" bestFit="1" customWidth="1"/>
    <col min="10" max="10" width="15" customWidth="1"/>
    <col min="11" max="11" width="13" customWidth="1"/>
    <col min="12" max="12" width="14" style="38" customWidth="1"/>
    <col min="13" max="13" width="15.28515625" customWidth="1"/>
    <col min="14" max="14" width="11.7109375" bestFit="1" customWidth="1"/>
    <col min="15" max="15" width="13.5703125" customWidth="1"/>
  </cols>
  <sheetData>
    <row r="2" spans="1:12">
      <c r="A2" s="1799" t="str">
        <f>+BALANZA!B1</f>
        <v>CORPORACION DEL ACUEDUCTO Y ALCANTARILLADO DE MOCA</v>
      </c>
      <c r="B2" s="1799"/>
      <c r="C2" s="1799"/>
      <c r="D2" s="1799"/>
      <c r="E2" s="1481"/>
    </row>
    <row r="3" spans="1:12">
      <c r="A3" s="1799" t="s">
        <v>1028</v>
      </c>
      <c r="B3" s="1799"/>
      <c r="C3" s="1799"/>
      <c r="D3" s="1799"/>
      <c r="E3" s="1481"/>
    </row>
    <row r="4" spans="1:12">
      <c r="A4" s="1800" t="str">
        <f>+BALANZA!B2</f>
        <v>Del Ejercicio terminado el  31 de marzo de 2026  y  2025</v>
      </c>
      <c r="B4" s="1800"/>
      <c r="C4" s="1800"/>
      <c r="D4" s="1800"/>
      <c r="E4" s="1482"/>
    </row>
    <row r="5" spans="1:12">
      <c r="A5" s="1799" t="s">
        <v>926</v>
      </c>
      <c r="B5" s="1799"/>
      <c r="C5" s="1799"/>
      <c r="D5" s="1799"/>
      <c r="E5" s="1481"/>
    </row>
    <row r="7" spans="1:12">
      <c r="C7">
        <v>2026</v>
      </c>
      <c r="D7">
        <v>2025</v>
      </c>
      <c r="E7">
        <v>2024</v>
      </c>
      <c r="F7">
        <v>2022</v>
      </c>
      <c r="G7">
        <v>2022</v>
      </c>
      <c r="H7">
        <v>2021</v>
      </c>
      <c r="I7">
        <v>2020</v>
      </c>
    </row>
    <row r="8" spans="1:12" s="21" customFormat="1">
      <c r="D8" s="19"/>
      <c r="E8" s="19"/>
      <c r="F8" s="22"/>
      <c r="G8" s="22"/>
      <c r="H8" s="22"/>
      <c r="L8" s="136"/>
    </row>
    <row r="9" spans="1:12" s="21" customFormat="1">
      <c r="A9" s="23" t="s">
        <v>21</v>
      </c>
      <c r="B9" s="23"/>
      <c r="C9" s="24">
        <f>+C12+C13+C21</f>
        <v>422177643.19</v>
      </c>
      <c r="D9" s="24">
        <v>422773433.54999995</v>
      </c>
      <c r="E9" s="24">
        <v>305489331.63000005</v>
      </c>
      <c r="F9" s="22">
        <v>198749953.57000002</v>
      </c>
      <c r="G9" s="22">
        <v>177013064.59</v>
      </c>
      <c r="H9" s="21">
        <v>136224838.11000001</v>
      </c>
      <c r="I9" s="21">
        <v>102532877.38000001</v>
      </c>
      <c r="L9" s="136"/>
    </row>
    <row r="10" spans="1:12" s="21" customFormat="1">
      <c r="C10" s="22"/>
      <c r="D10" s="22"/>
      <c r="E10" s="22"/>
      <c r="F10" s="22"/>
      <c r="G10" s="22"/>
      <c r="L10" s="136"/>
    </row>
    <row r="11" spans="1:12" s="21" customFormat="1">
      <c r="A11" s="23" t="s">
        <v>23</v>
      </c>
      <c r="B11" s="23"/>
      <c r="C11" s="24">
        <f>SUM(C12:C13)</f>
        <v>95000</v>
      </c>
      <c r="D11" s="24">
        <v>95000</v>
      </c>
      <c r="E11" s="24">
        <v>110000</v>
      </c>
      <c r="F11" s="22">
        <v>110000</v>
      </c>
      <c r="G11" s="22">
        <v>110000</v>
      </c>
      <c r="H11" s="21">
        <v>111988</v>
      </c>
      <c r="I11" s="21">
        <v>105000</v>
      </c>
      <c r="L11" s="136"/>
    </row>
    <row r="12" spans="1:12" s="21" customFormat="1">
      <c r="A12" s="21" t="s">
        <v>25</v>
      </c>
      <c r="C12" s="22">
        <f>SUMIF(BALANZA!$B$12:$B$301,A12,BALANZA!$C$12:$C$301)</f>
        <v>0</v>
      </c>
      <c r="D12" s="22">
        <v>0</v>
      </c>
      <c r="E12" s="22">
        <v>0</v>
      </c>
      <c r="F12" s="22">
        <v>0</v>
      </c>
      <c r="G12" s="22">
        <v>0</v>
      </c>
      <c r="H12" s="21">
        <v>1988</v>
      </c>
      <c r="I12" s="21">
        <v>0</v>
      </c>
      <c r="L12" s="136"/>
    </row>
    <row r="13" spans="1:12" s="21" customFormat="1">
      <c r="A13" s="23" t="s">
        <v>27</v>
      </c>
      <c r="B13" s="23"/>
      <c r="C13" s="24">
        <f>SUM(C14:C19)</f>
        <v>95000</v>
      </c>
      <c r="D13" s="24">
        <v>95000</v>
      </c>
      <c r="E13" s="24">
        <v>110000</v>
      </c>
      <c r="F13" s="22">
        <v>110000</v>
      </c>
      <c r="G13" s="22">
        <v>110000</v>
      </c>
      <c r="H13" s="21">
        <v>110000</v>
      </c>
      <c r="I13" s="21">
        <v>105000</v>
      </c>
      <c r="L13" s="136"/>
    </row>
    <row r="14" spans="1:12" s="21" customFormat="1">
      <c r="A14" s="21" t="s">
        <v>29</v>
      </c>
      <c r="C14" s="22">
        <f>SUMIF(BALANZA!$B$12:$B$301,A14,BALANZA!$C$12:$C$301)</f>
        <v>5000</v>
      </c>
      <c r="D14" s="22">
        <v>5000</v>
      </c>
      <c r="E14" s="22">
        <v>5000</v>
      </c>
      <c r="F14" s="22">
        <v>5000</v>
      </c>
      <c r="G14" s="22">
        <v>5000</v>
      </c>
      <c r="H14" s="21">
        <v>5000</v>
      </c>
      <c r="I14" s="21">
        <v>5000</v>
      </c>
      <c r="L14" s="136"/>
    </row>
    <row r="15" spans="1:12" s="21" customFormat="1">
      <c r="A15" s="21" t="s">
        <v>31</v>
      </c>
      <c r="C15" s="22">
        <f>SUMIF(BALANZA!$B$12:$B$301,A15,BALANZA!$C$12:$C$301)</f>
        <v>80000</v>
      </c>
      <c r="D15" s="22">
        <v>80000</v>
      </c>
      <c r="E15" s="22">
        <v>80000</v>
      </c>
      <c r="F15" s="22">
        <v>80000</v>
      </c>
      <c r="G15" s="22">
        <v>80000</v>
      </c>
      <c r="H15" s="21">
        <v>80000</v>
      </c>
      <c r="I15" s="21">
        <v>80000</v>
      </c>
      <c r="L15" s="136"/>
    </row>
    <row r="16" spans="1:12" s="21" customFormat="1">
      <c r="A16" s="21" t="s">
        <v>33</v>
      </c>
      <c r="C16" s="22">
        <f>SUMIF(BALANZA!$B$12:$B$301,A16,BALANZA!$C$12:$C$301)</f>
        <v>0</v>
      </c>
      <c r="D16" s="22">
        <v>0</v>
      </c>
      <c r="E16" s="22">
        <v>5000</v>
      </c>
      <c r="F16" s="22">
        <v>5000</v>
      </c>
      <c r="G16" s="22">
        <v>5000</v>
      </c>
      <c r="H16" s="21">
        <v>5000</v>
      </c>
      <c r="I16" s="21">
        <v>5000</v>
      </c>
      <c r="L16" s="136"/>
    </row>
    <row r="17" spans="1:12" s="21" customFormat="1">
      <c r="A17" s="21" t="s">
        <v>35</v>
      </c>
      <c r="C17" s="22">
        <f>SUMIF(BALANZA!$B$12:$B$301,A17,BALANZA!$C$12:$C$301)</f>
        <v>10000</v>
      </c>
      <c r="D17" s="22">
        <v>10000</v>
      </c>
      <c r="E17" s="22">
        <v>10000</v>
      </c>
      <c r="F17" s="22">
        <v>10000</v>
      </c>
      <c r="G17" s="22">
        <v>10000</v>
      </c>
      <c r="H17" s="21">
        <v>10000</v>
      </c>
      <c r="I17" s="21">
        <v>5000</v>
      </c>
      <c r="L17" s="136"/>
    </row>
    <row r="18" spans="1:12" s="21" customFormat="1">
      <c r="A18" s="21" t="s">
        <v>39</v>
      </c>
      <c r="C18" s="22">
        <f>SUMIF(BALANZA!$B$12:$B$301,A18,BALANZA!$C$12:$C$301)</f>
        <v>0</v>
      </c>
      <c r="D18" s="22">
        <v>0</v>
      </c>
      <c r="E18" s="22">
        <v>5000</v>
      </c>
      <c r="F18" s="22">
        <v>5000</v>
      </c>
      <c r="G18" s="22">
        <v>5000</v>
      </c>
      <c r="H18" s="21">
        <v>5000</v>
      </c>
      <c r="I18" s="21">
        <v>5000</v>
      </c>
      <c r="L18" s="136"/>
    </row>
    <row r="19" spans="1:12" s="21" customFormat="1">
      <c r="A19" s="21" t="s">
        <v>41</v>
      </c>
      <c r="C19" s="22">
        <f>SUMIF(BALANZA!$B$12:$B$301,A19,BALANZA!$C$12:$C$301)</f>
        <v>0</v>
      </c>
      <c r="D19" s="22">
        <v>0</v>
      </c>
      <c r="E19" s="22">
        <v>5000</v>
      </c>
      <c r="F19" s="22">
        <v>5000</v>
      </c>
      <c r="G19" s="22">
        <v>5000</v>
      </c>
      <c r="H19" s="21">
        <v>5000</v>
      </c>
      <c r="I19" s="21">
        <v>5000</v>
      </c>
      <c r="L19" s="136"/>
    </row>
    <row r="20" spans="1:12" s="21" customFormat="1">
      <c r="C20" s="22"/>
      <c r="D20" s="22"/>
      <c r="E20" s="22"/>
      <c r="F20" s="22"/>
      <c r="G20" s="22"/>
      <c r="L20" s="136"/>
    </row>
    <row r="21" spans="1:12" s="21" customFormat="1">
      <c r="A21" s="23" t="s">
        <v>894</v>
      </c>
      <c r="B21" s="23"/>
      <c r="C21" s="22">
        <f>SUM(C23:C28)</f>
        <v>422082643.19</v>
      </c>
      <c r="D21" s="22">
        <v>422678433.54999995</v>
      </c>
      <c r="E21" s="22">
        <v>305379331.63000005</v>
      </c>
      <c r="F21" s="22">
        <v>198639953.57000002</v>
      </c>
      <c r="G21" s="22">
        <v>176903064.59</v>
      </c>
      <c r="H21" s="21">
        <v>136112850.11000001</v>
      </c>
      <c r="I21" s="21">
        <v>102427877.38000001</v>
      </c>
      <c r="L21" s="136"/>
    </row>
    <row r="22" spans="1:12" s="21" customFormat="1">
      <c r="A22" s="21" t="s">
        <v>3784</v>
      </c>
      <c r="B22" s="23"/>
      <c r="C22" s="22">
        <f>SUMIF(BALANZA!$B$12:$B$301,A22,BALANZA!$C$12:$C$301)</f>
        <v>0</v>
      </c>
      <c r="D22" s="22">
        <v>0</v>
      </c>
      <c r="E22" s="22">
        <v>0</v>
      </c>
      <c r="F22" s="22">
        <v>0</v>
      </c>
      <c r="G22" s="22">
        <v>0</v>
      </c>
      <c r="L22" s="136"/>
    </row>
    <row r="23" spans="1:12" s="21" customFormat="1">
      <c r="A23" s="21" t="s">
        <v>48</v>
      </c>
      <c r="C23" s="22">
        <f>SUMIF(BALANZA!$B$12:$B$301,A23,BALANZA!$C$12:$C$301)</f>
        <v>0</v>
      </c>
      <c r="D23" s="22">
        <v>1391.2</v>
      </c>
      <c r="E23" s="22">
        <v>236.2</v>
      </c>
      <c r="F23" s="22">
        <v>271650.45</v>
      </c>
      <c r="G23" s="22">
        <v>254050.45</v>
      </c>
      <c r="H23" s="21">
        <v>128944.45</v>
      </c>
      <c r="I23" s="21">
        <v>3443250.45</v>
      </c>
      <c r="L23" s="136"/>
    </row>
    <row r="24" spans="1:12" s="21" customFormat="1">
      <c r="A24" s="21" t="s">
        <v>50</v>
      </c>
      <c r="C24" s="22">
        <f>SUMIF(BALANZA!$B$12:$B$301,A24,BALANZA!$C$12:$C$301)</f>
        <v>0</v>
      </c>
      <c r="D24" s="22">
        <v>0</v>
      </c>
      <c r="E24" s="22">
        <v>1310.75</v>
      </c>
      <c r="F24" s="22">
        <v>38274754.43</v>
      </c>
      <c r="G24" s="22">
        <v>62922140.32</v>
      </c>
      <c r="H24" s="21">
        <v>129002853.29000001</v>
      </c>
      <c r="I24" s="21">
        <v>94273759.840000004</v>
      </c>
      <c r="L24" s="136"/>
    </row>
    <row r="25" spans="1:12" s="21" customFormat="1">
      <c r="A25" s="21" t="s">
        <v>52</v>
      </c>
      <c r="C25" s="22">
        <f>SUMIF(BALANZA!$B$12:$B$301,A25,BALANZA!$C$12:$C$301)</f>
        <v>717555.3</v>
      </c>
      <c r="D25" s="22">
        <v>814839.56</v>
      </c>
      <c r="E25" s="22">
        <v>2093182.13</v>
      </c>
      <c r="F25" s="22">
        <v>1505395.67</v>
      </c>
      <c r="G25" s="22">
        <v>1407193.25</v>
      </c>
      <c r="H25" s="21">
        <v>6981052.3700000001</v>
      </c>
      <c r="I25" s="21">
        <v>4710867.09</v>
      </c>
      <c r="L25" s="136"/>
    </row>
    <row r="26" spans="1:12" s="21" customFormat="1">
      <c r="A26" s="21" t="s">
        <v>3794</v>
      </c>
      <c r="C26" s="22">
        <f>SUMIF(BALANZA!$B$12:$B$301,A26,BALANZA!$C$12:$C$301)</f>
        <v>1036622.3</v>
      </c>
      <c r="D26" s="22">
        <v>331933.27</v>
      </c>
      <c r="E26" s="22">
        <v>453230.39</v>
      </c>
      <c r="F26" s="22">
        <v>1016617.28</v>
      </c>
      <c r="G26" s="22">
        <v>669885.98</v>
      </c>
      <c r="H26" s="21">
        <v>0</v>
      </c>
      <c r="L26" s="136"/>
    </row>
    <row r="27" spans="1:12" s="21" customFormat="1">
      <c r="A27" s="21" t="s">
        <v>3850</v>
      </c>
      <c r="C27" s="22">
        <f>SUMIF(BALANZA!$B$12:$B$301,A27,BALANZA!$C$12:$C$301)</f>
        <v>420328465.58999997</v>
      </c>
      <c r="D27" s="22">
        <v>421530269.51999998</v>
      </c>
      <c r="E27" s="22">
        <v>302831372.16000003</v>
      </c>
      <c r="F27" s="22">
        <v>157571535.74000001</v>
      </c>
      <c r="G27" s="22">
        <v>111832960.74000001</v>
      </c>
      <c r="H27" s="21">
        <v>0</v>
      </c>
      <c r="L27" s="136"/>
    </row>
    <row r="28" spans="1:12" s="21" customFormat="1">
      <c r="A28" s="21" t="s">
        <v>3796</v>
      </c>
      <c r="C28" s="22">
        <f>SUMIF(BALANZA!$B$12:$B$301,A28,BALANZA!$C$12:$C$301)</f>
        <v>0</v>
      </c>
      <c r="D28" s="22">
        <v>0</v>
      </c>
      <c r="E28" s="22">
        <v>0</v>
      </c>
      <c r="F28" s="22">
        <v>0</v>
      </c>
      <c r="G28" s="22">
        <v>0</v>
      </c>
      <c r="L28" s="136"/>
    </row>
    <row r="29" spans="1:12" s="21" customFormat="1">
      <c r="A29" s="23" t="s">
        <v>55</v>
      </c>
      <c r="B29" s="23"/>
      <c r="C29" s="24">
        <f>SUM(C30)</f>
        <v>0</v>
      </c>
      <c r="D29" s="24">
        <v>0</v>
      </c>
      <c r="E29" s="22">
        <v>0</v>
      </c>
      <c r="F29" s="22">
        <v>453000</v>
      </c>
      <c r="G29" s="22">
        <v>453000</v>
      </c>
      <c r="H29" s="21">
        <v>453000</v>
      </c>
      <c r="I29" s="21">
        <v>453000</v>
      </c>
      <c r="L29" s="136"/>
    </row>
    <row r="30" spans="1:12" s="21" customFormat="1">
      <c r="A30" s="21" t="s">
        <v>57</v>
      </c>
      <c r="C30" s="22">
        <f>SUMIF(BALANZA!$B$12:$B$301,A30,BALANZA!$C$12:$C$301)</f>
        <v>0</v>
      </c>
      <c r="D30" s="22">
        <v>0</v>
      </c>
      <c r="E30" s="24">
        <v>0</v>
      </c>
      <c r="F30" s="22">
        <v>453000</v>
      </c>
      <c r="G30" s="22">
        <v>453000</v>
      </c>
      <c r="H30" s="21">
        <v>453000</v>
      </c>
      <c r="I30" s="21">
        <v>453000</v>
      </c>
      <c r="L30" s="136"/>
    </row>
    <row r="31" spans="1:12" s="21" customFormat="1">
      <c r="E31" s="22"/>
      <c r="F31" s="22"/>
      <c r="G31" s="22"/>
      <c r="H31" s="22"/>
      <c r="L31" s="136"/>
    </row>
    <row r="32" spans="1:12" s="21" customFormat="1">
      <c r="F32" s="22"/>
      <c r="G32" s="22"/>
      <c r="H32" s="22"/>
      <c r="L32" s="136"/>
    </row>
    <row r="33" spans="1:15" s="21" customFormat="1">
      <c r="A33" s="23" t="s">
        <v>76</v>
      </c>
      <c r="B33" s="23"/>
      <c r="F33" s="22"/>
      <c r="G33" s="22"/>
      <c r="H33" s="22"/>
      <c r="L33" s="136"/>
    </row>
    <row r="34" spans="1:15" s="21" customFormat="1">
      <c r="A34" s="21" t="s">
        <v>87</v>
      </c>
      <c r="C34" s="22">
        <f>SUMIF(BALANZA!$B$12:$B$301,A34,BALANZA!$C$12:$C$301)</f>
        <v>0</v>
      </c>
      <c r="D34" s="22">
        <v>0</v>
      </c>
      <c r="E34" s="21">
        <v>1350.12</v>
      </c>
      <c r="F34" s="22">
        <v>13209579</v>
      </c>
      <c r="G34" s="22">
        <v>98501350.120000005</v>
      </c>
      <c r="H34" s="22">
        <v>4784</v>
      </c>
      <c r="I34" s="21">
        <v>0</v>
      </c>
      <c r="L34" s="136"/>
    </row>
    <row r="35" spans="1:15" s="21" customFormat="1">
      <c r="C35" s="22"/>
      <c r="D35" s="22"/>
      <c r="E35" s="22">
        <v>1350.12</v>
      </c>
      <c r="F35" s="22">
        <v>1350.12</v>
      </c>
      <c r="G35" s="22">
        <v>1350.12</v>
      </c>
      <c r="H35" s="22"/>
      <c r="L35" s="136"/>
    </row>
    <row r="36" spans="1:15" s="21" customFormat="1">
      <c r="C36" s="22"/>
      <c r="D36" s="22"/>
      <c r="E36" s="22"/>
      <c r="F36" s="22"/>
      <c r="G36" s="22"/>
      <c r="H36" s="22"/>
      <c r="L36" s="136"/>
    </row>
    <row r="37" spans="1:15" s="21" customFormat="1">
      <c r="C37" s="22"/>
      <c r="D37" s="22"/>
      <c r="E37" s="22"/>
      <c r="F37" s="22"/>
      <c r="G37" s="22"/>
      <c r="H37" s="22"/>
      <c r="L37" s="136"/>
    </row>
    <row r="38" spans="1:15" s="21" customFormat="1">
      <c r="C38" s="22"/>
      <c r="D38" s="22"/>
      <c r="E38" s="22"/>
      <c r="F38" s="22"/>
      <c r="G38" s="22"/>
      <c r="H38" s="22"/>
      <c r="L38" s="136"/>
    </row>
    <row r="39" spans="1:15" s="21" customFormat="1">
      <c r="A39" s="23" t="s">
        <v>1029</v>
      </c>
      <c r="B39" s="23"/>
      <c r="C39" s="22"/>
      <c r="D39" s="22"/>
      <c r="E39" s="22"/>
      <c r="F39" s="22"/>
      <c r="G39" s="22"/>
      <c r="H39" s="22"/>
      <c r="L39" s="136"/>
    </row>
    <row r="40" spans="1:15" s="21" customFormat="1">
      <c r="A40" s="55" t="s">
        <v>928</v>
      </c>
      <c r="B40" s="55"/>
      <c r="C40" s="22">
        <f>SUMIF(BALANZA!$B$12:$B$301,A40,BALANZA!$C$12:$C$301)</f>
        <v>0</v>
      </c>
      <c r="D40" s="22">
        <v>0</v>
      </c>
      <c r="E40" s="22">
        <v>0</v>
      </c>
      <c r="F40" s="22">
        <v>0</v>
      </c>
      <c r="G40" s="22">
        <v>0</v>
      </c>
      <c r="H40" s="22">
        <v>0</v>
      </c>
      <c r="I40" s="21">
        <v>0</v>
      </c>
      <c r="L40" s="136"/>
    </row>
    <row r="41" spans="1:15" s="21" customFormat="1">
      <c r="A41" s="55" t="s">
        <v>119</v>
      </c>
      <c r="B41" s="55"/>
      <c r="C41" s="22">
        <f>SUMIF(BALANZA!$B$12:$B$301,A41,BALANZA!$C$12:$C$301)</f>
        <v>14233314.59</v>
      </c>
      <c r="D41" s="22">
        <v>15776376.33</v>
      </c>
      <c r="E41" s="22">
        <v>18382280.280000001</v>
      </c>
      <c r="F41" s="22">
        <v>23878010</v>
      </c>
      <c r="G41" s="22">
        <v>11489568.57</v>
      </c>
      <c r="H41" s="22">
        <v>11211777.699999999</v>
      </c>
      <c r="I41" s="21">
        <v>6813088.3600000003</v>
      </c>
      <c r="L41" s="136"/>
    </row>
    <row r="42" spans="1:15" s="21" customFormat="1">
      <c r="A42" s="55"/>
      <c r="B42" s="55"/>
      <c r="C42" s="22"/>
      <c r="D42" s="22"/>
      <c r="E42" s="22"/>
      <c r="F42" s="22"/>
      <c r="G42" s="22"/>
      <c r="H42" s="22"/>
      <c r="L42" s="136"/>
    </row>
    <row r="43" spans="1:15" s="21" customFormat="1">
      <c r="A43" s="55"/>
      <c r="B43" s="55"/>
      <c r="C43" s="22"/>
      <c r="D43" s="22"/>
      <c r="E43" s="22"/>
      <c r="F43" s="22"/>
      <c r="G43" s="22"/>
      <c r="H43" s="22"/>
      <c r="L43" s="136"/>
    </row>
    <row r="44" spans="1:15" s="21" customFormat="1">
      <c r="A44" s="55"/>
      <c r="B44" s="55"/>
      <c r="C44" s="22"/>
      <c r="D44" s="22"/>
      <c r="E44" s="22"/>
      <c r="F44" s="22"/>
      <c r="G44" s="22"/>
      <c r="H44" s="22"/>
      <c r="L44" s="136"/>
    </row>
    <row r="45" spans="1:15" s="21" customFormat="1">
      <c r="A45" s="137" t="s">
        <v>1030</v>
      </c>
      <c r="B45" s="137"/>
      <c r="C45" s="24">
        <f>SUM(C46)</f>
        <v>0</v>
      </c>
      <c r="D45" s="24">
        <v>0</v>
      </c>
      <c r="E45" s="22">
        <v>193172</v>
      </c>
      <c r="F45" s="22">
        <v>193172</v>
      </c>
      <c r="G45" s="22">
        <v>193172</v>
      </c>
      <c r="H45" s="22">
        <v>193172</v>
      </c>
      <c r="I45" s="21">
        <v>193172</v>
      </c>
      <c r="J45"/>
      <c r="K45"/>
      <c r="L45"/>
      <c r="M45" s="21" t="s">
        <v>2208</v>
      </c>
      <c r="N45" s="21" t="s">
        <v>2209</v>
      </c>
      <c r="O45" s="21" t="s">
        <v>2210</v>
      </c>
    </row>
    <row r="46" spans="1:15" s="21" customFormat="1">
      <c r="A46" s="21" t="s">
        <v>218</v>
      </c>
      <c r="C46" s="22">
        <f>SUMIF(BALANZA!$B$12:$B$301,A46,BALANZA!$C$12:$C$301)</f>
        <v>0</v>
      </c>
      <c r="D46" s="22">
        <v>0</v>
      </c>
      <c r="E46" s="24">
        <v>193172</v>
      </c>
      <c r="F46" s="21">
        <v>193172</v>
      </c>
      <c r="G46" s="21">
        <v>193172</v>
      </c>
      <c r="H46" s="22">
        <v>193172</v>
      </c>
      <c r="I46" s="21">
        <v>193172</v>
      </c>
      <c r="J46" s="11"/>
      <c r="K46" s="11"/>
      <c r="L46" s="11"/>
      <c r="M46" s="21">
        <v>1800</v>
      </c>
      <c r="N46" s="21">
        <v>9</v>
      </c>
      <c r="O46" s="21">
        <v>1350</v>
      </c>
    </row>
    <row r="47" spans="1:15" s="21" customFormat="1">
      <c r="C47" s="22"/>
      <c r="D47" s="22"/>
      <c r="E47" s="22"/>
      <c r="H47" s="22"/>
      <c r="J47" s="11"/>
      <c r="K47" s="11"/>
      <c r="L47" s="11"/>
      <c r="M47" s="21">
        <v>73573.39</v>
      </c>
      <c r="N47" s="21">
        <v>3</v>
      </c>
      <c r="O47" s="21">
        <v>18393.3475</v>
      </c>
    </row>
    <row r="48" spans="1:15" s="21" customFormat="1">
      <c r="A48" s="21" t="s">
        <v>2203</v>
      </c>
      <c r="B48" s="22">
        <f>+D48-C48</f>
        <v>162849.63</v>
      </c>
      <c r="C48" s="22">
        <f>SUMIF(BALANZA!$B$12:$B$301,A48,BALANZA!$C$12:$C$301)</f>
        <v>325699.31</v>
      </c>
      <c r="D48" s="22">
        <v>488548.94</v>
      </c>
      <c r="E48" s="22">
        <v>422306.74</v>
      </c>
      <c r="F48" s="21">
        <v>373212.74</v>
      </c>
      <c r="G48" s="21">
        <v>317600.45</v>
      </c>
      <c r="H48" s="22">
        <v>166084.95000000001</v>
      </c>
      <c r="I48" s="21">
        <v>66155.839999999997</v>
      </c>
      <c r="J48" s="11"/>
      <c r="K48" s="11"/>
      <c r="L48" s="11"/>
      <c r="M48" s="21">
        <v>10440</v>
      </c>
      <c r="N48" s="21">
        <v>3</v>
      </c>
      <c r="O48" s="21">
        <v>2610</v>
      </c>
    </row>
    <row r="49" spans="1:16" s="21" customFormat="1">
      <c r="C49" s="22"/>
      <c r="D49" s="22"/>
      <c r="E49" s="22"/>
      <c r="H49" s="22"/>
      <c r="J49" s="11"/>
      <c r="K49" s="11"/>
      <c r="L49" s="11"/>
      <c r="M49" s="21">
        <v>85813.39</v>
      </c>
      <c r="O49" s="21">
        <v>22353.3475</v>
      </c>
    </row>
    <row r="50" spans="1:16" s="21" customFormat="1">
      <c r="A50" s="23"/>
      <c r="B50" s="23"/>
      <c r="E50" s="22"/>
      <c r="F50" s="22"/>
      <c r="G50" s="22"/>
      <c r="H50" s="22"/>
      <c r="J50" s="11"/>
      <c r="K50" s="11"/>
      <c r="L50" s="11"/>
      <c r="M50" s="21">
        <v>63460.042499999996</v>
      </c>
    </row>
    <row r="51" spans="1:16" s="21" customFormat="1">
      <c r="A51" s="889"/>
      <c r="B51" s="889"/>
      <c r="C51" s="889"/>
      <c r="D51" s="889"/>
      <c r="F51" s="889"/>
      <c r="G51" s="889"/>
      <c r="H51" s="889"/>
      <c r="I51" s="889"/>
      <c r="K51"/>
      <c r="L51"/>
    </row>
    <row r="52" spans="1:16" s="21" customFormat="1">
      <c r="E52" s="889"/>
      <c r="F52" s="22"/>
      <c r="G52" s="22"/>
      <c r="H52" s="1634"/>
      <c r="I52" s="1634"/>
      <c r="J52"/>
      <c r="K52" t="s">
        <v>3779</v>
      </c>
      <c r="L52"/>
    </row>
    <row r="53" spans="1:16" s="21" customFormat="1">
      <c r="A53" s="23" t="s">
        <v>904</v>
      </c>
      <c r="B53" s="23"/>
      <c r="C53" s="24">
        <f>SUM(C55:C74)</f>
        <v>1172512798.9300001</v>
      </c>
      <c r="D53" s="24">
        <v>1167023627.75</v>
      </c>
      <c r="E53" s="21">
        <v>1123679238.9100001</v>
      </c>
      <c r="F53" s="21">
        <v>1108851982.8299997</v>
      </c>
      <c r="G53" s="21">
        <v>1092741791.3099999</v>
      </c>
      <c r="H53" s="1538">
        <v>1059791711.4000001</v>
      </c>
      <c r="I53" s="1538">
        <v>1021273406.35</v>
      </c>
      <c r="J53"/>
      <c r="K53">
        <v>1109845184.7099998</v>
      </c>
      <c r="L53">
        <v>1093022628.1900001</v>
      </c>
    </row>
    <row r="54" spans="1:16" s="21" customFormat="1">
      <c r="A54" s="23"/>
      <c r="B54" s="23"/>
      <c r="C54" s="22"/>
      <c r="D54" s="22"/>
      <c r="E54" s="24"/>
      <c r="H54" s="1538"/>
      <c r="I54" s="1538"/>
      <c r="K54" s="21">
        <v>-54869.370000362396</v>
      </c>
      <c r="L54" s="136">
        <v>180821.30000019073</v>
      </c>
    </row>
    <row r="55" spans="1:16" s="21" customFormat="1">
      <c r="A55" s="21" t="s">
        <v>2216</v>
      </c>
      <c r="B55" s="22">
        <f t="shared" ref="B55:B91" si="0">+C55-D55</f>
        <v>0</v>
      </c>
      <c r="C55" s="22">
        <f>SUMIF(BALANZA!$B$12:$B$301,A55,BALANZA!$C$12:$C$301)</f>
        <v>1623675</v>
      </c>
      <c r="D55" s="22">
        <v>1623675</v>
      </c>
      <c r="E55" s="22">
        <v>1623675</v>
      </c>
      <c r="F55" s="22">
        <v>1623675</v>
      </c>
      <c r="G55" s="22">
        <v>1623675</v>
      </c>
      <c r="H55" s="21">
        <v>1623675</v>
      </c>
      <c r="I55" s="21">
        <v>1623675</v>
      </c>
      <c r="J55" s="21">
        <v>0</v>
      </c>
      <c r="L55" s="136"/>
      <c r="N55" s="22"/>
      <c r="P55" s="21" t="s">
        <v>2211</v>
      </c>
    </row>
    <row r="56" spans="1:16" s="21" customFormat="1">
      <c r="A56" s="21" t="s">
        <v>175</v>
      </c>
      <c r="B56" s="22">
        <f t="shared" si="0"/>
        <v>5541311.1799999923</v>
      </c>
      <c r="C56" s="22">
        <f>SUMIF(BALANZA!$B$12:$B$301,A56,BALANZA!$C$12:$C$301)</f>
        <v>96963363.959999993</v>
      </c>
      <c r="D56" s="22">
        <v>91422052.780000001</v>
      </c>
      <c r="E56" s="22">
        <v>58199459.810000002</v>
      </c>
      <c r="F56" s="22">
        <v>48995557.039999999</v>
      </c>
      <c r="G56" s="22">
        <v>39446817.630000003</v>
      </c>
      <c r="H56" s="21">
        <v>17350385.559999999</v>
      </c>
      <c r="I56" s="22">
        <v>0</v>
      </c>
      <c r="J56" s="21">
        <v>22096432.070000004</v>
      </c>
      <c r="L56" s="136">
        <v>9548739.4099999964</v>
      </c>
      <c r="N56" s="22"/>
      <c r="P56" s="21" t="s">
        <v>2212</v>
      </c>
    </row>
    <row r="57" spans="1:16" s="21" customFormat="1">
      <c r="A57" t="s">
        <v>2857</v>
      </c>
      <c r="B57" s="22">
        <f t="shared" si="0"/>
        <v>0</v>
      </c>
      <c r="C57" s="22">
        <f>SUMIF(BALANZA!$B$12:$B$301,A57,BALANZA!$C$12:$C$301)</f>
        <v>5332160.29</v>
      </c>
      <c r="D57" s="22">
        <v>5332160.29</v>
      </c>
      <c r="E57" s="22">
        <v>5332160.29</v>
      </c>
      <c r="F57" s="22">
        <v>5332160.29</v>
      </c>
      <c r="G57" s="22">
        <v>5332160.29</v>
      </c>
      <c r="H57" s="22">
        <v>5332160.29</v>
      </c>
      <c r="I57" s="22">
        <v>0</v>
      </c>
      <c r="J57" s="21">
        <v>0</v>
      </c>
      <c r="K57" s="896"/>
      <c r="L57" s="897">
        <v>0</v>
      </c>
      <c r="M57" s="896"/>
      <c r="N57" s="22">
        <v>944822799.37</v>
      </c>
      <c r="O57" s="21">
        <v>5559911.9299999475</v>
      </c>
      <c r="P57" s="21" t="s">
        <v>2213</v>
      </c>
    </row>
    <row r="58" spans="1:16" s="21" customFormat="1">
      <c r="A58" s="21" t="s">
        <v>178</v>
      </c>
      <c r="B58" s="22">
        <f t="shared" si="0"/>
        <v>0</v>
      </c>
      <c r="C58" s="22">
        <f>SUMIF(BALANZA!$B$12:$B$301,A58,BALANZA!$C$12:$C$301)</f>
        <v>953149176.46000004</v>
      </c>
      <c r="D58" s="22">
        <v>953149176.46000004</v>
      </c>
      <c r="E58" s="22">
        <v>953149176.46000004</v>
      </c>
      <c r="F58" s="22">
        <v>953149176.46000004</v>
      </c>
      <c r="G58" s="22">
        <v>953149176.46000004</v>
      </c>
      <c r="H58" s="22">
        <v>953149176.46000004</v>
      </c>
      <c r="I58" s="22">
        <v>953149176.46000004</v>
      </c>
      <c r="J58" s="21">
        <v>0</v>
      </c>
      <c r="L58" s="136">
        <v>0</v>
      </c>
      <c r="N58" s="22"/>
      <c r="P58" s="21" t="s">
        <v>2214</v>
      </c>
    </row>
    <row r="59" spans="1:16" s="21" customFormat="1">
      <c r="A59" s="21" t="s">
        <v>2392</v>
      </c>
      <c r="B59" s="22">
        <f t="shared" si="0"/>
        <v>0</v>
      </c>
      <c r="C59" s="22">
        <f>SUMIF(BALANZA!$B$12:$B$301,A59,BALANZA!$C$12:$C$301)</f>
        <v>4551737.59</v>
      </c>
      <c r="D59" s="22">
        <v>4551737.59</v>
      </c>
      <c r="E59" s="22">
        <v>4149647.32</v>
      </c>
      <c r="F59" s="22">
        <v>3620347.32</v>
      </c>
      <c r="G59" s="22">
        <v>3176700</v>
      </c>
      <c r="H59" s="22">
        <v>3176700</v>
      </c>
      <c r="I59" s="22">
        <v>3176700</v>
      </c>
      <c r="J59" s="21">
        <v>0</v>
      </c>
      <c r="L59" s="136">
        <v>443647.31999999983</v>
      </c>
      <c r="N59" s="22"/>
      <c r="P59" s="21" t="s">
        <v>2215</v>
      </c>
    </row>
    <row r="60" spans="1:16" s="21" customFormat="1">
      <c r="B60" s="22">
        <f t="shared" si="0"/>
        <v>0</v>
      </c>
      <c r="C60" s="22"/>
      <c r="D60" s="22"/>
      <c r="E60" s="22"/>
      <c r="F60" s="22"/>
      <c r="G60" s="22"/>
      <c r="H60" s="22"/>
      <c r="I60" s="22"/>
      <c r="L60" s="136"/>
      <c r="N60" s="22"/>
    </row>
    <row r="61" spans="1:16" s="21" customFormat="1">
      <c r="A61" s="21" t="s">
        <v>3942</v>
      </c>
      <c r="B61" s="22">
        <f t="shared" si="0"/>
        <v>0</v>
      </c>
      <c r="C61" s="22">
        <f>SUMIF(BALANZA!$B$12:$B$301,A61,BALANZA!$C$12:$C$301)</f>
        <v>819796.62</v>
      </c>
      <c r="D61" s="22">
        <v>819796.62</v>
      </c>
      <c r="E61" s="22">
        <v>819796.62000000011</v>
      </c>
      <c r="F61" s="22">
        <v>570898.31000000006</v>
      </c>
      <c r="G61" s="22">
        <v>0</v>
      </c>
      <c r="H61" s="22"/>
      <c r="I61" s="22"/>
      <c r="L61" s="136">
        <v>570898.31000000006</v>
      </c>
      <c r="N61" s="22"/>
    </row>
    <row r="62" spans="1:16" s="21" customFormat="1">
      <c r="B62" s="22">
        <f t="shared" si="0"/>
        <v>0</v>
      </c>
      <c r="C62" s="22"/>
      <c r="D62" s="22"/>
      <c r="E62" s="22"/>
      <c r="F62" s="22"/>
      <c r="G62" s="22"/>
      <c r="H62" s="22"/>
      <c r="I62" s="22"/>
      <c r="L62" s="136"/>
      <c r="N62" s="22"/>
    </row>
    <row r="63" spans="1:16" s="21" customFormat="1">
      <c r="A63" s="21" t="s">
        <v>2871</v>
      </c>
      <c r="B63" s="22">
        <f t="shared" si="0"/>
        <v>0</v>
      </c>
      <c r="C63" s="22">
        <f>SUMIF(BALANZA!$B$12:$B$301,A63,BALANZA!$C$12:$C$301)</f>
        <v>5224661.0199999996</v>
      </c>
      <c r="D63" s="22">
        <v>5224661.0199999996</v>
      </c>
      <c r="E63" s="22">
        <v>5224661.0199999996</v>
      </c>
      <c r="F63" s="22">
        <v>5224661.0199999996</v>
      </c>
      <c r="G63" s="22">
        <v>5224661.0199999996</v>
      </c>
      <c r="H63" s="22">
        <v>5224661.0199999996</v>
      </c>
      <c r="I63" s="22"/>
      <c r="J63" s="21">
        <v>0</v>
      </c>
      <c r="L63" s="136">
        <v>0</v>
      </c>
      <c r="N63" s="22"/>
    </row>
    <row r="64" spans="1:16" s="21" customFormat="1">
      <c r="A64" s="21" t="s">
        <v>2212</v>
      </c>
      <c r="B64" s="22">
        <f t="shared" si="0"/>
        <v>0</v>
      </c>
      <c r="C64" s="1246">
        <f>SUMIF(BALANZA!$B$12:$B$301,A64,BALANZA!$C$12:$C$301)</f>
        <v>55553258.920000002</v>
      </c>
      <c r="D64" s="22">
        <v>55553258.920000002</v>
      </c>
      <c r="E64" s="22">
        <v>52883325.560000002</v>
      </c>
      <c r="F64" s="22">
        <v>48572302.979999997</v>
      </c>
      <c r="G64" s="22">
        <v>45922302.979999997</v>
      </c>
      <c r="H64" s="22">
        <v>38171024.979999997</v>
      </c>
      <c r="I64" s="22">
        <v>30754935.530000001</v>
      </c>
      <c r="J64" s="22">
        <v>7751278</v>
      </c>
      <c r="K64" s="22">
        <v>47707561.859999999</v>
      </c>
      <c r="L64" s="136">
        <v>2650000</v>
      </c>
      <c r="M64" s="21">
        <v>48029311.859999999</v>
      </c>
      <c r="N64" s="22">
        <v>15624467.83</v>
      </c>
      <c r="P64" s="21" t="s">
        <v>2216</v>
      </c>
    </row>
    <row r="65" spans="1:16" s="21" customFormat="1">
      <c r="A65" s="21" t="s">
        <v>2215</v>
      </c>
      <c r="B65" s="22">
        <f t="shared" si="0"/>
        <v>0</v>
      </c>
      <c r="C65" s="22">
        <f>SUMIF(BALANZA!$B$12:$B$301,A65,BALANZA!$C$12:$C$301)</f>
        <v>11514419.15</v>
      </c>
      <c r="D65" s="22">
        <v>11514419.15</v>
      </c>
      <c r="E65" s="22">
        <v>10179245.880000001</v>
      </c>
      <c r="F65" s="22">
        <v>10165018.76</v>
      </c>
      <c r="G65" s="22">
        <v>9225825.5199999996</v>
      </c>
      <c r="H65" s="22">
        <v>9225825.5199999996</v>
      </c>
      <c r="I65" s="22">
        <v>8248911.1900000004</v>
      </c>
      <c r="J65" s="21">
        <v>0</v>
      </c>
      <c r="K65" s="21">
        <v>1316227.3400000036</v>
      </c>
      <c r="L65" s="136">
        <v>939193.24000000022</v>
      </c>
      <c r="N65" s="22"/>
      <c r="P65" s="21" t="s">
        <v>178</v>
      </c>
    </row>
    <row r="66" spans="1:16" s="21" customFormat="1">
      <c r="A66" s="21" t="s">
        <v>3851</v>
      </c>
      <c r="B66" s="22">
        <f t="shared" si="0"/>
        <v>0</v>
      </c>
      <c r="C66" s="1246">
        <f>SUMIF(BALANZA!$B$12:$B$301,A66,BALANZA!$C$12:$C$301)</f>
        <v>384474.84</v>
      </c>
      <c r="D66" s="22">
        <v>384474.84</v>
      </c>
      <c r="E66" s="22">
        <v>384474.84</v>
      </c>
      <c r="F66" s="22">
        <v>384474.84</v>
      </c>
      <c r="G66" s="22">
        <v>384474.84</v>
      </c>
      <c r="H66" s="22">
        <v>0</v>
      </c>
      <c r="I66" s="22">
        <v>0</v>
      </c>
      <c r="J66" s="21">
        <v>384474.84</v>
      </c>
      <c r="L66" s="136">
        <v>0</v>
      </c>
      <c r="N66" s="22"/>
    </row>
    <row r="67" spans="1:16" s="21" customFormat="1">
      <c r="A67" s="21" t="s">
        <v>2317</v>
      </c>
      <c r="B67" s="22">
        <f t="shared" si="0"/>
        <v>0</v>
      </c>
      <c r="C67" s="1246">
        <f>SUMIF(BALANZA!$B$12:$B$301,A67,BALANZA!$C$12:$C$301)</f>
        <v>258043.54</v>
      </c>
      <c r="D67" s="22">
        <v>258043.54</v>
      </c>
      <c r="E67" s="22">
        <v>258043.54</v>
      </c>
      <c r="F67" s="22">
        <v>202098.62</v>
      </c>
      <c r="G67" s="22">
        <v>0</v>
      </c>
      <c r="H67" s="22"/>
      <c r="I67" s="22"/>
      <c r="L67" s="136">
        <v>202098.62</v>
      </c>
      <c r="N67" s="22"/>
    </row>
    <row r="68" spans="1:16" s="21" customFormat="1">
      <c r="A68" s="21" t="s">
        <v>2214</v>
      </c>
      <c r="B68" s="22">
        <f t="shared" si="0"/>
        <v>0</v>
      </c>
      <c r="C68" s="22">
        <f>SUMIF(BALANZA!$B$12:$B$301,A68,BALANZA!$C$12:$C$301)</f>
        <v>510150</v>
      </c>
      <c r="D68" s="22">
        <v>510150</v>
      </c>
      <c r="E68" s="22">
        <v>578847</v>
      </c>
      <c r="F68" s="22">
        <v>396650</v>
      </c>
      <c r="G68" s="22">
        <v>74900</v>
      </c>
      <c r="H68" s="21">
        <v>74900</v>
      </c>
      <c r="I68" s="22">
        <v>74900</v>
      </c>
      <c r="J68" s="21">
        <v>0</v>
      </c>
      <c r="L68" s="136">
        <v>321750</v>
      </c>
      <c r="N68" s="22"/>
    </row>
    <row r="69" spans="1:16" s="21" customFormat="1">
      <c r="A69" s="21" t="s">
        <v>4042</v>
      </c>
      <c r="B69" s="22">
        <f t="shared" si="0"/>
        <v>0</v>
      </c>
      <c r="C69" s="22">
        <f>SUMIF(BALANZA!$B$12:$B$301,A69,BALANZA!$C$12:$C$301)</f>
        <v>68697</v>
      </c>
      <c r="D69" s="22">
        <v>68697</v>
      </c>
      <c r="E69" s="22">
        <v>0</v>
      </c>
      <c r="F69" s="22"/>
      <c r="G69" s="22"/>
      <c r="I69" s="22"/>
      <c r="L69" s="136"/>
      <c r="N69" s="22"/>
    </row>
    <row r="70" spans="1:16" s="21" customFormat="1">
      <c r="A70" s="21" t="s">
        <v>4111</v>
      </c>
      <c r="B70" s="22">
        <f t="shared" si="0"/>
        <v>0</v>
      </c>
      <c r="C70" s="22">
        <f>SUMIF(BALANZA!$B$12:$B$301,A70,BALANZA!$C$12:$C$301)</f>
        <v>10596.94</v>
      </c>
      <c r="D70" s="22">
        <v>10596.94</v>
      </c>
      <c r="E70" s="22">
        <v>0</v>
      </c>
      <c r="F70" s="22"/>
      <c r="G70" s="22"/>
      <c r="I70" s="22"/>
      <c r="L70" s="136"/>
      <c r="N70" s="22"/>
    </row>
    <row r="71" spans="1:16" s="21" customFormat="1">
      <c r="A71" s="21" t="s">
        <v>2213</v>
      </c>
      <c r="B71" s="22">
        <f t="shared" si="0"/>
        <v>0</v>
      </c>
      <c r="C71" s="22">
        <f>SUMIF(BALANZA!$B$12:$B$301,A71,BALANZA!$C$12:$C$301)</f>
        <v>6890064.9800000004</v>
      </c>
      <c r="D71" s="22">
        <v>6890064.9800000004</v>
      </c>
      <c r="E71" s="22">
        <v>5837722.9500000002</v>
      </c>
      <c r="F71" s="22">
        <v>5459449.0700000003</v>
      </c>
      <c r="G71" s="22">
        <v>5037429.07</v>
      </c>
      <c r="H71" s="22">
        <v>2605517.0699999998</v>
      </c>
      <c r="I71" s="22">
        <v>681057.67</v>
      </c>
      <c r="J71" s="21">
        <v>2431912.0000000005</v>
      </c>
      <c r="K71" s="21">
        <v>0</v>
      </c>
      <c r="L71" s="136">
        <v>422020</v>
      </c>
      <c r="N71" s="22"/>
    </row>
    <row r="72" spans="1:16" s="21" customFormat="1">
      <c r="A72" s="21" t="s">
        <v>2315</v>
      </c>
      <c r="B72" s="22">
        <f t="shared" si="0"/>
        <v>0</v>
      </c>
      <c r="C72" s="22">
        <f>SUMIF(BALANZA!$B$12:$B$301,A72,BALANZA!$C$12:$C$301)</f>
        <v>792057</v>
      </c>
      <c r="D72" s="22">
        <v>792057</v>
      </c>
      <c r="E72" s="22">
        <v>792057</v>
      </c>
      <c r="F72" s="22">
        <v>792057</v>
      </c>
      <c r="G72" s="22">
        <v>792057</v>
      </c>
      <c r="H72" s="22">
        <v>749782</v>
      </c>
      <c r="I72" s="22">
        <v>456147</v>
      </c>
      <c r="J72" s="21">
        <v>42275</v>
      </c>
      <c r="L72" s="136">
        <v>0</v>
      </c>
      <c r="N72" s="22"/>
      <c r="P72" s="21" t="s">
        <v>164</v>
      </c>
    </row>
    <row r="73" spans="1:16" s="21" customFormat="1">
      <c r="A73" s="21" t="s">
        <v>2319</v>
      </c>
      <c r="B73" s="22">
        <f t="shared" si="0"/>
        <v>-52140</v>
      </c>
      <c r="C73" s="22">
        <f>SUMIF(BALANZA!$B$12:$B$301,A73,BALANZA!$C$12:$C$301)</f>
        <v>69520</v>
      </c>
      <c r="D73" s="22">
        <v>121660</v>
      </c>
      <c r="E73" s="22">
        <v>0</v>
      </c>
      <c r="F73" s="22">
        <v>175165.5</v>
      </c>
      <c r="G73" s="22">
        <v>243708</v>
      </c>
      <c r="H73" s="22">
        <v>0</v>
      </c>
      <c r="I73" s="22"/>
      <c r="J73" s="21">
        <v>243708</v>
      </c>
      <c r="L73" s="136">
        <v>-68542.5</v>
      </c>
      <c r="N73" s="22"/>
    </row>
    <row r="74" spans="1:16" s="21" customFormat="1">
      <c r="A74" s="21" t="s">
        <v>2211</v>
      </c>
      <c r="B74" s="22">
        <f t="shared" si="0"/>
        <v>0</v>
      </c>
      <c r="C74" s="22">
        <f>SUMIF(BALANZA!$B$12:$B$301,A74,BALANZA!$C$12:$C$301)</f>
        <v>28796945.620000001</v>
      </c>
      <c r="D74" s="22">
        <v>28796945.620000001</v>
      </c>
      <c r="E74" s="22">
        <v>24266945.620000001</v>
      </c>
      <c r="F74" s="22">
        <v>24188290.620000001</v>
      </c>
      <c r="G74" s="22">
        <v>23107903.5</v>
      </c>
      <c r="H74" s="22">
        <v>23107903.5</v>
      </c>
      <c r="I74" s="22">
        <v>23107903.5</v>
      </c>
      <c r="J74" s="21">
        <v>0</v>
      </c>
      <c r="L74" s="136">
        <v>1080387.120000001</v>
      </c>
    </row>
    <row r="75" spans="1:16" s="21" customFormat="1">
      <c r="A75" s="21" t="s">
        <v>4032</v>
      </c>
      <c r="B75" s="22">
        <f t="shared" si="0"/>
        <v>0</v>
      </c>
      <c r="C75" s="22">
        <f>SUMIF(BALANZA!$B$12:$B$301,A75,BALANZA!$C$12:$C$301)</f>
        <v>3564952.97</v>
      </c>
      <c r="D75" s="22">
        <v>3564952.97</v>
      </c>
      <c r="E75" s="22">
        <v>731633.56</v>
      </c>
      <c r="F75" s="22">
        <v>0</v>
      </c>
      <c r="G75" s="22"/>
      <c r="H75" s="22"/>
      <c r="I75" s="22"/>
      <c r="L75" s="136"/>
    </row>
    <row r="76" spans="1:16" s="21" customFormat="1">
      <c r="A76" s="21" t="s">
        <v>4041</v>
      </c>
      <c r="B76" s="22">
        <f t="shared" si="0"/>
        <v>0</v>
      </c>
      <c r="C76" s="22">
        <f>SUMIF(BALANZA!$B$12:$B$301,A76,BALANZA!$C$12:$C$301)</f>
        <v>29508.47</v>
      </c>
      <c r="D76" s="22">
        <v>29508.47</v>
      </c>
      <c r="E76" s="22">
        <v>29508.47</v>
      </c>
      <c r="F76" s="22">
        <v>0</v>
      </c>
      <c r="G76" s="22"/>
      <c r="H76" s="22"/>
      <c r="I76" s="22"/>
      <c r="L76" s="136"/>
    </row>
    <row r="77" spans="1:16" s="21" customFormat="1">
      <c r="A77" s="21" t="s">
        <v>2316</v>
      </c>
      <c r="B77" s="22">
        <f t="shared" si="0"/>
        <v>0</v>
      </c>
      <c r="C77" s="22">
        <f>SUMIF(BALANZA!$B$12:$B$301,A77,BALANZA!$C$12:$C$301)</f>
        <v>932591.88</v>
      </c>
      <c r="D77" s="22">
        <v>932591.88</v>
      </c>
      <c r="E77" s="22">
        <v>1031591.88</v>
      </c>
      <c r="F77" s="22">
        <v>932591.88</v>
      </c>
      <c r="G77" s="22">
        <v>259166.88</v>
      </c>
      <c r="H77" s="22">
        <v>194824</v>
      </c>
      <c r="I77" s="22">
        <v>169035</v>
      </c>
      <c r="J77" s="21">
        <v>64342.880000000005</v>
      </c>
      <c r="L77" s="136">
        <v>673425</v>
      </c>
    </row>
    <row r="78" spans="1:16" s="21" customFormat="1">
      <c r="A78" s="21" t="s">
        <v>4109</v>
      </c>
      <c r="B78" s="22">
        <f t="shared" si="0"/>
        <v>0</v>
      </c>
      <c r="C78" s="22">
        <f>SUMIF(BALANZA!$B$12:$B$301,A78,BALANZA!$C$12:$C$301)</f>
        <v>99000</v>
      </c>
      <c r="D78" s="22">
        <v>99000</v>
      </c>
      <c r="E78" s="22">
        <v>0</v>
      </c>
      <c r="F78" s="22"/>
      <c r="G78" s="22"/>
      <c r="H78" s="22"/>
      <c r="I78" s="22"/>
      <c r="L78" s="136"/>
    </row>
    <row r="79" spans="1:16" s="21" customFormat="1">
      <c r="A79" s="21" t="s">
        <v>194</v>
      </c>
      <c r="B79" s="22">
        <f t="shared" si="0"/>
        <v>0</v>
      </c>
      <c r="C79" s="1246">
        <f>SUMIF(BALANZA!$B$12:$B$301,A79,BALANZA!$C$12:$C$301)</f>
        <v>355699.35</v>
      </c>
      <c r="D79" s="22">
        <v>355699.35</v>
      </c>
      <c r="E79" s="22">
        <v>60610</v>
      </c>
      <c r="F79" s="22">
        <v>60610</v>
      </c>
      <c r="G79" s="22">
        <v>21670</v>
      </c>
      <c r="H79" s="22">
        <v>21670</v>
      </c>
      <c r="I79" s="22"/>
      <c r="J79" s="22">
        <v>0</v>
      </c>
      <c r="K79" s="22"/>
      <c r="L79" s="22">
        <v>38940</v>
      </c>
      <c r="M79" s="21">
        <v>5459449.0700000003</v>
      </c>
      <c r="N79" s="21">
        <v>932591.88</v>
      </c>
      <c r="O79" s="21">
        <v>24188290.620000001</v>
      </c>
    </row>
    <row r="80" spans="1:16" s="21" customFormat="1">
      <c r="A80" s="21" t="s">
        <v>4207</v>
      </c>
      <c r="B80" s="22">
        <f t="shared" si="0"/>
        <v>0</v>
      </c>
      <c r="C80" s="1246">
        <f>SUMIF(BALANZA!$B$12:$B$301,A80,BALANZA!$C$12:$C$301)</f>
        <v>728813.56</v>
      </c>
      <c r="D80" s="22">
        <v>728813.56</v>
      </c>
      <c r="E80" s="22">
        <v>0</v>
      </c>
      <c r="F80" s="22"/>
      <c r="G80" s="22"/>
      <c r="H80" s="22"/>
      <c r="I80" s="22"/>
      <c r="J80" s="22"/>
      <c r="K80" s="22"/>
      <c r="L80" s="22"/>
    </row>
    <row r="81" spans="1:17" s="21" customFormat="1">
      <c r="A81" s="21" t="s">
        <v>2810</v>
      </c>
      <c r="B81" s="22">
        <f t="shared" si="0"/>
        <v>0</v>
      </c>
      <c r="C81" s="22">
        <f>SUMIF(BALANZA!$B$12:$B$301,A81,BALANZA!$C$12:$C$301)</f>
        <v>309808868.79000002</v>
      </c>
      <c r="D81" s="1246">
        <v>309808868.79000002</v>
      </c>
      <c r="E81" s="22">
        <v>270856525.61000001</v>
      </c>
      <c r="F81" s="22">
        <v>220360422.87</v>
      </c>
      <c r="G81" s="22">
        <v>179304727.55000001</v>
      </c>
      <c r="H81" s="22">
        <v>136491958</v>
      </c>
      <c r="I81" s="22">
        <v>92932044.700000003</v>
      </c>
      <c r="J81" s="22">
        <v>42812769.550000012</v>
      </c>
      <c r="K81" s="22"/>
      <c r="L81" s="22">
        <v>41055695.319999993</v>
      </c>
      <c r="M81" s="21">
        <v>1630163.6</v>
      </c>
      <c r="N81" s="21">
        <v>134388.41</v>
      </c>
      <c r="O81" s="21">
        <v>21757958.390000001</v>
      </c>
    </row>
    <row r="82" spans="1:17" s="21" customFormat="1">
      <c r="A82" s="21" t="s">
        <v>2811</v>
      </c>
      <c r="B82" s="22">
        <f t="shared" si="0"/>
        <v>0</v>
      </c>
      <c r="C82" s="22">
        <f>SUMIF(BALANZA!$B$12:$B$301,A82,BALANZA!$C$12:$C$301)</f>
        <v>24637466.140000001</v>
      </c>
      <c r="D82" s="1246">
        <v>24637466.140000001</v>
      </c>
      <c r="E82" s="22">
        <v>23279837.379999999</v>
      </c>
      <c r="F82" s="22">
        <v>21757958.390000001</v>
      </c>
      <c r="G82" s="22">
        <v>20482261.449999999</v>
      </c>
      <c r="H82" s="22">
        <v>19607047.43</v>
      </c>
      <c r="I82" s="22">
        <v>18686411.800000001</v>
      </c>
      <c r="J82" s="22">
        <v>875214.01999999955</v>
      </c>
      <c r="K82" s="22"/>
      <c r="L82" s="22">
        <v>1275696.9400000013</v>
      </c>
      <c r="M82" s="21">
        <v>3829285.47</v>
      </c>
      <c r="N82" s="21">
        <v>798203.47</v>
      </c>
      <c r="O82" s="21">
        <v>2430332.2300000004</v>
      </c>
    </row>
    <row r="83" spans="1:17" s="21" customFormat="1">
      <c r="A83" s="21" t="s">
        <v>2812</v>
      </c>
      <c r="B83" s="22">
        <f t="shared" si="0"/>
        <v>0</v>
      </c>
      <c r="C83" s="22">
        <f>SUMIF(BALANZA!$B$12:$B$301,A83,BALANZA!$C$12:$C$301)</f>
        <v>3653190.9</v>
      </c>
      <c r="D83" s="1246">
        <v>3653190.9</v>
      </c>
      <c r="E83" s="22">
        <v>3463179.49</v>
      </c>
      <c r="F83" s="22">
        <v>2797198.55</v>
      </c>
      <c r="G83" s="22">
        <v>2008562.6</v>
      </c>
      <c r="H83" s="22">
        <v>1151553.76</v>
      </c>
      <c r="I83" s="22">
        <v>794175</v>
      </c>
      <c r="J83" s="21">
        <v>857008.84000000008</v>
      </c>
      <c r="L83" s="21">
        <v>788635.94999999972</v>
      </c>
      <c r="M83" s="21">
        <v>957321.36750000005</v>
      </c>
      <c r="N83" s="21">
        <v>199550.86749999999</v>
      </c>
      <c r="O83" s="21">
        <v>607583.05750000011</v>
      </c>
    </row>
    <row r="84" spans="1:17" s="21" customFormat="1">
      <c r="A84" s="21" t="s">
        <v>2813</v>
      </c>
      <c r="B84" s="22">
        <f t="shared" si="0"/>
        <v>0</v>
      </c>
      <c r="C84" s="22">
        <f>SUMIF(BALANZA!$B$12:$B$301,A84,BALANZA!$C$12:$C$301)</f>
        <v>203457.37</v>
      </c>
      <c r="D84" s="1246">
        <v>203457.37</v>
      </c>
      <c r="E84" s="22">
        <v>192875.05</v>
      </c>
      <c r="F84" s="22">
        <v>134388.41</v>
      </c>
      <c r="G84" s="22">
        <v>104170.61</v>
      </c>
      <c r="H84" s="22">
        <v>73952.81</v>
      </c>
      <c r="I84" s="22">
        <v>42258.75</v>
      </c>
      <c r="J84" s="21">
        <v>30217.800000000003</v>
      </c>
      <c r="L84" s="136">
        <v>30217.800000000003</v>
      </c>
    </row>
    <row r="85" spans="1:17" s="21" customFormat="1">
      <c r="A85" s="21" t="s">
        <v>2814</v>
      </c>
      <c r="B85" s="22">
        <f t="shared" si="0"/>
        <v>0</v>
      </c>
      <c r="C85" s="22">
        <f>SUMIF(BALANZA!$B$12:$B$301,A85,BALANZA!$C$12:$C$301)</f>
        <v>164778.88</v>
      </c>
      <c r="D85" s="1246">
        <v>164778.88</v>
      </c>
      <c r="E85" s="22">
        <v>156514.22</v>
      </c>
      <c r="F85" s="22">
        <v>131638.68</v>
      </c>
      <c r="G85" s="22">
        <v>43301.58</v>
      </c>
      <c r="H85" s="22">
        <v>32768.76</v>
      </c>
      <c r="I85" s="22">
        <v>18725</v>
      </c>
      <c r="J85" s="21">
        <v>10532.82</v>
      </c>
      <c r="L85" s="136">
        <v>88337.099999999991</v>
      </c>
    </row>
    <row r="86" spans="1:17" s="21" customFormat="1">
      <c r="A86" s="21" t="s">
        <v>2815</v>
      </c>
      <c r="B86" s="22">
        <f t="shared" si="0"/>
        <v>0</v>
      </c>
      <c r="C86" s="22">
        <f>SUMIF(BALANZA!$B$12:$B$301,A86,BALANZA!$C$12:$C$301)</f>
        <v>10426457.289999999</v>
      </c>
      <c r="D86" s="1246">
        <v>10426457.289999999</v>
      </c>
      <c r="E86" s="22">
        <v>9884151.7200000007</v>
      </c>
      <c r="F86" s="22">
        <v>9246661.9800000004</v>
      </c>
      <c r="G86" s="22">
        <v>8291390.3799999999</v>
      </c>
      <c r="H86" s="22">
        <v>7278608</v>
      </c>
      <c r="I86" s="22">
        <v>6890045.9800000004</v>
      </c>
      <c r="J86" s="21">
        <v>1012782.3799999999</v>
      </c>
      <c r="L86" s="136">
        <v>955271.60000000056</v>
      </c>
    </row>
    <row r="87" spans="1:17" s="21" customFormat="1">
      <c r="A87" s="21" t="s">
        <v>2816</v>
      </c>
      <c r="B87" s="22">
        <f t="shared" si="0"/>
        <v>0</v>
      </c>
      <c r="C87" s="22">
        <f>SUMIF(BALANZA!$B$12:$B$301,A87,BALANZA!$C$12:$C$301)</f>
        <v>2081024.1</v>
      </c>
      <c r="D87" s="1246">
        <v>2081024.1</v>
      </c>
      <c r="E87" s="22">
        <v>1972784.94</v>
      </c>
      <c r="F87" s="22">
        <v>1630163.6</v>
      </c>
      <c r="G87" s="22">
        <v>1142486.8799999999</v>
      </c>
      <c r="H87" s="22">
        <v>654810.16</v>
      </c>
      <c r="I87" s="22">
        <v>532339.97</v>
      </c>
      <c r="J87" s="21">
        <v>487676.71999999986</v>
      </c>
      <c r="L87" s="136">
        <v>487676.7200000002</v>
      </c>
    </row>
    <row r="88" spans="1:17" s="21" customFormat="1">
      <c r="A88" s="21" t="s">
        <v>2817</v>
      </c>
      <c r="B88" s="22">
        <f t="shared" si="0"/>
        <v>0</v>
      </c>
      <c r="C88" s="22">
        <f>SUMIF(BALANZA!$B$12:$B$301,A88,BALANZA!$C$12:$C$301)</f>
        <v>43479886.310000002</v>
      </c>
      <c r="D88" s="1246">
        <v>43479886.310000002</v>
      </c>
      <c r="E88" s="22">
        <v>38206151.979999997</v>
      </c>
      <c r="F88" s="22">
        <v>34810179.979999997</v>
      </c>
      <c r="G88" s="22">
        <v>32026501.77</v>
      </c>
      <c r="H88" s="22">
        <v>27327066.359999999</v>
      </c>
      <c r="I88" s="22">
        <v>25688592.68</v>
      </c>
      <c r="J88" s="21">
        <v>4699435.41</v>
      </c>
      <c r="L88" s="136">
        <v>2783678.2099999972</v>
      </c>
    </row>
    <row r="89" spans="1:17" s="21" customFormat="1">
      <c r="A89" s="21" t="s">
        <v>213</v>
      </c>
      <c r="B89" s="22">
        <f t="shared" si="0"/>
        <v>0</v>
      </c>
      <c r="C89" s="22">
        <f>SUMIF(BALANZA!$B$12:$B$301,A89,BALANZA!$C$12:$C$301)</f>
        <v>0</v>
      </c>
      <c r="D89" s="22">
        <v>0</v>
      </c>
      <c r="E89" s="22">
        <v>29194.159999999989</v>
      </c>
      <c r="F89" s="22">
        <v>14597.08</v>
      </c>
      <c r="G89" s="22">
        <v>20309</v>
      </c>
      <c r="H89" s="22">
        <v>0</v>
      </c>
      <c r="J89" s="22">
        <v>20309</v>
      </c>
      <c r="K89" s="22"/>
      <c r="L89" s="22"/>
      <c r="M89" s="22">
        <v>1109313641.01</v>
      </c>
      <c r="N89" s="22">
        <v>48029311.859999999</v>
      </c>
      <c r="O89" s="22">
        <v>960447267.20000005</v>
      </c>
      <c r="P89" s="21">
        <v>5559911.9299999475</v>
      </c>
      <c r="Q89" s="21" t="s">
        <v>178</v>
      </c>
    </row>
    <row r="90" spans="1:17" s="21" customFormat="1">
      <c r="A90" s="21" t="s">
        <v>202</v>
      </c>
      <c r="B90" s="22">
        <f t="shared" si="0"/>
        <v>0</v>
      </c>
      <c r="C90" s="22">
        <f>SUMIF(BALANZA!$B$12:$B$301,A90,BALANZA!$C$12:$C$301)</f>
        <v>0</v>
      </c>
      <c r="D90" s="22">
        <v>0</v>
      </c>
      <c r="E90" s="22">
        <v>0</v>
      </c>
      <c r="F90" s="22">
        <v>0</v>
      </c>
      <c r="G90" s="22">
        <v>0</v>
      </c>
      <c r="H90" s="22">
        <v>0</v>
      </c>
      <c r="I90" s="21">
        <v>-145584593.88</v>
      </c>
      <c r="J90" s="21">
        <v>33014422.790000003</v>
      </c>
      <c r="L90" s="136"/>
      <c r="P90" s="21" t="s">
        <v>153</v>
      </c>
    </row>
    <row r="91" spans="1:17" s="21" customFormat="1">
      <c r="A91" s="21" t="s">
        <v>3867</v>
      </c>
      <c r="B91" s="22">
        <f t="shared" si="0"/>
        <v>0</v>
      </c>
      <c r="C91" s="22">
        <f>SUMIF(BALANZA!$B$12:$B$301,A91,BALANZA!$C$12:$C$301)</f>
        <v>230034.87</v>
      </c>
      <c r="D91" s="22">
        <v>230034.87</v>
      </c>
      <c r="E91" s="22">
        <v>230034.87</v>
      </c>
      <c r="F91" s="22">
        <v>230034.87</v>
      </c>
      <c r="G91" s="22">
        <v>62886.7</v>
      </c>
      <c r="H91" s="1246">
        <v>0</v>
      </c>
      <c r="J91" s="21">
        <v>2431912.0000000005</v>
      </c>
      <c r="K91" s="22">
        <v>62886.7</v>
      </c>
      <c r="L91" s="136"/>
      <c r="P91" s="21" t="s">
        <v>150</v>
      </c>
    </row>
    <row r="92" spans="1:17" s="21" customFormat="1">
      <c r="B92" s="22"/>
      <c r="C92" s="22"/>
      <c r="D92" s="22"/>
      <c r="E92" s="22"/>
      <c r="F92" s="22"/>
      <c r="G92" s="22"/>
      <c r="H92" s="1246"/>
      <c r="K92" s="22"/>
      <c r="L92" s="136"/>
    </row>
    <row r="93" spans="1:17" s="21" customFormat="1">
      <c r="B93" s="22"/>
      <c r="C93" s="22"/>
      <c r="D93" s="22"/>
      <c r="E93" s="22"/>
      <c r="F93" s="22"/>
      <c r="G93" s="22"/>
      <c r="H93" s="1246"/>
      <c r="K93" s="22"/>
      <c r="L93" s="136"/>
    </row>
    <row r="94" spans="1:17" s="21" customFormat="1">
      <c r="A94" s="23" t="s">
        <v>283</v>
      </c>
      <c r="B94" s="24">
        <f>+B91-nota12!I12</f>
        <v>-56523467.980000004</v>
      </c>
      <c r="C94" s="24">
        <f>SUM(C95:C102)</f>
        <v>139610.85</v>
      </c>
      <c r="D94" s="24">
        <v>139610.85</v>
      </c>
      <c r="E94" s="22">
        <v>0</v>
      </c>
      <c r="F94" s="22">
        <v>580529.46</v>
      </c>
      <c r="G94" s="22">
        <v>564628.17000000004</v>
      </c>
      <c r="H94" s="22">
        <v>2419894.29</v>
      </c>
      <c r="I94" s="21">
        <v>5133009.4399999995</v>
      </c>
      <c r="J94" s="21">
        <v>0</v>
      </c>
      <c r="L94" s="136"/>
      <c r="P94" s="21" t="s">
        <v>144</v>
      </c>
    </row>
    <row r="95" spans="1:17" s="21" customFormat="1">
      <c r="A95" s="21" t="s">
        <v>287</v>
      </c>
      <c r="C95" s="22">
        <f>SUMIF(BALANZA!$B$12:$B$301,A95,BALANZA!$C$12:$C$301)</f>
        <v>0</v>
      </c>
      <c r="D95" s="22">
        <v>0</v>
      </c>
      <c r="E95" s="24">
        <v>0</v>
      </c>
      <c r="F95" s="21">
        <v>0</v>
      </c>
      <c r="G95" s="21">
        <v>0</v>
      </c>
      <c r="H95" s="22">
        <v>59383.34</v>
      </c>
      <c r="I95" s="21">
        <v>44195.37</v>
      </c>
      <c r="K95" s="21">
        <v>15624467.83</v>
      </c>
      <c r="L95" s="136"/>
      <c r="P95" s="21" t="s">
        <v>133</v>
      </c>
    </row>
    <row r="96" spans="1:17" s="21" customFormat="1">
      <c r="A96" s="21" t="s">
        <v>289</v>
      </c>
      <c r="C96" s="22">
        <f>SUMIF(BALANZA!$B$12:$B$301,A96,BALANZA!$C$12:$C$301)</f>
        <v>0</v>
      </c>
      <c r="D96" s="22">
        <v>0</v>
      </c>
      <c r="E96" s="22">
        <v>0</v>
      </c>
      <c r="F96" s="21">
        <v>6174.31</v>
      </c>
      <c r="G96" s="21">
        <v>2740.6</v>
      </c>
      <c r="H96" s="22">
        <v>0</v>
      </c>
      <c r="I96" s="21">
        <v>0</v>
      </c>
      <c r="L96" s="136"/>
    </row>
    <row r="97" spans="1:13" s="21" customFormat="1">
      <c r="A97" s="21" t="s">
        <v>2396</v>
      </c>
      <c r="C97" s="22">
        <f>SUMIF(BALANZA!$B$12:$B$301,A97,BALANZA!$C$12:$C$301)</f>
        <v>0</v>
      </c>
      <c r="D97" s="22">
        <v>0</v>
      </c>
      <c r="E97" s="22">
        <v>0</v>
      </c>
      <c r="F97" s="21">
        <v>0</v>
      </c>
      <c r="G97" s="21">
        <v>0</v>
      </c>
      <c r="H97" s="22">
        <v>4238.6899999999996</v>
      </c>
      <c r="I97" s="21">
        <v>3831626.84</v>
      </c>
      <c r="L97" s="136"/>
    </row>
    <row r="98" spans="1:13" s="21" customFormat="1">
      <c r="A98" s="21" t="s">
        <v>291</v>
      </c>
      <c r="C98" s="22">
        <f>SUMIF(BALANZA!$B$12:$B$301,A98,BALANZA!$C$12:$C$301)</f>
        <v>11361</v>
      </c>
      <c r="D98" s="22">
        <v>11361</v>
      </c>
      <c r="E98" s="22">
        <v>0</v>
      </c>
      <c r="F98" s="21">
        <v>0</v>
      </c>
      <c r="G98" s="21">
        <v>117707.76</v>
      </c>
      <c r="H98" s="22">
        <v>1153741.83</v>
      </c>
      <c r="I98" s="21">
        <v>331550.99</v>
      </c>
      <c r="L98" s="136"/>
    </row>
    <row r="99" spans="1:13" s="21" customFormat="1">
      <c r="A99" s="21" t="s">
        <v>293</v>
      </c>
      <c r="C99" s="22">
        <f>SUMIF(BALANZA!$B$12:$B$301,A99,BALANZA!$C$12:$C$301)</f>
        <v>0</v>
      </c>
      <c r="D99" s="22">
        <v>0</v>
      </c>
      <c r="E99" s="22">
        <v>0</v>
      </c>
      <c r="F99" s="21">
        <v>95474.43</v>
      </c>
      <c r="G99" s="21">
        <v>124960.17</v>
      </c>
      <c r="H99" s="22">
        <v>6200</v>
      </c>
      <c r="I99" s="21">
        <v>64631.01</v>
      </c>
      <c r="L99" s="136"/>
    </row>
    <row r="100" spans="1:13" s="21" customFormat="1">
      <c r="A100" s="21" t="s">
        <v>913</v>
      </c>
      <c r="C100" s="22">
        <f>SUMIF(BALANZA!$B$12:$B$301,A100,BALANZA!$C$12:$C$301)</f>
        <v>56304.6</v>
      </c>
      <c r="D100" s="22">
        <v>56304.6</v>
      </c>
      <c r="E100" s="22">
        <v>0</v>
      </c>
      <c r="F100" s="21">
        <v>54758.709999999992</v>
      </c>
      <c r="G100" s="21">
        <v>35960</v>
      </c>
      <c r="H100" s="22">
        <v>21912.17</v>
      </c>
      <c r="I100" s="21">
        <v>6383</v>
      </c>
      <c r="L100" s="136"/>
    </row>
    <row r="101" spans="1:13" s="21" customFormat="1">
      <c r="A101" s="21" t="s">
        <v>910</v>
      </c>
      <c r="C101" s="22">
        <f>SUMIF(BALANZA!$B$12:$B$301,A101,BALANZA!$C$12:$C$301)</f>
        <v>0</v>
      </c>
      <c r="D101" s="22">
        <v>0</v>
      </c>
      <c r="E101" s="22">
        <v>0</v>
      </c>
      <c r="F101" s="21">
        <v>0</v>
      </c>
      <c r="G101" s="21">
        <v>0</v>
      </c>
      <c r="H101" s="22">
        <v>1190.1199999999999</v>
      </c>
      <c r="I101" s="21">
        <v>0</v>
      </c>
      <c r="L101" s="136"/>
    </row>
    <row r="102" spans="1:13" s="21" customFormat="1">
      <c r="A102" s="21" t="s">
        <v>295</v>
      </c>
      <c r="C102" s="22">
        <f>SUMIF(BALANZA!$B$12:$B$301,A102,BALANZA!$C$12:$C$301)</f>
        <v>71945.25</v>
      </c>
      <c r="D102" s="22">
        <v>71945.25</v>
      </c>
      <c r="E102" s="22">
        <v>0</v>
      </c>
      <c r="F102" s="21">
        <v>424122.01</v>
      </c>
      <c r="G102" s="21">
        <v>283259.64</v>
      </c>
      <c r="H102" s="22">
        <v>1173228.1399999999</v>
      </c>
      <c r="I102" s="21">
        <v>854622.23</v>
      </c>
      <c r="K102" s="22"/>
      <c r="L102" s="136"/>
    </row>
    <row r="103" spans="1:13" s="21" customFormat="1">
      <c r="A103" s="23" t="s">
        <v>230</v>
      </c>
      <c r="B103" s="23"/>
      <c r="C103" s="24">
        <f>SUM(C104:C110)</f>
        <v>11936643.77</v>
      </c>
      <c r="D103" s="24">
        <v>8951565.0899999999</v>
      </c>
      <c r="E103" s="22">
        <v>15390184.529999999</v>
      </c>
      <c r="F103" s="21">
        <v>10276034.01</v>
      </c>
      <c r="G103" s="21">
        <v>3807065.2299999995</v>
      </c>
      <c r="H103" s="22">
        <v>3596013.2199999997</v>
      </c>
      <c r="I103" s="21">
        <v>9460172.1099999994</v>
      </c>
      <c r="L103" s="136"/>
    </row>
    <row r="104" spans="1:13" s="21" customFormat="1">
      <c r="A104" s="21" t="s">
        <v>232</v>
      </c>
      <c r="C104" s="22"/>
      <c r="D104" s="22"/>
      <c r="E104" s="24"/>
      <c r="H104" s="22"/>
      <c r="L104" s="136"/>
    </row>
    <row r="105" spans="1:13" s="21" customFormat="1">
      <c r="A105" s="21" t="s">
        <v>234</v>
      </c>
      <c r="C105" s="22">
        <f>SUMIF(BALANZA!$B$12:$B$301,A105,BALANZA!$C$12:$C$301)</f>
        <v>0</v>
      </c>
      <c r="D105" s="22">
        <v>0</v>
      </c>
      <c r="E105" s="22">
        <v>0</v>
      </c>
      <c r="F105" s="21">
        <v>0</v>
      </c>
      <c r="G105" s="21">
        <v>0</v>
      </c>
      <c r="H105" s="22">
        <v>125715.51</v>
      </c>
      <c r="I105" s="21">
        <v>0</v>
      </c>
      <c r="L105" s="136"/>
      <c r="M105" s="22"/>
    </row>
    <row r="106" spans="1:13" s="21" customFormat="1">
      <c r="A106" t="s">
        <v>911</v>
      </c>
      <c r="C106" s="22">
        <f>SUMIF(BALANZA!$B$12:$B$301,A106,BALANZA!$C$12:$C$301)</f>
        <v>0</v>
      </c>
      <c r="D106" s="22">
        <v>0</v>
      </c>
      <c r="E106" s="22">
        <v>0</v>
      </c>
      <c r="F106" s="21">
        <v>0</v>
      </c>
      <c r="G106" s="21">
        <v>0</v>
      </c>
      <c r="H106" s="22">
        <v>176217.2</v>
      </c>
      <c r="I106" s="21">
        <v>176217.2</v>
      </c>
      <c r="L106" s="136"/>
    </row>
    <row r="107" spans="1:13" s="21" customFormat="1">
      <c r="A107" s="21" t="s">
        <v>243</v>
      </c>
      <c r="C107" s="22">
        <f>SUMIF(BALANZA!$B$12:$B$301,A107,BALANZA!$C$12:$C$301)</f>
        <v>0</v>
      </c>
      <c r="D107" s="22">
        <v>0</v>
      </c>
      <c r="E107" s="22">
        <v>0</v>
      </c>
      <c r="F107" s="21">
        <v>0</v>
      </c>
      <c r="G107" s="21">
        <v>0</v>
      </c>
      <c r="H107" s="21">
        <v>0</v>
      </c>
      <c r="I107" s="21">
        <v>0</v>
      </c>
      <c r="L107" s="136"/>
    </row>
    <row r="108" spans="1:13" s="21" customFormat="1">
      <c r="A108" s="21" t="s">
        <v>253</v>
      </c>
      <c r="C108" s="26">
        <f>SUMIF(BALANZA!$B$12:$B$301,A108,BALANZA!$C$12:$C$301)</f>
        <v>11936643.77</v>
      </c>
      <c r="D108" s="26">
        <v>8951565.0899999999</v>
      </c>
      <c r="E108" s="22">
        <v>13947066.369999999</v>
      </c>
      <c r="F108" s="21">
        <v>8832915.8499999996</v>
      </c>
      <c r="G108" s="21">
        <v>2380290.0699999998</v>
      </c>
      <c r="H108" s="21">
        <v>1924693</v>
      </c>
      <c r="I108" s="21">
        <v>5292725.21</v>
      </c>
      <c r="L108" s="136"/>
    </row>
    <row r="109" spans="1:13" s="21" customFormat="1">
      <c r="A109" s="21" t="s">
        <v>265</v>
      </c>
      <c r="C109" s="26">
        <f>SUMIF(BALANZA!$B$12:$B$301,A109,BALANZA!$C$12:$C$301)</f>
        <v>0</v>
      </c>
      <c r="D109" s="26">
        <v>0</v>
      </c>
      <c r="E109" s="26">
        <v>7106.65</v>
      </c>
      <c r="F109" s="21">
        <v>7106.65</v>
      </c>
      <c r="G109" s="21">
        <v>7106.65</v>
      </c>
      <c r="H109" s="22">
        <v>0</v>
      </c>
      <c r="I109" s="21">
        <v>2561369.5299999998</v>
      </c>
      <c r="L109" s="136"/>
    </row>
    <row r="110" spans="1:13" s="21" customFormat="1">
      <c r="A110" s="21" t="s">
        <v>277</v>
      </c>
      <c r="C110" s="26">
        <f>SUMIF(BALANZA!$B$12:$B$301,A110,BALANZA!$C$12:$C$301)</f>
        <v>0</v>
      </c>
      <c r="D110" s="26">
        <v>0</v>
      </c>
      <c r="E110" s="26">
        <v>1436011.51</v>
      </c>
      <c r="F110" s="21">
        <v>1436011.51</v>
      </c>
      <c r="G110" s="21">
        <v>1419668.51</v>
      </c>
      <c r="H110" s="22">
        <v>1369387.51</v>
      </c>
      <c r="I110" s="21">
        <v>1429860.17</v>
      </c>
      <c r="L110" s="136"/>
    </row>
    <row r="111" spans="1:13" s="21" customFormat="1">
      <c r="E111" s="26"/>
      <c r="F111" s="22"/>
      <c r="G111" s="22"/>
      <c r="H111" s="22"/>
      <c r="L111" s="136"/>
    </row>
    <row r="112" spans="1:13" s="21" customFormat="1">
      <c r="F112" s="22"/>
      <c r="G112" s="22"/>
      <c r="H112" s="890"/>
      <c r="L112" s="136"/>
    </row>
    <row r="113" spans="1:12" s="21" customFormat="1">
      <c r="A113" s="890"/>
      <c r="B113" s="890"/>
      <c r="C113" s="890"/>
      <c r="D113" s="890"/>
      <c r="F113" s="890"/>
      <c r="G113" s="890"/>
      <c r="H113" s="22"/>
      <c r="L113" s="136"/>
    </row>
    <row r="114" spans="1:12" s="21" customFormat="1">
      <c r="A114" s="23" t="s">
        <v>297</v>
      </c>
      <c r="B114" s="23"/>
      <c r="E114" s="890"/>
      <c r="F114" s="22"/>
      <c r="G114" s="22"/>
      <c r="H114" s="22"/>
      <c r="L114" s="136"/>
    </row>
    <row r="115" spans="1:12" s="21" customFormat="1">
      <c r="A115" s="21" t="s">
        <v>299</v>
      </c>
      <c r="C115" s="22">
        <f>SUMIF(BALANZA!$B$12:$B$301,A115,BALANZA!$C$12:$C$301)</f>
        <v>0</v>
      </c>
      <c r="D115" s="22">
        <v>0</v>
      </c>
      <c r="E115" s="21">
        <v>252299.3</v>
      </c>
      <c r="F115" s="22">
        <v>252299.3</v>
      </c>
      <c r="G115" s="22">
        <v>252299.3</v>
      </c>
      <c r="H115" s="22">
        <v>252299.3</v>
      </c>
      <c r="I115" s="21">
        <v>252299.3</v>
      </c>
      <c r="L115" s="136"/>
    </row>
    <row r="116" spans="1:12" s="21" customFormat="1">
      <c r="A116" s="21" t="s">
        <v>1971</v>
      </c>
      <c r="C116" s="22">
        <f>SUMIF(BALANZA!$B$12:$B$301,A116,BALANZA!$C$12:$C$301)</f>
        <v>0</v>
      </c>
      <c r="D116" s="22">
        <v>0</v>
      </c>
      <c r="E116" s="22">
        <v>0</v>
      </c>
      <c r="F116" s="22">
        <v>0</v>
      </c>
      <c r="G116" s="22">
        <v>0</v>
      </c>
      <c r="H116" s="22">
        <v>0</v>
      </c>
      <c r="I116" s="21">
        <v>1639957.81</v>
      </c>
      <c r="L116" s="136"/>
    </row>
    <row r="117" spans="1:12" s="21" customFormat="1">
      <c r="E117" s="22"/>
      <c r="F117" s="22"/>
      <c r="G117" s="22"/>
      <c r="H117" s="890"/>
      <c r="L117" s="136"/>
    </row>
    <row r="118" spans="1:12" s="21" customFormat="1">
      <c r="A118" s="890"/>
      <c r="B118" s="890"/>
      <c r="C118" s="890"/>
      <c r="D118" s="890"/>
      <c r="F118" s="890"/>
      <c r="G118" s="890"/>
      <c r="H118" s="22"/>
      <c r="K118" s="22"/>
      <c r="L118" s="136"/>
    </row>
    <row r="119" spans="1:12" s="21" customFormat="1">
      <c r="A119" s="23" t="s">
        <v>350</v>
      </c>
      <c r="B119" s="23"/>
      <c r="C119" s="24">
        <f>SUM(C120:C124)</f>
        <v>0</v>
      </c>
      <c r="D119" s="24">
        <v>0</v>
      </c>
      <c r="E119" s="890">
        <v>0</v>
      </c>
      <c r="F119" s="21">
        <v>0</v>
      </c>
      <c r="G119" s="21">
        <v>0</v>
      </c>
      <c r="H119" s="22">
        <v>0</v>
      </c>
      <c r="I119" s="21">
        <v>0</v>
      </c>
      <c r="L119" s="136"/>
    </row>
    <row r="120" spans="1:12" s="21" customFormat="1">
      <c r="A120" s="21" t="s">
        <v>356</v>
      </c>
      <c r="C120" s="22">
        <f>SUMIF(BALANZA!$B$12:$B$301,A120,BALANZA!$C$12:$C$301)</f>
        <v>0</v>
      </c>
      <c r="D120" s="22">
        <v>0</v>
      </c>
      <c r="E120" s="24">
        <v>0</v>
      </c>
      <c r="F120" s="21">
        <v>0</v>
      </c>
      <c r="G120" s="21">
        <v>0</v>
      </c>
      <c r="H120" s="22">
        <v>0</v>
      </c>
      <c r="I120" s="21">
        <v>0</v>
      </c>
      <c r="L120" s="136"/>
    </row>
    <row r="121" spans="1:12" s="21" customFormat="1">
      <c r="A121" s="21" t="s">
        <v>1991</v>
      </c>
      <c r="C121" s="22">
        <f>SUMIF(BALANZA!$B$12:$B$301,A121,BALANZA!$C$12:$C$301)</f>
        <v>0</v>
      </c>
      <c r="D121" s="22">
        <v>0</v>
      </c>
      <c r="E121" s="22">
        <v>0</v>
      </c>
      <c r="F121" s="21">
        <v>0</v>
      </c>
      <c r="G121" s="21">
        <v>0</v>
      </c>
      <c r="H121" s="22">
        <v>0</v>
      </c>
      <c r="I121" s="21">
        <v>0</v>
      </c>
      <c r="L121" s="136"/>
    </row>
    <row r="122" spans="1:12" s="21" customFormat="1">
      <c r="A122" s="21" t="s">
        <v>366</v>
      </c>
      <c r="C122" s="22">
        <f>SUMIF(BALANZA!$B$12:$B$301,A122,BALANZA!$C$12:$C$301)</f>
        <v>0</v>
      </c>
      <c r="D122" s="22">
        <v>0</v>
      </c>
      <c r="E122" s="22">
        <v>0</v>
      </c>
      <c r="F122" s="21">
        <v>0</v>
      </c>
      <c r="G122" s="21">
        <v>0</v>
      </c>
      <c r="H122" s="22">
        <v>0</v>
      </c>
      <c r="I122" s="21">
        <v>0</v>
      </c>
      <c r="L122" s="136"/>
    </row>
    <row r="123" spans="1:12" s="21" customFormat="1">
      <c r="A123" s="21" t="s">
        <v>903</v>
      </c>
      <c r="C123" s="22">
        <f>SUMIF(BALANZA!$B$12:$B$301,A123,BALANZA!$C$12:$C$301)</f>
        <v>0</v>
      </c>
      <c r="D123" s="22">
        <v>0</v>
      </c>
      <c r="E123" s="22">
        <v>0</v>
      </c>
      <c r="F123" s="21">
        <v>0</v>
      </c>
      <c r="G123" s="21">
        <v>0</v>
      </c>
      <c r="H123" s="22">
        <v>0</v>
      </c>
      <c r="I123" s="21">
        <v>0</v>
      </c>
      <c r="L123" s="136"/>
    </row>
    <row r="124" spans="1:12" s="21" customFormat="1">
      <c r="A124" s="27" t="s">
        <v>2217</v>
      </c>
      <c r="B124" s="27"/>
      <c r="C124" s="22">
        <f>SUMIF(BALANZA!$B$12:$B$301,A124,BALANZA!$C$12:$C$301)</f>
        <v>0</v>
      </c>
      <c r="D124" s="22">
        <v>0</v>
      </c>
      <c r="E124" s="22">
        <v>0</v>
      </c>
      <c r="F124" s="21">
        <v>0</v>
      </c>
      <c r="G124" s="21">
        <v>0</v>
      </c>
      <c r="H124" s="22">
        <v>0</v>
      </c>
      <c r="I124" s="21">
        <v>0</v>
      </c>
      <c r="L124" s="136"/>
    </row>
    <row r="125" spans="1:12" s="21" customFormat="1">
      <c r="A125" s="27"/>
      <c r="B125" s="27"/>
      <c r="C125" s="22"/>
      <c r="D125" s="22"/>
      <c r="E125" s="22"/>
      <c r="H125" s="22"/>
      <c r="L125" s="136"/>
    </row>
    <row r="126" spans="1:12" s="21" customFormat="1">
      <c r="A126" s="23"/>
      <c r="B126" s="23"/>
      <c r="C126" s="22"/>
      <c r="D126" s="22"/>
      <c r="E126" s="22"/>
      <c r="H126" s="22"/>
      <c r="L126" s="136"/>
    </row>
    <row r="127" spans="1:12" s="21" customFormat="1">
      <c r="A127" s="23"/>
      <c r="B127" s="23"/>
      <c r="C127" s="22"/>
      <c r="D127" s="22"/>
      <c r="E127" s="22"/>
      <c r="H127" s="22"/>
      <c r="K127" s="21">
        <v>1133275273.6000001</v>
      </c>
      <c r="L127" s="136"/>
    </row>
    <row r="128" spans="1:12" s="21" customFormat="1">
      <c r="A128" s="23" t="s">
        <v>436</v>
      </c>
      <c r="B128" s="23"/>
      <c r="C128" s="22">
        <f>SUMIF(BALANZA!$B$12:$B$301,A128,BALANZA!$C$12:$C$301)</f>
        <v>808793054.60000002</v>
      </c>
      <c r="D128" s="22">
        <v>808793054.60000002</v>
      </c>
      <c r="E128" s="22">
        <v>808793054.60000002</v>
      </c>
      <c r="F128" s="21">
        <v>808793054.60000002</v>
      </c>
      <c r="G128" s="21">
        <v>808793054.60000002</v>
      </c>
      <c r="H128" s="22">
        <v>808793054.60000002</v>
      </c>
      <c r="I128" s="21">
        <v>808793054.60000002</v>
      </c>
      <c r="L128" s="136"/>
    </row>
    <row r="129" spans="1:14" s="21" customFormat="1">
      <c r="A129" s="23"/>
      <c r="B129" s="23"/>
      <c r="C129" s="22"/>
      <c r="D129" s="22"/>
      <c r="E129" s="22"/>
      <c r="H129" s="22"/>
      <c r="L129" s="136"/>
    </row>
    <row r="130" spans="1:14" s="21" customFormat="1">
      <c r="A130" s="23" t="s">
        <v>477</v>
      </c>
      <c r="B130" s="23"/>
      <c r="C130" s="24">
        <f>SUM(C131)</f>
        <v>279289394.98000002</v>
      </c>
      <c r="D130" s="24">
        <v>237632915.31999999</v>
      </c>
      <c r="E130" s="22">
        <v>324545105.69999999</v>
      </c>
      <c r="F130" s="21">
        <v>201224531.56</v>
      </c>
      <c r="G130" s="21">
        <v>433716726.73999995</v>
      </c>
      <c r="H130" s="22">
        <v>313259315.50999993</v>
      </c>
      <c r="I130" s="21">
        <v>184372133.58999991</v>
      </c>
      <c r="K130" s="22">
        <v>127634166.81999996</v>
      </c>
      <c r="L130" s="136"/>
      <c r="N130" s="21" t="e">
        <v>#REF!</v>
      </c>
    </row>
    <row r="131" spans="1:14" s="21" customFormat="1">
      <c r="A131" s="27" t="s">
        <v>477</v>
      </c>
      <c r="B131" s="27"/>
      <c r="C131" s="22">
        <f>SUMIF(BALANZA!$B$12:$B$301,A131,BALANZA!$C$12:$C$301)</f>
        <v>279289394.98000002</v>
      </c>
      <c r="D131" s="22">
        <v>237632915.31999999</v>
      </c>
      <c r="E131" s="24">
        <v>324545105.69999999</v>
      </c>
      <c r="F131" s="22">
        <v>201224531.56</v>
      </c>
      <c r="G131" s="22">
        <v>201075103.51000005</v>
      </c>
      <c r="H131" s="22">
        <v>313259315.50999993</v>
      </c>
      <c r="I131" s="21">
        <v>184372133.58999991</v>
      </c>
      <c r="J131" s="21">
        <v>-150385198.61999997</v>
      </c>
      <c r="K131" s="21">
        <v>35239950.07</v>
      </c>
      <c r="L131" s="136"/>
    </row>
    <row r="132" spans="1:14" s="21" customFormat="1">
      <c r="A132" s="27" t="s">
        <v>479</v>
      </c>
      <c r="B132" s="27"/>
      <c r="C132" s="22">
        <f>SUMIF(BALANZA!$B$12:$B$301,A132,BALANZA!$C$12:$C$301)-62886.7</f>
        <v>120310945.67</v>
      </c>
      <c r="D132" s="22">
        <v>41593592.959999993</v>
      </c>
      <c r="E132" s="22">
        <v>-88460972.420000002</v>
      </c>
      <c r="F132" s="22">
        <v>123257687.44</v>
      </c>
      <c r="G132" s="22">
        <v>123320574.13999999</v>
      </c>
      <c r="H132" s="22">
        <v>120520414.70000005</v>
      </c>
      <c r="I132" s="21">
        <v>128950185.39000005</v>
      </c>
      <c r="J132" s="21">
        <v>162874116.88999996</v>
      </c>
      <c r="L132" s="136"/>
    </row>
    <row r="133" spans="1:14" s="21" customFormat="1">
      <c r="A133" s="22">
        <f>+C131+C132</f>
        <v>399600340.65000004</v>
      </c>
      <c r="B133" s="22">
        <f>+D132-C132</f>
        <v>-78717352.710000008</v>
      </c>
      <c r="C133" s="27"/>
      <c r="D133" s="27"/>
      <c r="E133" s="22"/>
      <c r="F133" s="19"/>
      <c r="G133" s="19"/>
      <c r="H133" s="22"/>
      <c r="L133" s="136"/>
    </row>
    <row r="134" spans="1:14" s="21" customFormat="1">
      <c r="A134" s="24">
        <f>+A133-'ES F '!B58</f>
        <v>-62886.699799954891</v>
      </c>
      <c r="B134" s="23"/>
      <c r="C134" s="27"/>
      <c r="D134" s="27"/>
      <c r="E134" s="27"/>
      <c r="F134" s="19"/>
      <c r="G134" s="19"/>
      <c r="H134" s="890"/>
      <c r="L134" s="136"/>
    </row>
    <row r="135" spans="1:14" s="21" customFormat="1">
      <c r="A135" s="890"/>
      <c r="B135" s="890"/>
      <c r="C135" s="890"/>
      <c r="D135" s="890"/>
      <c r="E135" s="27"/>
      <c r="F135" s="890"/>
      <c r="G135" s="890"/>
      <c r="H135" s="53"/>
      <c r="L135" s="136"/>
    </row>
    <row r="136" spans="1:14" s="21" customFormat="1">
      <c r="A136" s="23" t="s">
        <v>508</v>
      </c>
      <c r="B136" s="23"/>
      <c r="C136" s="116">
        <f>SUM(C137:C147)</f>
        <v>45032091.25</v>
      </c>
      <c r="D136" s="116">
        <v>186534488.11000001</v>
      </c>
      <c r="E136" s="890">
        <v>180976832.23999998</v>
      </c>
      <c r="F136" s="53">
        <v>180816067.19999999</v>
      </c>
      <c r="G136" s="53">
        <v>179181043.14000002</v>
      </c>
      <c r="H136" s="22">
        <v>193707659.61000001</v>
      </c>
      <c r="I136" s="21">
        <v>171223780.22999999</v>
      </c>
      <c r="L136" s="136"/>
    </row>
    <row r="137" spans="1:14" s="21" customFormat="1">
      <c r="A137" s="21" t="s">
        <v>510</v>
      </c>
      <c r="C137" s="22">
        <f>SUMIF(BALANZA!$B$12:$B$301,A137,BALANZA!$C$12:$C$301)</f>
        <v>0</v>
      </c>
      <c r="D137" s="22">
        <v>0</v>
      </c>
      <c r="E137" s="116">
        <v>4966.97</v>
      </c>
      <c r="F137" s="21">
        <v>0</v>
      </c>
      <c r="G137" s="21">
        <v>11752850.960000001</v>
      </c>
      <c r="H137" s="22">
        <v>71042895.659999996</v>
      </c>
      <c r="I137" s="21">
        <v>58857844.809999995</v>
      </c>
      <c r="L137" s="136"/>
    </row>
    <row r="138" spans="1:14" s="21" customFormat="1">
      <c r="A138" s="21" t="s">
        <v>512</v>
      </c>
      <c r="C138" s="22">
        <f>SUMIF(BALANZA!$B$12:$B$301,A138,BALANZA!$C$12:$C$301)</f>
        <v>45032091.25</v>
      </c>
      <c r="D138" s="22">
        <v>186534488.11000001</v>
      </c>
      <c r="E138" s="22">
        <v>179254454.06999999</v>
      </c>
      <c r="F138" s="21">
        <v>179593658.41999999</v>
      </c>
      <c r="G138" s="21">
        <v>165568596.24000001</v>
      </c>
      <c r="H138" s="22">
        <v>117367775.51000001</v>
      </c>
      <c r="I138" s="21">
        <v>91506116.540000007</v>
      </c>
      <c r="K138" s="21">
        <v>-183166.15000009537</v>
      </c>
      <c r="L138" s="136"/>
    </row>
    <row r="139" spans="1:14" s="21" customFormat="1">
      <c r="A139" s="21" t="s">
        <v>514</v>
      </c>
      <c r="C139" s="22">
        <f>SUMIF(BALANZA!$B$12:$B$301,A139,BALANZA!$C$12:$C$301)</f>
        <v>0</v>
      </c>
      <c r="D139" s="22">
        <v>0</v>
      </c>
      <c r="E139" s="22">
        <v>250</v>
      </c>
      <c r="F139" s="21">
        <v>20880</v>
      </c>
      <c r="G139" s="21">
        <v>0</v>
      </c>
      <c r="H139" s="22">
        <v>0</v>
      </c>
      <c r="I139" s="21">
        <v>10807795</v>
      </c>
      <c r="L139" s="136"/>
    </row>
    <row r="140" spans="1:14" s="21" customFormat="1">
      <c r="A140" s="21" t="s">
        <v>516</v>
      </c>
      <c r="C140" s="22">
        <f>SUMIF(BALANZA!$B$12:$B$301,A140,BALANZA!$C$12:$C$301)</f>
        <v>0</v>
      </c>
      <c r="D140" s="22">
        <v>0</v>
      </c>
      <c r="E140" s="22">
        <v>0</v>
      </c>
      <c r="F140" s="21">
        <v>0</v>
      </c>
      <c r="G140" s="21">
        <v>0</v>
      </c>
      <c r="H140" s="22">
        <v>0</v>
      </c>
      <c r="I140" s="21">
        <v>9315448</v>
      </c>
      <c r="L140" s="136"/>
    </row>
    <row r="141" spans="1:14" s="21" customFormat="1">
      <c r="A141" s="21" t="s">
        <v>518</v>
      </c>
      <c r="C141" s="22">
        <f>SUMIF(BALANZA!$B$12:$B$301,A141,BALANZA!$C$12:$C$301)</f>
        <v>0</v>
      </c>
      <c r="D141" s="22">
        <v>0</v>
      </c>
      <c r="E141" s="22">
        <v>0</v>
      </c>
      <c r="F141" s="21">
        <v>0</v>
      </c>
      <c r="G141" s="21">
        <v>0</v>
      </c>
      <c r="H141" s="22">
        <v>0</v>
      </c>
      <c r="I141" s="21">
        <v>0</v>
      </c>
      <c r="L141" s="136"/>
    </row>
    <row r="142" spans="1:14" s="21" customFormat="1">
      <c r="A142" s="21" t="s">
        <v>520</v>
      </c>
      <c r="C142" s="22">
        <f>SUMIF(BALANZA!$B$12:$B$301,A142,BALANZA!$C$12:$C$301)</f>
        <v>0</v>
      </c>
      <c r="D142" s="22">
        <v>0</v>
      </c>
      <c r="E142" s="22">
        <v>0</v>
      </c>
      <c r="F142" s="21">
        <v>0</v>
      </c>
      <c r="G142" s="21">
        <v>0</v>
      </c>
      <c r="H142" s="22">
        <v>0</v>
      </c>
      <c r="I142" s="21">
        <v>0</v>
      </c>
      <c r="L142" s="136"/>
    </row>
    <row r="143" spans="1:14" s="21" customFormat="1">
      <c r="A143" s="21" t="s">
        <v>522</v>
      </c>
      <c r="C143" s="22">
        <f>SUMIF(BALANZA!$B$12:$B$301,A143,BALANZA!$C$12:$C$301)</f>
        <v>0</v>
      </c>
      <c r="D143" s="22">
        <v>0</v>
      </c>
      <c r="E143" s="22">
        <v>0</v>
      </c>
      <c r="F143" s="21">
        <v>0</v>
      </c>
      <c r="G143" s="21">
        <v>0</v>
      </c>
      <c r="H143" s="22">
        <v>0</v>
      </c>
      <c r="I143" s="21">
        <v>0</v>
      </c>
      <c r="L143" s="136"/>
    </row>
    <row r="144" spans="1:14" s="21" customFormat="1">
      <c r="A144" s="21" t="s">
        <v>524</v>
      </c>
      <c r="C144" s="22">
        <f>SUMIF(BALANZA!$B$12:$B$301,A144,BALANZA!$C$12:$C$301)</f>
        <v>0</v>
      </c>
      <c r="D144" s="22">
        <v>0</v>
      </c>
      <c r="E144" s="22">
        <v>0</v>
      </c>
      <c r="F144" s="21">
        <v>0</v>
      </c>
      <c r="G144" s="21">
        <v>0</v>
      </c>
      <c r="H144" s="22">
        <v>4454676.6900000004</v>
      </c>
      <c r="I144" s="21">
        <v>736575.88</v>
      </c>
      <c r="L144" s="136"/>
    </row>
    <row r="145" spans="1:12" s="21" customFormat="1">
      <c r="C145" s="22"/>
      <c r="D145" s="22"/>
      <c r="E145" s="22"/>
      <c r="H145" s="22"/>
      <c r="L145" s="136"/>
    </row>
    <row r="146" spans="1:12" s="21" customFormat="1">
      <c r="A146" s="21" t="s">
        <v>489</v>
      </c>
      <c r="C146" s="22">
        <f>SUMIF(BALANZA!$B$12:$B$301,A146,BALANZA!$C$12:$C$301)</f>
        <v>0</v>
      </c>
      <c r="D146" s="22">
        <v>0</v>
      </c>
      <c r="E146" s="22">
        <v>0</v>
      </c>
      <c r="F146" s="21">
        <v>0</v>
      </c>
      <c r="G146" s="21">
        <v>0</v>
      </c>
      <c r="H146" s="22">
        <v>2038.5</v>
      </c>
      <c r="I146" s="21">
        <v>0</v>
      </c>
      <c r="L146" s="136"/>
    </row>
    <row r="147" spans="1:12" s="21" customFormat="1">
      <c r="A147" s="21" t="s">
        <v>506</v>
      </c>
      <c r="C147" s="22">
        <f>SUMIF(BALANZA!$B$12:$B$301,A147,BALANZA!$C$12:$C$301)</f>
        <v>0</v>
      </c>
      <c r="D147" s="22">
        <v>0</v>
      </c>
      <c r="E147" s="22">
        <v>1717161.2</v>
      </c>
      <c r="F147" s="21">
        <v>1201528.78</v>
      </c>
      <c r="G147" s="21">
        <v>1859595.94</v>
      </c>
      <c r="H147" s="22">
        <v>840273.25</v>
      </c>
      <c r="I147" s="21">
        <v>0</v>
      </c>
      <c r="L147" s="136"/>
    </row>
    <row r="148" spans="1:12" s="21" customFormat="1">
      <c r="A148" s="23" t="s">
        <v>526</v>
      </c>
      <c r="B148" s="23"/>
      <c r="C148" s="24">
        <f>SUM(C149:C157)</f>
        <v>25865457</v>
      </c>
      <c r="D148" s="24">
        <v>307209103</v>
      </c>
      <c r="E148" s="22">
        <v>229174633.03999999</v>
      </c>
      <c r="F148" s="21">
        <v>89115851.49000001</v>
      </c>
      <c r="G148" s="21">
        <v>290946737.19999999</v>
      </c>
      <c r="H148" s="22">
        <v>223742906.56</v>
      </c>
      <c r="I148" s="21">
        <v>237271723.5</v>
      </c>
      <c r="L148" s="136"/>
    </row>
    <row r="149" spans="1:12" s="21" customFormat="1">
      <c r="A149" s="21" t="s">
        <v>533</v>
      </c>
      <c r="C149" s="22">
        <f>SUMIF(BALANZA!$B$12:$B$301,A149,BALANZA!$C$12:$C$301)</f>
        <v>0</v>
      </c>
      <c r="D149" s="22">
        <v>0</v>
      </c>
      <c r="E149" s="24">
        <v>0</v>
      </c>
      <c r="F149" s="21">
        <v>0</v>
      </c>
      <c r="G149" s="21">
        <v>0</v>
      </c>
      <c r="H149" s="22">
        <v>0</v>
      </c>
      <c r="I149" s="21">
        <v>0</v>
      </c>
      <c r="L149" s="136"/>
    </row>
    <row r="150" spans="1:12" s="21" customFormat="1">
      <c r="A150" s="21" t="s">
        <v>536</v>
      </c>
      <c r="C150" s="22">
        <f>SUMIF(BALANZA!$B$12:$B$301,A150,BALANZA!$C$12:$C$301)</f>
        <v>0</v>
      </c>
      <c r="D150" s="22">
        <v>0</v>
      </c>
      <c r="E150" s="22">
        <v>0</v>
      </c>
      <c r="F150" s="21">
        <v>0</v>
      </c>
      <c r="G150" s="21">
        <v>0</v>
      </c>
      <c r="H150" s="22">
        <v>0</v>
      </c>
      <c r="I150" s="21">
        <v>0</v>
      </c>
      <c r="L150" s="136"/>
    </row>
    <row r="151" spans="1:12" s="21" customFormat="1">
      <c r="A151" s="21" t="s">
        <v>539</v>
      </c>
      <c r="C151" s="22">
        <f>SUMIF(BALANZA!$B$12:$B$301,A151,BALANZA!$C$12:$C$301)</f>
        <v>0</v>
      </c>
      <c r="D151" s="22">
        <v>0</v>
      </c>
      <c r="E151" s="22">
        <v>0</v>
      </c>
      <c r="F151" s="21">
        <v>0</v>
      </c>
      <c r="G151" s="21">
        <v>0</v>
      </c>
      <c r="H151" s="22">
        <v>223742906.56</v>
      </c>
      <c r="I151" s="21">
        <v>130095110.95999999</v>
      </c>
      <c r="L151" s="136"/>
    </row>
    <row r="152" spans="1:12" s="21" customFormat="1">
      <c r="A152" s="21" t="s">
        <v>545</v>
      </c>
      <c r="C152" s="22">
        <f>SUMIF(BALANZA!$B$12:$B$301,A152,BALANZA!$C$12:$C$301)</f>
        <v>0</v>
      </c>
      <c r="D152" s="22">
        <v>0</v>
      </c>
      <c r="E152" s="22">
        <v>0</v>
      </c>
      <c r="F152" s="21">
        <v>0</v>
      </c>
      <c r="G152" s="21">
        <v>0</v>
      </c>
      <c r="H152" s="22">
        <v>0</v>
      </c>
      <c r="I152" s="21">
        <v>107176612.54000001</v>
      </c>
      <c r="L152" s="136"/>
    </row>
    <row r="153" spans="1:12" s="21" customFormat="1">
      <c r="A153" s="21" t="s">
        <v>3788</v>
      </c>
      <c r="C153" s="22">
        <f>SUMIF(BALANZA!$B$12:$B$301,A153,BALANZA!$C$12:$C$301)</f>
        <v>11979501</v>
      </c>
      <c r="D153" s="22">
        <v>55995279</v>
      </c>
      <c r="E153" s="22">
        <v>55430801</v>
      </c>
      <c r="F153" s="21">
        <v>25240027.450000003</v>
      </c>
      <c r="G153" s="21">
        <v>105296634.7</v>
      </c>
      <c r="H153" s="22"/>
      <c r="L153" s="136"/>
    </row>
    <row r="154" spans="1:12" s="21" customFormat="1">
      <c r="A154" s="21" t="s">
        <v>3786</v>
      </c>
      <c r="C154" s="22">
        <f>SUMIF(BALANZA!$B$12:$B$301,A154,BALANZA!$C$12:$C$301)</f>
        <v>0</v>
      </c>
      <c r="D154" s="22">
        <v>168117235.72999999</v>
      </c>
      <c r="E154" s="22">
        <v>118200000</v>
      </c>
      <c r="F154" s="21">
        <v>12714356.039999999</v>
      </c>
      <c r="G154" s="21">
        <v>138488350</v>
      </c>
      <c r="H154" s="22"/>
      <c r="L154" s="136"/>
    </row>
    <row r="155" spans="1:12" s="21" customFormat="1">
      <c r="A155" s="21" t="s">
        <v>3787</v>
      </c>
      <c r="C155" s="22">
        <f>SUMIF(BALANZA!$B$12:$B$301,A155,BALANZA!$C$12:$C$301)</f>
        <v>13885956</v>
      </c>
      <c r="D155" s="22">
        <v>83096588.269999996</v>
      </c>
      <c r="E155" s="22">
        <v>55543832.039999999</v>
      </c>
      <c r="F155" s="21">
        <v>51161468</v>
      </c>
      <c r="G155" s="21">
        <v>47161752.5</v>
      </c>
      <c r="H155" s="22"/>
      <c r="L155" s="136"/>
    </row>
    <row r="156" spans="1:12" s="21" customFormat="1">
      <c r="A156" s="21" t="s">
        <v>3788</v>
      </c>
      <c r="C156" s="22"/>
      <c r="D156" s="22"/>
      <c r="E156" s="22"/>
      <c r="H156" s="22"/>
      <c r="L156" s="136"/>
    </row>
    <row r="157" spans="1:12" s="21" customFormat="1">
      <c r="A157" s="21" t="s">
        <v>3785</v>
      </c>
      <c r="B157" s="23"/>
      <c r="C157" s="22">
        <f>SUMIF(BALANZA!$B$12:$B$301,A157,BALANZA!$C$12:$C$301)</f>
        <v>0</v>
      </c>
      <c r="D157" s="21">
        <v>0</v>
      </c>
      <c r="E157" s="22">
        <v>0</v>
      </c>
      <c r="F157" s="22">
        <v>0</v>
      </c>
      <c r="G157" s="22">
        <v>0</v>
      </c>
      <c r="H157" s="890"/>
      <c r="L157" s="136"/>
    </row>
    <row r="158" spans="1:12" s="21" customFormat="1">
      <c r="A158" s="890"/>
      <c r="B158" s="890"/>
      <c r="C158" s="890"/>
      <c r="D158" s="890"/>
      <c r="F158" s="890"/>
      <c r="G158" s="890"/>
      <c r="H158" s="22"/>
      <c r="L158" s="136"/>
    </row>
    <row r="159" spans="1:12" s="21" customFormat="1">
      <c r="E159" s="890"/>
      <c r="F159" s="22"/>
      <c r="G159" s="22"/>
      <c r="H159" s="22"/>
      <c r="L159" s="136"/>
    </row>
    <row r="160" spans="1:12" s="21" customFormat="1">
      <c r="A160" s="30" t="s">
        <v>895</v>
      </c>
      <c r="B160" s="30"/>
      <c r="C160" s="24">
        <f>SUM(C161:C193)-C190</f>
        <v>46820324.450000003</v>
      </c>
      <c r="D160" s="24">
        <v>200817285.56000003</v>
      </c>
      <c r="E160" s="21">
        <v>193267007.39000002</v>
      </c>
      <c r="F160" s="21">
        <v>195385189.05000004</v>
      </c>
      <c r="G160" s="21">
        <v>196766190.56</v>
      </c>
      <c r="H160" s="22">
        <v>192016612.25999999</v>
      </c>
      <c r="I160" s="21">
        <v>193594772.54999995</v>
      </c>
      <c r="L160" s="136"/>
    </row>
    <row r="161" spans="1:12" s="21" customFormat="1">
      <c r="C161" s="22"/>
      <c r="D161" s="22"/>
      <c r="E161" s="24"/>
      <c r="H161" s="22"/>
      <c r="L161" s="136"/>
    </row>
    <row r="162" spans="1:12" s="21" customFormat="1">
      <c r="A162" s="21" t="s">
        <v>2239</v>
      </c>
      <c r="C162" s="22">
        <f>SUMIF(BALANZA!$B$12:$B$301,A162,BALANZA!$C$12:$C$301)</f>
        <v>37213166.670000002</v>
      </c>
      <c r="D162" s="22">
        <v>145255261.69</v>
      </c>
      <c r="E162" s="22">
        <v>147133178</v>
      </c>
      <c r="F162" s="21">
        <v>149428043</v>
      </c>
      <c r="G162" s="21">
        <v>148261285.41</v>
      </c>
      <c r="H162" s="22">
        <v>145603784.88</v>
      </c>
      <c r="I162" s="21">
        <v>136301934.69</v>
      </c>
      <c r="K162" s="21">
        <v>665500</v>
      </c>
      <c r="L162" s="136"/>
    </row>
    <row r="163" spans="1:12" s="21" customFormat="1">
      <c r="A163" s="21" t="s">
        <v>2322</v>
      </c>
      <c r="C163" s="22">
        <f>SUMIF(BALANZA!$B$12:$B$301,A163,BALANZA!$C$12:$C$301)</f>
        <v>30000</v>
      </c>
      <c r="D163" s="22">
        <v>80000</v>
      </c>
      <c r="E163" s="22">
        <v>0</v>
      </c>
      <c r="H163" s="22"/>
      <c r="L163" s="136"/>
    </row>
    <row r="164" spans="1:12" s="21" customFormat="1">
      <c r="A164" s="21" t="s">
        <v>3775</v>
      </c>
      <c r="C164" s="22">
        <f>SUMIF(BALANZA!$B$12:$B$301,A164,BALANZA!$C$12:$C$301)</f>
        <v>614250</v>
      </c>
      <c r="D164" s="22">
        <v>0</v>
      </c>
      <c r="E164" s="22">
        <v>0</v>
      </c>
      <c r="F164" s="21">
        <v>0</v>
      </c>
      <c r="G164" s="21">
        <v>257399.35</v>
      </c>
      <c r="H164" s="22">
        <v>0</v>
      </c>
      <c r="L164" s="136"/>
    </row>
    <row r="165" spans="1:12" s="21" customFormat="1">
      <c r="A165" s="21" t="s">
        <v>4260</v>
      </c>
      <c r="C165" s="22">
        <f>SUMIF(BALANZA!$B$12:$B$301,A165,BALANZA!$C$12:$C$301)</f>
        <v>257840</v>
      </c>
      <c r="D165" s="22"/>
      <c r="E165" s="22"/>
      <c r="H165" s="22"/>
      <c r="L165" s="136"/>
    </row>
    <row r="166" spans="1:12" s="21" customFormat="1">
      <c r="A166" s="21" t="s">
        <v>2218</v>
      </c>
      <c r="C166" s="22">
        <f>SUMIF(BALANZA!$B$12:$B$301,A166,BALANZA!$C$12:$C$301)</f>
        <v>0</v>
      </c>
      <c r="D166" s="22">
        <v>0</v>
      </c>
      <c r="E166" s="22">
        <v>0</v>
      </c>
      <c r="F166" s="21">
        <v>0</v>
      </c>
      <c r="G166" s="21">
        <v>0</v>
      </c>
      <c r="H166" s="22">
        <v>0</v>
      </c>
      <c r="I166" s="21">
        <v>665500</v>
      </c>
      <c r="K166" s="21">
        <v>508027.26</v>
      </c>
      <c r="L166" s="136"/>
    </row>
    <row r="167" spans="1:12" s="21" customFormat="1">
      <c r="A167" s="21" t="s">
        <v>2219</v>
      </c>
      <c r="C167" s="22">
        <f>SUMIF(BALANZA!$B$12:$B$301,A167,BALANZA!$C$12:$C$301)</f>
        <v>0</v>
      </c>
      <c r="D167" s="22">
        <v>0</v>
      </c>
      <c r="E167" s="22">
        <v>0</v>
      </c>
      <c r="F167" s="21">
        <v>0</v>
      </c>
      <c r="G167" s="21">
        <v>0</v>
      </c>
      <c r="H167" s="22">
        <v>0</v>
      </c>
      <c r="I167" s="21">
        <v>508027.26</v>
      </c>
      <c r="K167" s="21">
        <v>0</v>
      </c>
      <c r="L167" s="136"/>
    </row>
    <row r="168" spans="1:12" s="21" customFormat="1">
      <c r="A168" s="21" t="s">
        <v>2325</v>
      </c>
      <c r="C168" s="22">
        <f>SUMIF(BALANZA!$B$12:$B$301,A168,BALANZA!$C$12:$C$301)</f>
        <v>0</v>
      </c>
      <c r="D168" s="22">
        <v>830549.27</v>
      </c>
      <c r="E168" s="22">
        <v>0</v>
      </c>
      <c r="H168" s="22"/>
      <c r="L168" s="136"/>
    </row>
    <row r="169" spans="1:12" s="21" customFormat="1">
      <c r="A169" s="21" t="s">
        <v>598</v>
      </c>
      <c r="C169" s="22">
        <f>SUMIF(BALANZA!$B$12:$B$301,A169,BALANZA!$C$12:$C$301)</f>
        <v>0</v>
      </c>
      <c r="D169" s="22">
        <v>0</v>
      </c>
      <c r="E169" s="22">
        <v>0</v>
      </c>
      <c r="F169" s="21">
        <v>0</v>
      </c>
      <c r="G169" s="21">
        <v>0</v>
      </c>
      <c r="H169" s="22">
        <v>0</v>
      </c>
      <c r="I169" s="21">
        <v>0</v>
      </c>
      <c r="K169" s="21">
        <v>577406</v>
      </c>
      <c r="L169" s="136"/>
    </row>
    <row r="170" spans="1:12" s="21" customFormat="1">
      <c r="A170" s="21" t="s">
        <v>2397</v>
      </c>
      <c r="B170" s="23"/>
      <c r="C170" s="22">
        <f>SUMIF(BALANZA!$B$12:$B$301,A170,BALANZA!$C$12:$C$301)</f>
        <v>0</v>
      </c>
      <c r="D170" s="22">
        <v>0</v>
      </c>
      <c r="E170" s="22">
        <v>0</v>
      </c>
      <c r="F170" s="21">
        <v>0</v>
      </c>
      <c r="G170" s="21">
        <v>0</v>
      </c>
      <c r="H170" s="22">
        <v>1819679.37</v>
      </c>
      <c r="I170" s="21">
        <v>577406</v>
      </c>
      <c r="L170" s="136"/>
    </row>
    <row r="171" spans="1:12" s="21" customFormat="1">
      <c r="A171" s="21" t="s">
        <v>2240</v>
      </c>
      <c r="C171" s="22">
        <f>SUMIF(BALANZA!$B$12:$B$301,A171,BALANZA!$C$12:$C$301)</f>
        <v>0</v>
      </c>
      <c r="D171" s="22">
        <v>9068.99</v>
      </c>
      <c r="E171" s="22">
        <v>193520.16</v>
      </c>
      <c r="F171" s="21">
        <v>207859.15</v>
      </c>
      <c r="G171" s="21">
        <v>3594823.2</v>
      </c>
      <c r="H171" s="22">
        <v>229082.18</v>
      </c>
      <c r="I171" s="21">
        <v>57000</v>
      </c>
      <c r="L171" s="136"/>
    </row>
    <row r="172" spans="1:12" s="21" customFormat="1">
      <c r="A172" s="21" t="s">
        <v>3900</v>
      </c>
      <c r="C172" s="22">
        <f>SUMIF(BALANZA!$B$12:$B$301,A172,BALANZA!$C$12:$C$301)</f>
        <v>331620.49</v>
      </c>
      <c r="D172" s="22">
        <v>258755.74</v>
      </c>
      <c r="E172" s="22">
        <v>0</v>
      </c>
      <c r="H172" s="22"/>
      <c r="L172" s="136"/>
    </row>
    <row r="173" spans="1:12" s="21" customFormat="1">
      <c r="A173" s="21" t="s">
        <v>3801</v>
      </c>
      <c r="C173" s="22">
        <f>SUMIF(BALANZA!$B$12:$B$301,A173,BALANZA!$C$12:$C$301)</f>
        <v>357105</v>
      </c>
      <c r="D173" s="22">
        <v>1266385</v>
      </c>
      <c r="E173" s="22">
        <v>1296420</v>
      </c>
      <c r="F173" s="21">
        <v>1266293.75</v>
      </c>
      <c r="G173" s="21">
        <v>752800</v>
      </c>
      <c r="H173" s="22">
        <v>0</v>
      </c>
      <c r="L173" s="136"/>
    </row>
    <row r="174" spans="1:12" s="21" customFormat="1">
      <c r="A174" s="21" t="s">
        <v>2224</v>
      </c>
      <c r="C174" s="22">
        <f>SUMIF(BALANZA!$B$12:$B$301,A174,BALANZA!$C$12:$C$301)</f>
        <v>1642410</v>
      </c>
      <c r="D174" s="22">
        <v>6985599.21</v>
      </c>
      <c r="E174" s="22">
        <v>6765350</v>
      </c>
      <c r="F174" s="21">
        <v>6557004.2800000003</v>
      </c>
      <c r="G174" s="21">
        <v>6671093.3300000001</v>
      </c>
      <c r="H174" s="22">
        <v>5607914.5599999996</v>
      </c>
      <c r="I174" s="21">
        <v>7724500.5999999996</v>
      </c>
      <c r="L174" s="136"/>
    </row>
    <row r="175" spans="1:12" s="21" customFormat="1">
      <c r="A175" s="21" t="s">
        <v>2225</v>
      </c>
      <c r="C175" s="22">
        <f>SUMIF(BALANZA!$B$12:$B$301,A175,BALANZA!$C$12:$C$301)</f>
        <v>0</v>
      </c>
      <c r="D175" s="22">
        <v>0</v>
      </c>
      <c r="E175" s="22">
        <v>0</v>
      </c>
      <c r="F175" s="21">
        <v>0</v>
      </c>
      <c r="G175" s="21">
        <v>0</v>
      </c>
      <c r="H175" s="22">
        <v>949580.56</v>
      </c>
      <c r="I175" s="21">
        <v>3831997.84</v>
      </c>
      <c r="L175" s="136"/>
    </row>
    <row r="176" spans="1:12" s="21" customFormat="1">
      <c r="A176" s="21" t="s">
        <v>2859</v>
      </c>
      <c r="C176" s="22">
        <f>SUMIF(BALANZA!$B$12:$B$301,A176,BALANZA!$C$12:$C$301)</f>
        <v>0</v>
      </c>
      <c r="D176" s="22">
        <v>9345204</v>
      </c>
      <c r="E176" s="22">
        <v>0</v>
      </c>
      <c r="F176" s="21">
        <v>0</v>
      </c>
      <c r="G176" s="21">
        <v>439588.24</v>
      </c>
      <c r="H176" s="22">
        <v>1753745.7</v>
      </c>
      <c r="I176" s="21">
        <v>0</v>
      </c>
      <c r="L176" s="136"/>
    </row>
    <row r="177" spans="1:12" s="21" customFormat="1">
      <c r="A177" s="21" t="s">
        <v>2324</v>
      </c>
      <c r="C177" s="22">
        <f>SUMIF(BALANZA!$B$12:$B$301,A177,BALANZA!$C$12:$C$301)</f>
        <v>0</v>
      </c>
      <c r="D177" s="22">
        <v>0</v>
      </c>
      <c r="E177" s="22">
        <v>0</v>
      </c>
      <c r="F177" s="21">
        <v>0</v>
      </c>
      <c r="G177" s="21">
        <v>0</v>
      </c>
      <c r="H177" s="22">
        <v>0</v>
      </c>
      <c r="I177" s="21">
        <v>837500</v>
      </c>
      <c r="L177" s="136"/>
    </row>
    <row r="178" spans="1:12" s="21" customFormat="1">
      <c r="A178" s="21" t="s">
        <v>2312</v>
      </c>
      <c r="C178" s="22">
        <f>SUMIF(BALANZA!$B$12:$B$301,A178,BALANZA!$C$12:$C$301)</f>
        <v>0</v>
      </c>
      <c r="D178" s="22">
        <v>0</v>
      </c>
      <c r="E178" s="22">
        <v>1715.66</v>
      </c>
      <c r="F178" s="21">
        <v>794.4</v>
      </c>
      <c r="G178" s="21">
        <v>0</v>
      </c>
      <c r="H178" s="22">
        <v>0</v>
      </c>
      <c r="I178" s="21">
        <v>0</v>
      </c>
      <c r="L178" s="136"/>
    </row>
    <row r="179" spans="1:12" s="21" customFormat="1">
      <c r="A179" s="23" t="s">
        <v>601</v>
      </c>
      <c r="B179" s="23"/>
      <c r="C179" s="22"/>
      <c r="D179" s="22"/>
      <c r="E179" s="22"/>
      <c r="H179" s="22"/>
      <c r="L179" s="136"/>
    </row>
    <row r="180" spans="1:12" s="21" customFormat="1">
      <c r="A180" s="23" t="s">
        <v>595</v>
      </c>
      <c r="B180" s="23"/>
      <c r="C180" s="22">
        <f>SUMIF(BALANZA!$B$12:$B$301,A180,BALANZA!$C$12:$C$301)</f>
        <v>0</v>
      </c>
      <c r="D180" s="22">
        <v>0</v>
      </c>
      <c r="E180" s="22">
        <v>0</v>
      </c>
      <c r="F180" s="21">
        <v>0</v>
      </c>
      <c r="G180" s="21">
        <v>0</v>
      </c>
      <c r="H180" s="22">
        <v>0</v>
      </c>
      <c r="I180" s="21">
        <v>7868775.6399999997</v>
      </c>
      <c r="L180" s="136"/>
    </row>
    <row r="181" spans="1:12" s="21" customFormat="1">
      <c r="A181" s="21" t="s">
        <v>603</v>
      </c>
      <c r="C181" s="22">
        <f>SUMIF(BALANZA!$B$12:$B$301,A181,BALANZA!$C$12:$C$301)</f>
        <v>430000</v>
      </c>
      <c r="D181" s="22">
        <v>2365000</v>
      </c>
      <c r="E181" s="22">
        <v>2970000</v>
      </c>
      <c r="F181" s="21">
        <v>2580000</v>
      </c>
      <c r="G181" s="21">
        <v>2277251.9</v>
      </c>
      <c r="H181" s="22">
        <v>820000</v>
      </c>
      <c r="I181" s="21">
        <v>1170000</v>
      </c>
      <c r="L181" s="136"/>
    </row>
    <row r="182" spans="1:12" s="21" customFormat="1">
      <c r="A182" s="21" t="s">
        <v>609</v>
      </c>
      <c r="C182" s="22">
        <f>SUMIF(BALANZA!$B$12:$B$301,A182,BALANZA!$C$12:$C$301)</f>
        <v>0</v>
      </c>
      <c r="D182" s="22">
        <v>0</v>
      </c>
      <c r="E182" s="22">
        <v>0</v>
      </c>
      <c r="F182" s="21">
        <v>0</v>
      </c>
      <c r="G182" s="21">
        <v>0</v>
      </c>
      <c r="H182" s="22">
        <v>0</v>
      </c>
      <c r="I182" s="21">
        <v>1200000</v>
      </c>
      <c r="L182" s="136"/>
    </row>
    <row r="183" spans="1:12" s="21" customFormat="1">
      <c r="A183" s="21" t="s">
        <v>612</v>
      </c>
      <c r="C183" s="22">
        <f>SUMIF(BALANZA!$B$12:$B$301,A183,BALANZA!$C$12:$C$301)</f>
        <v>0</v>
      </c>
      <c r="D183" s="22">
        <v>0</v>
      </c>
      <c r="E183" s="22">
        <v>0</v>
      </c>
      <c r="F183" s="21">
        <v>0</v>
      </c>
      <c r="G183" s="21">
        <v>0</v>
      </c>
      <c r="H183" s="22">
        <v>0</v>
      </c>
      <c r="I183" s="21">
        <v>0</v>
      </c>
      <c r="L183" s="136"/>
    </row>
    <row r="184" spans="1:12" s="21" customFormat="1">
      <c r="A184" s="21" t="s">
        <v>2246</v>
      </c>
      <c r="C184" s="22">
        <f>SUMIF(BALANZA!$B$12:$B$301,A184,BALANZA!$C$12:$C$301)</f>
        <v>0</v>
      </c>
      <c r="D184" s="22">
        <v>0</v>
      </c>
      <c r="E184" s="22">
        <v>0</v>
      </c>
      <c r="F184" s="21">
        <v>0</v>
      </c>
      <c r="G184" s="21">
        <v>0</v>
      </c>
      <c r="H184" s="22">
        <v>20000</v>
      </c>
      <c r="I184" s="21">
        <v>54000</v>
      </c>
      <c r="L184" s="136"/>
    </row>
    <row r="185" spans="1:12" s="21" customFormat="1">
      <c r="A185" s="21" t="s">
        <v>615</v>
      </c>
      <c r="C185" s="22"/>
      <c r="D185" s="22"/>
      <c r="E185" s="22"/>
      <c r="H185" s="22"/>
      <c r="L185" s="136"/>
    </row>
    <row r="186" spans="1:12" s="21" customFormat="1">
      <c r="A186" s="21" t="s">
        <v>4270</v>
      </c>
      <c r="C186" s="22">
        <f>SUMIF(BALANZA!$B$12:$B$301,A186,BALANZA!$C$12:$C$301)</f>
        <v>155800</v>
      </c>
      <c r="D186" s="22">
        <v>12070148.16</v>
      </c>
      <c r="E186" s="22">
        <v>12210081.5</v>
      </c>
      <c r="F186" s="21">
        <v>12374295.220000001</v>
      </c>
      <c r="G186" s="21">
        <v>11657228.08</v>
      </c>
      <c r="H186" s="22">
        <v>12214068.529999999</v>
      </c>
      <c r="I186" s="21">
        <v>11021692.789999999</v>
      </c>
      <c r="L186" s="136"/>
    </row>
    <row r="187" spans="1:12" s="21" customFormat="1">
      <c r="A187" s="21" t="s">
        <v>622</v>
      </c>
      <c r="C187" s="22">
        <f>SUMIF(BALANZA!$B$12:$B$301,A187,BALANZA!$C$12:$C$301)</f>
        <v>0</v>
      </c>
      <c r="D187" s="22">
        <v>0</v>
      </c>
      <c r="E187" s="22">
        <v>0</v>
      </c>
      <c r="F187" s="21">
        <v>0</v>
      </c>
      <c r="G187" s="21">
        <v>0</v>
      </c>
      <c r="H187" s="22">
        <v>0</v>
      </c>
      <c r="I187" s="21">
        <v>0</v>
      </c>
      <c r="L187" s="136"/>
    </row>
    <row r="188" spans="1:12" s="21" customFormat="1">
      <c r="A188" s="21" t="s">
        <v>625</v>
      </c>
      <c r="C188" s="22">
        <f>SUMIF(BALANZA!$B$12:$B$301,A188,BALANZA!$C$12:$C$301)</f>
        <v>0</v>
      </c>
      <c r="D188" s="22">
        <v>0</v>
      </c>
      <c r="E188" s="22">
        <v>0</v>
      </c>
      <c r="F188" s="21">
        <v>0</v>
      </c>
      <c r="G188" s="21">
        <v>0</v>
      </c>
      <c r="H188" s="22">
        <v>0</v>
      </c>
      <c r="I188" s="21">
        <v>0</v>
      </c>
      <c r="L188" s="136"/>
    </row>
    <row r="189" spans="1:12" s="21" customFormat="1">
      <c r="C189" s="22"/>
      <c r="D189" s="22"/>
      <c r="E189" s="22"/>
      <c r="H189" s="22"/>
      <c r="L189" s="136"/>
    </row>
    <row r="190" spans="1:12" s="21" customFormat="1">
      <c r="A190" s="23" t="s">
        <v>628</v>
      </c>
      <c r="B190" s="23"/>
      <c r="C190" s="24">
        <f>SUM(C191:C193)</f>
        <v>5788132.29</v>
      </c>
      <c r="D190" s="24">
        <v>22351313.5</v>
      </c>
      <c r="E190" s="22">
        <v>22696742.07</v>
      </c>
      <c r="F190" s="21">
        <v>22970899.25</v>
      </c>
      <c r="G190" s="21">
        <v>22854721.049999997</v>
      </c>
      <c r="H190" s="22">
        <v>22998756.480000004</v>
      </c>
      <c r="I190" s="21">
        <v>21776437.73</v>
      </c>
      <c r="L190" s="136"/>
    </row>
    <row r="191" spans="1:12" s="21" customFormat="1">
      <c r="A191" s="21" t="s">
        <v>630</v>
      </c>
      <c r="C191" s="22">
        <f>SUMIF(BALANZA!$B$12:$B$301,A191,BALANZA!$C$12:$C$301)</f>
        <v>2650100.36</v>
      </c>
      <c r="D191" s="22">
        <v>10303960.34</v>
      </c>
      <c r="E191" s="24">
        <v>10463761.68</v>
      </c>
      <c r="F191" s="21">
        <v>10582363.359999999</v>
      </c>
      <c r="G191" s="21">
        <v>10541829.699999999</v>
      </c>
      <c r="H191" s="22">
        <v>10571008.960000001</v>
      </c>
      <c r="I191" s="21">
        <v>9172089.2300000004</v>
      </c>
      <c r="L191" s="136"/>
    </row>
    <row r="192" spans="1:12" s="21" customFormat="1">
      <c r="A192" s="21" t="s">
        <v>633</v>
      </c>
      <c r="C192" s="22">
        <f>SUMIF(BALANZA!$B$12:$B$301,A192,BALANZA!$C$12:$C$301)</f>
        <v>2700676.93</v>
      </c>
      <c r="D192" s="22">
        <v>10318673.390000001</v>
      </c>
      <c r="E192" s="22">
        <v>9101205.8599999994</v>
      </c>
      <c r="F192" s="21">
        <v>10614032.710000001</v>
      </c>
      <c r="G192" s="21">
        <v>10548583.02</v>
      </c>
      <c r="H192" s="22">
        <v>10633440.560000001</v>
      </c>
      <c r="I192" s="21">
        <v>10924098.039999999</v>
      </c>
      <c r="L192" s="136"/>
    </row>
    <row r="193" spans="1:12" s="21" customFormat="1">
      <c r="A193" s="21" t="s">
        <v>636</v>
      </c>
      <c r="C193" s="22">
        <f>SUMIF(BALANZA!$B$12:$B$301,A193,BALANZA!$C$12:$C$301)</f>
        <v>437355</v>
      </c>
      <c r="D193" s="22">
        <v>1728679.77</v>
      </c>
      <c r="E193" s="22">
        <v>3131774.53</v>
      </c>
      <c r="F193" s="21">
        <v>1774503.18</v>
      </c>
      <c r="G193" s="21">
        <v>1764308.33</v>
      </c>
      <c r="H193" s="22">
        <v>1794306.96</v>
      </c>
      <c r="I193" s="21">
        <v>1680250.46</v>
      </c>
      <c r="L193" s="136"/>
    </row>
    <row r="194" spans="1:12" s="21" customFormat="1">
      <c r="E194" s="22"/>
      <c r="F194" s="22"/>
      <c r="G194" s="22"/>
      <c r="H194" s="22"/>
      <c r="L194" s="136"/>
    </row>
    <row r="195" spans="1:12" s="21" customFormat="1">
      <c r="F195" s="22"/>
      <c r="G195" s="22"/>
      <c r="H195" s="22"/>
      <c r="L195" s="136"/>
    </row>
    <row r="196" spans="1:12" s="21" customFormat="1">
      <c r="F196" s="22"/>
      <c r="G196" s="22"/>
      <c r="H196" s="22"/>
      <c r="L196" s="136"/>
    </row>
    <row r="197" spans="1:12" s="21" customFormat="1">
      <c r="A197" s="30" t="s">
        <v>896</v>
      </c>
      <c r="B197" s="30"/>
      <c r="C197" s="24">
        <f>SUM(C198:C309)</f>
        <v>28520757.759999998</v>
      </c>
      <c r="D197" s="24">
        <v>201529248.07999998</v>
      </c>
      <c r="E197" s="21">
        <v>202460242.05000004</v>
      </c>
      <c r="F197" s="21">
        <v>198664107.38999999</v>
      </c>
      <c r="G197" s="21">
        <v>176768765.32999995</v>
      </c>
      <c r="H197" s="22">
        <v>260971319.62000003</v>
      </c>
      <c r="I197" s="21">
        <v>193422084.83000001</v>
      </c>
      <c r="L197" s="136"/>
    </row>
    <row r="198" spans="1:12" s="21" customFormat="1">
      <c r="A198" s="23" t="s">
        <v>639</v>
      </c>
      <c r="B198" s="23"/>
      <c r="C198" s="22"/>
      <c r="D198" s="22"/>
      <c r="E198" s="24"/>
      <c r="H198" s="22"/>
      <c r="K198" s="22"/>
      <c r="L198" s="136"/>
    </row>
    <row r="199" spans="1:12" s="21" customFormat="1">
      <c r="A199" s="21" t="s">
        <v>641</v>
      </c>
      <c r="C199" s="22">
        <f>SUMIF(BALANZA!$B$12:$B$301,A199,BALANZA!$C$12:$C$301)</f>
        <v>0</v>
      </c>
      <c r="D199" s="22">
        <v>0</v>
      </c>
      <c r="E199" s="22">
        <v>256900</v>
      </c>
      <c r="F199" s="21">
        <v>189211.5</v>
      </c>
      <c r="G199" s="21">
        <v>372813</v>
      </c>
      <c r="H199" s="22">
        <v>187891.56</v>
      </c>
      <c r="I199" s="21">
        <v>552044.36</v>
      </c>
      <c r="K199" s="22"/>
      <c r="L199" s="136"/>
    </row>
    <row r="200" spans="1:12" s="21" customFormat="1">
      <c r="A200" s="21" t="s">
        <v>644</v>
      </c>
      <c r="C200" s="22">
        <f>SUMIF(BALANZA!$B$12:$B$301,A200,BALANZA!$C$12:$C$301)</f>
        <v>0</v>
      </c>
      <c r="D200" s="22">
        <v>0</v>
      </c>
      <c r="E200" s="22">
        <v>1490</v>
      </c>
      <c r="F200" s="21">
        <v>4917.5</v>
      </c>
      <c r="G200" s="21">
        <v>0</v>
      </c>
      <c r="H200" s="22">
        <v>203792.35</v>
      </c>
      <c r="I200" s="21">
        <v>17006</v>
      </c>
      <c r="K200" s="22"/>
      <c r="L200" s="136"/>
    </row>
    <row r="201" spans="1:12" s="21" customFormat="1">
      <c r="C201" s="22">
        <f>SUMIF(BALANZA!$B$12:$B$301,A201,BALANZA!$C$12:$C$301)</f>
        <v>0</v>
      </c>
      <c r="D201" s="22">
        <v>0</v>
      </c>
      <c r="E201" s="22">
        <v>0</v>
      </c>
      <c r="F201" s="21">
        <v>0</v>
      </c>
      <c r="G201" s="21">
        <v>0</v>
      </c>
      <c r="H201" s="22">
        <v>0</v>
      </c>
      <c r="I201" s="21">
        <v>0</v>
      </c>
      <c r="K201" s="22"/>
      <c r="L201" s="136"/>
    </row>
    <row r="202" spans="1:12" s="21" customFormat="1">
      <c r="A202" s="23" t="s">
        <v>653</v>
      </c>
      <c r="B202" s="23"/>
      <c r="C202" s="22">
        <v>0</v>
      </c>
      <c r="D202" s="22">
        <v>0</v>
      </c>
      <c r="E202" s="22">
        <v>0</v>
      </c>
      <c r="F202" s="21">
        <v>0</v>
      </c>
      <c r="G202" s="21">
        <v>0</v>
      </c>
      <c r="H202" s="22">
        <v>0</v>
      </c>
      <c r="I202" s="21">
        <v>0</v>
      </c>
      <c r="K202" s="22"/>
      <c r="L202" s="136"/>
    </row>
    <row r="203" spans="1:12" s="21" customFormat="1">
      <c r="A203" s="23" t="s">
        <v>655</v>
      </c>
      <c r="B203" s="23"/>
      <c r="C203" s="22"/>
      <c r="D203" s="22"/>
      <c r="E203" s="22"/>
      <c r="H203" s="22"/>
      <c r="K203" s="22"/>
      <c r="L203" s="136"/>
    </row>
    <row r="204" spans="1:12" s="21" customFormat="1">
      <c r="A204" s="21" t="s">
        <v>3859</v>
      </c>
      <c r="B204" s="23"/>
      <c r="C204" s="22">
        <f>SUMIF(BALANZA!$B$12:$B$301,A204,BALANZA!$C$12:$C$301)</f>
        <v>0</v>
      </c>
      <c r="D204" s="22">
        <v>1401846.63</v>
      </c>
      <c r="E204" s="22">
        <v>878000</v>
      </c>
      <c r="F204" s="21">
        <v>652775</v>
      </c>
      <c r="G204" s="21">
        <v>722825</v>
      </c>
      <c r="H204" s="22">
        <v>0</v>
      </c>
      <c r="K204" s="22"/>
      <c r="L204" s="136"/>
    </row>
    <row r="205" spans="1:12" s="21" customFormat="1">
      <c r="A205" s="21" t="s">
        <v>2232</v>
      </c>
      <c r="C205" s="22">
        <f>SUMIF(BALANZA!$B$12:$B$301,A205,BALANZA!$C$12:$C$301)</f>
        <v>460724.08</v>
      </c>
      <c r="D205" s="22">
        <v>1787361.81</v>
      </c>
      <c r="E205" s="22">
        <v>1745852.09</v>
      </c>
      <c r="F205" s="21">
        <v>1430007.26</v>
      </c>
      <c r="G205" s="21">
        <v>1429272.63</v>
      </c>
      <c r="H205" s="22">
        <v>1686166.2</v>
      </c>
      <c r="I205" s="21">
        <v>1822403.52</v>
      </c>
      <c r="K205" s="22"/>
      <c r="L205" s="136"/>
    </row>
    <row r="206" spans="1:12" s="21" customFormat="1">
      <c r="A206" s="21" t="s">
        <v>2233</v>
      </c>
      <c r="C206" s="22">
        <f>SUMIF(BALANZA!$B$12:$B$301,A206,BALANZA!$C$12:$C$301)</f>
        <v>230191</v>
      </c>
      <c r="D206" s="22">
        <v>927194.72</v>
      </c>
      <c r="E206" s="22">
        <v>781748.96</v>
      </c>
      <c r="F206" s="21">
        <v>1058072.45</v>
      </c>
      <c r="G206" s="21">
        <v>974124.6</v>
      </c>
      <c r="H206" s="22">
        <v>1104179.52</v>
      </c>
      <c r="I206" s="21">
        <v>1109747.1299999999</v>
      </c>
      <c r="K206" s="22"/>
      <c r="L206" s="136"/>
    </row>
    <row r="207" spans="1:12" s="21" customFormat="1">
      <c r="A207" s="21" t="s">
        <v>2234</v>
      </c>
      <c r="C207" s="22">
        <f>SUMIF(BALANZA!$B$12:$B$301,A207,BALANZA!$C$12:$C$301)</f>
        <v>0</v>
      </c>
      <c r="D207" s="22">
        <v>0</v>
      </c>
      <c r="E207" s="22">
        <v>0</v>
      </c>
      <c r="F207" s="21">
        <v>0</v>
      </c>
      <c r="G207" s="21">
        <v>0</v>
      </c>
      <c r="H207" s="22">
        <v>0</v>
      </c>
      <c r="I207" s="21">
        <v>4281.43</v>
      </c>
      <c r="K207" s="22"/>
      <c r="L207" s="136"/>
    </row>
    <row r="208" spans="1:12" s="21" customFormat="1">
      <c r="A208" s="21" t="s">
        <v>2235</v>
      </c>
      <c r="C208" s="22">
        <f>SUMIF(BALANZA!$B$12:$B$301,A208,BALANZA!$C$12:$C$301)</f>
        <v>77085.11</v>
      </c>
      <c r="D208" s="22">
        <v>328909.98</v>
      </c>
      <c r="E208" s="22">
        <v>371176.6</v>
      </c>
      <c r="F208" s="21">
        <v>368449.57</v>
      </c>
      <c r="G208" s="21">
        <v>492532.01</v>
      </c>
      <c r="H208" s="22">
        <v>661936.74</v>
      </c>
      <c r="I208" s="21">
        <v>830880.65</v>
      </c>
      <c r="K208" s="22"/>
      <c r="L208" s="136"/>
    </row>
    <row r="209" spans="1:12" s="21" customFormat="1">
      <c r="A209" s="21" t="s">
        <v>2872</v>
      </c>
      <c r="C209" s="22">
        <f>SUMIF(BALANZA!$B$12:$B$301,A209,BALANZA!$C$12:$C$301)</f>
        <v>14880572.050000001</v>
      </c>
      <c r="D209" s="22">
        <v>72820992.290000007</v>
      </c>
      <c r="E209" s="22">
        <v>63713429.090000004</v>
      </c>
      <c r="F209" s="21">
        <v>58090474.640000001</v>
      </c>
      <c r="G209" s="21">
        <v>49506589.280000001</v>
      </c>
      <c r="H209" s="22">
        <v>27809071.010000002</v>
      </c>
      <c r="K209" s="22"/>
      <c r="L209" s="136"/>
    </row>
    <row r="210" spans="1:12" s="21" customFormat="1">
      <c r="A210" s="21" t="s">
        <v>2221</v>
      </c>
      <c r="C210" s="22">
        <f>SUMIF(BALANZA!$B$12:$B$301,A210,BALANZA!$C$12:$C$301)</f>
        <v>0</v>
      </c>
      <c r="D210" s="22">
        <v>167000</v>
      </c>
      <c r="E210" s="22">
        <v>345465.68</v>
      </c>
      <c r="F210" s="21">
        <v>574721.78</v>
      </c>
      <c r="G210" s="21">
        <v>359463</v>
      </c>
      <c r="H210" s="22">
        <v>1155995.58</v>
      </c>
      <c r="I210" s="21">
        <v>593400.84</v>
      </c>
      <c r="K210" s="22"/>
      <c r="L210" s="136"/>
    </row>
    <row r="211" spans="1:12" s="21" customFormat="1">
      <c r="A211" s="21" t="s">
        <v>4039</v>
      </c>
      <c r="C211" s="22">
        <f>SUMIF(BALANZA!$B$12:$B$301,A211,BALANZA!$C$12:$C$301)</f>
        <v>0</v>
      </c>
      <c r="D211" s="22">
        <v>0</v>
      </c>
      <c r="E211" s="22">
        <v>0</v>
      </c>
      <c r="H211" s="22"/>
      <c r="K211" s="22"/>
      <c r="L211" s="136"/>
    </row>
    <row r="212" spans="1:12" s="21" customFormat="1">
      <c r="A212" s="21" t="s">
        <v>2222</v>
      </c>
      <c r="C212" s="22">
        <f>SUMIF(BALANZA!$B$12:$B$301,A212,BALANZA!$C$12:$C$301)</f>
        <v>594499.5</v>
      </c>
      <c r="D212" s="22">
        <v>984627</v>
      </c>
      <c r="E212" s="22">
        <v>925630</v>
      </c>
      <c r="F212" s="21">
        <v>1276469.5</v>
      </c>
      <c r="G212" s="21">
        <v>1023705</v>
      </c>
      <c r="H212" s="22">
        <v>961300</v>
      </c>
      <c r="I212" s="21">
        <v>1805788.2</v>
      </c>
      <c r="K212" s="22"/>
      <c r="L212" s="136"/>
    </row>
    <row r="213" spans="1:12" s="21" customFormat="1">
      <c r="A213" s="21" t="s">
        <v>2226</v>
      </c>
      <c r="C213" s="22">
        <f>SUMIF(BALANZA!$B$12:$B$301,A213,BALANZA!$C$12:$C$301)</f>
        <v>354</v>
      </c>
      <c r="D213" s="22">
        <v>1073392.55</v>
      </c>
      <c r="E213" s="22">
        <v>786671.76</v>
      </c>
      <c r="F213" s="21">
        <v>158625.20000000001</v>
      </c>
      <c r="G213" s="21">
        <v>411028</v>
      </c>
      <c r="H213" s="22">
        <v>266716</v>
      </c>
      <c r="I213" s="21">
        <v>310828.78000000003</v>
      </c>
      <c r="K213" s="22"/>
      <c r="L213" s="136"/>
    </row>
    <row r="214" spans="1:12" s="21" customFormat="1">
      <c r="A214" s="21" t="s">
        <v>2237</v>
      </c>
      <c r="C214" s="22">
        <f>SUMIF(BALANZA!$B$12:$B$301,A214,BALANZA!$C$12:$C$301)</f>
        <v>0</v>
      </c>
      <c r="D214" s="22">
        <v>0</v>
      </c>
      <c r="E214" s="22">
        <v>0</v>
      </c>
      <c r="F214" s="21">
        <v>0</v>
      </c>
      <c r="G214" s="21">
        <v>0</v>
      </c>
      <c r="H214" s="22">
        <v>0</v>
      </c>
      <c r="I214" s="21">
        <v>0</v>
      </c>
      <c r="K214" s="22"/>
      <c r="L214" s="136"/>
    </row>
    <row r="215" spans="1:12" s="21" customFormat="1">
      <c r="A215" s="21" t="s">
        <v>2247</v>
      </c>
      <c r="C215" s="22">
        <f>SUMIF(BALANZA!$B$12:$B$301,A215,BALANZA!$C$12:$C$301)</f>
        <v>0</v>
      </c>
      <c r="D215" s="22">
        <v>0</v>
      </c>
      <c r="E215" s="22">
        <v>0</v>
      </c>
      <c r="F215" s="21">
        <v>0</v>
      </c>
      <c r="G215" s="21">
        <v>0</v>
      </c>
      <c r="H215" s="22">
        <v>0</v>
      </c>
      <c r="I215" s="21">
        <v>0</v>
      </c>
      <c r="K215" s="22"/>
      <c r="L215" s="136"/>
    </row>
    <row r="216" spans="1:12" s="21" customFormat="1">
      <c r="A216" s="21" t="s">
        <v>2330</v>
      </c>
      <c r="C216" s="22">
        <f>SUMIF(BALANZA!$B$12:$B$301,A216,BALANZA!$C$12:$C$301)</f>
        <v>2200</v>
      </c>
      <c r="D216" s="22">
        <v>0</v>
      </c>
      <c r="E216" s="22">
        <v>0</v>
      </c>
      <c r="F216" s="21">
        <v>1300</v>
      </c>
      <c r="G216" s="21">
        <v>0</v>
      </c>
      <c r="H216" s="22"/>
      <c r="K216" s="22"/>
      <c r="L216" s="136"/>
    </row>
    <row r="217" spans="1:12" s="21" customFormat="1">
      <c r="A217" s="21" t="s">
        <v>2243</v>
      </c>
      <c r="C217" s="22">
        <f>SUMIF(BALANZA!$B$12:$B$301,A217,BALANZA!$C$12:$C$301)</f>
        <v>0</v>
      </c>
      <c r="D217" s="22">
        <v>0</v>
      </c>
      <c r="E217" s="22">
        <v>175</v>
      </c>
      <c r="F217" s="21">
        <v>0</v>
      </c>
      <c r="G217" s="21">
        <v>136090</v>
      </c>
      <c r="H217" s="22">
        <v>1300330.6200000001</v>
      </c>
      <c r="I217" s="21">
        <v>6986360.0999999996</v>
      </c>
      <c r="K217" s="22"/>
      <c r="L217" s="136"/>
    </row>
    <row r="218" spans="1:12" s="21" customFormat="1">
      <c r="A218" s="21" t="s">
        <v>2241</v>
      </c>
      <c r="C218" s="22">
        <f>SUMIF(BALANZA!$B$12:$B$301,A218,BALANZA!$C$12:$C$301)</f>
        <v>0</v>
      </c>
      <c r="D218" s="22">
        <v>0</v>
      </c>
      <c r="E218" s="22">
        <v>0</v>
      </c>
      <c r="F218" s="21">
        <v>0</v>
      </c>
      <c r="G218" s="21">
        <v>0</v>
      </c>
      <c r="H218" s="22">
        <v>0</v>
      </c>
      <c r="I218" s="21">
        <v>0</v>
      </c>
      <c r="K218" s="22"/>
      <c r="L218" s="136"/>
    </row>
    <row r="219" spans="1:12" s="21" customFormat="1">
      <c r="A219" s="23" t="s">
        <v>672</v>
      </c>
      <c r="B219" s="23"/>
      <c r="C219" s="22"/>
      <c r="D219" s="22"/>
      <c r="E219" s="22"/>
      <c r="H219" s="22"/>
      <c r="K219" s="22"/>
      <c r="L219" s="136"/>
    </row>
    <row r="220" spans="1:12" s="21" customFormat="1">
      <c r="A220" s="21" t="s">
        <v>674</v>
      </c>
      <c r="C220" s="22">
        <f>SUMIF(BALANZA!$B$12:$B$301,A220,BALANZA!$C$12:$C$301)</f>
        <v>0</v>
      </c>
      <c r="D220" s="22">
        <v>2252289.46</v>
      </c>
      <c r="E220" s="22">
        <v>1434034.5</v>
      </c>
      <c r="F220" s="21">
        <v>2215371.86</v>
      </c>
      <c r="G220" s="21">
        <v>1619351.58</v>
      </c>
      <c r="H220" s="22">
        <v>1237096.27</v>
      </c>
      <c r="I220" s="21">
        <v>1294486</v>
      </c>
      <c r="K220" s="22"/>
      <c r="L220" s="136"/>
    </row>
    <row r="221" spans="1:12" s="21" customFormat="1">
      <c r="A221" s="21" t="s">
        <v>685</v>
      </c>
      <c r="C221" s="22">
        <f>SUMIF(BALANZA!$B$12:$B$301,A221,BALANZA!$C$12:$C$301)</f>
        <v>0</v>
      </c>
      <c r="D221" s="22">
        <v>333450</v>
      </c>
      <c r="E221" s="22">
        <v>62614.5</v>
      </c>
      <c r="F221" s="21">
        <v>295744.3</v>
      </c>
      <c r="G221" s="21">
        <v>110425.46</v>
      </c>
      <c r="H221" s="22">
        <v>285935.5</v>
      </c>
      <c r="I221" s="21">
        <v>654000</v>
      </c>
      <c r="K221" s="22"/>
      <c r="L221" s="136"/>
    </row>
    <row r="222" spans="1:12" s="21" customFormat="1">
      <c r="A222" s="21" t="s">
        <v>679</v>
      </c>
      <c r="C222" s="22">
        <f>SUMIF(BALANZA!$B$12:$B$301,A222,BALANZA!$C$12:$C$301)</f>
        <v>0</v>
      </c>
      <c r="D222" s="22">
        <v>0</v>
      </c>
      <c r="E222" s="22">
        <v>0</v>
      </c>
      <c r="F222" s="21">
        <v>0</v>
      </c>
      <c r="G222" s="21">
        <v>0</v>
      </c>
      <c r="H222" s="22">
        <v>2000</v>
      </c>
      <c r="I222" s="21">
        <v>0</v>
      </c>
      <c r="K222" s="22"/>
      <c r="L222" s="136"/>
    </row>
    <row r="223" spans="1:12" s="21" customFormat="1">
      <c r="A223" s="21" t="s">
        <v>691</v>
      </c>
      <c r="C223" s="22">
        <f>SUMIF(BALANZA!$B$12:$B$301,A223,BALANZA!$C$12:$C$301)</f>
        <v>0</v>
      </c>
      <c r="D223" s="22">
        <v>290250</v>
      </c>
      <c r="E223" s="22">
        <v>292500</v>
      </c>
      <c r="F223" s="21">
        <v>317000</v>
      </c>
      <c r="G223" s="21">
        <v>202335</v>
      </c>
      <c r="H223" s="22">
        <v>888625</v>
      </c>
      <c r="I223" s="21">
        <v>553079.1</v>
      </c>
      <c r="K223" s="22"/>
      <c r="L223" s="136"/>
    </row>
    <row r="224" spans="1:12" s="21" customFormat="1">
      <c r="A224" s="21" t="s">
        <v>694</v>
      </c>
      <c r="C224" s="22">
        <f>SUMIF(BALANZA!$B$12:$B$301,A224,BALANZA!$C$12:$C$301)</f>
        <v>0</v>
      </c>
      <c r="D224" s="22">
        <v>650000</v>
      </c>
      <c r="E224" s="22">
        <v>1192000</v>
      </c>
      <c r="F224" s="21">
        <v>490880</v>
      </c>
      <c r="G224" s="21">
        <v>849625</v>
      </c>
      <c r="H224" s="22">
        <v>1572725</v>
      </c>
      <c r="I224" s="21">
        <v>1204200</v>
      </c>
      <c r="K224" s="22"/>
      <c r="L224" s="136"/>
    </row>
    <row r="225" spans="1:12" s="21" customFormat="1">
      <c r="A225" s="21" t="s">
        <v>697</v>
      </c>
      <c r="C225" s="22">
        <f>SUMIF(BALANZA!$B$12:$B$301,A225,BALANZA!$C$12:$C$301)</f>
        <v>0</v>
      </c>
      <c r="D225" s="22">
        <v>0</v>
      </c>
      <c r="E225" s="22">
        <v>0</v>
      </c>
      <c r="F225" s="21">
        <v>0</v>
      </c>
      <c r="G225" s="21">
        <v>0</v>
      </c>
      <c r="H225" s="22">
        <v>79650</v>
      </c>
      <c r="I225" s="21">
        <v>14875</v>
      </c>
      <c r="K225" s="22"/>
      <c r="L225" s="136"/>
    </row>
    <row r="226" spans="1:12" s="21" customFormat="1">
      <c r="A226" s="21" t="s">
        <v>4034</v>
      </c>
      <c r="C226" s="22">
        <f>SUMIF(BALANZA!$B$12:$B$301,A226,BALANZA!$C$12:$C$301)</f>
        <v>0</v>
      </c>
      <c r="D226" s="22">
        <v>0</v>
      </c>
      <c r="E226" s="22">
        <v>170699.58</v>
      </c>
      <c r="F226" s="21">
        <v>0</v>
      </c>
      <c r="H226" s="22"/>
      <c r="K226" s="22"/>
      <c r="L226" s="136"/>
    </row>
    <row r="227" spans="1:12" s="21" customFormat="1">
      <c r="A227" s="21" t="s">
        <v>700</v>
      </c>
      <c r="C227" s="22">
        <f>SUMIF(BALANZA!$B$12:$B$301,A227,BALANZA!$C$12:$C$301)</f>
        <v>162849.63</v>
      </c>
      <c r="D227" s="22">
        <v>611630.71</v>
      </c>
      <c r="E227" s="22">
        <v>521982.5</v>
      </c>
      <c r="F227" s="21">
        <v>403137.05</v>
      </c>
      <c r="G227" s="21">
        <v>296718.03000000003</v>
      </c>
      <c r="H227" s="22">
        <v>137968.4</v>
      </c>
      <c r="I227" s="21">
        <v>84858.96</v>
      </c>
      <c r="K227" s="22"/>
      <c r="L227" s="136"/>
    </row>
    <row r="228" spans="1:12" s="21" customFormat="1">
      <c r="A228" s="21" t="s">
        <v>3847</v>
      </c>
      <c r="C228" s="22">
        <f>SUMIF(BALANZA!$B$12:$B$301,A228,BALANZA!$C$12:$C$301)</f>
        <v>45048.24</v>
      </c>
      <c r="D228" s="22">
        <v>45048.24</v>
      </c>
      <c r="E228" s="22">
        <v>135144.72</v>
      </c>
      <c r="F228" s="22">
        <v>90096.48</v>
      </c>
      <c r="G228" s="22">
        <v>45048.24</v>
      </c>
      <c r="H228" s="22">
        <v>0</v>
      </c>
      <c r="K228" s="22"/>
      <c r="L228" s="136"/>
    </row>
    <row r="229" spans="1:12" s="21" customFormat="1">
      <c r="A229" s="23" t="s">
        <v>703</v>
      </c>
      <c r="B229" s="23"/>
      <c r="F229" s="22"/>
      <c r="G229" s="22"/>
      <c r="H229" s="22"/>
      <c r="K229" s="22"/>
      <c r="L229" s="136"/>
    </row>
    <row r="230" spans="1:12" s="21" customFormat="1">
      <c r="A230" s="21" t="s">
        <v>705</v>
      </c>
      <c r="C230" s="22">
        <f>SUMIF(BALANZA!$B$12:$B$301,A230,BALANZA!$C$12:$C$301)</f>
        <v>0</v>
      </c>
      <c r="D230" s="22">
        <v>0</v>
      </c>
      <c r="E230" s="21">
        <v>1494232.69</v>
      </c>
      <c r="F230" s="22">
        <v>0</v>
      </c>
      <c r="G230" s="22">
        <v>0</v>
      </c>
      <c r="H230" s="22">
        <v>0</v>
      </c>
      <c r="I230" s="21">
        <v>0</v>
      </c>
      <c r="K230" s="22"/>
      <c r="L230" s="136"/>
    </row>
    <row r="231" spans="1:12" s="21" customFormat="1">
      <c r="A231" s="21" t="s">
        <v>708</v>
      </c>
      <c r="C231" s="22">
        <f>SUMIF(BALANZA!$B$12:$B$301,A231,BALANZA!$C$12:$C$301)</f>
        <v>0</v>
      </c>
      <c r="D231" s="22">
        <v>0</v>
      </c>
      <c r="E231" s="22">
        <v>5000</v>
      </c>
      <c r="F231" s="22">
        <v>14650</v>
      </c>
      <c r="G231" s="22">
        <v>97048.82</v>
      </c>
      <c r="H231" s="22">
        <v>213112.65</v>
      </c>
      <c r="I231" s="21">
        <v>46280</v>
      </c>
      <c r="K231" s="22"/>
      <c r="L231" s="136"/>
    </row>
    <row r="232" spans="1:12" s="21" customFormat="1">
      <c r="A232" s="21" t="s">
        <v>714</v>
      </c>
      <c r="C232" s="22">
        <f>SUMIF(BALANZA!$B$12:$B$301,A232,BALANZA!$C$12:$C$301)</f>
        <v>1543966.74</v>
      </c>
      <c r="D232" s="22">
        <v>2856839.67</v>
      </c>
      <c r="E232" s="22">
        <v>6111175.2400000021</v>
      </c>
      <c r="F232" s="22">
        <v>0</v>
      </c>
      <c r="G232" s="22">
        <v>2147228.69</v>
      </c>
      <c r="H232" s="22">
        <v>4103802.01</v>
      </c>
      <c r="I232" s="21">
        <v>9852890.1199999992</v>
      </c>
      <c r="K232" s="22"/>
      <c r="L232" s="136"/>
    </row>
    <row r="233" spans="1:12" s="21" customFormat="1">
      <c r="A233" s="21" t="s">
        <v>717</v>
      </c>
      <c r="C233" s="22">
        <f>SUMIF(BALANZA!$B$12:$B$301,A233,BALANZA!$C$12:$C$301)</f>
        <v>0</v>
      </c>
      <c r="D233" s="22">
        <v>0</v>
      </c>
      <c r="E233" s="22">
        <v>0</v>
      </c>
      <c r="F233" s="22">
        <v>0</v>
      </c>
      <c r="G233" s="22">
        <v>989675.77</v>
      </c>
      <c r="H233" s="22">
        <v>5386985.9699999997</v>
      </c>
      <c r="I233" s="21">
        <v>24027000.420000002</v>
      </c>
      <c r="K233" s="22"/>
      <c r="L233" s="136"/>
    </row>
    <row r="234" spans="1:12" s="21" customFormat="1">
      <c r="A234" s="21" t="s">
        <v>720</v>
      </c>
      <c r="C234" s="22">
        <f>SUMIF(BALANZA!$B$12:$B$301,A234,BALANZA!$C$12:$C$301)</f>
        <v>0</v>
      </c>
      <c r="D234" s="22">
        <v>0</v>
      </c>
      <c r="E234" s="22">
        <v>0</v>
      </c>
      <c r="F234" s="22">
        <v>0</v>
      </c>
      <c r="G234" s="22">
        <v>4450</v>
      </c>
      <c r="H234" s="22">
        <v>0</v>
      </c>
      <c r="I234" s="21">
        <v>2868</v>
      </c>
      <c r="K234" s="22"/>
      <c r="L234" s="136"/>
    </row>
    <row r="235" spans="1:12" s="21" customFormat="1">
      <c r="A235" s="21" t="s">
        <v>723</v>
      </c>
      <c r="C235" s="22">
        <f>SUMIF(BALANZA!$B$12:$B$301,A235,BALANZA!$C$12:$C$301)</f>
        <v>0</v>
      </c>
      <c r="D235" s="22">
        <v>0</v>
      </c>
      <c r="E235" s="22">
        <v>278895.28999999998</v>
      </c>
      <c r="F235" s="22">
        <v>509632.25</v>
      </c>
      <c r="G235" s="22">
        <v>0</v>
      </c>
      <c r="H235" s="22">
        <v>255399.47</v>
      </c>
      <c r="I235" s="21">
        <v>0</v>
      </c>
      <c r="K235" s="22"/>
      <c r="L235" s="136"/>
    </row>
    <row r="236" spans="1:12" s="21" customFormat="1">
      <c r="A236" s="21" t="s">
        <v>726</v>
      </c>
      <c r="C236" s="22">
        <f>SUMIF(BALANZA!$B$12:$B$301,A236,BALANZA!$C$12:$C$301)</f>
        <v>0</v>
      </c>
      <c r="D236" s="22">
        <v>0</v>
      </c>
      <c r="E236" s="22">
        <v>4162.24</v>
      </c>
      <c r="F236" s="22">
        <v>3370</v>
      </c>
      <c r="G236" s="22">
        <v>5710</v>
      </c>
      <c r="H236" s="22">
        <v>77676.58</v>
      </c>
      <c r="I236" s="21">
        <v>45491</v>
      </c>
      <c r="K236" s="22"/>
      <c r="L236" s="136"/>
    </row>
    <row r="237" spans="1:12" s="21" customFormat="1">
      <c r="C237" s="22"/>
      <c r="D237" s="22"/>
      <c r="E237" s="22"/>
      <c r="F237" s="22"/>
      <c r="G237" s="22"/>
      <c r="H237" s="22"/>
      <c r="K237" s="22"/>
      <c r="L237" s="136"/>
    </row>
    <row r="238" spans="1:12" s="21" customFormat="1">
      <c r="A238" s="21" t="s">
        <v>729</v>
      </c>
      <c r="C238" s="22">
        <f>SUMIF(BALANZA!$B$12:$B$301,A238,BALANZA!$C$12:$C$301)</f>
        <v>0</v>
      </c>
      <c r="D238" s="22">
        <v>0</v>
      </c>
      <c r="E238" s="22">
        <v>15500</v>
      </c>
      <c r="F238" s="22">
        <v>0</v>
      </c>
      <c r="G238" s="22">
        <v>0</v>
      </c>
      <c r="H238" s="22">
        <v>6560</v>
      </c>
      <c r="I238" s="21">
        <v>4075</v>
      </c>
      <c r="K238" s="22"/>
      <c r="L238" s="136"/>
    </row>
    <row r="239" spans="1:12" s="21" customFormat="1">
      <c r="A239" s="21" t="s">
        <v>735</v>
      </c>
      <c r="C239" s="22">
        <f>SUMIF(BALANZA!$B$12:$B$301,A239,BALANZA!$C$12:$C$301)</f>
        <v>0</v>
      </c>
      <c r="D239" s="22">
        <v>0</v>
      </c>
      <c r="E239" s="22">
        <v>0</v>
      </c>
      <c r="F239" s="22">
        <v>0</v>
      </c>
      <c r="G239" s="22">
        <v>0</v>
      </c>
      <c r="H239" s="22">
        <v>0</v>
      </c>
      <c r="I239" s="21">
        <v>0</v>
      </c>
      <c r="K239" s="22"/>
      <c r="L239" s="136"/>
    </row>
    <row r="240" spans="1:12" s="21" customFormat="1">
      <c r="A240" s="21" t="s">
        <v>738</v>
      </c>
      <c r="C240" s="22">
        <f>SUMIF(BALANZA!$B$12:$B$301,A240,BALANZA!$C$12:$C$301)</f>
        <v>0</v>
      </c>
      <c r="D240" s="22">
        <v>0</v>
      </c>
      <c r="E240" s="22">
        <v>0</v>
      </c>
      <c r="F240" s="22">
        <v>215</v>
      </c>
      <c r="G240" s="22">
        <v>0</v>
      </c>
      <c r="H240" s="22">
        <v>0</v>
      </c>
      <c r="I240" s="21">
        <v>4030</v>
      </c>
      <c r="K240" s="22"/>
      <c r="L240" s="136"/>
    </row>
    <row r="241" spans="1:12" s="21" customFormat="1">
      <c r="A241" s="21" t="s">
        <v>2229</v>
      </c>
      <c r="C241" s="22">
        <f>SUMIF(BALANZA!$B$12:$B$301,A241,BALANZA!$C$12:$C$301)</f>
        <v>207205</v>
      </c>
      <c r="D241" s="22">
        <v>2374661.02</v>
      </c>
      <c r="E241" s="22">
        <v>1920320.51</v>
      </c>
      <c r="F241" s="22">
        <v>1171682.69</v>
      </c>
      <c r="G241" s="22">
        <v>1127346.52</v>
      </c>
      <c r="H241" s="22">
        <v>1189132.42</v>
      </c>
      <c r="I241" s="21">
        <v>1991711.85</v>
      </c>
      <c r="K241" s="22"/>
      <c r="L241" s="136"/>
    </row>
    <row r="242" spans="1:12" s="21" customFormat="1">
      <c r="A242" s="21" t="s">
        <v>3991</v>
      </c>
      <c r="C242" s="22">
        <f>SUMIF(BALANZA!$B$12:$B$301,A242,BALANZA!$C$12:$C$301)</f>
        <v>0</v>
      </c>
      <c r="D242" s="22">
        <v>218728.81</v>
      </c>
      <c r="E242" s="22">
        <v>276000</v>
      </c>
      <c r="F242" s="22">
        <v>430700</v>
      </c>
      <c r="G242" s="22">
        <v>0</v>
      </c>
      <c r="H242" s="22">
        <v>0</v>
      </c>
      <c r="I242" s="21">
        <v>0</v>
      </c>
      <c r="K242" s="22"/>
      <c r="L242" s="136"/>
    </row>
    <row r="243" spans="1:12" s="21" customFormat="1">
      <c r="A243" s="21" t="s">
        <v>744</v>
      </c>
      <c r="C243" s="22">
        <f>SUMIF(BALANZA!$B$12:$B$301,A243,BALANZA!$C$12:$C$301)</f>
        <v>1000</v>
      </c>
      <c r="D243" s="22">
        <v>7445</v>
      </c>
      <c r="E243" s="22">
        <v>9099.9</v>
      </c>
      <c r="F243" s="22">
        <v>20180.25</v>
      </c>
      <c r="G243" s="22">
        <v>17505.73</v>
      </c>
      <c r="H243" s="22">
        <v>27085</v>
      </c>
      <c r="I243" s="21">
        <v>6010</v>
      </c>
      <c r="K243" s="22"/>
      <c r="L243" s="136"/>
    </row>
    <row r="244" spans="1:12" s="21" customFormat="1">
      <c r="A244" s="21" t="s">
        <v>747</v>
      </c>
      <c r="C244" s="22">
        <f>SUMIF(BALANZA!$B$12:$B$301,A244,BALANZA!$C$12:$C$301)</f>
        <v>4573.25</v>
      </c>
      <c r="D244" s="22">
        <v>9589.5</v>
      </c>
      <c r="E244" s="22">
        <v>21105.87</v>
      </c>
      <c r="F244" s="22">
        <v>18953.13</v>
      </c>
      <c r="G244" s="22">
        <v>26744.32</v>
      </c>
      <c r="H244" s="22">
        <v>357731.53</v>
      </c>
      <c r="I244" s="21">
        <v>61462.59</v>
      </c>
      <c r="K244" s="22"/>
      <c r="L244" s="136"/>
    </row>
    <row r="245" spans="1:12" s="21" customFormat="1">
      <c r="A245" s="21" t="s">
        <v>750</v>
      </c>
      <c r="C245" s="22">
        <f>SUMIF(BALANZA!$B$12:$B$301,A245,BALANZA!$C$12:$C$301)</f>
        <v>0</v>
      </c>
      <c r="D245" s="22">
        <v>0</v>
      </c>
      <c r="E245" s="22">
        <v>0</v>
      </c>
      <c r="F245" s="22">
        <v>0</v>
      </c>
      <c r="G245" s="22">
        <v>0</v>
      </c>
      <c r="H245" s="22">
        <v>0</v>
      </c>
      <c r="I245" s="21">
        <v>0</v>
      </c>
      <c r="K245" s="22"/>
      <c r="L245" s="136"/>
    </row>
    <row r="246" spans="1:12" s="21" customFormat="1">
      <c r="A246" s="23" t="s">
        <v>753</v>
      </c>
      <c r="B246" s="23"/>
      <c r="C246" s="22"/>
      <c r="D246" s="22"/>
      <c r="E246" s="22"/>
      <c r="F246" s="22"/>
      <c r="G246" s="22"/>
      <c r="H246" s="22"/>
      <c r="K246" s="22"/>
      <c r="L246" s="136"/>
    </row>
    <row r="247" spans="1:12" s="21" customFormat="1">
      <c r="A247" s="21" t="s">
        <v>755</v>
      </c>
      <c r="C247" s="22">
        <f>SUMIF(BALANZA!$B$12:$B$301,A247,BALANZA!$C$12:$C$301)</f>
        <v>0</v>
      </c>
      <c r="D247" s="22">
        <v>0</v>
      </c>
      <c r="E247" s="22">
        <v>0</v>
      </c>
      <c r="F247" s="22">
        <v>0</v>
      </c>
      <c r="G247" s="22">
        <v>12331</v>
      </c>
      <c r="H247" s="22">
        <v>1724400</v>
      </c>
      <c r="I247" s="21">
        <v>1500</v>
      </c>
      <c r="K247" s="22"/>
      <c r="L247" s="136"/>
    </row>
    <row r="248" spans="1:12" s="21" customFormat="1">
      <c r="A248" s="21" t="s">
        <v>2332</v>
      </c>
      <c r="C248" s="22">
        <f>SUMIF(BALANZA!$B$12:$B$301,A248,BALANZA!$C$12:$C$301)</f>
        <v>0</v>
      </c>
      <c r="D248" s="22">
        <v>105932.2</v>
      </c>
      <c r="E248" s="22">
        <v>140067.79</v>
      </c>
      <c r="F248" s="22">
        <v>0</v>
      </c>
      <c r="G248" s="22">
        <v>30296.61</v>
      </c>
      <c r="H248" s="22">
        <v>2350</v>
      </c>
      <c r="I248" s="21">
        <v>2000</v>
      </c>
      <c r="K248" s="22"/>
      <c r="L248" s="136"/>
    </row>
    <row r="249" spans="1:12" s="21" customFormat="1">
      <c r="A249" s="21" t="s">
        <v>758</v>
      </c>
      <c r="C249" s="22">
        <f>SUMIF(BALANZA!$B$12:$B$301,A249,BALANZA!$C$12:$C$301)</f>
        <v>177987.98</v>
      </c>
      <c r="D249" s="22">
        <v>692897.94</v>
      </c>
      <c r="E249" s="22">
        <v>755694.55</v>
      </c>
      <c r="F249" s="22">
        <v>746207.89</v>
      </c>
      <c r="G249" s="22">
        <v>820190.61</v>
      </c>
      <c r="H249" s="22">
        <v>1332758.1100000001</v>
      </c>
      <c r="I249" s="21">
        <v>1601738.92</v>
      </c>
      <c r="K249" s="22"/>
      <c r="L249" s="136"/>
    </row>
    <row r="250" spans="1:12" s="21" customFormat="1">
      <c r="A250" s="21" t="s">
        <v>764</v>
      </c>
      <c r="C250" s="22">
        <f>SUMIF(BALANZA!$B$12:$B$301,A250,BALANZA!$C$12:$C$301)</f>
        <v>0</v>
      </c>
      <c r="D250" s="22">
        <v>0</v>
      </c>
      <c r="E250" s="22">
        <v>25915.84</v>
      </c>
      <c r="F250" s="22">
        <v>58070</v>
      </c>
      <c r="G250" s="22">
        <v>6600</v>
      </c>
      <c r="H250" s="22">
        <v>0</v>
      </c>
      <c r="I250" s="21">
        <v>14300</v>
      </c>
      <c r="K250" s="22"/>
      <c r="L250" s="136"/>
    </row>
    <row r="251" spans="1:12" s="21" customFormat="1">
      <c r="A251" s="21" t="s">
        <v>2230</v>
      </c>
      <c r="C251" s="22">
        <f>SUMIF(BALANZA!$B$12:$B$301,A251,BALANZA!$C$12:$C$301)</f>
        <v>0</v>
      </c>
      <c r="D251" s="22">
        <v>0</v>
      </c>
      <c r="E251" s="22">
        <v>0</v>
      </c>
      <c r="F251" s="22">
        <v>0</v>
      </c>
      <c r="G251" s="22">
        <v>0</v>
      </c>
      <c r="H251" s="22">
        <v>18900</v>
      </c>
      <c r="I251" s="21">
        <v>698081</v>
      </c>
      <c r="K251" s="22"/>
      <c r="L251" s="136"/>
    </row>
    <row r="252" spans="1:12" s="21" customFormat="1">
      <c r="A252" s="21" t="s">
        <v>770</v>
      </c>
      <c r="C252" s="22">
        <f>SUMIF(BALANZA!$B$12:$B$301,A252,BALANZA!$C$12:$C$301)</f>
        <v>0</v>
      </c>
      <c r="D252" s="22">
        <v>0</v>
      </c>
      <c r="E252" s="22">
        <v>223728.81</v>
      </c>
      <c r="F252" s="22">
        <v>911694.92</v>
      </c>
      <c r="G252" s="22">
        <v>1745796.62</v>
      </c>
      <c r="H252" s="22">
        <v>807590.52</v>
      </c>
      <c r="I252" s="21">
        <v>729888.92</v>
      </c>
      <c r="K252" s="22"/>
      <c r="L252" s="136"/>
    </row>
    <row r="253" spans="1:12" s="21" customFormat="1">
      <c r="A253" s="21" t="s">
        <v>3928</v>
      </c>
      <c r="C253" s="22">
        <f>SUMIF(BALANZA!$B$12:$B$301,A253,BALANZA!$C$12:$C$301)</f>
        <v>203388</v>
      </c>
      <c r="D253" s="22">
        <v>204000</v>
      </c>
      <c r="E253" s="22">
        <v>521700</v>
      </c>
      <c r="F253" s="22">
        <v>431554.45</v>
      </c>
      <c r="G253" s="22">
        <v>0</v>
      </c>
      <c r="H253" s="22"/>
      <c r="K253" s="22"/>
      <c r="L253" s="136"/>
    </row>
    <row r="254" spans="1:12" s="21" customFormat="1">
      <c r="A254" s="21" t="s">
        <v>2231</v>
      </c>
      <c r="C254" s="22">
        <f>SUMIF(BALANZA!$B$12:$B$301,A254,BALANZA!$C$12:$C$301)</f>
        <v>637263.72</v>
      </c>
      <c r="D254" s="22">
        <v>6988501.3600000003</v>
      </c>
      <c r="E254" s="22">
        <v>5434192.7699999996</v>
      </c>
      <c r="F254" s="22">
        <v>7349859.8600000003</v>
      </c>
      <c r="G254" s="22">
        <v>6903842.8899999997</v>
      </c>
      <c r="H254" s="22">
        <v>9394230.1300000008</v>
      </c>
      <c r="I254" s="21">
        <v>7501803.6600000001</v>
      </c>
      <c r="K254" s="22"/>
      <c r="L254" s="136"/>
    </row>
    <row r="255" spans="1:12" s="21" customFormat="1">
      <c r="A255" s="21" t="s">
        <v>776</v>
      </c>
      <c r="C255" s="22">
        <f>SUMIF(BALANZA!$B$12:$B$301,A255,BALANZA!$C$12:$C$301)</f>
        <v>0</v>
      </c>
      <c r="D255" s="22">
        <v>0</v>
      </c>
      <c r="E255" s="22">
        <v>0</v>
      </c>
      <c r="F255" s="22">
        <v>0</v>
      </c>
      <c r="G255" s="22">
        <v>0</v>
      </c>
      <c r="H255" s="22">
        <v>0</v>
      </c>
      <c r="I255" s="21">
        <v>615047.57999999996</v>
      </c>
      <c r="K255" s="22"/>
      <c r="L255" s="136"/>
    </row>
    <row r="256" spans="1:12" s="21" customFormat="1">
      <c r="C256" s="22"/>
      <c r="D256" s="22"/>
      <c r="E256" s="22"/>
      <c r="F256" s="22"/>
      <c r="G256" s="22"/>
      <c r="H256" s="22"/>
      <c r="I256" s="22"/>
      <c r="K256" s="22">
        <v>32180407.189999998</v>
      </c>
      <c r="L256" s="136">
        <v>430699.99999999255</v>
      </c>
    </row>
    <row r="257" spans="1:12" s="21" customFormat="1">
      <c r="A257" s="30" t="s">
        <v>897</v>
      </c>
      <c r="B257" s="30"/>
      <c r="C257" s="24">
        <f>SUM(C259:C304)</f>
        <v>4645924.7300000004</v>
      </c>
      <c r="D257" s="24">
        <v>27421319.210000001</v>
      </c>
      <c r="E257" s="22">
        <v>26038316.280000005</v>
      </c>
      <c r="F257" s="22">
        <v>31749707.190000005</v>
      </c>
      <c r="G257" s="22">
        <v>20130589.569999997</v>
      </c>
      <c r="H257" s="21">
        <v>15979774.829999996</v>
      </c>
      <c r="I257" s="21">
        <v>26726458.539999999</v>
      </c>
      <c r="K257" s="22"/>
      <c r="L257" s="136"/>
    </row>
    <row r="258" spans="1:12" s="21" customFormat="1">
      <c r="C258" s="22"/>
      <c r="D258" s="22"/>
      <c r="E258" s="24"/>
      <c r="F258" s="22"/>
      <c r="G258" s="22"/>
      <c r="K258" s="22"/>
      <c r="L258" s="136"/>
    </row>
    <row r="259" spans="1:12" s="21" customFormat="1">
      <c r="A259" s="23" t="s">
        <v>782</v>
      </c>
      <c r="B259" s="23"/>
      <c r="C259" s="22"/>
      <c r="D259" s="22"/>
      <c r="E259" s="22"/>
      <c r="F259" s="22"/>
      <c r="G259" s="22"/>
      <c r="H259" s="22"/>
      <c r="K259" s="22">
        <v>-15923.359999999986</v>
      </c>
      <c r="L259" s="136"/>
    </row>
    <row r="260" spans="1:12" s="21" customFormat="1">
      <c r="A260" s="21" t="s">
        <v>2223</v>
      </c>
      <c r="C260" s="887">
        <f>SUMIF(BALANZA!$B$12:$B$301,A260,BALANZA!$C$12:$C$301)</f>
        <v>2051.4</v>
      </c>
      <c r="D260" s="887">
        <v>816139.39</v>
      </c>
      <c r="E260" s="22">
        <v>563644.93000000005</v>
      </c>
      <c r="F260" s="22">
        <v>930598.16</v>
      </c>
      <c r="G260" s="22">
        <v>233879.76</v>
      </c>
      <c r="H260" s="22">
        <v>445405.24</v>
      </c>
      <c r="I260" s="21">
        <v>249803.12</v>
      </c>
      <c r="J260" s="21">
        <v>755123.13</v>
      </c>
      <c r="K260" s="22"/>
      <c r="L260" s="136"/>
    </row>
    <row r="261" spans="1:12" s="21" customFormat="1">
      <c r="C261" s="1635"/>
      <c r="D261" s="887"/>
      <c r="E261" s="22"/>
      <c r="F261" s="22"/>
      <c r="G261" s="22"/>
      <c r="H261" s="22"/>
      <c r="K261" s="22"/>
      <c r="L261" s="136"/>
    </row>
    <row r="262" spans="1:12" s="21" customFormat="1">
      <c r="A262" s="21" t="s">
        <v>2227</v>
      </c>
      <c r="C262" s="887">
        <f>SUMIF(BALANZA!$B$12:$B$301,A262,BALANZA!$C$12:$C$301)</f>
        <v>35010</v>
      </c>
      <c r="D262" s="887">
        <v>521762.58</v>
      </c>
      <c r="E262" s="1483">
        <v>282371.25</v>
      </c>
      <c r="F262" s="22">
        <v>411396.45</v>
      </c>
      <c r="G262" s="22">
        <v>774384.74</v>
      </c>
      <c r="H262" s="21">
        <v>631382.43000000005</v>
      </c>
      <c r="I262" s="21">
        <v>169347.44</v>
      </c>
      <c r="K262" s="22"/>
      <c r="L262" s="136"/>
    </row>
    <row r="263" spans="1:12" s="21" customFormat="1">
      <c r="A263" s="21" t="s">
        <v>2336</v>
      </c>
      <c r="C263" s="887">
        <f>SUMIF(BALANZA!$B$12:$B$301,A263,BALANZA!$C$12:$C$301)</f>
        <v>0</v>
      </c>
      <c r="D263" s="887">
        <v>0</v>
      </c>
      <c r="E263" s="1483">
        <v>0</v>
      </c>
      <c r="F263" s="22">
        <v>0</v>
      </c>
      <c r="G263" s="22">
        <v>1300</v>
      </c>
      <c r="H263" s="21">
        <v>2565</v>
      </c>
      <c r="I263" s="21">
        <v>1882.2</v>
      </c>
      <c r="J263" s="21">
        <v>7200</v>
      </c>
      <c r="K263" s="22"/>
      <c r="L263" s="136"/>
    </row>
    <row r="264" spans="1:12" s="21" customFormat="1">
      <c r="A264" s="21" t="s">
        <v>787</v>
      </c>
      <c r="C264" s="887">
        <f>SUMIF(BALANZA!$B$12:$B$301,A264,BALANZA!$C$12:$C$301)</f>
        <v>0</v>
      </c>
      <c r="D264" s="887">
        <v>636000</v>
      </c>
      <c r="E264" s="1483">
        <v>0</v>
      </c>
      <c r="F264" s="22">
        <v>626856.94999999995</v>
      </c>
      <c r="G264" s="22">
        <v>0</v>
      </c>
      <c r="H264" s="21">
        <v>657584.78</v>
      </c>
      <c r="K264" s="22"/>
      <c r="L264" s="136"/>
    </row>
    <row r="265" spans="1:12" s="21" customFormat="1">
      <c r="A265" s="21" t="s">
        <v>4003</v>
      </c>
      <c r="C265" s="887">
        <f>SUMIF(BALANZA!$B$12:$B$301,A265,BALANZA!$C$12:$C$301)</f>
        <v>0</v>
      </c>
      <c r="D265" s="887">
        <v>0</v>
      </c>
      <c r="E265" s="1483">
        <v>0</v>
      </c>
      <c r="F265" s="22">
        <v>81000</v>
      </c>
      <c r="G265" s="22">
        <v>0</v>
      </c>
      <c r="H265" s="21">
        <v>0</v>
      </c>
      <c r="K265" s="22"/>
      <c r="L265" s="136"/>
    </row>
    <row r="266" spans="1:12" s="21" customFormat="1">
      <c r="A266" s="21" t="s">
        <v>790</v>
      </c>
      <c r="C266" s="887">
        <f>SUMIF(BALANZA!$B$12:$B$301,A266,BALANZA!$C$12:$C$301)</f>
        <v>39850</v>
      </c>
      <c r="D266" s="887">
        <v>232991.34</v>
      </c>
      <c r="E266" s="1483">
        <v>126382.55</v>
      </c>
      <c r="F266" s="22">
        <v>744907.05</v>
      </c>
      <c r="G266" s="22">
        <v>132582</v>
      </c>
      <c r="H266" s="21">
        <v>118371</v>
      </c>
      <c r="I266" s="21">
        <v>27725</v>
      </c>
      <c r="J266" s="21">
        <v>1267100.2</v>
      </c>
      <c r="K266" s="22"/>
      <c r="L266" s="136"/>
    </row>
    <row r="267" spans="1:12" s="21" customFormat="1">
      <c r="A267" s="21" t="s">
        <v>4208</v>
      </c>
      <c r="C267" s="887">
        <f>SUMIF(BALANZA!$B$12:$B$301,A267,BALANZA!$C$12:$C$301)</f>
        <v>0</v>
      </c>
      <c r="D267" s="887">
        <v>8135.59</v>
      </c>
      <c r="E267" s="1483">
        <v>0</v>
      </c>
      <c r="F267" s="22"/>
      <c r="G267" s="22"/>
      <c r="K267" s="22"/>
      <c r="L267" s="136"/>
    </row>
    <row r="268" spans="1:12" s="21" customFormat="1">
      <c r="A268" s="21" t="s">
        <v>2242</v>
      </c>
      <c r="C268" s="887">
        <f>SUMIF(BALANZA!$B$12:$B$301,A268,BALANZA!$C$12:$C$301)</f>
        <v>0</v>
      </c>
      <c r="D268" s="887">
        <v>0</v>
      </c>
      <c r="E268" s="1483">
        <v>204450</v>
      </c>
      <c r="F268" s="22">
        <v>0</v>
      </c>
      <c r="G268" s="22">
        <v>198120</v>
      </c>
      <c r="H268" s="21">
        <v>184500</v>
      </c>
      <c r="I268" s="21">
        <v>409201.32</v>
      </c>
      <c r="K268" s="22"/>
      <c r="L268" s="136"/>
    </row>
    <row r="269" spans="1:12" s="21" customFormat="1">
      <c r="A269" s="21" t="s">
        <v>3956</v>
      </c>
      <c r="C269" s="887">
        <f>SUMIF(BALANZA!$B$12:$B$301,A269,BALANZA!$C$12:$C$301)</f>
        <v>0</v>
      </c>
      <c r="D269" s="887">
        <v>141795</v>
      </c>
      <c r="E269" s="1483">
        <v>149551</v>
      </c>
      <c r="F269" s="22">
        <v>169002.59</v>
      </c>
      <c r="G269" s="22"/>
      <c r="K269" s="22"/>
      <c r="L269" s="136"/>
    </row>
    <row r="270" spans="1:12" s="21" customFormat="1">
      <c r="A270" s="23" t="s">
        <v>793</v>
      </c>
      <c r="B270" s="23"/>
      <c r="C270" s="887"/>
      <c r="D270" s="887"/>
      <c r="E270" s="1483"/>
      <c r="K270" s="22"/>
      <c r="L270" s="136"/>
    </row>
    <row r="271" spans="1:12" s="21" customFormat="1">
      <c r="A271" s="21" t="s">
        <v>795</v>
      </c>
      <c r="C271" s="887">
        <f>SUMIF(BALANZA!$B$12:$B$301,A271,BALANZA!$C$12:$C$301)</f>
        <v>999500</v>
      </c>
      <c r="D271" s="887">
        <v>5867300</v>
      </c>
      <c r="E271" s="1483">
        <v>5605300</v>
      </c>
      <c r="F271" s="22">
        <v>5615150</v>
      </c>
      <c r="G271" s="22">
        <v>5338750</v>
      </c>
      <c r="H271" s="21">
        <v>4413540</v>
      </c>
      <c r="I271" s="21">
        <v>16775894</v>
      </c>
      <c r="J271" s="21">
        <v>11297411.960000001</v>
      </c>
      <c r="K271" s="22"/>
      <c r="L271" s="136"/>
    </row>
    <row r="272" spans="1:12" s="21" customFormat="1">
      <c r="A272" s="21" t="s">
        <v>2244</v>
      </c>
      <c r="C272" s="887">
        <f>SUMIF(BALANZA!$B$12:$B$301,A272,BALANZA!$C$12:$C$301)</f>
        <v>1074000</v>
      </c>
      <c r="D272" s="887">
        <v>3504000</v>
      </c>
      <c r="E272" s="1483">
        <v>2730140</v>
      </c>
      <c r="F272" s="21">
        <v>3499250</v>
      </c>
      <c r="G272" s="21">
        <v>2226500</v>
      </c>
      <c r="H272" s="21">
        <v>1743547.9</v>
      </c>
      <c r="I272" s="21">
        <v>2411261.4</v>
      </c>
      <c r="K272" s="22"/>
      <c r="L272" s="136"/>
    </row>
    <row r="273" spans="1:12" s="21" customFormat="1">
      <c r="A273" s="21" t="s">
        <v>801</v>
      </c>
      <c r="C273" s="887">
        <f>SUMIF(BALANZA!$B$12:$B$301,A273,BALANZA!$C$12:$C$301)</f>
        <v>0</v>
      </c>
      <c r="D273" s="887">
        <v>0</v>
      </c>
      <c r="E273" s="1483">
        <v>0</v>
      </c>
      <c r="F273" s="22">
        <v>1610</v>
      </c>
      <c r="G273" s="22">
        <v>530</v>
      </c>
      <c r="H273" s="21">
        <v>23062.880000000001</v>
      </c>
      <c r="I273" s="21">
        <v>85003.99</v>
      </c>
      <c r="J273" s="21">
        <v>51075</v>
      </c>
      <c r="K273" s="22"/>
      <c r="L273" s="136"/>
    </row>
    <row r="274" spans="1:12" s="21" customFormat="1">
      <c r="A274" s="21" t="s">
        <v>2245</v>
      </c>
      <c r="C274" s="887">
        <f>SUMIF(BALANZA!$B$12:$B$301,A274,BALANZA!$C$12:$C$301)</f>
        <v>0</v>
      </c>
      <c r="D274" s="887">
        <v>0</v>
      </c>
      <c r="E274" s="1483">
        <v>126124</v>
      </c>
      <c r="F274" s="22">
        <v>315568</v>
      </c>
      <c r="G274" s="22">
        <v>6763737.2699999996</v>
      </c>
      <c r="H274" s="21">
        <v>5843836.5099999998</v>
      </c>
      <c r="I274" s="21">
        <v>4727479.6500000004</v>
      </c>
      <c r="J274" s="21">
        <v>6810951.6900000004</v>
      </c>
      <c r="K274" s="22"/>
      <c r="L274" s="136"/>
    </row>
    <row r="275" spans="1:12" s="21" customFormat="1">
      <c r="A275" s="21" t="s">
        <v>3861</v>
      </c>
      <c r="C275" s="887">
        <f>SUMIF(BALANZA!$B$12:$B$301,A275,BALANZA!$C$12:$C$301)</f>
        <v>1109500</v>
      </c>
      <c r="D275" s="887">
        <v>4348474</v>
      </c>
      <c r="E275" s="1483">
        <v>4185697.96</v>
      </c>
      <c r="F275" s="22">
        <v>5679825.3499999996</v>
      </c>
      <c r="G275" s="22">
        <v>1016021.1</v>
      </c>
      <c r="H275" s="21">
        <v>0</v>
      </c>
      <c r="K275" s="22"/>
      <c r="L275" s="136"/>
    </row>
    <row r="276" spans="1:12" s="21" customFormat="1">
      <c r="A276" s="21" t="s">
        <v>3863</v>
      </c>
      <c r="C276" s="887">
        <f>SUMIF(BALANZA!$B$12:$B$301,A276,BALANZA!$C$12:$C$301)</f>
        <v>0</v>
      </c>
      <c r="D276" s="887">
        <v>102860</v>
      </c>
      <c r="E276" s="1483">
        <v>0</v>
      </c>
      <c r="F276" s="22">
        <v>1812713.22</v>
      </c>
      <c r="G276" s="22">
        <v>6600</v>
      </c>
      <c r="H276" s="21">
        <v>0</v>
      </c>
      <c r="K276" s="22"/>
      <c r="L276" s="136"/>
    </row>
    <row r="277" spans="1:12" s="21" customFormat="1">
      <c r="A277" s="21" t="s">
        <v>807</v>
      </c>
      <c r="C277" s="887">
        <f>SUMIF(BALANZA!$B$12:$B$301,A277,BALANZA!$C$12:$C$301)</f>
        <v>2850</v>
      </c>
      <c r="D277" s="887">
        <v>16435</v>
      </c>
      <c r="E277" s="1483">
        <v>11690</v>
      </c>
      <c r="F277" s="22">
        <v>15292</v>
      </c>
      <c r="G277" s="22">
        <v>15019</v>
      </c>
      <c r="H277" s="21">
        <v>25311.119999999999</v>
      </c>
      <c r="I277" s="21">
        <v>12150</v>
      </c>
      <c r="J277" s="21">
        <v>9500</v>
      </c>
      <c r="K277" s="22"/>
      <c r="L277" s="136"/>
    </row>
    <row r="278" spans="1:12" s="21" customFormat="1">
      <c r="A278" s="21" t="s">
        <v>2337</v>
      </c>
      <c r="C278" s="887">
        <f>SUMIF(BALANZA!$B$12:$B$301,A278,BALANZA!$C$12:$C$301)</f>
        <v>0</v>
      </c>
      <c r="D278" s="887">
        <v>0</v>
      </c>
      <c r="E278" s="1483">
        <v>0</v>
      </c>
      <c r="F278" s="22">
        <v>540059.31999999995</v>
      </c>
      <c r="G278" s="22">
        <v>0</v>
      </c>
      <c r="H278" s="21">
        <v>86140</v>
      </c>
      <c r="I278" s="21">
        <v>101694.92</v>
      </c>
      <c r="J278" s="21">
        <v>0</v>
      </c>
      <c r="K278" s="22"/>
      <c r="L278" s="136"/>
    </row>
    <row r="279" spans="1:12" s="21" customFormat="1">
      <c r="A279" s="23" t="s">
        <v>815</v>
      </c>
      <c r="B279" s="23"/>
      <c r="C279" s="887"/>
      <c r="D279" s="887"/>
      <c r="E279" s="1483"/>
      <c r="K279" s="22"/>
      <c r="L279" s="136"/>
    </row>
    <row r="280" spans="1:12" s="21" customFormat="1">
      <c r="A280" s="21" t="s">
        <v>2338</v>
      </c>
      <c r="B280" s="23"/>
      <c r="C280" s="887">
        <f>SUMIF(BALANZA!$B$12:$B$301,A280,BALANZA!$C$12:$C$301)</f>
        <v>0</v>
      </c>
      <c r="D280" s="887">
        <v>115813.57</v>
      </c>
      <c r="E280" s="1483">
        <v>123855.43</v>
      </c>
      <c r="F280" s="21">
        <v>139210.54999999999</v>
      </c>
      <c r="K280" s="22"/>
      <c r="L280" s="136"/>
    </row>
    <row r="281" spans="1:12" s="21" customFormat="1">
      <c r="A281" s="21" t="s">
        <v>2228</v>
      </c>
      <c r="C281" s="887">
        <f>SUMIF(BALANZA!$B$12:$B$301,A281,BALANZA!$C$12:$C$301)</f>
        <v>44847.95</v>
      </c>
      <c r="D281" s="887">
        <v>50905.96</v>
      </c>
      <c r="E281" s="1483">
        <v>132266.97</v>
      </c>
      <c r="F281" s="22">
        <v>200704.1</v>
      </c>
      <c r="G281" s="22">
        <v>85950.21</v>
      </c>
      <c r="H281" s="21">
        <v>78251.199999999997</v>
      </c>
      <c r="I281" s="21">
        <v>55964.639999999999</v>
      </c>
      <c r="J281" s="21">
        <v>20070.93</v>
      </c>
      <c r="K281" s="22"/>
      <c r="L281" s="136"/>
    </row>
    <row r="282" spans="1:12" s="21" customFormat="1">
      <c r="A282" s="21" t="s">
        <v>2248</v>
      </c>
      <c r="C282" s="887">
        <f>SUMIF(BALANZA!$B$12:$B$301,A282,BALANZA!$C$12:$C$301)</f>
        <v>3300</v>
      </c>
      <c r="D282" s="887">
        <v>177874.1</v>
      </c>
      <c r="E282" s="1483">
        <v>118304.28</v>
      </c>
      <c r="F282" s="22">
        <v>243936.25</v>
      </c>
      <c r="G282" s="22">
        <v>1023621.59</v>
      </c>
      <c r="H282" s="21">
        <v>668686.27</v>
      </c>
      <c r="I282" s="21">
        <v>341874.43</v>
      </c>
      <c r="J282" s="21">
        <v>104015.5</v>
      </c>
      <c r="K282" s="22"/>
      <c r="L282" s="136"/>
    </row>
    <row r="283" spans="1:12" s="21" customFormat="1">
      <c r="A283" s="21" t="s">
        <v>2339</v>
      </c>
      <c r="C283" s="887">
        <f>SUMIF(BALANZA!$B$12:$B$301,A283,BALANZA!$C$12:$C$301)</f>
        <v>0</v>
      </c>
      <c r="D283" s="887">
        <v>10407.950000000001</v>
      </c>
      <c r="E283" s="1483">
        <v>17311.330000000002</v>
      </c>
      <c r="F283" s="22">
        <v>25611.4</v>
      </c>
      <c r="G283" s="22">
        <v>100121.82</v>
      </c>
      <c r="H283" s="21">
        <v>119920.97</v>
      </c>
      <c r="I283" s="21">
        <v>25696</v>
      </c>
      <c r="J283" s="21">
        <v>9374.7000000000007</v>
      </c>
      <c r="K283" s="22"/>
      <c r="L283" s="136"/>
    </row>
    <row r="284" spans="1:12" s="21" customFormat="1">
      <c r="A284" s="21" t="s">
        <v>826</v>
      </c>
      <c r="C284" s="887">
        <f>SUMIF(BALANZA!$B$12:$B$301,A284,BALANZA!$C$12:$C$301)</f>
        <v>73066.22</v>
      </c>
      <c r="D284" s="887">
        <v>690042.9</v>
      </c>
      <c r="E284" s="1483">
        <v>794673.14</v>
      </c>
      <c r="F284" s="22">
        <v>590058.01</v>
      </c>
      <c r="G284" s="22">
        <v>189487.24</v>
      </c>
      <c r="H284" s="21">
        <v>81417.61</v>
      </c>
      <c r="I284" s="21">
        <v>462881.97</v>
      </c>
      <c r="J284" s="21">
        <v>165619</v>
      </c>
      <c r="K284" s="22"/>
      <c r="L284" s="136"/>
    </row>
    <row r="285" spans="1:12" s="21" customFormat="1">
      <c r="A285" s="21" t="s">
        <v>829</v>
      </c>
      <c r="C285" s="887">
        <f>SUMIF(BALANZA!$B$12:$B$301,A285,BALANZA!$C$12:$C$301)</f>
        <v>0</v>
      </c>
      <c r="D285" s="887">
        <v>4600</v>
      </c>
      <c r="E285" s="1483">
        <v>576775</v>
      </c>
      <c r="F285" s="22">
        <v>411054</v>
      </c>
      <c r="G285" s="22">
        <v>8236.7800000000007</v>
      </c>
      <c r="H285" s="21">
        <v>2692.37</v>
      </c>
      <c r="I285" s="21">
        <v>5865</v>
      </c>
      <c r="J285" s="21">
        <v>26305</v>
      </c>
      <c r="K285" s="22"/>
      <c r="L285" s="136"/>
    </row>
    <row r="286" spans="1:12" s="21" customFormat="1">
      <c r="A286" s="21" t="s">
        <v>832</v>
      </c>
      <c r="C286" s="887">
        <f>SUMIF(BALANZA!$B$12:$B$301,A286,BALANZA!$C$12:$C$301)</f>
        <v>8565</v>
      </c>
      <c r="D286" s="887">
        <v>140746.18</v>
      </c>
      <c r="E286" s="1483">
        <v>45794.83</v>
      </c>
      <c r="F286" s="22">
        <v>39658.51</v>
      </c>
      <c r="G286" s="22">
        <v>247888.99</v>
      </c>
      <c r="H286" s="21">
        <v>853559.55</v>
      </c>
      <c r="I286" s="21">
        <v>862733.46</v>
      </c>
      <c r="J286" s="21">
        <v>486934.21</v>
      </c>
      <c r="K286" s="22"/>
      <c r="L286" s="136"/>
    </row>
    <row r="287" spans="1:12" s="21" customFormat="1">
      <c r="A287" s="21" t="s">
        <v>3980</v>
      </c>
      <c r="C287" s="887">
        <f>SUMIF(BALANZA!$B$12:$B$301,A287,BALANZA!$C$12:$C$301)</f>
        <v>0</v>
      </c>
      <c r="D287" s="887">
        <v>120574.6</v>
      </c>
      <c r="E287" s="1483">
        <v>0</v>
      </c>
      <c r="F287" s="22">
        <v>16500</v>
      </c>
      <c r="G287" s="22">
        <v>0</v>
      </c>
      <c r="K287" s="22"/>
      <c r="L287" s="136"/>
    </row>
    <row r="288" spans="1:12" s="21" customFormat="1">
      <c r="A288" s="21" t="s">
        <v>3901</v>
      </c>
      <c r="C288" s="887">
        <f>SUMIF(BALANZA!$B$12:$B$301,A288,BALANZA!$C$12:$C$301)</f>
        <v>0</v>
      </c>
      <c r="D288" s="887">
        <v>4727717.84</v>
      </c>
      <c r="E288" s="1483">
        <v>5692500</v>
      </c>
      <c r="F288" s="22">
        <v>6068538.6200000001</v>
      </c>
      <c r="G288" s="22">
        <v>266775.63</v>
      </c>
      <c r="H288" s="21">
        <v>0</v>
      </c>
      <c r="K288" s="22"/>
      <c r="L288" s="136"/>
    </row>
    <row r="289" spans="1:12" s="21" customFormat="1">
      <c r="A289" s="21" t="s">
        <v>3902</v>
      </c>
      <c r="C289" s="887">
        <f>SUMIF(BALANZA!$B$12:$B$301,A289,BALANZA!$C$12:$C$301)</f>
        <v>0</v>
      </c>
      <c r="D289" s="887">
        <v>0</v>
      </c>
      <c r="E289" s="1483">
        <v>0</v>
      </c>
      <c r="F289" s="22">
        <v>14268.2</v>
      </c>
      <c r="G289" s="22">
        <v>15102.89</v>
      </c>
      <c r="H289" s="21">
        <v>0</v>
      </c>
      <c r="K289" s="22"/>
      <c r="L289" s="136"/>
    </row>
    <row r="290" spans="1:12" s="21" customFormat="1">
      <c r="A290" s="21" t="s">
        <v>3903</v>
      </c>
      <c r="C290" s="887">
        <f>SUMIF(BALANZA!$B$12:$B$301,A290,BALANZA!$C$12:$C$301)</f>
        <v>4625</v>
      </c>
      <c r="D290" s="887">
        <v>9432</v>
      </c>
      <c r="E290" s="1483">
        <v>30297.37</v>
      </c>
      <c r="F290" s="22">
        <v>32661.42</v>
      </c>
      <c r="G290" s="22">
        <v>5228</v>
      </c>
      <c r="H290" s="21">
        <v>0</v>
      </c>
      <c r="K290" s="22"/>
      <c r="L290" s="136"/>
    </row>
    <row r="291" spans="1:12" s="21" customFormat="1">
      <c r="A291" s="21" t="s">
        <v>3853</v>
      </c>
      <c r="C291" s="887">
        <f>SUMIF(BALANZA!$B$12:$B$301,A291,BALANZA!$C$12:$C$301)</f>
        <v>0</v>
      </c>
      <c r="D291" s="887">
        <v>3529875.55</v>
      </c>
      <c r="E291" s="1483">
        <v>2991364.47</v>
      </c>
      <c r="F291" s="22">
        <v>-538813.13000000082</v>
      </c>
      <c r="G291" s="22">
        <v>1388842.55</v>
      </c>
      <c r="H291" s="21">
        <v>0</v>
      </c>
      <c r="K291" s="22"/>
      <c r="L291" s="136"/>
    </row>
    <row r="292" spans="1:12" s="21" customFormat="1">
      <c r="A292" s="21" t="s">
        <v>3885</v>
      </c>
      <c r="C292" s="887">
        <f>SUMIF(BALANZA!$B$12:$B$301,A292,BALANZA!$C$12:$C$301)</f>
        <v>0</v>
      </c>
      <c r="D292" s="887">
        <v>0</v>
      </c>
      <c r="E292" s="1483">
        <v>637636</v>
      </c>
      <c r="F292" s="22">
        <v>139450</v>
      </c>
      <c r="G292" s="22">
        <v>85160</v>
      </c>
      <c r="H292" s="21">
        <v>0</v>
      </c>
      <c r="K292" s="22"/>
      <c r="L292" s="136"/>
    </row>
    <row r="293" spans="1:12" s="21" customFormat="1">
      <c r="A293" s="21" t="s">
        <v>3865</v>
      </c>
      <c r="C293" s="887">
        <f>SUMIF(BALANZA!$B$12:$B$301,A293,BALANZA!$C$12:$C$301)</f>
        <v>0</v>
      </c>
      <c r="D293" s="887">
        <v>0</v>
      </c>
      <c r="E293" s="1483">
        <v>0</v>
      </c>
      <c r="F293" s="22">
        <v>0</v>
      </c>
      <c r="G293" s="22">
        <v>6750</v>
      </c>
      <c r="K293" s="22"/>
      <c r="L293" s="136"/>
    </row>
    <row r="294" spans="1:12" s="21" customFormat="1">
      <c r="C294" s="1635">
        <f>SUMIF(BALANZA!$B$12:$B$301,A294,BALANZA!$C$12:$C$301)</f>
        <v>0</v>
      </c>
      <c r="D294" s="887">
        <v>0</v>
      </c>
      <c r="E294" s="1483">
        <v>0</v>
      </c>
      <c r="F294" s="22">
        <v>0</v>
      </c>
      <c r="G294" s="22"/>
      <c r="K294" s="22"/>
      <c r="L294" s="136"/>
    </row>
    <row r="295" spans="1:12" s="21" customFormat="1">
      <c r="A295" s="21" t="s">
        <v>3943</v>
      </c>
      <c r="C295" s="1635">
        <f>SUMIF(BALANZA!$B$12:$B$301,A295,BALANZA!$C$12:$C$301)</f>
        <v>4998.54</v>
      </c>
      <c r="D295" s="887">
        <v>14950</v>
      </c>
      <c r="E295" s="1483">
        <v>377316.52</v>
      </c>
      <c r="F295" s="22">
        <v>1961163.28</v>
      </c>
      <c r="G295" s="22"/>
      <c r="K295" s="22"/>
      <c r="L295" s="136"/>
    </row>
    <row r="296" spans="1:12" s="21" customFormat="1">
      <c r="A296" s="21" t="s">
        <v>3927</v>
      </c>
      <c r="C296" s="1635">
        <f>SUMIF(BALANZA!$B$12:$B$301,A296,BALANZA!$C$12:$C$301)</f>
        <v>0</v>
      </c>
      <c r="D296" s="887">
        <v>0</v>
      </c>
      <c r="E296" s="1483">
        <v>0</v>
      </c>
      <c r="F296" s="22">
        <v>214850</v>
      </c>
      <c r="G296" s="22"/>
      <c r="K296" s="22"/>
      <c r="L296" s="136"/>
    </row>
    <row r="297" spans="1:12" s="21" customFormat="1">
      <c r="A297" s="21" t="s">
        <v>3945</v>
      </c>
      <c r="C297" s="1635">
        <f>SUMIF(BALANZA!$B$12:$B$301,A297,BALANZA!$C$12:$C$301)</f>
        <v>0</v>
      </c>
      <c r="D297" s="887">
        <v>0</v>
      </c>
      <c r="E297" s="1483">
        <v>0</v>
      </c>
      <c r="F297" s="22">
        <v>0</v>
      </c>
      <c r="G297" s="22"/>
      <c r="K297" s="22"/>
      <c r="L297" s="136"/>
    </row>
    <row r="298" spans="1:12" s="21" customFormat="1">
      <c r="A298" s="21" t="s">
        <v>3926</v>
      </c>
      <c r="C298" s="1635">
        <f>SUMIF(BALANZA!$B$12:$B$301,A298,BALANZA!$C$12:$C$301)</f>
        <v>1191000</v>
      </c>
      <c r="D298" s="887">
        <v>1427559.49</v>
      </c>
      <c r="E298" s="1483">
        <v>20338.98</v>
      </c>
      <c r="F298" s="22">
        <v>300901.5</v>
      </c>
      <c r="G298" s="22"/>
      <c r="K298" s="22"/>
      <c r="L298" s="136"/>
    </row>
    <row r="299" spans="1:12" s="21" customFormat="1">
      <c r="A299" s="21" t="s">
        <v>3929</v>
      </c>
      <c r="C299" s="1635">
        <f>SUMIF(BALANZA!$B$12:$B$301,A299,BALANZA!$C$12:$C$301)</f>
        <v>620.62</v>
      </c>
      <c r="D299" s="887">
        <v>74376.17</v>
      </c>
      <c r="E299" s="1483">
        <v>186061.85</v>
      </c>
      <c r="F299" s="22">
        <v>269996.28000000003</v>
      </c>
      <c r="G299" s="22"/>
      <c r="K299" s="22"/>
      <c r="L299" s="136"/>
    </row>
    <row r="300" spans="1:12" s="21" customFormat="1">
      <c r="A300" s="21" t="s">
        <v>3957</v>
      </c>
      <c r="C300" s="1635">
        <f>SUMIF(BALANZA!$B$12:$B$301,A300,BALANZA!$C$12:$C$301)</f>
        <v>0</v>
      </c>
      <c r="D300" s="887">
        <v>0</v>
      </c>
      <c r="E300" s="1483">
        <v>139400</v>
      </c>
      <c r="F300" s="22">
        <v>440250</v>
      </c>
      <c r="G300" s="22">
        <v>0</v>
      </c>
      <c r="K300" s="22"/>
      <c r="L300" s="136"/>
    </row>
    <row r="301" spans="1:12" s="21" customFormat="1">
      <c r="A301" s="21" t="s">
        <v>3930</v>
      </c>
      <c r="C301" s="1635">
        <f>SUMIF(BALANZA!$B$12:$B$301,A301,BALANZA!$C$12:$C$301)</f>
        <v>0</v>
      </c>
      <c r="D301" s="887">
        <v>43650</v>
      </c>
      <c r="E301" s="1483">
        <v>8500</v>
      </c>
      <c r="F301" s="22">
        <v>736479.11</v>
      </c>
      <c r="G301" s="22"/>
      <c r="K301" s="22"/>
      <c r="L301" s="136"/>
    </row>
    <row r="302" spans="1:12" s="21" customFormat="1">
      <c r="A302" s="23" t="s">
        <v>838</v>
      </c>
      <c r="B302" s="23"/>
      <c r="C302" s="887"/>
      <c r="D302" s="887"/>
      <c r="E302" s="1483"/>
      <c r="K302" s="22"/>
      <c r="L302" s="136"/>
    </row>
    <row r="303" spans="1:12" s="21" customFormat="1">
      <c r="A303" s="21" t="s">
        <v>840</v>
      </c>
      <c r="C303" s="887">
        <f>SUMIF(BALANZA!$B$12:$B$301,A303,BALANZA!$C$12:$C$301)</f>
        <v>0</v>
      </c>
      <c r="D303" s="887">
        <v>0</v>
      </c>
      <c r="E303" s="1483">
        <v>0</v>
      </c>
      <c r="F303" s="22">
        <v>0</v>
      </c>
      <c r="G303" s="22">
        <v>0</v>
      </c>
      <c r="H303" s="21">
        <v>0</v>
      </c>
      <c r="I303" s="21">
        <v>0</v>
      </c>
      <c r="J303" s="21">
        <v>7119.6</v>
      </c>
      <c r="K303" s="22"/>
      <c r="L303" s="136"/>
    </row>
    <row r="304" spans="1:12" s="21" customFormat="1">
      <c r="A304" s="21" t="s">
        <v>3944</v>
      </c>
      <c r="C304" s="887">
        <f>SUMIF(BALANZA!$B$12:$B$301,A304,BALANZA!$C$12:$C$301)</f>
        <v>52140</v>
      </c>
      <c r="D304" s="887">
        <v>86900</v>
      </c>
      <c r="E304" s="1483">
        <v>160568.42000000001</v>
      </c>
      <c r="F304" s="22">
        <v>0</v>
      </c>
      <c r="G304" s="22">
        <v>0</v>
      </c>
      <c r="H304" s="21">
        <v>0</v>
      </c>
      <c r="I304" s="21">
        <v>0</v>
      </c>
      <c r="J304" s="21">
        <v>-6824591.9400000004</v>
      </c>
      <c r="K304" s="22"/>
      <c r="L304" s="136"/>
    </row>
    <row r="305" spans="1:12" s="21" customFormat="1">
      <c r="A305" s="21" t="s">
        <v>848</v>
      </c>
      <c r="C305" s="887">
        <f>SUMIF(BALANZA!$B$12:$B$301,A305,BALANZA!$C$12:$C$301)</f>
        <v>0</v>
      </c>
      <c r="D305" s="22">
        <v>46443109.390000001</v>
      </c>
      <c r="E305" s="1483">
        <v>57143407.93</v>
      </c>
      <c r="F305" s="22">
        <v>47465209.640000001</v>
      </c>
      <c r="G305" s="22">
        <v>50785637.539999999</v>
      </c>
      <c r="H305" s="21">
        <v>47033171.399999999</v>
      </c>
      <c r="I305" s="21">
        <v>49063455.039999999</v>
      </c>
      <c r="K305" s="22"/>
      <c r="L305" s="136"/>
    </row>
    <row r="306" spans="1:12" s="21" customFormat="1">
      <c r="A306" s="23" t="s">
        <v>850</v>
      </c>
      <c r="B306" s="23"/>
      <c r="C306" s="24">
        <f>SUM(C307:C309)</f>
        <v>0</v>
      </c>
      <c r="D306" s="24">
        <v>1555455.69</v>
      </c>
      <c r="E306" s="22">
        <v>1193947.54</v>
      </c>
      <c r="F306" s="22">
        <v>4207877.92</v>
      </c>
      <c r="G306" s="22">
        <v>6617766.1200000001</v>
      </c>
      <c r="H306" s="21">
        <v>58769900.710000001</v>
      </c>
      <c r="I306" s="21">
        <v>12930795.289999999</v>
      </c>
      <c r="K306" s="22"/>
      <c r="L306" s="136"/>
    </row>
    <row r="307" spans="1:12" s="21" customFormat="1">
      <c r="A307" s="21" t="s">
        <v>861</v>
      </c>
      <c r="C307" s="22">
        <f>SUMIF(BALANZA!$B$12:$B$301,A307,BALANZA!$C$12:$C$301)</f>
        <v>0</v>
      </c>
      <c r="D307" s="22">
        <v>1525455.69</v>
      </c>
      <c r="E307" s="24">
        <v>1193947.54</v>
      </c>
      <c r="F307" s="22">
        <v>3816377.92</v>
      </c>
      <c r="G307" s="22">
        <v>6003857.7199999997</v>
      </c>
      <c r="H307" s="21">
        <v>57171022.710000001</v>
      </c>
      <c r="I307" s="21">
        <v>4954934.0599999996</v>
      </c>
      <c r="K307" s="22"/>
      <c r="L307" s="136"/>
    </row>
    <row r="308" spans="1:12" s="21" customFormat="1">
      <c r="A308" s="21" t="s">
        <v>2220</v>
      </c>
      <c r="C308" s="22">
        <f>SUMIF(BALANZA!$B$12:$B$301,A308,BALANZA!$C$12:$C$301)</f>
        <v>0</v>
      </c>
      <c r="D308" s="22">
        <v>30000</v>
      </c>
      <c r="E308" s="22">
        <v>0</v>
      </c>
      <c r="F308" s="22">
        <v>391500</v>
      </c>
      <c r="G308" s="22">
        <v>613908.4</v>
      </c>
      <c r="H308" s="21">
        <v>1598878</v>
      </c>
      <c r="I308" s="21">
        <v>6619688.2300000004</v>
      </c>
      <c r="K308" s="22"/>
      <c r="L308" s="136"/>
    </row>
    <row r="309" spans="1:12" s="21" customFormat="1">
      <c r="A309" s="21" t="s">
        <v>870</v>
      </c>
      <c r="C309" s="22">
        <f>SUMIF(BALANZA!$B$12:$B$301,A309,BALANZA!$C$12:$C$301)</f>
        <v>0</v>
      </c>
      <c r="D309" s="22">
        <v>0</v>
      </c>
      <c r="E309" s="22">
        <v>0</v>
      </c>
      <c r="F309" s="22">
        <v>0</v>
      </c>
      <c r="G309" s="22">
        <v>0</v>
      </c>
      <c r="H309" s="22">
        <v>0</v>
      </c>
      <c r="I309" s="21">
        <v>1356173</v>
      </c>
      <c r="L309" s="136"/>
    </row>
    <row r="310" spans="1:12" s="21" customFormat="1">
      <c r="E310" s="22"/>
      <c r="F310" s="22"/>
      <c r="G310" s="22"/>
      <c r="H310" s="22"/>
      <c r="L310" s="136"/>
    </row>
    <row r="311" spans="1:12" s="21" customFormat="1">
      <c r="A311" s="23"/>
      <c r="B311" s="23"/>
      <c r="F311" s="22"/>
      <c r="G311" s="22"/>
      <c r="H311" s="888"/>
      <c r="L311" s="136"/>
    </row>
    <row r="312" spans="1:12" s="21" customFormat="1">
      <c r="A312" s="888"/>
      <c r="B312" s="888"/>
      <c r="C312" s="888"/>
      <c r="D312" s="888"/>
      <c r="F312" s="888"/>
      <c r="G312" s="888"/>
      <c r="H312" s="54"/>
      <c r="L312" s="136"/>
    </row>
    <row r="313" spans="1:12" s="21" customFormat="1">
      <c r="A313" s="54"/>
      <c r="B313" s="324"/>
      <c r="C313" s="54"/>
      <c r="D313" s="952"/>
      <c r="E313" s="888"/>
      <c r="F313" s="54"/>
      <c r="G313" s="952"/>
      <c r="H313" s="22"/>
      <c r="L313" s="136"/>
    </row>
    <row r="314" spans="1:12" s="21" customFormat="1">
      <c r="A314" s="23" t="s">
        <v>914</v>
      </c>
      <c r="B314" s="23"/>
      <c r="E314" s="952"/>
      <c r="F314" s="22"/>
      <c r="G314" s="22"/>
      <c r="H314" s="22"/>
      <c r="L314" s="136"/>
    </row>
    <row r="315" spans="1:12" s="21" customFormat="1">
      <c r="A315" s="21" t="s">
        <v>889</v>
      </c>
      <c r="C315" s="22">
        <f>-SUMIF(BALANZA!$B$12:$B$301,A315,BALANZA!$C$12:$C$301)</f>
        <v>0</v>
      </c>
      <c r="D315" s="22">
        <v>0</v>
      </c>
      <c r="E315" s="21">
        <v>0</v>
      </c>
      <c r="F315" s="21">
        <v>0</v>
      </c>
      <c r="G315" s="21">
        <v>-5765316.04</v>
      </c>
      <c r="H315" s="22">
        <v>-27505527.199999999</v>
      </c>
      <c r="I315" s="21">
        <v>-25492166.390000001</v>
      </c>
      <c r="L315" s="136"/>
    </row>
    <row r="316" spans="1:12" s="21" customFormat="1">
      <c r="A316" s="21" t="s">
        <v>915</v>
      </c>
      <c r="C316" s="22"/>
      <c r="D316" s="22"/>
      <c r="E316" s="22"/>
      <c r="H316" s="22"/>
      <c r="L316" s="136"/>
    </row>
    <row r="317" spans="1:12" s="21" customFormat="1">
      <c r="A317" s="21" t="s">
        <v>891</v>
      </c>
      <c r="C317" s="22">
        <f>-SUMIF(BALANZA!$B$12:$B$301,A317,BALANZA!$C$12:$C$301)</f>
        <v>0</v>
      </c>
      <c r="D317" s="22">
        <v>0</v>
      </c>
      <c r="E317" s="22">
        <v>0</v>
      </c>
      <c r="F317" s="21">
        <v>0</v>
      </c>
      <c r="G317" s="21">
        <v>-5765316.04</v>
      </c>
      <c r="H317" s="22">
        <v>-27505527.199999999</v>
      </c>
      <c r="I317" s="21">
        <v>-25492166.390000001</v>
      </c>
      <c r="L317" s="136"/>
    </row>
    <row r="318" spans="1:12" s="21" customFormat="1">
      <c r="A318" s="21" t="s">
        <v>1031</v>
      </c>
      <c r="C318" s="22"/>
      <c r="D318" s="22"/>
      <c r="E318" s="22"/>
      <c r="H318" s="22"/>
      <c r="L318" s="136"/>
    </row>
    <row r="319" spans="1:12" s="21" customFormat="1">
      <c r="C319" s="22"/>
      <c r="D319" s="22"/>
      <c r="E319" s="22"/>
      <c r="H319" s="22"/>
      <c r="L319" s="136"/>
    </row>
    <row r="320" spans="1:12" s="21" customFormat="1">
      <c r="E320" s="22"/>
      <c r="F320" s="22"/>
      <c r="G320" s="22"/>
      <c r="H320" s="22"/>
      <c r="L320" s="136"/>
    </row>
    <row r="321" spans="1:12" s="21" customFormat="1">
      <c r="F321" s="22"/>
      <c r="G321" s="22"/>
      <c r="H321" s="22"/>
      <c r="L321" s="136"/>
    </row>
    <row r="322" spans="1:12" s="21" customFormat="1">
      <c r="A322" s="21" t="s">
        <v>29</v>
      </c>
      <c r="F322" s="22"/>
      <c r="G322" s="22"/>
      <c r="H322" s="22"/>
      <c r="L322" s="136"/>
    </row>
    <row r="323" spans="1:12" s="21" customFormat="1">
      <c r="A323" s="21" t="s">
        <v>31</v>
      </c>
      <c r="F323" s="22"/>
      <c r="G323" s="22"/>
      <c r="H323" s="22"/>
      <c r="L323" s="136"/>
    </row>
    <row r="324" spans="1:12" s="21" customFormat="1">
      <c r="A324" s="21" t="s">
        <v>33</v>
      </c>
      <c r="F324" s="22"/>
      <c r="G324" s="22"/>
      <c r="H324" s="22"/>
      <c r="L324" s="136"/>
    </row>
    <row r="325" spans="1:12" s="21" customFormat="1">
      <c r="A325" s="21" t="s">
        <v>35</v>
      </c>
      <c r="F325" s="22"/>
      <c r="G325" s="22"/>
      <c r="H325" s="22"/>
      <c r="L325" s="136"/>
    </row>
    <row r="326" spans="1:12" s="21" customFormat="1">
      <c r="A326" s="21" t="s">
        <v>39</v>
      </c>
      <c r="F326" s="22"/>
      <c r="G326" s="22"/>
      <c r="H326" s="22"/>
      <c r="L326" s="136"/>
    </row>
    <row r="327" spans="1:12" s="21" customFormat="1">
      <c r="A327" s="21" t="s">
        <v>41</v>
      </c>
      <c r="F327" s="22"/>
      <c r="G327" s="22"/>
      <c r="H327" s="22"/>
      <c r="L327" s="136"/>
    </row>
    <row r="328" spans="1:12" s="21" customFormat="1">
      <c r="A328" s="21" t="s">
        <v>3784</v>
      </c>
      <c r="F328" s="22"/>
      <c r="G328" s="22"/>
      <c r="H328" s="22"/>
      <c r="L328" s="136"/>
    </row>
    <row r="329" spans="1:12" s="21" customFormat="1">
      <c r="A329" s="21" t="s">
        <v>48</v>
      </c>
      <c r="F329" s="22"/>
      <c r="G329" s="22"/>
      <c r="H329" s="22"/>
      <c r="L329" s="136"/>
    </row>
    <row r="330" spans="1:12" s="21" customFormat="1">
      <c r="A330" s="21" t="s">
        <v>50</v>
      </c>
      <c r="F330" s="22"/>
      <c r="G330" s="22"/>
      <c r="H330" s="22"/>
      <c r="L330" s="136"/>
    </row>
    <row r="331" spans="1:12" s="21" customFormat="1">
      <c r="A331" s="21" t="s">
        <v>52</v>
      </c>
      <c r="F331" s="22"/>
      <c r="G331" s="22"/>
      <c r="H331" s="22"/>
      <c r="L331" s="136"/>
    </row>
    <row r="332" spans="1:12" s="21" customFormat="1">
      <c r="A332" s="21" t="s">
        <v>3794</v>
      </c>
      <c r="F332" s="22"/>
      <c r="G332" s="22"/>
      <c r="H332" s="22"/>
      <c r="L332" s="136"/>
    </row>
    <row r="333" spans="1:12" s="21" customFormat="1">
      <c r="A333" s="21" t="s">
        <v>3850</v>
      </c>
      <c r="F333" s="22"/>
      <c r="G333" s="22"/>
      <c r="H333" s="22"/>
      <c r="L333" s="136"/>
    </row>
    <row r="334" spans="1:12" s="21" customFormat="1">
      <c r="A334" s="21" t="s">
        <v>57</v>
      </c>
      <c r="F334" s="22"/>
      <c r="G334" s="22"/>
      <c r="H334" s="22"/>
      <c r="L334" s="136"/>
    </row>
    <row r="335" spans="1:12" s="21" customFormat="1">
      <c r="A335" s="21" t="s">
        <v>87</v>
      </c>
      <c r="F335" s="22"/>
      <c r="G335" s="22"/>
      <c r="H335" s="22"/>
      <c r="L335" s="136"/>
    </row>
    <row r="336" spans="1:12" s="21" customFormat="1">
      <c r="A336" s="21" t="s">
        <v>119</v>
      </c>
      <c r="F336" s="22"/>
      <c r="G336" s="22"/>
      <c r="H336" s="22"/>
      <c r="L336" s="136"/>
    </row>
    <row r="337" spans="1:12" s="21" customFormat="1">
      <c r="A337" s="21" t="s">
        <v>2211</v>
      </c>
      <c r="F337" s="22"/>
      <c r="G337" s="22"/>
      <c r="H337" s="22"/>
      <c r="L337" s="136"/>
    </row>
    <row r="338" spans="1:12" s="21" customFormat="1">
      <c r="A338" s="21" t="s">
        <v>2315</v>
      </c>
      <c r="F338" s="22"/>
      <c r="G338" s="22"/>
      <c r="H338" s="22"/>
      <c r="L338" s="136"/>
    </row>
    <row r="339" spans="1:12" s="21" customFormat="1">
      <c r="A339" s="21" t="s">
        <v>2212</v>
      </c>
      <c r="F339" s="22"/>
      <c r="G339" s="22"/>
      <c r="H339" s="22"/>
      <c r="L339" s="136"/>
    </row>
    <row r="340" spans="1:12" s="21" customFormat="1">
      <c r="A340" s="21" t="s">
        <v>2392</v>
      </c>
      <c r="F340" s="22"/>
      <c r="G340" s="22"/>
      <c r="H340" s="22"/>
      <c r="L340" s="136"/>
    </row>
    <row r="341" spans="1:12" s="21" customFormat="1">
      <c r="A341" s="21" t="s">
        <v>2871</v>
      </c>
      <c r="F341" s="22"/>
      <c r="G341" s="22"/>
      <c r="H341" s="22"/>
      <c r="L341" s="136"/>
    </row>
    <row r="342" spans="1:12" s="21" customFormat="1">
      <c r="A342" s="21" t="s">
        <v>3942</v>
      </c>
      <c r="F342" s="22"/>
      <c r="G342" s="22"/>
      <c r="H342" s="22"/>
      <c r="L342" s="136"/>
    </row>
    <row r="343" spans="1:12" s="21" customFormat="1">
      <c r="A343" s="21" t="s">
        <v>2213</v>
      </c>
      <c r="F343" s="22"/>
      <c r="G343" s="22"/>
      <c r="H343" s="22"/>
      <c r="L343" s="136"/>
    </row>
    <row r="344" spans="1:12" s="21" customFormat="1">
      <c r="A344" s="21" t="s">
        <v>2316</v>
      </c>
      <c r="F344" s="22"/>
      <c r="G344" s="22"/>
      <c r="H344" s="22"/>
      <c r="L344" s="136"/>
    </row>
    <row r="345" spans="1:12" s="21" customFormat="1">
      <c r="A345" s="21" t="s">
        <v>2214</v>
      </c>
      <c r="F345" s="22"/>
      <c r="G345" s="22"/>
      <c r="H345" s="22"/>
      <c r="L345" s="136"/>
    </row>
    <row r="346" spans="1:12" s="21" customFormat="1">
      <c r="A346" s="21" t="s">
        <v>2215</v>
      </c>
      <c r="F346" s="22"/>
      <c r="G346" s="22"/>
      <c r="H346" s="22"/>
      <c r="L346" s="136"/>
    </row>
    <row r="347" spans="1:12" s="21" customFormat="1">
      <c r="A347" s="21" t="s">
        <v>2317</v>
      </c>
      <c r="F347" s="22"/>
      <c r="G347" s="22"/>
      <c r="H347" s="22"/>
      <c r="L347" s="136"/>
    </row>
    <row r="348" spans="1:12" s="21" customFormat="1">
      <c r="A348" s="21" t="s">
        <v>3851</v>
      </c>
      <c r="F348" s="22"/>
      <c r="G348" s="22"/>
      <c r="H348" s="22"/>
      <c r="L348" s="136"/>
    </row>
    <row r="349" spans="1:12" s="21" customFormat="1">
      <c r="A349" s="21" t="s">
        <v>3867</v>
      </c>
      <c r="F349" s="22"/>
      <c r="G349" s="22"/>
      <c r="H349" s="22"/>
      <c r="L349" s="136"/>
    </row>
    <row r="350" spans="1:12" s="21" customFormat="1">
      <c r="A350" s="21" t="s">
        <v>2216</v>
      </c>
      <c r="F350" s="22"/>
      <c r="G350" s="22"/>
      <c r="H350" s="22"/>
      <c r="L350" s="136"/>
    </row>
    <row r="351" spans="1:12" s="21" customFormat="1">
      <c r="A351" s="21" t="s">
        <v>175</v>
      </c>
      <c r="F351" s="22"/>
      <c r="G351" s="22"/>
      <c r="H351" s="22"/>
      <c r="L351" s="136"/>
    </row>
    <row r="352" spans="1:12" s="21" customFormat="1">
      <c r="A352" s="21" t="s">
        <v>2857</v>
      </c>
      <c r="F352" s="22"/>
      <c r="G352" s="22"/>
      <c r="H352" s="22"/>
      <c r="L352" s="136"/>
    </row>
    <row r="353" spans="1:12" s="21" customFormat="1">
      <c r="A353" s="21" t="s">
        <v>178</v>
      </c>
      <c r="F353" s="22"/>
      <c r="G353" s="22"/>
      <c r="H353" s="22"/>
      <c r="L353" s="136"/>
    </row>
    <row r="354" spans="1:12" s="21" customFormat="1">
      <c r="A354" s="21" t="s">
        <v>194</v>
      </c>
      <c r="F354" s="22"/>
      <c r="G354" s="22"/>
      <c r="H354" s="22"/>
      <c r="L354" s="136"/>
    </row>
    <row r="355" spans="1:12" s="21" customFormat="1">
      <c r="A355" s="21" t="s">
        <v>2810</v>
      </c>
      <c r="F355" s="22"/>
      <c r="G355" s="22"/>
      <c r="H355" s="22"/>
      <c r="L355" s="136"/>
    </row>
    <row r="356" spans="1:12" s="21" customFormat="1">
      <c r="A356" s="21" t="s">
        <v>2811</v>
      </c>
      <c r="F356" s="22"/>
      <c r="G356" s="22"/>
      <c r="H356" s="22"/>
      <c r="L356" s="136"/>
    </row>
    <row r="357" spans="1:12" s="21" customFormat="1">
      <c r="A357" s="21" t="s">
        <v>2812</v>
      </c>
      <c r="F357" s="22"/>
      <c r="G357" s="22"/>
      <c r="H357" s="22"/>
      <c r="L357" s="136"/>
    </row>
    <row r="358" spans="1:12" s="21" customFormat="1">
      <c r="A358" s="21" t="s">
        <v>2813</v>
      </c>
      <c r="F358" s="22"/>
      <c r="G358" s="22"/>
      <c r="H358" s="22"/>
      <c r="L358" s="136"/>
    </row>
    <row r="359" spans="1:12" s="21" customFormat="1">
      <c r="A359" s="21" t="s">
        <v>2814</v>
      </c>
      <c r="F359" s="22"/>
      <c r="G359" s="22"/>
      <c r="H359" s="22"/>
      <c r="L359" s="136"/>
    </row>
    <row r="360" spans="1:12" s="21" customFormat="1">
      <c r="A360" s="21" t="s">
        <v>2815</v>
      </c>
      <c r="F360" s="22"/>
      <c r="G360" s="22"/>
      <c r="H360" s="22"/>
      <c r="L360" s="136"/>
    </row>
    <row r="361" spans="1:12" s="21" customFormat="1">
      <c r="A361" s="21" t="s">
        <v>2816</v>
      </c>
      <c r="F361" s="22"/>
      <c r="G361" s="22"/>
      <c r="H361" s="22"/>
      <c r="L361" s="136"/>
    </row>
    <row r="362" spans="1:12" s="21" customFormat="1">
      <c r="A362" s="21" t="s">
        <v>2817</v>
      </c>
      <c r="F362" s="22"/>
      <c r="G362" s="22"/>
      <c r="H362" s="22"/>
      <c r="L362" s="136"/>
    </row>
    <row r="363" spans="1:12" s="21" customFormat="1">
      <c r="A363" s="21" t="s">
        <v>2319</v>
      </c>
      <c r="F363" s="22"/>
      <c r="G363" s="22"/>
      <c r="H363" s="22"/>
      <c r="L363" s="136"/>
    </row>
    <row r="364" spans="1:12" s="21" customFormat="1">
      <c r="A364" s="21" t="s">
        <v>213</v>
      </c>
      <c r="F364" s="22"/>
      <c r="G364" s="22"/>
      <c r="H364" s="22"/>
      <c r="L364" s="136"/>
    </row>
    <row r="365" spans="1:12" s="21" customFormat="1">
      <c r="A365" s="21" t="s">
        <v>2203</v>
      </c>
      <c r="F365" s="22"/>
      <c r="G365" s="22"/>
      <c r="H365" s="22"/>
      <c r="L365" s="136"/>
    </row>
    <row r="366" spans="1:12" s="21" customFormat="1">
      <c r="A366" s="21" t="s">
        <v>218</v>
      </c>
      <c r="F366" s="22"/>
      <c r="G366" s="22"/>
      <c r="H366" s="22"/>
      <c r="L366" s="136"/>
    </row>
    <row r="367" spans="1:12" s="21" customFormat="1">
      <c r="A367" s="21" t="s">
        <v>253</v>
      </c>
      <c r="F367" s="22"/>
      <c r="G367" s="22"/>
      <c r="H367" s="22"/>
      <c r="L367" s="136"/>
    </row>
    <row r="368" spans="1:12" s="21" customFormat="1">
      <c r="A368" s="21" t="s">
        <v>265</v>
      </c>
      <c r="F368" s="22"/>
      <c r="G368" s="22"/>
      <c r="H368" s="22"/>
      <c r="L368" s="136"/>
    </row>
    <row r="369" spans="1:12" s="21" customFormat="1">
      <c r="A369" s="21" t="s">
        <v>277</v>
      </c>
      <c r="F369" s="22"/>
      <c r="G369" s="22"/>
      <c r="H369" s="22"/>
      <c r="L369" s="136"/>
    </row>
    <row r="370" spans="1:12" s="21" customFormat="1">
      <c r="A370" s="21" t="s">
        <v>289</v>
      </c>
      <c r="F370" s="22"/>
      <c r="G370" s="22"/>
      <c r="H370" s="22"/>
      <c r="L370" s="136"/>
    </row>
    <row r="371" spans="1:12" s="21" customFormat="1">
      <c r="A371" s="21" t="s">
        <v>291</v>
      </c>
      <c r="F371" s="22"/>
      <c r="G371" s="22"/>
      <c r="H371" s="22"/>
      <c r="L371" s="136"/>
    </row>
    <row r="372" spans="1:12" s="21" customFormat="1">
      <c r="A372" s="21" t="s">
        <v>293</v>
      </c>
      <c r="F372" s="22"/>
      <c r="G372" s="22"/>
      <c r="H372" s="22"/>
      <c r="L372" s="136"/>
    </row>
    <row r="373" spans="1:12" s="21" customFormat="1">
      <c r="A373" s="21" t="s">
        <v>913</v>
      </c>
      <c r="F373" s="22"/>
      <c r="G373" s="22"/>
      <c r="H373" s="22"/>
      <c r="L373" s="136"/>
    </row>
    <row r="374" spans="1:12" s="21" customFormat="1">
      <c r="A374" s="21" t="s">
        <v>295</v>
      </c>
      <c r="F374" s="22"/>
      <c r="G374" s="22"/>
      <c r="H374" s="22"/>
      <c r="L374" s="136"/>
    </row>
    <row r="375" spans="1:12" s="21" customFormat="1">
      <c r="A375" s="21" t="s">
        <v>299</v>
      </c>
      <c r="F375" s="22"/>
      <c r="G375" s="22"/>
      <c r="H375" s="22"/>
      <c r="L375" s="136"/>
    </row>
    <row r="376" spans="1:12" s="21" customFormat="1">
      <c r="A376" s="21" t="s">
        <v>436</v>
      </c>
      <c r="F376" s="22"/>
      <c r="G376" s="22"/>
      <c r="H376" s="22"/>
      <c r="L376" s="136"/>
    </row>
    <row r="377" spans="1:12" s="21" customFormat="1">
      <c r="A377" s="21" t="s">
        <v>477</v>
      </c>
      <c r="F377" s="22"/>
      <c r="G377" s="22"/>
      <c r="H377" s="22"/>
      <c r="L377" s="136"/>
    </row>
    <row r="378" spans="1:12" s="21" customFormat="1">
      <c r="A378" s="21" t="s">
        <v>479</v>
      </c>
      <c r="F378" s="22"/>
      <c r="G378" s="22"/>
      <c r="H378" s="22"/>
      <c r="L378" s="136"/>
    </row>
    <row r="379" spans="1:12" s="21" customFormat="1">
      <c r="A379" s="21" t="s">
        <v>506</v>
      </c>
      <c r="F379" s="22"/>
      <c r="G379" s="22"/>
      <c r="H379" s="22"/>
      <c r="L379" s="136"/>
    </row>
    <row r="380" spans="1:12" s="21" customFormat="1">
      <c r="A380" s="21" t="s">
        <v>512</v>
      </c>
      <c r="F380" s="22"/>
      <c r="G380" s="22"/>
      <c r="H380" s="22"/>
      <c r="L380" s="136"/>
    </row>
    <row r="381" spans="1:12" s="21" customFormat="1">
      <c r="A381" s="21" t="s">
        <v>3788</v>
      </c>
      <c r="F381" s="22"/>
      <c r="G381" s="22"/>
      <c r="H381" s="22"/>
      <c r="L381" s="136"/>
    </row>
    <row r="382" spans="1:12" s="21" customFormat="1">
      <c r="A382" s="21" t="s">
        <v>3787</v>
      </c>
      <c r="F382" s="22"/>
      <c r="G382" s="22"/>
      <c r="H382" s="22"/>
      <c r="L382" s="136"/>
    </row>
    <row r="383" spans="1:12" s="21" customFormat="1">
      <c r="A383" s="21" t="s">
        <v>2239</v>
      </c>
      <c r="F383" s="22"/>
      <c r="G383" s="22"/>
      <c r="H383" s="22"/>
      <c r="L383" s="136"/>
    </row>
    <row r="384" spans="1:12" s="21" customFormat="1">
      <c r="A384" s="21" t="s">
        <v>2240</v>
      </c>
      <c r="F384" s="22"/>
      <c r="G384" s="22"/>
      <c r="H384" s="22"/>
      <c r="L384" s="136"/>
    </row>
    <row r="385" spans="1:12" s="21" customFormat="1">
      <c r="A385" s="21" t="s">
        <v>2224</v>
      </c>
      <c r="F385" s="22"/>
      <c r="G385" s="22"/>
      <c r="H385" s="22"/>
      <c r="L385" s="136"/>
    </row>
    <row r="386" spans="1:12" s="21" customFormat="1">
      <c r="A386" s="21" t="s">
        <v>3801</v>
      </c>
      <c r="F386" s="22"/>
      <c r="G386" s="22"/>
      <c r="H386" s="22"/>
      <c r="L386" s="136"/>
    </row>
    <row r="387" spans="1:12" s="21" customFormat="1">
      <c r="A387" s="21" t="s">
        <v>603</v>
      </c>
      <c r="F387" s="22"/>
      <c r="G387" s="22"/>
      <c r="H387" s="22"/>
      <c r="L387" s="136"/>
    </row>
    <row r="388" spans="1:12" s="21" customFormat="1">
      <c r="A388" s="21" t="s">
        <v>630</v>
      </c>
      <c r="F388" s="22"/>
      <c r="G388" s="22"/>
      <c r="H388" s="22"/>
      <c r="L388" s="136"/>
    </row>
    <row r="389" spans="1:12" s="21" customFormat="1">
      <c r="A389" s="21" t="s">
        <v>633</v>
      </c>
      <c r="F389" s="22"/>
      <c r="G389" s="22"/>
      <c r="H389" s="22"/>
      <c r="L389" s="136"/>
    </row>
    <row r="390" spans="1:12" s="21" customFormat="1">
      <c r="A390" s="21" t="s">
        <v>636</v>
      </c>
      <c r="F390" s="22"/>
      <c r="G390" s="22"/>
      <c r="H390" s="22"/>
      <c r="L390" s="136"/>
    </row>
    <row r="391" spans="1:12" s="21" customFormat="1">
      <c r="A391" s="21" t="s">
        <v>641</v>
      </c>
      <c r="F391" s="22"/>
      <c r="G391" s="22"/>
      <c r="H391" s="22"/>
      <c r="L391" s="136"/>
    </row>
    <row r="392" spans="1:12" s="21" customFormat="1">
      <c r="A392" s="21" t="s">
        <v>3859</v>
      </c>
      <c r="F392" s="22"/>
      <c r="G392" s="22"/>
      <c r="H392" s="22"/>
      <c r="L392" s="136"/>
    </row>
    <row r="393" spans="1:12" s="21" customFormat="1">
      <c r="A393" s="21" t="s">
        <v>2232</v>
      </c>
      <c r="F393" s="22"/>
      <c r="G393" s="22"/>
      <c r="H393" s="22"/>
      <c r="L393" s="136"/>
    </row>
    <row r="394" spans="1:12" s="21" customFormat="1">
      <c r="A394" s="21" t="s">
        <v>2233</v>
      </c>
      <c r="F394" s="22"/>
      <c r="G394" s="22"/>
      <c r="H394" s="22"/>
      <c r="L394" s="136"/>
    </row>
    <row r="395" spans="1:12" s="21" customFormat="1">
      <c r="A395" s="21" t="s">
        <v>2235</v>
      </c>
      <c r="F395" s="22"/>
      <c r="G395" s="22"/>
      <c r="H395" s="22"/>
      <c r="L395" s="136"/>
    </row>
    <row r="396" spans="1:12" s="21" customFormat="1">
      <c r="A396" s="21" t="s">
        <v>2872</v>
      </c>
      <c r="F396" s="22"/>
      <c r="G396" s="22"/>
      <c r="H396" s="22"/>
      <c r="L396" s="136"/>
    </row>
    <row r="397" spans="1:12" s="21" customFormat="1">
      <c r="A397" s="21" t="s">
        <v>2221</v>
      </c>
      <c r="D397" s="19"/>
      <c r="F397" s="22"/>
      <c r="G397" s="22"/>
      <c r="H397" s="22"/>
      <c r="L397" s="136"/>
    </row>
    <row r="398" spans="1:12" s="21" customFormat="1">
      <c r="A398" s="21" t="s">
        <v>2226</v>
      </c>
      <c r="D398" s="19"/>
      <c r="E398" s="19"/>
      <c r="F398" s="22"/>
      <c r="G398" s="22"/>
      <c r="H398" s="22"/>
      <c r="L398" s="136"/>
    </row>
    <row r="399" spans="1:12" s="21" customFormat="1">
      <c r="A399" s="21" t="s">
        <v>2222</v>
      </c>
      <c r="D399" s="19"/>
      <c r="E399" s="19"/>
      <c r="F399" s="22"/>
      <c r="G399" s="22"/>
      <c r="H399" s="22"/>
      <c r="L399" s="136"/>
    </row>
    <row r="400" spans="1:12" s="21" customFormat="1">
      <c r="A400" s="21" t="s">
        <v>2247</v>
      </c>
      <c r="D400" s="19"/>
      <c r="E400" s="19"/>
      <c r="F400" s="22"/>
      <c r="G400" s="22"/>
      <c r="H400" s="22"/>
      <c r="L400" s="136"/>
    </row>
    <row r="401" spans="1:7">
      <c r="A401" s="21" t="s">
        <v>674</v>
      </c>
      <c r="B401" s="21"/>
      <c r="C401" s="21"/>
      <c r="D401" s="19"/>
      <c r="E401" s="19"/>
      <c r="F401" s="22"/>
      <c r="G401" s="22"/>
    </row>
    <row r="402" spans="1:7">
      <c r="A402" t="s">
        <v>685</v>
      </c>
      <c r="E402" s="19"/>
    </row>
    <row r="403" spans="1:7">
      <c r="A403" t="s">
        <v>691</v>
      </c>
    </row>
    <row r="404" spans="1:7">
      <c r="A404" t="s">
        <v>700</v>
      </c>
    </row>
    <row r="405" spans="1:7">
      <c r="A405" t="s">
        <v>3847</v>
      </c>
    </row>
    <row r="406" spans="1:7">
      <c r="A406" t="s">
        <v>708</v>
      </c>
    </row>
    <row r="407" spans="1:7">
      <c r="A407" t="s">
        <v>714</v>
      </c>
    </row>
    <row r="408" spans="1:7">
      <c r="A408" t="s">
        <v>726</v>
      </c>
    </row>
    <row r="409" spans="1:7">
      <c r="A409" t="s">
        <v>2229</v>
      </c>
    </row>
    <row r="410" spans="1:7">
      <c r="A410" t="s">
        <v>744</v>
      </c>
    </row>
    <row r="411" spans="1:7">
      <c r="A411" t="s">
        <v>747</v>
      </c>
    </row>
    <row r="412" spans="1:7">
      <c r="A412" t="s">
        <v>758</v>
      </c>
    </row>
    <row r="413" spans="1:7">
      <c r="A413" t="s">
        <v>764</v>
      </c>
    </row>
    <row r="414" spans="1:7">
      <c r="A414" t="s">
        <v>770</v>
      </c>
    </row>
    <row r="415" spans="1:7">
      <c r="A415" t="s">
        <v>2231</v>
      </c>
    </row>
    <row r="416" spans="1:7">
      <c r="A416" t="s">
        <v>2227</v>
      </c>
    </row>
    <row r="417" spans="1:1">
      <c r="A417" t="s">
        <v>2223</v>
      </c>
    </row>
    <row r="418" spans="1:1">
      <c r="A418" t="s">
        <v>787</v>
      </c>
    </row>
    <row r="419" spans="1:1">
      <c r="A419" t="s">
        <v>790</v>
      </c>
    </row>
    <row r="420" spans="1:1">
      <c r="A420" t="s">
        <v>3956</v>
      </c>
    </row>
    <row r="421" spans="1:1">
      <c r="A421" t="s">
        <v>795</v>
      </c>
    </row>
    <row r="422" spans="1:1">
      <c r="A422" t="s">
        <v>2244</v>
      </c>
    </row>
    <row r="423" spans="1:1">
      <c r="A423" t="s">
        <v>801</v>
      </c>
    </row>
    <row r="424" spans="1:1">
      <c r="A424" t="s">
        <v>2245</v>
      </c>
    </row>
    <row r="425" spans="1:1">
      <c r="A425" t="s">
        <v>807</v>
      </c>
    </row>
    <row r="426" spans="1:1">
      <c r="A426" t="s">
        <v>3861</v>
      </c>
    </row>
    <row r="427" spans="1:1">
      <c r="A427" t="s">
        <v>2337</v>
      </c>
    </row>
    <row r="428" spans="1:1">
      <c r="A428" t="s">
        <v>2338</v>
      </c>
    </row>
    <row r="429" spans="1:1">
      <c r="A429" t="s">
        <v>3863</v>
      </c>
    </row>
    <row r="430" spans="1:1">
      <c r="A430" t="s">
        <v>3991</v>
      </c>
    </row>
    <row r="431" spans="1:1">
      <c r="A431" t="s">
        <v>2228</v>
      </c>
    </row>
    <row r="432" spans="1:1">
      <c r="A432" t="s">
        <v>2248</v>
      </c>
    </row>
    <row r="433" spans="1:1">
      <c r="A433" t="s">
        <v>2339</v>
      </c>
    </row>
    <row r="434" spans="1:1">
      <c r="A434" t="s">
        <v>826</v>
      </c>
    </row>
    <row r="435" spans="1:1">
      <c r="A435" t="s">
        <v>829</v>
      </c>
    </row>
    <row r="436" spans="1:1">
      <c r="A436" t="s">
        <v>832</v>
      </c>
    </row>
    <row r="437" spans="1:1">
      <c r="A437" t="s">
        <v>3980</v>
      </c>
    </row>
    <row r="438" spans="1:1">
      <c r="A438" t="s">
        <v>3901</v>
      </c>
    </row>
    <row r="439" spans="1:1">
      <c r="A439" t="s">
        <v>3902</v>
      </c>
    </row>
    <row r="440" spans="1:1">
      <c r="A440" t="s">
        <v>3903</v>
      </c>
    </row>
    <row r="441" spans="1:1">
      <c r="A441" t="s">
        <v>3926</v>
      </c>
    </row>
    <row r="442" spans="1:1">
      <c r="A442" t="s">
        <v>3927</v>
      </c>
    </row>
    <row r="443" spans="1:1">
      <c r="A443" t="s">
        <v>3928</v>
      </c>
    </row>
    <row r="444" spans="1:1">
      <c r="A444" t="s">
        <v>3929</v>
      </c>
    </row>
    <row r="445" spans="1:1">
      <c r="A445" t="s">
        <v>3957</v>
      </c>
    </row>
    <row r="446" spans="1:1">
      <c r="A446" t="s">
        <v>3930</v>
      </c>
    </row>
    <row r="447" spans="1:1">
      <c r="A447" t="s">
        <v>3853</v>
      </c>
    </row>
    <row r="448" spans="1:1">
      <c r="A448" t="s">
        <v>3943</v>
      </c>
    </row>
    <row r="449" spans="1:1">
      <c r="A449" t="s">
        <v>848</v>
      </c>
    </row>
    <row r="450" spans="1:1">
      <c r="A450" t="s">
        <v>3944</v>
      </c>
    </row>
    <row r="451" spans="1:1">
      <c r="A451" t="s">
        <v>861</v>
      </c>
    </row>
    <row r="452" spans="1:1">
      <c r="A452" t="s">
        <v>2220</v>
      </c>
    </row>
  </sheetData>
  <conditionalFormatting sqref="A124:B125 C133:C134 A131:B132">
    <cfRule type="duplicateValues" dxfId="50" priority="7" stopIfTrue="1"/>
  </conditionalFormatting>
  <conditionalFormatting sqref="D133:D134 E134:E135">
    <cfRule type="duplicateValues" dxfId="49" priority="3" stopIfTrue="1"/>
  </conditionalFormatting>
  <conditionalFormatting sqref="O55:O88 O90:O95 P89">
    <cfRule type="duplicateValues" dxfId="48" priority="98" stopIfTrue="1"/>
  </conditionalFormatting>
  <conditionalFormatting sqref="C162:C322">
    <cfRule type="duplicateValues" dxfId="47" priority="99" stopIfTrue="1"/>
  </conditionalFormatting>
  <conditionalFormatting sqref="E166:E323 D162:D322">
    <cfRule type="duplicateValues" dxfId="46" priority="101" stopIfTrue="1"/>
  </conditionalFormatting>
  <conditionalFormatting sqref="A1:A1048576">
    <cfRule type="duplicateValues" dxfId="45" priority="1" stopIfTrue="1"/>
  </conditionalFormatting>
  <dataValidations disablePrompts="1" count="1">
    <dataValidation type="list" allowBlank="1" showInputMessage="1" showErrorMessage="1" sqref="A131:B132 C133:D134 E134:E135 A124:B125">
      <formula1>$AJ$1:$AJ$409</formula1>
    </dataValidation>
  </dataValidation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62</vt:i4>
      </vt:variant>
    </vt:vector>
  </HeadingPairs>
  <TitlesOfParts>
    <vt:vector size="129" baseType="lpstr">
      <vt:lpstr>Pres</vt:lpstr>
      <vt:lpstr>indce</vt:lpstr>
      <vt:lpstr>ajustes R</vt:lpstr>
      <vt:lpstr>Au</vt:lpstr>
      <vt:lpstr>Hoja3</vt:lpstr>
      <vt:lpstr>Hoja5</vt:lpstr>
      <vt:lpstr>Mat</vt:lpstr>
      <vt:lpstr>BALANZA</vt:lpstr>
      <vt:lpstr>BALANZA G</vt:lpstr>
      <vt:lpstr>DE</vt:lpstr>
      <vt:lpstr>Pres A</vt:lpstr>
      <vt:lpstr>25A</vt:lpstr>
      <vt:lpstr>Notas NF</vt:lpstr>
      <vt:lpstr>nota12</vt:lpstr>
      <vt:lpstr>ESF  (2)</vt:lpstr>
      <vt:lpstr>ES F </vt:lpstr>
      <vt:lpstr>ERF</vt:lpstr>
      <vt:lpstr>EFE2</vt:lpstr>
      <vt:lpstr>EP2</vt:lpstr>
      <vt:lpstr>EEP2</vt:lpstr>
      <vt:lpstr>A</vt:lpstr>
      <vt:lpstr>Hoja8</vt:lpstr>
      <vt:lpstr>nota10inventario</vt:lpstr>
      <vt:lpstr>Rt</vt:lpstr>
      <vt:lpstr>I</vt:lpstr>
      <vt:lpstr>G</vt:lpstr>
      <vt:lpstr>V</vt:lpstr>
      <vt:lpstr>ELAI</vt:lpstr>
      <vt:lpstr>IPT</vt:lpstr>
      <vt:lpstr>PEP</vt:lpstr>
      <vt:lpstr>Notas</vt:lpstr>
      <vt:lpstr>Hoja1</vt:lpstr>
      <vt:lpstr>RESULTADO</vt:lpstr>
      <vt:lpstr>EST.Ej.PREs.</vt:lpstr>
      <vt:lpstr>FLUJO</vt:lpstr>
      <vt:lpstr>PATRIMONIO</vt:lpstr>
      <vt:lpstr>Rf</vt:lpstr>
      <vt:lpstr>m</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Hoja2</vt:lpstr>
      <vt:lpstr>Notas!_Toc155686848</vt:lpstr>
      <vt:lpstr>Notas!_Toc155686850</vt:lpstr>
      <vt:lpstr>Notas!_Toc155686868</vt:lpstr>
      <vt:lpstr>Notas!_Toc155686869</vt:lpstr>
      <vt:lpstr>Notas!_Toc155686882</vt:lpstr>
      <vt:lpstr>Notas!_Toc155686886</vt:lpstr>
      <vt:lpstr>'Notas NF'!_Toc155686886</vt:lpstr>
      <vt:lpstr>Notas!_Toc155686911</vt:lpstr>
      <vt:lpstr>Notas!_Toc180760083</vt:lpstr>
      <vt:lpstr>Notas!_Toc180760096</vt:lpstr>
      <vt:lpstr>Notas!_Toc180760098</vt:lpstr>
      <vt:lpstr>Notas!_Toc191191204</vt:lpstr>
      <vt:lpstr>Notas!_Toc191191207</vt:lpstr>
      <vt:lpstr>Notas!_Toc191191210</vt:lpstr>
      <vt:lpstr>Notas!_Toc191191212</vt:lpstr>
      <vt:lpstr>Notas!_Toc191191217</vt:lpstr>
      <vt:lpstr>Notas!_Toc191191231</vt:lpstr>
      <vt:lpstr>Notas!_Toc207181362</vt:lpstr>
      <vt:lpstr>Notas!_Toc207181378</vt:lpstr>
      <vt:lpstr>Notas!_Toc207181386</vt:lpstr>
      <vt:lpstr>Notas!_Toc207181413</vt:lpstr>
      <vt:lpstr>'Notas NF'!_Toc207181413</vt:lpstr>
      <vt:lpstr>Notas!_Toc207181418</vt:lpstr>
      <vt:lpstr>'Notas NF'!_Toc207181418</vt:lpstr>
      <vt:lpstr>Notas!_Toc208202775</vt:lpstr>
      <vt:lpstr>'Notas NF'!_Toc208202775</vt:lpstr>
      <vt:lpstr>Notas!_Toc208202778</vt:lpstr>
      <vt:lpstr>Notas!_Toc208202779</vt:lpstr>
      <vt:lpstr>Notas!_Toc208202780</vt:lpstr>
      <vt:lpstr>Notas!_Toc208202782</vt:lpstr>
      <vt:lpstr>Notas!_Toc208202783</vt:lpstr>
      <vt:lpstr>Notas!_Toc208202784</vt:lpstr>
      <vt:lpstr>Notas!_Toc208202785</vt:lpstr>
      <vt:lpstr>Notas!_Toc208202786</vt:lpstr>
      <vt:lpstr>Notas!_Toc208202787</vt:lpstr>
      <vt:lpstr>Notas!_Toc208202788</vt:lpstr>
      <vt:lpstr>Notas!_Toc208202789</vt:lpstr>
      <vt:lpstr>Notas!_Toc208202790</vt:lpstr>
      <vt:lpstr>Notas!_Toc208202791</vt:lpstr>
      <vt:lpstr>Notas!_Toc208202792</vt:lpstr>
      <vt:lpstr>Notas!_Toc208202794</vt:lpstr>
      <vt:lpstr>Notas!_Toc208202795</vt:lpstr>
      <vt:lpstr>Notas!_Toc208202799</vt:lpstr>
      <vt:lpstr>Notas!_Toc208202800</vt:lpstr>
      <vt:lpstr>Notas!_Toc208202803</vt:lpstr>
      <vt:lpstr>Notas!_Toc208202804</vt:lpstr>
      <vt:lpstr>Notas!_Toc208202805</vt:lpstr>
      <vt:lpstr>Notas!_Toc208202807</vt:lpstr>
      <vt:lpstr>Notas!_Toc208202813</vt:lpstr>
      <vt:lpstr>'Notas NF'!_Toc208202813</vt:lpstr>
      <vt:lpstr>Notas!_Toc208202824</vt:lpstr>
      <vt:lpstr>'Notas NF'!_Toc208202824</vt:lpstr>
      <vt:lpstr>Notas!_Toc208202839</vt:lpstr>
      <vt:lpstr>Notas!_Toc208202846</vt:lpstr>
      <vt:lpstr>Notas!_Toc208202853</vt:lpstr>
      <vt:lpstr>Notas!_Toc208202858</vt:lpstr>
      <vt:lpstr>Notas!_Toc208202859</vt:lpstr>
      <vt:lpstr>'Notas NF'!_Toc208202859</vt:lpstr>
      <vt:lpstr>Notas!_Toc208202860</vt:lpstr>
      <vt:lpstr>'Notas NF'!_Toc208202860</vt:lpstr>
      <vt:lpstr>'25A'!Área_de_impresión</vt:lpstr>
      <vt:lpstr>nota12!Área_de_impresión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PATRICIA RAMOS</cp:lastModifiedBy>
  <cp:lastPrinted>2026-04-14T14:41:18Z</cp:lastPrinted>
  <dcterms:created xsi:type="dcterms:W3CDTF">2016-02-04T18:32:50Z</dcterms:created>
  <dcterms:modified xsi:type="dcterms:W3CDTF">2026-05-05T16:19:47Z</dcterms:modified>
</cp:coreProperties>
</file>