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O58" i="1"/>
  <c r="C58" i="1"/>
  <c r="C57" i="1"/>
  <c r="B57" i="1"/>
  <c r="B58" i="1" s="1"/>
  <c r="C55" i="1"/>
  <c r="C60" i="1" s="1"/>
  <c r="B55" i="1"/>
  <c r="C50" i="1"/>
  <c r="B50" i="1"/>
  <c r="F42" i="1"/>
  <c r="C36" i="1"/>
  <c r="F36" i="1" s="1"/>
  <c r="B36" i="1"/>
  <c r="C34" i="1"/>
  <c r="B34" i="1"/>
  <c r="F33" i="1"/>
  <c r="F41" i="1" s="1"/>
  <c r="C33" i="1"/>
  <c r="C41" i="1" s="1"/>
  <c r="B33" i="1"/>
  <c r="B41" i="1" s="1"/>
  <c r="B52" i="1" s="1"/>
  <c r="F32" i="1"/>
  <c r="G29" i="1"/>
  <c r="I28" i="1"/>
  <c r="E28" i="1"/>
  <c r="J26" i="1"/>
  <c r="I26" i="1"/>
  <c r="E26" i="1"/>
  <c r="E25" i="1"/>
  <c r="C25" i="1"/>
  <c r="C27" i="1" s="1"/>
  <c r="B25" i="1"/>
  <c r="J25" i="1" s="1"/>
  <c r="I24" i="1"/>
  <c r="E24" i="1"/>
  <c r="C24" i="1"/>
  <c r="B24" i="1"/>
  <c r="B27" i="1" s="1"/>
  <c r="E23" i="1"/>
  <c r="E22" i="1"/>
  <c r="E21" i="1"/>
  <c r="E20" i="1"/>
  <c r="E19" i="1"/>
  <c r="C17" i="1"/>
  <c r="I17" i="1" s="1"/>
  <c r="B17" i="1"/>
  <c r="E17" i="1" s="1"/>
  <c r="C16" i="1"/>
  <c r="I16" i="1" s="1"/>
  <c r="B16" i="1"/>
  <c r="N16" i="1" s="1"/>
  <c r="C15" i="1"/>
  <c r="B15" i="1"/>
  <c r="N15" i="1" s="1"/>
  <c r="C14" i="1"/>
  <c r="B14" i="1"/>
  <c r="I14" i="1" s="1"/>
  <c r="I13" i="1"/>
  <c r="E13" i="1"/>
  <c r="E12" i="1"/>
  <c r="C12" i="1"/>
  <c r="I12" i="1" s="1"/>
  <c r="B12" i="1"/>
  <c r="C11" i="1"/>
  <c r="C18" i="1" s="1"/>
  <c r="B11" i="1"/>
  <c r="B18" i="1" s="1"/>
  <c r="C8" i="1"/>
  <c r="B8" i="1"/>
  <c r="A6" i="1"/>
  <c r="A4" i="1"/>
  <c r="C52" i="1" l="1"/>
  <c r="B29" i="1"/>
  <c r="J27" i="1"/>
  <c r="B60" i="1"/>
  <c r="B62" i="1" s="1"/>
  <c r="N18" i="1"/>
  <c r="I27" i="1"/>
  <c r="C29" i="1"/>
  <c r="C62" i="1"/>
  <c r="I15" i="1"/>
  <c r="J18" i="1" s="1"/>
  <c r="J19" i="1" s="1"/>
  <c r="I11" i="1"/>
  <c r="I18" i="1" s="1"/>
  <c r="J15" i="1"/>
  <c r="E16" i="1"/>
  <c r="F16" i="1" s="1"/>
  <c r="G16" i="1" s="1"/>
  <c r="J16" i="1"/>
  <c r="J24" i="1"/>
  <c r="I25" i="1"/>
  <c r="E14" i="1"/>
  <c r="E15" i="1"/>
  <c r="J20" i="1" l="1"/>
  <c r="J21" i="1"/>
  <c r="E18" i="1"/>
  <c r="E27" i="1" s="1"/>
  <c r="F27" i="1" s="1"/>
  <c r="F15" i="1"/>
  <c r="F17" i="1" s="1"/>
  <c r="G17" i="1" s="1"/>
  <c r="J28" i="1"/>
  <c r="J29" i="1"/>
  <c r="B63" i="1"/>
  <c r="E29" i="1"/>
  <c r="C63" i="1"/>
  <c r="I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<sst xmlns="http://schemas.openxmlformats.org/spreadsheetml/2006/main" count="57" uniqueCount="56">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</sst>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ABRIL del 2026</v>
          </cell>
        </row>
        <row r="4">
          <cell r="B4">
            <v>2026</v>
          </cell>
          <cell r="C4">
            <v>2025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702375.53</v>
          </cell>
        </row>
        <row r="16">
          <cell r="C16">
            <v>1241352.1499999999</v>
          </cell>
        </row>
        <row r="17">
          <cell r="C17">
            <v>396039834.56999999</v>
          </cell>
        </row>
        <row r="18">
          <cell r="C18">
            <v>12968709.01</v>
          </cell>
        </row>
        <row r="19">
          <cell r="C19">
            <v>28796945.620000001</v>
          </cell>
        </row>
        <row r="20">
          <cell r="C20">
            <v>792057</v>
          </cell>
        </row>
        <row r="21">
          <cell r="C21">
            <v>55553258.920000002</v>
          </cell>
        </row>
        <row r="22">
          <cell r="C22">
            <v>4551737.59</v>
          </cell>
        </row>
        <row r="23">
          <cell r="C23">
            <v>5224661.0199999996</v>
          </cell>
        </row>
        <row r="24">
          <cell r="C24">
            <v>819796.62</v>
          </cell>
        </row>
        <row r="25">
          <cell r="C25">
            <v>3564952.97</v>
          </cell>
        </row>
        <row r="26">
          <cell r="C26">
            <v>29508.47</v>
          </cell>
        </row>
        <row r="27">
          <cell r="C27">
            <v>6890064.9800000004</v>
          </cell>
        </row>
        <row r="28">
          <cell r="C28">
            <v>932591.88</v>
          </cell>
        </row>
        <row r="29">
          <cell r="C29">
            <v>99000</v>
          </cell>
        </row>
        <row r="30">
          <cell r="C30">
            <v>510150</v>
          </cell>
        </row>
        <row r="31">
          <cell r="C31">
            <v>68697</v>
          </cell>
        </row>
        <row r="32">
          <cell r="C32">
            <v>10596.94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7">
          <cell r="C127">
            <v>398078562.25</v>
          </cell>
          <cell r="D127">
            <v>422773433.54999995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0</v>
          </cell>
        </row>
        <row r="168">
          <cell r="C168">
            <v>12968709.01</v>
          </cell>
          <cell r="D168">
            <v>15776376.33</v>
          </cell>
        </row>
        <row r="200">
          <cell r="C200">
            <v>271416.09999999998</v>
          </cell>
          <cell r="D200">
            <v>488548.94</v>
          </cell>
        </row>
        <row r="226">
          <cell r="C226">
            <v>0</v>
          </cell>
          <cell r="D226">
            <v>0</v>
          </cell>
        </row>
        <row r="374">
          <cell r="C374">
            <v>52140</v>
          </cell>
          <cell r="D374">
            <v>121660</v>
          </cell>
        </row>
        <row r="394">
          <cell r="C394">
            <v>8308307.7599999998</v>
          </cell>
          <cell r="D394">
            <v>8951565.0899999999</v>
          </cell>
        </row>
        <row r="405">
          <cell r="C405">
            <v>0</v>
          </cell>
          <cell r="D405">
            <v>0</v>
          </cell>
        </row>
        <row r="429">
          <cell r="C429">
            <v>0</v>
          </cell>
          <cell r="D429">
            <v>0</v>
          </cell>
        </row>
        <row r="446">
          <cell r="C446">
            <v>139610.85</v>
          </cell>
          <cell r="D446">
            <v>139610.85100000002</v>
          </cell>
        </row>
        <row r="459">
          <cell r="C459">
            <v>399663227.34979999</v>
          </cell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-3343943.5399999917</v>
          </cell>
          <cell r="D461">
            <v>120373832.36989999</v>
          </cell>
        </row>
      </sheetData>
      <sheetData sheetId="13">
        <row r="17">
          <cell r="K17">
            <v>778387439.07000005</v>
          </cell>
        </row>
        <row r="32">
          <cell r="K32">
            <v>802189429.66000009</v>
          </cell>
        </row>
      </sheetData>
      <sheetData sheetId="14"/>
      <sheetData sheetId="15"/>
      <sheetData sheetId="16">
        <row r="19">
          <cell r="B19">
            <v>6288458.5</v>
          </cell>
        </row>
        <row r="22">
          <cell r="B22">
            <v>28708227.259999998</v>
          </cell>
        </row>
        <row r="23">
          <cell r="B23">
            <v>242525.97</v>
          </cell>
        </row>
        <row r="33">
          <cell r="B33">
            <v>-3343943.5399999917</v>
          </cell>
          <cell r="C33">
            <v>120373832.36989999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71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39" customWidth="1"/>
    <col min="16" max="16" width="16.28515625" hidden="1" customWidth="1"/>
    <col min="17" max="17" width="15.140625" hidden="1" customWidth="1"/>
    <col min="18" max="18" width="9.140625" hidden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39" customWidth="1"/>
    <col min="272" max="274" width="0" hidden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39" customWidth="1"/>
    <col min="528" max="530" width="0" hidden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39" customWidth="1"/>
    <col min="784" max="786" width="0" hidden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39" customWidth="1"/>
    <col min="1040" max="1042" width="0" hidden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39" customWidth="1"/>
    <col min="1296" max="1298" width="0" hidden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39" customWidth="1"/>
    <col min="1552" max="1554" width="0" hidden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39" customWidth="1"/>
    <col min="1808" max="1810" width="0" hidden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39" customWidth="1"/>
    <col min="2064" max="2066" width="0" hidden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39" customWidth="1"/>
    <col min="2320" max="2322" width="0" hidden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39" customWidth="1"/>
    <col min="2576" max="2578" width="0" hidden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39" customWidth="1"/>
    <col min="2832" max="2834" width="0" hidden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39" customWidth="1"/>
    <col min="3088" max="3090" width="0" hidden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39" customWidth="1"/>
    <col min="3344" max="3346" width="0" hidden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39" customWidth="1"/>
    <col min="3600" max="3602" width="0" hidden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39" customWidth="1"/>
    <col min="3856" max="3858" width="0" hidden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39" customWidth="1"/>
    <col min="4112" max="4114" width="0" hidden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39" customWidth="1"/>
    <col min="4368" max="4370" width="0" hidden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39" customWidth="1"/>
    <col min="4624" max="4626" width="0" hidden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39" customWidth="1"/>
    <col min="4880" max="4882" width="0" hidden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39" customWidth="1"/>
    <col min="5136" max="5138" width="0" hidden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39" customWidth="1"/>
    <col min="5392" max="5394" width="0" hidden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39" customWidth="1"/>
    <col min="5648" max="5650" width="0" hidden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39" customWidth="1"/>
    <col min="5904" max="5906" width="0" hidden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39" customWidth="1"/>
    <col min="6160" max="6162" width="0" hidden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39" customWidth="1"/>
    <col min="6416" max="6418" width="0" hidden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39" customWidth="1"/>
    <col min="6672" max="6674" width="0" hidden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39" customWidth="1"/>
    <col min="6928" max="6930" width="0" hidden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39" customWidth="1"/>
    <col min="7184" max="7186" width="0" hidden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39" customWidth="1"/>
    <col min="7440" max="7442" width="0" hidden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39" customWidth="1"/>
    <col min="7696" max="7698" width="0" hidden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39" customWidth="1"/>
    <col min="7952" max="7954" width="0" hidden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39" customWidth="1"/>
    <col min="8208" max="8210" width="0" hidden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39" customWidth="1"/>
    <col min="8464" max="8466" width="0" hidden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39" customWidth="1"/>
    <col min="8720" max="8722" width="0" hidden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39" customWidth="1"/>
    <col min="8976" max="8978" width="0" hidden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39" customWidth="1"/>
    <col min="9232" max="9234" width="0" hidden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39" customWidth="1"/>
    <col min="9488" max="9490" width="0" hidden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39" customWidth="1"/>
    <col min="9744" max="9746" width="0" hidden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39" customWidth="1"/>
    <col min="10000" max="10002" width="0" hidden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39" customWidth="1"/>
    <col min="10256" max="10258" width="0" hidden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39" customWidth="1"/>
    <col min="10512" max="10514" width="0" hidden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39" customWidth="1"/>
    <col min="10768" max="10770" width="0" hidden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39" customWidth="1"/>
    <col min="11024" max="11026" width="0" hidden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39" customWidth="1"/>
    <col min="11280" max="11282" width="0" hidden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39" customWidth="1"/>
    <col min="11536" max="11538" width="0" hidden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39" customWidth="1"/>
    <col min="11792" max="11794" width="0" hidden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39" customWidth="1"/>
    <col min="12048" max="12050" width="0" hidden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39" customWidth="1"/>
    <col min="12304" max="12306" width="0" hidden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39" customWidth="1"/>
    <col min="12560" max="12562" width="0" hidden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39" customWidth="1"/>
    <col min="12816" max="12818" width="0" hidden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39" customWidth="1"/>
    <col min="13072" max="13074" width="0" hidden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39" customWidth="1"/>
    <col min="13328" max="13330" width="0" hidden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39" customWidth="1"/>
    <col min="13584" max="13586" width="0" hidden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39" customWidth="1"/>
    <col min="13840" max="13842" width="0" hidden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39" customWidth="1"/>
    <col min="14096" max="14098" width="0" hidden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39" customWidth="1"/>
    <col min="14352" max="14354" width="0" hidden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39" customWidth="1"/>
    <col min="14608" max="14610" width="0" hidden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39" customWidth="1"/>
    <col min="14864" max="14866" width="0" hidden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39" customWidth="1"/>
    <col min="15120" max="15122" width="0" hidden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39" customWidth="1"/>
    <col min="15376" max="15378" width="0" hidden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39" customWidth="1"/>
    <col min="15632" max="15634" width="0" hidden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39" customWidth="1"/>
    <col min="15888" max="15890" width="0" hidden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39" customWidth="1"/>
    <col min="16144" max="16146" width="0" hidden="1" customWidth="1"/>
  </cols>
  <sheetData>
    <row r="4" spans="1:18" x14ac:dyDescent="0.25">
      <c r="A4" s="1" t="str">
        <f>+[1]BALANZA!B1</f>
        <v>CORPORACION DEL ACUEDUCTO Y ALCANTARILLADO DE MOCA</v>
      </c>
      <c r="B4" s="1"/>
      <c r="C4" s="1"/>
    </row>
    <row r="5" spans="1:18" x14ac:dyDescent="0.25">
      <c r="A5" s="1" t="s">
        <v>0</v>
      </c>
      <c r="B5" s="1"/>
      <c r="C5" s="1"/>
    </row>
    <row r="6" spans="1:18" x14ac:dyDescent="0.25">
      <c r="A6" s="1" t="str">
        <f>CONCATENATE("Al ",[1]BALANZA!B3, " Y ",[1]BALANZA!C4)</f>
        <v>Al 30 de ABRIL del 2026 Y 2025</v>
      </c>
      <c r="B6" s="1"/>
      <c r="C6" s="1"/>
    </row>
    <row r="7" spans="1:18" x14ac:dyDescent="0.25">
      <c r="A7" s="1" t="s">
        <v>1</v>
      </c>
      <c r="B7" s="1"/>
      <c r="C7" s="1"/>
    </row>
    <row r="8" spans="1:18" ht="18.75" x14ac:dyDescent="0.25">
      <c r="A8" s="5"/>
      <c r="B8" s="6">
        <f>+[1]BALANZA!B4</f>
        <v>2026</v>
      </c>
      <c r="C8" s="6">
        <f>+[1]BALANZA!C4</f>
        <v>2025</v>
      </c>
      <c r="I8" s="7"/>
      <c r="Q8">
        <v>2025</v>
      </c>
      <c r="R8">
        <v>2024</v>
      </c>
    </row>
    <row r="9" spans="1:18" x14ac:dyDescent="0.25">
      <c r="A9" s="8" t="s">
        <v>2</v>
      </c>
      <c r="B9" s="9"/>
      <c r="C9" s="10"/>
      <c r="I9" s="7"/>
    </row>
    <row r="10" spans="1:18" ht="15.75" x14ac:dyDescent="0.25">
      <c r="A10" s="8" t="s">
        <v>3</v>
      </c>
      <c r="B10" s="11"/>
      <c r="C10" s="12"/>
      <c r="I10" s="7"/>
    </row>
    <row r="11" spans="1:18" x14ac:dyDescent="0.25">
      <c r="A11" s="13" t="s">
        <v>4</v>
      </c>
      <c r="B11" s="14">
        <f>+'[1]Notas NF'!C127</f>
        <v>398078562.25</v>
      </c>
      <c r="C11" s="14">
        <f>+'[1]Notas NF'!D127</f>
        <v>422773433.54999995</v>
      </c>
      <c r="E11" s="4"/>
      <c r="F11" s="4"/>
      <c r="I11" s="7">
        <f t="shared" ref="I11:I17" si="0">+C11-B11</f>
        <v>24694871.299999952</v>
      </c>
      <c r="N11" s="15"/>
      <c r="O11" s="16"/>
      <c r="P11" s="4"/>
      <c r="Q11" s="4">
        <v>422773433.54999995</v>
      </c>
      <c r="R11">
        <v>305489331.63000005</v>
      </c>
    </row>
    <row r="12" spans="1:18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>
        <v>0</v>
      </c>
      <c r="R12">
        <v>0</v>
      </c>
    </row>
    <row r="13" spans="1:18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>
        <v>0</v>
      </c>
      <c r="R13">
        <v>0</v>
      </c>
    </row>
    <row r="14" spans="1:18" x14ac:dyDescent="0.25">
      <c r="A14" s="13" t="s">
        <v>7</v>
      </c>
      <c r="B14" s="14">
        <f>+'[1]Notas NF'!C154</f>
        <v>0</v>
      </c>
      <c r="C14" s="14">
        <f>+'[1]Notas NF'!D154</f>
        <v>0</v>
      </c>
      <c r="E14" s="4">
        <f t="shared" si="1"/>
        <v>0</v>
      </c>
      <c r="F14" s="4"/>
      <c r="I14" s="7">
        <f t="shared" si="0"/>
        <v>0</v>
      </c>
      <c r="N14" s="15"/>
      <c r="O14" s="16"/>
      <c r="P14" s="4"/>
      <c r="Q14" s="4">
        <v>0</v>
      </c>
      <c r="R14">
        <v>1350.12</v>
      </c>
    </row>
    <row r="15" spans="1:18" x14ac:dyDescent="0.25">
      <c r="A15" s="13" t="s">
        <v>8</v>
      </c>
      <c r="B15" s="14">
        <f>+'[1]Notas NF'!C168</f>
        <v>12968709.01</v>
      </c>
      <c r="C15" s="14">
        <f>+'[1]Notas NF'!D168</f>
        <v>15776376.33</v>
      </c>
      <c r="E15" s="4">
        <f t="shared" si="1"/>
        <v>-2807667.3200000003</v>
      </c>
      <c r="F15" s="4">
        <f>+E15</f>
        <v>-2807667.3200000003</v>
      </c>
      <c r="I15" s="7">
        <f t="shared" si="0"/>
        <v>2807667.3200000003</v>
      </c>
      <c r="J15" s="15">
        <f>+B15-C15</f>
        <v>-2807667.3200000003</v>
      </c>
      <c r="N15" s="17">
        <f>+B15-C15</f>
        <v>-2807667.3200000003</v>
      </c>
      <c r="O15" s="16"/>
      <c r="P15" s="4"/>
      <c r="Q15" s="4">
        <v>15776376.33</v>
      </c>
      <c r="R15">
        <v>18382280.280000001</v>
      </c>
    </row>
    <row r="16" spans="1:18" x14ac:dyDescent="0.25">
      <c r="A16" s="13" t="s">
        <v>9</v>
      </c>
      <c r="B16" s="14">
        <f>+'[1]Notas NF'!C200</f>
        <v>271416.09999999998</v>
      </c>
      <c r="C16" s="14">
        <f>+'[1]Notas NF'!D200</f>
        <v>488548.94</v>
      </c>
      <c r="E16" s="4">
        <f t="shared" si="1"/>
        <v>-217132.84000000003</v>
      </c>
      <c r="F16" s="4">
        <f>-E16+1800</f>
        <v>218932.84000000003</v>
      </c>
      <c r="G16" s="4">
        <f>+F16/5</f>
        <v>43786.568000000007</v>
      </c>
      <c r="I16" s="7">
        <f t="shared" si="0"/>
        <v>217132.84000000003</v>
      </c>
      <c r="J16" s="15">
        <f>+B16-C16</f>
        <v>-217132.84000000003</v>
      </c>
      <c r="N16" s="17">
        <f>+B16-C16</f>
        <v>-217132.84000000003</v>
      </c>
      <c r="O16" s="16"/>
      <c r="P16" s="4"/>
      <c r="Q16" s="4">
        <v>488548.94</v>
      </c>
      <c r="R16">
        <v>422306.74</v>
      </c>
    </row>
    <row r="17" spans="1:18" x14ac:dyDescent="0.25">
      <c r="A17" s="13" t="s">
        <v>10</v>
      </c>
      <c r="B17" s="18">
        <f>+'[1]Notas NF'!C226</f>
        <v>0</v>
      </c>
      <c r="C17" s="18">
        <f>+'[1]Notas NF'!D226</f>
        <v>0</v>
      </c>
      <c r="E17" s="4">
        <f t="shared" si="1"/>
        <v>0</v>
      </c>
      <c r="F17" s="4">
        <f>SUM(F15:F16)</f>
        <v>-2588734.4800000004</v>
      </c>
      <c r="G17" s="4">
        <f>+F17+'[1]Pres A'!O310</f>
        <v>-2588734.4800000004</v>
      </c>
      <c r="I17" s="7">
        <f t="shared" si="0"/>
        <v>0</v>
      </c>
      <c r="J17" s="15"/>
      <c r="N17" s="17"/>
      <c r="O17" s="16"/>
      <c r="P17" s="4"/>
      <c r="Q17" s="4">
        <v>0</v>
      </c>
      <c r="R17">
        <v>193172</v>
      </c>
    </row>
    <row r="18" spans="1:18" x14ac:dyDescent="0.25">
      <c r="A18" s="8" t="s">
        <v>11</v>
      </c>
      <c r="B18" s="19">
        <f>SUM(B11:B17)</f>
        <v>411318687.36000001</v>
      </c>
      <c r="C18" s="19">
        <f>SUM(C11:C17)</f>
        <v>439038358.81999993</v>
      </c>
      <c r="E18" s="4">
        <f>SUM(E15:E17)</f>
        <v>-3024800.16</v>
      </c>
      <c r="F18" s="4"/>
      <c r="I18" s="7">
        <f>SUM(I11:I17)</f>
        <v>27719671.459999952</v>
      </c>
      <c r="J18" s="20">
        <f>SUM(I14:I17)</f>
        <v>3024800.16</v>
      </c>
      <c r="N18" s="17">
        <f>SUM(N15:N17)</f>
        <v>-3024800.16</v>
      </c>
      <c r="O18" s="16"/>
      <c r="P18" s="4"/>
      <c r="Q18" s="4">
        <v>439038358.81999993</v>
      </c>
      <c r="R18">
        <v>324488440.7700001</v>
      </c>
    </row>
    <row r="19" spans="1:18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8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>
        <v>0</v>
      </c>
      <c r="R20">
        <v>0</v>
      </c>
    </row>
    <row r="21" spans="1:18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>
        <v>0</v>
      </c>
      <c r="R21">
        <v>0</v>
      </c>
    </row>
    <row r="22" spans="1:18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>
        <v>0</v>
      </c>
      <c r="R22">
        <v>0</v>
      </c>
    </row>
    <row r="23" spans="1:18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>
        <v>0</v>
      </c>
      <c r="R23">
        <v>0</v>
      </c>
    </row>
    <row r="24" spans="1:18" x14ac:dyDescent="0.25">
      <c r="A24" s="13" t="s">
        <v>17</v>
      </c>
      <c r="B24" s="14">
        <f>+[1]nota12!K32</f>
        <v>802189429.66000009</v>
      </c>
      <c r="C24" s="14">
        <f>+[1]nota12!K17</f>
        <v>778387439.07000005</v>
      </c>
      <c r="E24" s="4">
        <f t="shared" si="1"/>
        <v>23801990.590000033</v>
      </c>
      <c r="F24" s="4"/>
      <c r="I24" s="7">
        <f t="shared" ref="I24:I29" si="3">+C24-B24</f>
        <v>-23801990.590000033</v>
      </c>
      <c r="J24" s="22">
        <f>+B24-C24</f>
        <v>23801990.590000033</v>
      </c>
      <c r="N24" s="15"/>
      <c r="O24" s="16"/>
      <c r="P24" s="4"/>
      <c r="Q24" s="4">
        <v>778387439.07000005</v>
      </c>
      <c r="R24">
        <v>777750597.29999995</v>
      </c>
    </row>
    <row r="25" spans="1:18" x14ac:dyDescent="0.25">
      <c r="A25" s="13" t="s">
        <v>18</v>
      </c>
      <c r="B25" s="14">
        <f>+'[1]Notas NF'!C374</f>
        <v>52140</v>
      </c>
      <c r="C25" s="14">
        <f>+'[1]Notas NF'!D374</f>
        <v>121660</v>
      </c>
      <c r="E25" s="4">
        <f t="shared" si="1"/>
        <v>-69520</v>
      </c>
      <c r="F25" s="4"/>
      <c r="I25" s="7">
        <f t="shared" si="3"/>
        <v>69520</v>
      </c>
      <c r="J25" s="22">
        <f>+B25-C25</f>
        <v>-69520</v>
      </c>
      <c r="N25" s="15"/>
      <c r="O25" s="16"/>
      <c r="P25" s="4"/>
      <c r="Q25" s="4">
        <v>121660</v>
      </c>
      <c r="R25">
        <v>0</v>
      </c>
    </row>
    <row r="26" spans="1:18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>
        <v>0</v>
      </c>
      <c r="R26">
        <v>0</v>
      </c>
    </row>
    <row r="27" spans="1:18" x14ac:dyDescent="0.25">
      <c r="A27" s="8" t="s">
        <v>20</v>
      </c>
      <c r="B27" s="19">
        <f>SUM(B20:B26)</f>
        <v>802241569.66000009</v>
      </c>
      <c r="C27" s="19">
        <f>SUM(C20:C26)</f>
        <v>778509099.07000005</v>
      </c>
      <c r="E27" s="4">
        <f>SUM(E12:E26)</f>
        <v>17682870.270000033</v>
      </c>
      <c r="F27" s="4">
        <f>+E27+E16+E15</f>
        <v>14658070.110000033</v>
      </c>
      <c r="I27" s="7">
        <f t="shared" si="3"/>
        <v>-23732470.590000033</v>
      </c>
      <c r="J27" s="22">
        <f>+B27-C27</f>
        <v>23732470.590000033</v>
      </c>
      <c r="N27" s="15"/>
      <c r="O27" s="16"/>
      <c r="P27" s="4"/>
      <c r="Q27" s="4">
        <v>778509099.07000005</v>
      </c>
      <c r="R27">
        <v>777750597.29999995</v>
      </c>
    </row>
    <row r="28" spans="1:18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-23732470.590000033</v>
      </c>
      <c r="N28" s="15"/>
      <c r="O28" s="16"/>
      <c r="P28" s="4"/>
      <c r="Q28" s="4"/>
    </row>
    <row r="29" spans="1:18" ht="15.75" thickBot="1" x14ac:dyDescent="0.3">
      <c r="A29" s="8" t="s">
        <v>21</v>
      </c>
      <c r="B29" s="23">
        <f>+B27+B18</f>
        <v>1213560257.02</v>
      </c>
      <c r="C29" s="23">
        <f>+C27+C18</f>
        <v>1217547457.8899999</v>
      </c>
      <c r="E29" s="4">
        <f t="shared" si="1"/>
        <v>-3987200.8699998856</v>
      </c>
      <c r="F29" s="4"/>
      <c r="G29" s="4">
        <f>+[1]BALANZA!C12:C32</f>
        <v>99000</v>
      </c>
      <c r="I29" s="7">
        <f t="shared" si="3"/>
        <v>3987200.8699998856</v>
      </c>
      <c r="J29" s="22">
        <f t="shared" si="2"/>
        <v>47464941.180000067</v>
      </c>
      <c r="N29" s="15"/>
      <c r="O29" s="16"/>
      <c r="P29" s="4"/>
      <c r="Q29" s="4">
        <v>1217547457.8899999</v>
      </c>
      <c r="R29">
        <v>1102239038.0700002</v>
      </c>
    </row>
    <row r="30" spans="1:18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8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8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>
        <v>0</v>
      </c>
      <c r="R32">
        <v>0</v>
      </c>
    </row>
    <row r="33" spans="1:18" x14ac:dyDescent="0.25">
      <c r="A33" s="13" t="s">
        <v>25</v>
      </c>
      <c r="B33" s="14">
        <f>+'[1]Notas NF'!C394</f>
        <v>8308307.7599999998</v>
      </c>
      <c r="C33" s="14">
        <f>+'[1]Notas NF'!D394</f>
        <v>8951565.0899999999</v>
      </c>
      <c r="F33" s="4">
        <f>+C33-B33</f>
        <v>643257.33000000007</v>
      </c>
      <c r="N33" s="15"/>
      <c r="O33" s="16"/>
      <c r="P33" s="4"/>
      <c r="Q33" s="4">
        <v>8951565.0899999999</v>
      </c>
      <c r="R33">
        <v>15390184.529999999</v>
      </c>
    </row>
    <row r="34" spans="1:18" hidden="1" x14ac:dyDescent="0.25">
      <c r="A34" s="13" t="s">
        <v>26</v>
      </c>
      <c r="B34" s="14">
        <f>+'[1]Notas NF'!C405</f>
        <v>0</v>
      </c>
      <c r="C34" s="14">
        <f>+'[1]Notas NF'!D405</f>
        <v>0</v>
      </c>
      <c r="F34" s="4"/>
      <c r="N34" s="15"/>
      <c r="O34" s="16"/>
      <c r="P34" s="4"/>
      <c r="Q34" s="4">
        <v>0</v>
      </c>
      <c r="R34">
        <v>0</v>
      </c>
    </row>
    <row r="35" spans="1:18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>
        <v>0</v>
      </c>
      <c r="R35">
        <v>0</v>
      </c>
    </row>
    <row r="36" spans="1:18" x14ac:dyDescent="0.25">
      <c r="A36" s="13" t="s">
        <v>28</v>
      </c>
      <c r="B36" s="14">
        <f>+'[1]Notas NF'!C429+'[1]Notas NF'!C446</f>
        <v>139610.85</v>
      </c>
      <c r="C36" s="14">
        <f>+'[1]Notas NF'!D429+'[1]Notas NF'!D446</f>
        <v>139610.85100000002</v>
      </c>
      <c r="E36" s="4"/>
      <c r="F36" s="4">
        <f>+C36-B36</f>
        <v>1.0000000183936208E-3</v>
      </c>
      <c r="N36" s="15"/>
      <c r="O36" s="16"/>
      <c r="P36" s="4"/>
      <c r="Q36" s="4">
        <v>139610.85</v>
      </c>
      <c r="R36">
        <v>252299.30099999998</v>
      </c>
    </row>
    <row r="37" spans="1:18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>
        <v>0</v>
      </c>
      <c r="R37">
        <v>0</v>
      </c>
    </row>
    <row r="38" spans="1:18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>
        <v>0</v>
      </c>
      <c r="R38">
        <v>0</v>
      </c>
    </row>
    <row r="39" spans="1:18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8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>
        <v>0</v>
      </c>
      <c r="R40">
        <v>0</v>
      </c>
    </row>
    <row r="41" spans="1:18" x14ac:dyDescent="0.25">
      <c r="A41" s="8" t="s">
        <v>32</v>
      </c>
      <c r="B41" s="25">
        <f>SUM(B32:B40)</f>
        <v>8447918.6099999994</v>
      </c>
      <c r="C41" s="25">
        <f>SUM(C32:C40)</f>
        <v>9091175.9409999996</v>
      </c>
      <c r="F41" s="4">
        <f>SUM(F32:F40)</f>
        <v>643257.33100000012</v>
      </c>
      <c r="I41" s="7"/>
      <c r="N41" s="15"/>
      <c r="O41" s="16"/>
      <c r="P41" s="4"/>
      <c r="Q41" s="4">
        <v>9091175.9399999995</v>
      </c>
      <c r="R41">
        <v>15642483.831</v>
      </c>
    </row>
    <row r="42" spans="1:18" x14ac:dyDescent="0.25">
      <c r="A42" s="8"/>
      <c r="B42" s="21"/>
      <c r="C42" s="21"/>
      <c r="F42" s="4">
        <f>+[1]ERF!B19+[1]ERF!B22+[1]ERF!B23+[1]EFE2!B27</f>
        <v>35239211.729999997</v>
      </c>
      <c r="N42" s="15"/>
      <c r="O42" s="16"/>
      <c r="P42" s="4"/>
      <c r="Q42" s="4"/>
    </row>
    <row r="43" spans="1:18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8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>
        <v>0</v>
      </c>
      <c r="R44">
        <v>0</v>
      </c>
    </row>
    <row r="45" spans="1:18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>
        <v>0</v>
      </c>
      <c r="R45">
        <v>0</v>
      </c>
    </row>
    <row r="46" spans="1:18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>
        <v>0</v>
      </c>
      <c r="R46">
        <v>0</v>
      </c>
    </row>
    <row r="47" spans="1:18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>
        <v>0</v>
      </c>
      <c r="R47">
        <v>0</v>
      </c>
    </row>
    <row r="48" spans="1:18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>
        <v>0</v>
      </c>
      <c r="R48">
        <v>0</v>
      </c>
    </row>
    <row r="49" spans="1:18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>
        <v>0</v>
      </c>
      <c r="R49">
        <v>0</v>
      </c>
    </row>
    <row r="50" spans="1:18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>
        <v>0</v>
      </c>
      <c r="R50">
        <v>0</v>
      </c>
    </row>
    <row r="51" spans="1:18" x14ac:dyDescent="0.25">
      <c r="A51" s="8"/>
      <c r="B51" s="21"/>
      <c r="C51" s="21"/>
      <c r="N51" s="15"/>
      <c r="O51" s="16"/>
      <c r="P51" s="4"/>
      <c r="Q51" s="4"/>
    </row>
    <row r="52" spans="1:18" x14ac:dyDescent="0.25">
      <c r="A52" s="8" t="s">
        <v>41</v>
      </c>
      <c r="B52" s="25">
        <f>+B50+B41</f>
        <v>8447918.6099999994</v>
      </c>
      <c r="C52" s="25">
        <f>+C50+C41</f>
        <v>9091175.9409999996</v>
      </c>
      <c r="N52" s="15"/>
      <c r="O52" s="16"/>
      <c r="P52" s="4"/>
      <c r="Q52" s="4">
        <v>9091175.9399999995</v>
      </c>
      <c r="R52">
        <v>15642483.831</v>
      </c>
    </row>
    <row r="53" spans="1:18" x14ac:dyDescent="0.25">
      <c r="A53" s="8"/>
      <c r="B53" s="26"/>
      <c r="C53" s="26"/>
      <c r="N53" s="15"/>
      <c r="O53" s="16"/>
      <c r="P53" s="4"/>
      <c r="Q53" s="4"/>
    </row>
    <row r="54" spans="1:18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8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>
        <v>808793054.60000002</v>
      </c>
      <c r="R55">
        <v>808793054.60000002</v>
      </c>
    </row>
    <row r="56" spans="1:18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>
        <v>0</v>
      </c>
      <c r="R56">
        <v>0</v>
      </c>
    </row>
    <row r="57" spans="1:18" x14ac:dyDescent="0.25">
      <c r="A57" s="13" t="s">
        <v>45</v>
      </c>
      <c r="B57" s="14">
        <f>+[1]ERF!B33</f>
        <v>-3343943.5399999917</v>
      </c>
      <c r="C57" s="14">
        <f>+[1]ERF!C33</f>
        <v>120373832.36989999</v>
      </c>
      <c r="F57" s="4"/>
      <c r="L57">
        <v>-92287742.719999999</v>
      </c>
      <c r="N57" s="15"/>
      <c r="O57" s="16"/>
      <c r="P57" s="4"/>
      <c r="Q57" s="4">
        <v>120373832.37</v>
      </c>
      <c r="R57">
        <v>41656479.65989995</v>
      </c>
    </row>
    <row r="58" spans="1:18" x14ac:dyDescent="0.25">
      <c r="A58" s="13" t="s">
        <v>46</v>
      </c>
      <c r="B58" s="14">
        <f>SUM('[1]Notas NF'!C459:C461)-B57</f>
        <v>399663227.34979999</v>
      </c>
      <c r="C58" s="14">
        <f>SUM('[1]Notas NF'!D459:D461)-C57</f>
        <v>279289394.97989994</v>
      </c>
      <c r="D58" s="15"/>
      <c r="F58" s="4"/>
      <c r="L58">
        <v>285779911.76999998</v>
      </c>
      <c r="N58" s="15"/>
      <c r="O58" s="16">
        <f>C58-Q58</f>
        <v>0</v>
      </c>
      <c r="P58" s="4"/>
      <c r="Q58" s="4">
        <v>279289394.97989994</v>
      </c>
      <c r="R58">
        <v>236147019.98000002</v>
      </c>
    </row>
    <row r="59" spans="1:18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>
        <v>0</v>
      </c>
      <c r="R59">
        <v>0</v>
      </c>
    </row>
    <row r="60" spans="1:18" x14ac:dyDescent="0.25">
      <c r="A60" s="8" t="s">
        <v>48</v>
      </c>
      <c r="B60" s="25">
        <f>SUM(B55:B59)</f>
        <v>1205112338.4098001</v>
      </c>
      <c r="C60" s="25">
        <f>SUM(C55:C59)</f>
        <v>1208456281.9498</v>
      </c>
      <c r="F60" s="4"/>
      <c r="I60" s="7"/>
      <c r="L60">
        <f>SUM(L57:L59)</f>
        <v>193492169.04999998</v>
      </c>
      <c r="N60" s="15"/>
      <c r="O60" s="16"/>
      <c r="P60" s="4"/>
      <c r="Q60" s="4">
        <v>1208456281.9498999</v>
      </c>
      <c r="R60">
        <v>1086596554.2399001</v>
      </c>
    </row>
    <row r="61" spans="1:18" x14ac:dyDescent="0.25">
      <c r="B61" s="4"/>
      <c r="C61" s="4"/>
      <c r="I61" s="7"/>
      <c r="N61" s="15"/>
      <c r="O61" s="16"/>
      <c r="P61" s="4"/>
      <c r="Q61" s="4"/>
    </row>
    <row r="62" spans="1:18" ht="15.75" thickBot="1" x14ac:dyDescent="0.3">
      <c r="A62" s="8" t="s">
        <v>49</v>
      </c>
      <c r="B62" s="23">
        <f>+B60+B52</f>
        <v>1213560257.0197999</v>
      </c>
      <c r="C62" s="23">
        <f>+C60+C52</f>
        <v>1217547457.8908</v>
      </c>
      <c r="I62" s="7"/>
      <c r="N62" s="15"/>
      <c r="O62" s="16"/>
      <c r="P62" s="4"/>
      <c r="Q62" s="4">
        <v>1217547457.8899</v>
      </c>
      <c r="R62">
        <v>1102239038.0709002</v>
      </c>
    </row>
    <row r="63" spans="1:18" ht="15.75" thickTop="1" x14ac:dyDescent="0.25">
      <c r="B63" s="27">
        <f>+B29-B52-B60</f>
        <v>2.0003318786621094E-4</v>
      </c>
      <c r="C63" s="27">
        <f>+C29-C52-C60</f>
        <v>-8.0013275146484375E-4</v>
      </c>
      <c r="O63" s="4"/>
      <c r="P63" s="4"/>
      <c r="Q63">
        <v>9.9897384643554688E-5</v>
      </c>
      <c r="R63">
        <v>-9.0003013610839844E-4</v>
      </c>
    </row>
    <row r="64" spans="1:18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2026-05-13T15:21:02Z</dcterms:created>
  <dcterms:modified xsi:type="dcterms:W3CDTF">2026-05-13T15:21:29Z</dcterms:modified>
</cp:coreProperties>
</file>