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60" i="1" l="1"/>
  <c r="D654" i="1"/>
  <c r="D660" i="1" s="1"/>
  <c r="D653" i="1"/>
  <c r="D650" i="1"/>
  <c r="C650" i="1"/>
  <c r="C653" i="1" s="1"/>
  <c r="C661" i="1" s="1"/>
  <c r="B645" i="1"/>
  <c r="D634" i="1"/>
  <c r="B633" i="1"/>
  <c r="B646" i="1" s="1"/>
  <c r="B630" i="1"/>
  <c r="D623" i="1"/>
  <c r="D624" i="1" s="1"/>
  <c r="C623" i="1"/>
  <c r="E623" i="1" s="1"/>
  <c r="D622" i="1"/>
  <c r="C622" i="1"/>
  <c r="C624" i="1" s="1"/>
  <c r="C625" i="1" s="1"/>
  <c r="B621" i="1"/>
  <c r="B619" i="1"/>
  <c r="E610" i="1"/>
  <c r="D610" i="1"/>
  <c r="C610" i="1"/>
  <c r="D609" i="1"/>
  <c r="C609" i="1"/>
  <c r="E609" i="1" s="1"/>
  <c r="D608" i="1"/>
  <c r="C608" i="1"/>
  <c r="E608" i="1" s="1"/>
  <c r="G607" i="1"/>
  <c r="D607" i="1"/>
  <c r="C607" i="1"/>
  <c r="E607" i="1" s="1"/>
  <c r="E606" i="1"/>
  <c r="D606" i="1"/>
  <c r="C606" i="1"/>
  <c r="E605" i="1"/>
  <c r="D605" i="1"/>
  <c r="C605" i="1"/>
  <c r="D604" i="1"/>
  <c r="C604" i="1"/>
  <c r="E604" i="1" s="1"/>
  <c r="D603" i="1"/>
  <c r="C603" i="1"/>
  <c r="E603" i="1" s="1"/>
  <c r="E602" i="1"/>
  <c r="D602" i="1"/>
  <c r="D611" i="1" s="1"/>
  <c r="C602" i="1"/>
  <c r="C611" i="1" s="1"/>
  <c r="C612" i="1" s="1"/>
  <c r="D601" i="1"/>
  <c r="D621" i="1" s="1"/>
  <c r="D633" i="1" s="1"/>
  <c r="D646" i="1" s="1"/>
  <c r="C601" i="1"/>
  <c r="C621" i="1" s="1"/>
  <c r="C633" i="1" s="1"/>
  <c r="B599" i="1"/>
  <c r="E588" i="1"/>
  <c r="C587" i="1"/>
  <c r="D586" i="1"/>
  <c r="C586" i="1"/>
  <c r="C589" i="1" s="1"/>
  <c r="C590" i="1" s="1"/>
  <c r="D585" i="1"/>
  <c r="C585" i="1"/>
  <c r="B583" i="1"/>
  <c r="E575" i="1"/>
  <c r="D575" i="1"/>
  <c r="C575" i="1"/>
  <c r="E574" i="1"/>
  <c r="D574" i="1"/>
  <c r="AA574" i="1" s="1"/>
  <c r="C574" i="1"/>
  <c r="E573" i="1"/>
  <c r="D573" i="1"/>
  <c r="AA573" i="1" s="1"/>
  <c r="C573" i="1"/>
  <c r="E572" i="1"/>
  <c r="D572" i="1"/>
  <c r="AA572" i="1" s="1"/>
  <c r="C572" i="1"/>
  <c r="E571" i="1"/>
  <c r="D571" i="1"/>
  <c r="AA571" i="1" s="1"/>
  <c r="C571" i="1"/>
  <c r="D570" i="1"/>
  <c r="E570" i="1" s="1"/>
  <c r="C570" i="1"/>
  <c r="D569" i="1"/>
  <c r="E569" i="1" s="1"/>
  <c r="E576" i="1" s="1"/>
  <c r="C569" i="1"/>
  <c r="C576" i="1" s="1"/>
  <c r="C577" i="1" s="1"/>
  <c r="D568" i="1"/>
  <c r="C568" i="1"/>
  <c r="B566" i="1"/>
  <c r="C560" i="1"/>
  <c r="C559" i="1"/>
  <c r="E557" i="1"/>
  <c r="D557" i="1"/>
  <c r="D559" i="1" s="1"/>
  <c r="C557" i="1"/>
  <c r="D556" i="1"/>
  <c r="C556" i="1"/>
  <c r="B554" i="1"/>
  <c r="D543" i="1"/>
  <c r="C543" i="1"/>
  <c r="E543" i="1" s="1"/>
  <c r="E542" i="1"/>
  <c r="D542" i="1"/>
  <c r="C542" i="1"/>
  <c r="D541" i="1"/>
  <c r="E541" i="1" s="1"/>
  <c r="C541" i="1"/>
  <c r="D540" i="1"/>
  <c r="C540" i="1"/>
  <c r="E540" i="1" s="1"/>
  <c r="D539" i="1"/>
  <c r="C539" i="1"/>
  <c r="E539" i="1" s="1"/>
  <c r="E538" i="1"/>
  <c r="D538" i="1"/>
  <c r="C538" i="1"/>
  <c r="D537" i="1"/>
  <c r="E537" i="1" s="1"/>
  <c r="C537" i="1"/>
  <c r="D536" i="1"/>
  <c r="C536" i="1"/>
  <c r="E536" i="1" s="1"/>
  <c r="D535" i="1"/>
  <c r="C535" i="1"/>
  <c r="E535" i="1" s="1"/>
  <c r="J534" i="1"/>
  <c r="D534" i="1"/>
  <c r="D544" i="1" s="1"/>
  <c r="C534" i="1"/>
  <c r="C544" i="1" s="1"/>
  <c r="L533" i="1"/>
  <c r="L535" i="1" s="1"/>
  <c r="K533" i="1"/>
  <c r="D533" i="1"/>
  <c r="C533" i="1"/>
  <c r="B533" i="1"/>
  <c r="L532" i="1"/>
  <c r="L531" i="1"/>
  <c r="K531" i="1"/>
  <c r="B531" i="1"/>
  <c r="K530" i="1"/>
  <c r="K529"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E510" i="1"/>
  <c r="E522" i="1" s="1"/>
  <c r="D510" i="1"/>
  <c r="D522" i="1" s="1"/>
  <c r="C525" i="1" s="1"/>
  <c r="C510" i="1"/>
  <c r="C522" i="1" s="1"/>
  <c r="S504" i="1"/>
  <c r="T504" i="1" s="1"/>
  <c r="V503" i="1"/>
  <c r="U503" i="1"/>
  <c r="T503" i="1"/>
  <c r="S503" i="1"/>
  <c r="W503" i="1" s="1"/>
  <c r="S502" i="1"/>
  <c r="T502" i="1" s="1"/>
  <c r="U501" i="1"/>
  <c r="T501" i="1"/>
  <c r="S501" i="1"/>
  <c r="V501" i="1" s="1"/>
  <c r="V500" i="1"/>
  <c r="U500" i="1"/>
  <c r="T500" i="1"/>
  <c r="S500" i="1"/>
  <c r="R500" i="1"/>
  <c r="B500" i="1"/>
  <c r="V499" i="1"/>
  <c r="U499" i="1"/>
  <c r="T499" i="1"/>
  <c r="S499" i="1"/>
  <c r="R499" i="1" s="1"/>
  <c r="U498" i="1"/>
  <c r="N497" i="1"/>
  <c r="E495" i="1"/>
  <c r="V494" i="1"/>
  <c r="N494" i="1"/>
  <c r="C494" i="1"/>
  <c r="S494" i="1" s="1"/>
  <c r="V493" i="1"/>
  <c r="U493" i="1"/>
  <c r="S493" i="1"/>
  <c r="R493" i="1"/>
  <c r="E493" i="1"/>
  <c r="C493" i="1"/>
  <c r="T493" i="1" s="1"/>
  <c r="V492" i="1"/>
  <c r="U492" i="1"/>
  <c r="T492" i="1"/>
  <c r="E492" i="1"/>
  <c r="D492" i="1"/>
  <c r="V498" i="1" s="1"/>
  <c r="C492" i="1"/>
  <c r="C496" i="1" s="1"/>
  <c r="U496" i="1" s="1"/>
  <c r="W491" i="1"/>
  <c r="V491" i="1"/>
  <c r="U491" i="1"/>
  <c r="T491" i="1"/>
  <c r="S491" i="1"/>
  <c r="R491" i="1"/>
  <c r="D491" i="1"/>
  <c r="C491" i="1"/>
  <c r="B490" i="1"/>
  <c r="B488" i="1"/>
  <c r="B486" i="1"/>
  <c r="E478" i="1"/>
  <c r="D478" i="1"/>
  <c r="D477" i="1"/>
  <c r="D479" i="1" s="1"/>
  <c r="C477" i="1"/>
  <c r="B472" i="1"/>
  <c r="AA462" i="1"/>
  <c r="X462" i="1"/>
  <c r="AA461" i="1"/>
  <c r="C461" i="1"/>
  <c r="V461" i="1" s="1"/>
  <c r="E460" i="1"/>
  <c r="D460" i="1"/>
  <c r="C458" i="1" s="1"/>
  <c r="C460" i="1"/>
  <c r="E459" i="1"/>
  <c r="C459" i="1"/>
  <c r="E458" i="1"/>
  <c r="D457" i="1"/>
  <c r="D461" i="1" s="1"/>
  <c r="C457" i="1"/>
  <c r="D456" i="1"/>
  <c r="C456" i="1"/>
  <c r="B453" i="1"/>
  <c r="D447" i="1"/>
  <c r="AA446" i="1"/>
  <c r="Y446" i="1"/>
  <c r="X446" i="1"/>
  <c r="W446" i="1"/>
  <c r="AA445" i="1"/>
  <c r="E444" i="1"/>
  <c r="D444" i="1"/>
  <c r="C444" i="1"/>
  <c r="D443" i="1"/>
  <c r="E443" i="1" s="1"/>
  <c r="C443" i="1"/>
  <c r="D442" i="1"/>
  <c r="C442" i="1"/>
  <c r="E442" i="1" s="1"/>
  <c r="D441" i="1"/>
  <c r="C441" i="1"/>
  <c r="E441" i="1" s="1"/>
  <c r="E440" i="1"/>
  <c r="D440" i="1"/>
  <c r="C440" i="1"/>
  <c r="E439" i="1"/>
  <c r="D439" i="1"/>
  <c r="C439" i="1"/>
  <c r="D438" i="1"/>
  <c r="D445" i="1" s="1"/>
  <c r="C438" i="1"/>
  <c r="C445" i="1" s="1"/>
  <c r="B433" i="1"/>
  <c r="D426" i="1"/>
  <c r="E426" i="1" s="1"/>
  <c r="C426" i="1"/>
  <c r="D425" i="1"/>
  <c r="C425" i="1"/>
  <c r="C428" i="1" s="1"/>
  <c r="B421" i="1"/>
  <c r="D403" i="1"/>
  <c r="D404" i="1" s="1"/>
  <c r="C403" i="1"/>
  <c r="C404" i="1" s="1"/>
  <c r="B399" i="1"/>
  <c r="K392" i="1"/>
  <c r="D392" i="1"/>
  <c r="C392" i="1"/>
  <c r="E392" i="1" s="1"/>
  <c r="C391" i="1"/>
  <c r="D390" i="1"/>
  <c r="D393" i="1" s="1"/>
  <c r="K389" i="1"/>
  <c r="D389" i="1"/>
  <c r="C389" i="1"/>
  <c r="B385" i="1"/>
  <c r="C373" i="1"/>
  <c r="U373" i="1" s="1"/>
  <c r="D372" i="1"/>
  <c r="D587" i="1" s="1"/>
  <c r="E587" i="1" s="1"/>
  <c r="C372" i="1"/>
  <c r="E372" i="1" s="1"/>
  <c r="E373" i="1" s="1"/>
  <c r="E371" i="1"/>
  <c r="D370" i="1"/>
  <c r="C370" i="1"/>
  <c r="B367" i="1"/>
  <c r="D323" i="1"/>
  <c r="E323" i="1" s="1"/>
  <c r="C323" i="1"/>
  <c r="E320" i="1"/>
  <c r="D319" i="1"/>
  <c r="D321" i="1" s="1"/>
  <c r="C319" i="1"/>
  <c r="C321" i="1" s="1"/>
  <c r="E318" i="1"/>
  <c r="E317" i="1"/>
  <c r="E316" i="1"/>
  <c r="E319" i="1" s="1"/>
  <c r="E321" i="1" s="1"/>
  <c r="E313" i="1"/>
  <c r="D312" i="1"/>
  <c r="D314" i="1" s="1"/>
  <c r="C312" i="1"/>
  <c r="C314" i="1" s="1"/>
  <c r="E311" i="1"/>
  <c r="E312" i="1" s="1"/>
  <c r="E314" i="1" s="1"/>
  <c r="E310" i="1"/>
  <c r="E308" i="1"/>
  <c r="F307" i="1"/>
  <c r="C306" i="1"/>
  <c r="C305" i="1"/>
  <c r="C304" i="1"/>
  <c r="E302" i="1"/>
  <c r="D302" i="1"/>
  <c r="C302" i="1"/>
  <c r="E301" i="1"/>
  <c r="E306" i="1" s="1"/>
  <c r="D301" i="1"/>
  <c r="D306" i="1" s="1"/>
  <c r="C301" i="1"/>
  <c r="E296" i="1"/>
  <c r="D295" i="1"/>
  <c r="E295" i="1" s="1"/>
  <c r="C295" i="1"/>
  <c r="D294" i="1"/>
  <c r="E294" i="1" s="1"/>
  <c r="C294" i="1"/>
  <c r="E291" i="1"/>
  <c r="D290" i="1"/>
  <c r="D292" i="1" s="1"/>
  <c r="C290" i="1"/>
  <c r="C292" i="1" s="1"/>
  <c r="C299" i="1" s="1"/>
  <c r="E289" i="1"/>
  <c r="E288" i="1"/>
  <c r="E290" i="1" s="1"/>
  <c r="E287" i="1"/>
  <c r="C283" i="1"/>
  <c r="C282" i="1"/>
  <c r="E281" i="1"/>
  <c r="D280" i="1"/>
  <c r="D279" i="1" s="1"/>
  <c r="D284" i="1" s="1"/>
  <c r="D286" i="1" s="1"/>
  <c r="E276" i="1"/>
  <c r="C274" i="1"/>
  <c r="E272" i="1"/>
  <c r="D271" i="1"/>
  <c r="E271" i="1" s="1"/>
  <c r="C270" i="1"/>
  <c r="C275" i="1" s="1"/>
  <c r="C277" i="1" s="1"/>
  <c r="E267" i="1"/>
  <c r="C265" i="1"/>
  <c r="B265" i="1"/>
  <c r="B274" i="1" s="1"/>
  <c r="B283" i="1" s="1"/>
  <c r="B298" i="1" s="1"/>
  <c r="B305" i="1" s="1"/>
  <c r="C264" i="1"/>
  <c r="B264" i="1"/>
  <c r="B273" i="1" s="1"/>
  <c r="B282" i="1" s="1"/>
  <c r="B297" i="1" s="1"/>
  <c r="B304" i="1" s="1"/>
  <c r="E263" i="1"/>
  <c r="B263" i="1"/>
  <c r="B272" i="1" s="1"/>
  <c r="B281" i="1" s="1"/>
  <c r="B296" i="1" s="1"/>
  <c r="B303" i="1" s="1"/>
  <c r="D262" i="1"/>
  <c r="E262" i="1" s="1"/>
  <c r="B262" i="1"/>
  <c r="B271" i="1" s="1"/>
  <c r="B280" i="1" s="1"/>
  <c r="B295" i="1" s="1"/>
  <c r="B302" i="1" s="1"/>
  <c r="E261" i="1"/>
  <c r="E266" i="1" s="1"/>
  <c r="E268" i="1" s="1"/>
  <c r="D261" i="1"/>
  <c r="D266" i="1" s="1"/>
  <c r="D268" i="1" s="1"/>
  <c r="C261" i="1"/>
  <c r="C266" i="1" s="1"/>
  <c r="C268" i="1" s="1"/>
  <c r="B261" i="1"/>
  <c r="B270" i="1" s="1"/>
  <c r="B279" i="1" s="1"/>
  <c r="B294" i="1" s="1"/>
  <c r="B301" i="1" s="1"/>
  <c r="E258" i="1"/>
  <c r="C256" i="1"/>
  <c r="C255" i="1"/>
  <c r="E254" i="1"/>
  <c r="E252" i="1"/>
  <c r="C253" i="1" s="1"/>
  <c r="E253" i="1" s="1"/>
  <c r="D252" i="1"/>
  <c r="D257" i="1" s="1"/>
  <c r="D259" i="1" s="1"/>
  <c r="C252" i="1"/>
  <c r="D249" i="1"/>
  <c r="C249" i="1"/>
  <c r="B248" i="1"/>
  <c r="B245" i="1"/>
  <c r="C225" i="1"/>
  <c r="T225" i="1" s="1"/>
  <c r="C224" i="1"/>
  <c r="E223" i="1"/>
  <c r="E219" i="1"/>
  <c r="E217" i="1"/>
  <c r="E216" i="1"/>
  <c r="E215" i="1"/>
  <c r="E214" i="1"/>
  <c r="E213" i="1"/>
  <c r="E212" i="1"/>
  <c r="E211" i="1"/>
  <c r="E220" i="1" s="1"/>
  <c r="B206" i="1"/>
  <c r="D199" i="1"/>
  <c r="U200" i="1" s="1"/>
  <c r="D198" i="1"/>
  <c r="C194" i="1" s="1"/>
  <c r="E194" i="1" s="1"/>
  <c r="C198" i="1"/>
  <c r="E198" i="1" s="1"/>
  <c r="D196" i="1"/>
  <c r="C196" i="1"/>
  <c r="E196" i="1" s="1"/>
  <c r="D195" i="1"/>
  <c r="D194" i="1"/>
  <c r="D193" i="1"/>
  <c r="B190" i="1"/>
  <c r="D166" i="1"/>
  <c r="E166" i="1" s="1"/>
  <c r="C166" i="1"/>
  <c r="D165" i="1"/>
  <c r="D167" i="1" s="1"/>
  <c r="C165" i="1"/>
  <c r="C167" i="1" s="1"/>
  <c r="D164" i="1"/>
  <c r="C164" i="1"/>
  <c r="C193" i="1" s="1"/>
  <c r="B161" i="1"/>
  <c r="U154" i="1"/>
  <c r="D153" i="1"/>
  <c r="T154" i="1" s="1"/>
  <c r="E152" i="1"/>
  <c r="D152" i="1"/>
  <c r="C152" i="1"/>
  <c r="C151" i="1"/>
  <c r="C153" i="1" s="1"/>
  <c r="D150" i="1"/>
  <c r="D222" i="1" s="1"/>
  <c r="C150" i="1"/>
  <c r="C222" i="1" s="1"/>
  <c r="B148" i="1"/>
  <c r="C143" i="1"/>
  <c r="D142" i="1"/>
  <c r="S143" i="1" s="1"/>
  <c r="C142" i="1"/>
  <c r="S142" i="1" s="1"/>
  <c r="E141" i="1"/>
  <c r="D141" i="1"/>
  <c r="U142" i="1" s="1"/>
  <c r="C141" i="1"/>
  <c r="T142" i="1" s="1"/>
  <c r="D140" i="1"/>
  <c r="E140" i="1" s="1"/>
  <c r="E142" i="1" s="1"/>
  <c r="C140" i="1"/>
  <c r="D139" i="1"/>
  <c r="C139" i="1"/>
  <c r="C476" i="1" s="1"/>
  <c r="B136" i="1"/>
  <c r="X127" i="1"/>
  <c r="D125" i="1"/>
  <c r="C125" i="1"/>
  <c r="D124" i="1"/>
  <c r="E124" i="1" s="1"/>
  <c r="C124" i="1"/>
  <c r="D123" i="1"/>
  <c r="C123" i="1"/>
  <c r="E123" i="1" s="1"/>
  <c r="D122" i="1"/>
  <c r="C122" i="1"/>
  <c r="E122" i="1" s="1"/>
  <c r="E121" i="1"/>
  <c r="D121" i="1"/>
  <c r="C121" i="1"/>
  <c r="D120" i="1"/>
  <c r="E120" i="1" s="1"/>
  <c r="C120" i="1"/>
  <c r="D119" i="1"/>
  <c r="D126" i="1" s="1"/>
  <c r="C119" i="1"/>
  <c r="C126" i="1" s="1"/>
  <c r="D118" i="1"/>
  <c r="C118" i="1"/>
  <c r="E118" i="1" s="1"/>
  <c r="D117" i="1"/>
  <c r="C117" i="1"/>
  <c r="B112" i="1"/>
  <c r="B14" i="1"/>
  <c r="S153" i="1" l="1"/>
  <c r="R153" i="1" s="1"/>
  <c r="V153" i="1"/>
  <c r="U153" i="1"/>
  <c r="T153" i="1"/>
  <c r="C168" i="1"/>
  <c r="V167" i="1"/>
  <c r="U167" i="1"/>
  <c r="T167" i="1"/>
  <c r="S167" i="1"/>
  <c r="R167" i="1" s="1"/>
  <c r="U394" i="1"/>
  <c r="T394" i="1"/>
  <c r="S394" i="1"/>
  <c r="R394" i="1" s="1"/>
  <c r="V394" i="1"/>
  <c r="V126" i="1"/>
  <c r="U126" i="1"/>
  <c r="C127" i="1"/>
  <c r="Y127" i="1" s="1"/>
  <c r="W126" i="1"/>
  <c r="T126" i="1"/>
  <c r="R126" i="1" s="1"/>
  <c r="E144" i="1"/>
  <c r="D144" i="1" s="1"/>
  <c r="U143" i="1"/>
  <c r="R142" i="1"/>
  <c r="T168" i="1"/>
  <c r="S168" i="1"/>
  <c r="V168" i="1"/>
  <c r="U168" i="1"/>
  <c r="C257" i="1"/>
  <c r="C259" i="1" s="1"/>
  <c r="C307" i="1"/>
  <c r="V428" i="1"/>
  <c r="C429" i="1"/>
  <c r="U428" i="1"/>
  <c r="R428" i="1" s="1"/>
  <c r="T127" i="1"/>
  <c r="R127" i="1" s="1"/>
  <c r="W127" i="1"/>
  <c r="V127" i="1"/>
  <c r="U127" i="1"/>
  <c r="E221" i="1"/>
  <c r="D224" i="1"/>
  <c r="D225" i="1" s="1"/>
  <c r="V445" i="1"/>
  <c r="C449" i="1"/>
  <c r="U445" i="1"/>
  <c r="C446" i="1"/>
  <c r="T445" i="1"/>
  <c r="AB445" i="1"/>
  <c r="E496" i="1"/>
  <c r="E224" i="1"/>
  <c r="E225" i="1" s="1"/>
  <c r="E227" i="1" s="1"/>
  <c r="D227" i="1" s="1"/>
  <c r="E292" i="1"/>
  <c r="E299" i="1"/>
  <c r="E307" i="1"/>
  <c r="E309" i="1" s="1"/>
  <c r="V446" i="1"/>
  <c r="T446" i="1"/>
  <c r="AB446" i="1"/>
  <c r="B561" i="1"/>
  <c r="B591" i="1"/>
  <c r="B546" i="1"/>
  <c r="B626" i="1"/>
  <c r="B481" i="1"/>
  <c r="B638" i="1"/>
  <c r="B613" i="1"/>
  <c r="B578" i="1"/>
  <c r="B498" i="1"/>
  <c r="B447" i="1"/>
  <c r="E119" i="1"/>
  <c r="E126" i="1" s="1"/>
  <c r="E128" i="1" s="1"/>
  <c r="D128" i="1" s="1"/>
  <c r="D476" i="1"/>
  <c r="D424" i="1"/>
  <c r="D437" i="1" s="1"/>
  <c r="D402" i="1"/>
  <c r="S154" i="1"/>
  <c r="R154" i="1" s="1"/>
  <c r="E165" i="1"/>
  <c r="E167" i="1" s="1"/>
  <c r="E169" i="1" s="1"/>
  <c r="D169" i="1" s="1"/>
  <c r="U225" i="1"/>
  <c r="T143" i="1"/>
  <c r="R143" i="1" s="1"/>
  <c r="C199" i="1"/>
  <c r="B201" i="1"/>
  <c r="V225" i="1"/>
  <c r="B227" i="1"/>
  <c r="D270" i="1"/>
  <c r="D299" i="1"/>
  <c r="D307" i="1" s="1"/>
  <c r="E403" i="1"/>
  <c r="E404" i="1" s="1"/>
  <c r="E406" i="1" s="1"/>
  <c r="D406" i="1" s="1"/>
  <c r="D428" i="1"/>
  <c r="D449" i="1" s="1"/>
  <c r="E438" i="1"/>
  <c r="E445" i="1" s="1"/>
  <c r="E449" i="1" s="1"/>
  <c r="E477" i="1"/>
  <c r="E479" i="1" s="1"/>
  <c r="E481" i="1" s="1"/>
  <c r="D481" i="1" s="1"/>
  <c r="C479" i="1"/>
  <c r="R501" i="1"/>
  <c r="C524" i="1"/>
  <c r="E559" i="1"/>
  <c r="E561" i="1" s="1"/>
  <c r="D561" i="1" s="1"/>
  <c r="D589" i="1"/>
  <c r="D590" i="1" s="1"/>
  <c r="C646" i="1"/>
  <c r="E611" i="1"/>
  <c r="E613" i="1" s="1"/>
  <c r="D613" i="1" s="1"/>
  <c r="B128" i="1"/>
  <c r="B169" i="1"/>
  <c r="S200" i="1"/>
  <c r="S225" i="1"/>
  <c r="R225" i="1" s="1"/>
  <c r="B207" i="1" s="1"/>
  <c r="C226" i="1"/>
  <c r="E257" i="1"/>
  <c r="E259" i="1" s="1"/>
  <c r="S373" i="1"/>
  <c r="B395" i="1"/>
  <c r="C402" i="1"/>
  <c r="B400" i="1" s="1"/>
  <c r="E425" i="1"/>
  <c r="E428" i="1" s="1"/>
  <c r="E430" i="1" s="1"/>
  <c r="D430" i="1" s="1"/>
  <c r="B430" i="1"/>
  <c r="T462" i="1"/>
  <c r="W462" i="1"/>
  <c r="S462" i="1"/>
  <c r="R462" i="1" s="1"/>
  <c r="C462" i="1"/>
  <c r="U461" i="1"/>
  <c r="T461" i="1"/>
  <c r="W461" i="1"/>
  <c r="U462" i="1"/>
  <c r="B463" i="1"/>
  <c r="S480" i="1"/>
  <c r="V480" i="1"/>
  <c r="T480" i="1"/>
  <c r="R503" i="1"/>
  <c r="D661" i="1"/>
  <c r="D635" i="1" s="1"/>
  <c r="D636" i="1" s="1"/>
  <c r="B144" i="1"/>
  <c r="E151" i="1"/>
  <c r="E153" i="1" s="1"/>
  <c r="E155" i="1" s="1"/>
  <c r="D155" i="1" s="1"/>
  <c r="B155" i="1"/>
  <c r="T200" i="1"/>
  <c r="C280" i="1"/>
  <c r="B326" i="1"/>
  <c r="D373" i="1"/>
  <c r="E375" i="1" s="1"/>
  <c r="T373" i="1"/>
  <c r="B375" i="1"/>
  <c r="E391" i="1"/>
  <c r="C390" i="1"/>
  <c r="C424" i="1"/>
  <c r="E457" i="1"/>
  <c r="E461" i="1" s="1"/>
  <c r="E463" i="1" s="1"/>
  <c r="D463" i="1" s="1"/>
  <c r="V462" i="1"/>
  <c r="U480" i="1"/>
  <c r="C195" i="1"/>
  <c r="E195" i="1" s="1"/>
  <c r="S461" i="1"/>
  <c r="R461" i="1" s="1"/>
  <c r="B454" i="1" s="1"/>
  <c r="D462" i="1"/>
  <c r="V496" i="1"/>
  <c r="T496" i="1"/>
  <c r="C497" i="1"/>
  <c r="S496" i="1"/>
  <c r="R496" i="1" s="1"/>
  <c r="C545" i="1"/>
  <c r="E546" i="1"/>
  <c r="D546" i="1" s="1"/>
  <c r="C635" i="1"/>
  <c r="E635" i="1" s="1"/>
  <c r="S492" i="1"/>
  <c r="R492" i="1" s="1"/>
  <c r="E494" i="1"/>
  <c r="T494" i="1"/>
  <c r="R494" i="1" s="1"/>
  <c r="S498" i="1"/>
  <c r="R498" i="1" s="1"/>
  <c r="U502" i="1"/>
  <c r="R502" i="1" s="1"/>
  <c r="U504" i="1"/>
  <c r="E534" i="1"/>
  <c r="E544" i="1" s="1"/>
  <c r="AA569" i="1"/>
  <c r="AA570" i="1"/>
  <c r="E586" i="1"/>
  <c r="E589" i="1" s="1"/>
  <c r="E591" i="1" s="1"/>
  <c r="D591" i="1" s="1"/>
  <c r="U494" i="1"/>
  <c r="D496" i="1"/>
  <c r="T498" i="1"/>
  <c r="V502" i="1"/>
  <c r="V504" i="1"/>
  <c r="R504" i="1" s="1"/>
  <c r="D576" i="1"/>
  <c r="E578" i="1" s="1"/>
  <c r="D578" i="1" s="1"/>
  <c r="E622" i="1"/>
  <c r="E624" i="1" s="1"/>
  <c r="E626" i="1" s="1"/>
  <c r="D626" i="1" s="1"/>
  <c r="C634" i="1"/>
  <c r="W502" i="1"/>
  <c r="V637" i="1" l="1"/>
  <c r="U637" i="1"/>
  <c r="T637" i="1"/>
  <c r="S637" i="1"/>
  <c r="R637" i="1" s="1"/>
  <c r="D309" i="1"/>
  <c r="C636" i="1"/>
  <c r="E634" i="1"/>
  <c r="E636" i="1" s="1"/>
  <c r="E638" i="1" s="1"/>
  <c r="D638" i="1" s="1"/>
  <c r="U479" i="1"/>
  <c r="T479" i="1"/>
  <c r="V479" i="1"/>
  <c r="S479" i="1"/>
  <c r="R479" i="1" s="1"/>
  <c r="C480" i="1"/>
  <c r="R445" i="1"/>
  <c r="U226" i="1"/>
  <c r="D226" i="1"/>
  <c r="T226" i="1"/>
  <c r="S226" i="1"/>
  <c r="R226" i="1" s="1"/>
  <c r="V226" i="1"/>
  <c r="B487" i="1"/>
  <c r="C279" i="1"/>
  <c r="E280" i="1"/>
  <c r="C309" i="1"/>
  <c r="R168" i="1"/>
  <c r="V497" i="1"/>
  <c r="T497" i="1"/>
  <c r="D497" i="1"/>
  <c r="S497" i="1"/>
  <c r="R497" i="1" s="1"/>
  <c r="U497" i="1"/>
  <c r="C437" i="1"/>
  <c r="R373" i="1"/>
  <c r="R200" i="1"/>
  <c r="E270" i="1"/>
  <c r="E275" i="1" s="1"/>
  <c r="E277" i="1" s="1"/>
  <c r="D275" i="1"/>
  <c r="D277" i="1" s="1"/>
  <c r="D324" i="1" s="1"/>
  <c r="C200" i="1"/>
  <c r="U199" i="1"/>
  <c r="E199" i="1"/>
  <c r="E201" i="1" s="1"/>
  <c r="D201" i="1" s="1"/>
  <c r="T199" i="1"/>
  <c r="S199" i="1"/>
  <c r="E498" i="1"/>
  <c r="D498" i="1" s="1"/>
  <c r="B113" i="1"/>
  <c r="B162" i="1"/>
  <c r="B149" i="1"/>
  <c r="C393" i="1"/>
  <c r="E390" i="1"/>
  <c r="E393" i="1" s="1"/>
  <c r="E395" i="1" s="1"/>
  <c r="D395" i="1" s="1"/>
  <c r="U374" i="1"/>
  <c r="T374" i="1"/>
  <c r="S374" i="1"/>
  <c r="R480" i="1"/>
  <c r="B501" i="1"/>
  <c r="T429" i="1"/>
  <c r="S429" i="1"/>
  <c r="U429" i="1"/>
  <c r="R446" i="1"/>
  <c r="B137" i="1"/>
  <c r="B434" i="1" l="1"/>
  <c r="S636" i="1"/>
  <c r="V636" i="1"/>
  <c r="U636" i="1"/>
  <c r="T636" i="1"/>
  <c r="R429" i="1"/>
  <c r="B422" i="1" s="1"/>
  <c r="R374" i="1"/>
  <c r="V393" i="1"/>
  <c r="T393" i="1"/>
  <c r="S393" i="1"/>
  <c r="R393" i="1" s="1"/>
  <c r="B386" i="1" s="1"/>
  <c r="U393" i="1"/>
  <c r="D322" i="1"/>
  <c r="R199" i="1"/>
  <c r="B191" i="1" s="1"/>
  <c r="B368" i="1"/>
  <c r="C284" i="1"/>
  <c r="C286" i="1" s="1"/>
  <c r="C324" i="1" s="1"/>
  <c r="E279" i="1"/>
  <c r="E284" i="1" s="1"/>
  <c r="E286" i="1" s="1"/>
  <c r="E322" i="1" s="1"/>
  <c r="E324" i="1" s="1"/>
  <c r="E326" i="1" s="1"/>
  <c r="D326" i="1" s="1"/>
  <c r="C322" i="1"/>
  <c r="B473" i="1"/>
  <c r="R636" i="1" l="1"/>
  <c r="B631" i="1" s="1"/>
</calcChain>
</file>

<file path=xl/comments1.xml><?xml version="1.0" encoding="utf-8"?>
<comments xmlns="http://schemas.openxmlformats.org/spreadsheetml/2006/main">
  <authors>
    <author>JUAN J. SANCHEZ</author>
  </authors>
  <commentList>
    <comment ref="C391"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<sst xmlns="http://schemas.openxmlformats.org/spreadsheetml/2006/main" count="472" uniqueCount="423">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</sst>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5">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183</xdr:row>
      <xdr:rowOff>123825</xdr:rowOff>
    </xdr:from>
    <xdr:to>
      <xdr:col>5</xdr:col>
      <xdr:colOff>0</xdr:colOff>
      <xdr:row>186</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585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238</xdr:row>
      <xdr:rowOff>95250</xdr:rowOff>
    </xdr:from>
    <xdr:to>
      <xdr:col>5</xdr:col>
      <xdr:colOff>0</xdr:colOff>
      <xdr:row>241</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978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413</xdr:row>
      <xdr:rowOff>66675</xdr:rowOff>
    </xdr:from>
    <xdr:to>
      <xdr:col>5</xdr:col>
      <xdr:colOff>0</xdr:colOff>
      <xdr:row>416</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3336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465</xdr:row>
      <xdr:rowOff>76200</xdr:rowOff>
    </xdr:from>
    <xdr:to>
      <xdr:col>5</xdr:col>
      <xdr:colOff>0</xdr:colOff>
      <xdr:row>467</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0967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504</xdr:row>
      <xdr:rowOff>85725</xdr:rowOff>
    </xdr:from>
    <xdr:to>
      <xdr:col>5</xdr:col>
      <xdr:colOff>0</xdr:colOff>
      <xdr:row>507</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551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547</xdr:row>
      <xdr:rowOff>57150</xdr:rowOff>
    </xdr:from>
    <xdr:to>
      <xdr:col>5</xdr:col>
      <xdr:colOff>0</xdr:colOff>
      <xdr:row>550</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78992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594</xdr:row>
      <xdr:rowOff>104775</xdr:rowOff>
    </xdr:from>
    <xdr:to>
      <xdr:col>5</xdr:col>
      <xdr:colOff>0</xdr:colOff>
      <xdr:row>596</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7861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361</xdr:row>
      <xdr:rowOff>0</xdr:rowOff>
    </xdr:from>
    <xdr:to>
      <xdr:col>5</xdr:col>
      <xdr:colOff>0</xdr:colOff>
      <xdr:row>363</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7514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640</xdr:row>
      <xdr:rowOff>57150</xdr:rowOff>
    </xdr:from>
    <xdr:to>
      <xdr:col>5</xdr:col>
      <xdr:colOff>0</xdr:colOff>
      <xdr:row>643</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5969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328</xdr:row>
      <xdr:rowOff>85725</xdr:rowOff>
    </xdr:from>
    <xdr:to>
      <xdr:col>4</xdr:col>
      <xdr:colOff>761929</xdr:colOff>
      <xdr:row>351</xdr:row>
      <xdr:rowOff>142875</xdr:rowOff>
    </xdr:to>
    <xdr:pic>
      <xdr:nvPicPr>
        <xdr:cNvPr id="16" name="1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62407800"/>
          <a:ext cx="6381679" cy="443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08%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31 de Agosto del 2025</v>
          </cell>
          <cell r="C3" t="str">
            <v>- 2024</v>
          </cell>
        </row>
        <row r="4">
          <cell r="B4">
            <v>2025</v>
          </cell>
          <cell r="C4">
            <v>2024</v>
          </cell>
        </row>
        <row r="6">
          <cell r="B6">
            <v>1485895.3399999999</v>
          </cell>
        </row>
        <row r="21">
          <cell r="B21" t="str">
            <v>OTROS EQUIPOS</v>
          </cell>
          <cell r="C21">
            <v>792057</v>
          </cell>
        </row>
      </sheetData>
      <sheetData sheetId="8">
        <row r="12">
          <cell r="C12">
            <v>0</v>
          </cell>
          <cell r="D12">
            <v>0</v>
          </cell>
        </row>
        <row r="13">
          <cell r="C13">
            <v>95000</v>
          </cell>
          <cell r="D13">
            <v>110000</v>
          </cell>
        </row>
        <row r="15">
          <cell r="C15">
            <v>80000</v>
          </cell>
          <cell r="D15">
            <v>80000</v>
          </cell>
        </row>
        <row r="22">
          <cell r="C22">
            <v>0</v>
          </cell>
          <cell r="D22">
            <v>0</v>
          </cell>
        </row>
        <row r="23">
          <cell r="C23">
            <v>566.20000000000005</v>
          </cell>
          <cell r="D23">
            <v>236.2</v>
          </cell>
        </row>
        <row r="24">
          <cell r="C24">
            <v>0</v>
          </cell>
          <cell r="D24">
            <v>1310.75</v>
          </cell>
        </row>
        <row r="25">
          <cell r="C25">
            <v>1145014.1200000001</v>
          </cell>
          <cell r="D25">
            <v>2093182.13</v>
          </cell>
        </row>
        <row r="26">
          <cell r="C26">
            <v>1385719.76</v>
          </cell>
          <cell r="D26">
            <v>453230.39</v>
          </cell>
        </row>
        <row r="27">
          <cell r="C27">
            <v>339604096.73000002</v>
          </cell>
          <cell r="D27">
            <v>302831372.16000003</v>
          </cell>
        </row>
        <row r="28">
          <cell r="C28">
            <v>0</v>
          </cell>
          <cell r="D28">
            <v>0</v>
          </cell>
        </row>
        <row r="30">
          <cell r="C30">
            <v>0</v>
          </cell>
          <cell r="D30">
            <v>0</v>
          </cell>
        </row>
        <row r="34">
          <cell r="C34">
            <v>0</v>
          </cell>
        </row>
        <row r="35">
          <cell r="C35">
            <v>1350.12</v>
          </cell>
          <cell r="D35">
            <v>1350.12</v>
          </cell>
        </row>
        <row r="40">
          <cell r="C40">
            <v>0</v>
          </cell>
          <cell r="D40">
            <v>0</v>
          </cell>
        </row>
        <row r="41">
          <cell r="C41">
            <v>13765629.76</v>
          </cell>
          <cell r="D41">
            <v>18382280.280000001</v>
          </cell>
        </row>
        <row r="46">
          <cell r="C46">
            <v>0</v>
          </cell>
        </row>
        <row r="48">
          <cell r="C48">
            <v>55747.74</v>
          </cell>
          <cell r="D48">
            <v>422306.74</v>
          </cell>
        </row>
        <row r="55">
          <cell r="C55">
            <v>1623675</v>
          </cell>
          <cell r="D55">
            <v>1623675</v>
          </cell>
          <cell r="F55">
            <v>1623675</v>
          </cell>
        </row>
        <row r="58">
          <cell r="C58">
            <v>953149176.46000004</v>
          </cell>
          <cell r="D58">
            <v>953149176.46000004</v>
          </cell>
        </row>
        <row r="59">
          <cell r="C59">
            <v>4381745.59</v>
          </cell>
          <cell r="D59">
            <v>4149647.32</v>
          </cell>
        </row>
        <row r="64">
          <cell r="C64">
            <v>55553258.920000002</v>
          </cell>
          <cell r="D64">
            <v>52883325.560000002</v>
          </cell>
          <cell r="F64">
            <v>45922302.979999997</v>
          </cell>
        </row>
        <row r="65">
          <cell r="C65">
            <v>11102346.279999999</v>
          </cell>
          <cell r="D65">
            <v>10179245.880000001</v>
          </cell>
        </row>
        <row r="68">
          <cell r="C68">
            <v>510150</v>
          </cell>
          <cell r="D68">
            <v>578847</v>
          </cell>
          <cell r="F68">
            <v>74900</v>
          </cell>
        </row>
        <row r="71">
          <cell r="C71">
            <v>6805742.9500000002</v>
          </cell>
          <cell r="D71">
            <v>5837722.9500000002</v>
          </cell>
        </row>
        <row r="74">
          <cell r="C74">
            <v>28796945.620000001</v>
          </cell>
          <cell r="D74">
            <v>24266945.620000001</v>
          </cell>
        </row>
        <row r="77">
          <cell r="C77">
            <v>932591.88</v>
          </cell>
        </row>
        <row r="95">
          <cell r="C95">
            <v>0</v>
          </cell>
          <cell r="D95">
            <v>0</v>
          </cell>
        </row>
        <row r="96">
          <cell r="C96">
            <v>0</v>
          </cell>
          <cell r="D96">
            <v>0</v>
          </cell>
        </row>
        <row r="97">
          <cell r="C97">
            <v>0</v>
          </cell>
          <cell r="D97">
            <v>0</v>
          </cell>
        </row>
        <row r="98">
          <cell r="C98">
            <v>0</v>
          </cell>
          <cell r="D98">
            <v>0</v>
          </cell>
        </row>
        <row r="99">
          <cell r="C99">
            <v>0</v>
          </cell>
          <cell r="D99">
            <v>0</v>
          </cell>
        </row>
        <row r="100">
          <cell r="C100">
            <v>56304.6</v>
          </cell>
          <cell r="D100">
            <v>0</v>
          </cell>
        </row>
        <row r="101">
          <cell r="C101">
            <v>0</v>
          </cell>
          <cell r="D101">
            <v>0</v>
          </cell>
        </row>
        <row r="102">
          <cell r="C102">
            <v>71945.25</v>
          </cell>
          <cell r="D102">
            <v>0</v>
          </cell>
        </row>
        <row r="105">
          <cell r="C105">
            <v>0</v>
          </cell>
          <cell r="D105">
            <v>0</v>
          </cell>
        </row>
        <row r="106">
          <cell r="C106">
            <v>0</v>
          </cell>
          <cell r="D106">
            <v>0</v>
          </cell>
        </row>
        <row r="108">
          <cell r="C108">
            <v>26371001.809999999</v>
          </cell>
          <cell r="D108">
            <v>13947066.369999999</v>
          </cell>
        </row>
        <row r="109">
          <cell r="C109">
            <v>0</v>
          </cell>
          <cell r="D109">
            <v>7106.65</v>
          </cell>
        </row>
        <row r="110">
          <cell r="C110">
            <v>0</v>
          </cell>
          <cell r="D110">
            <v>1436011.51</v>
          </cell>
        </row>
        <row r="115">
          <cell r="C115">
            <v>0</v>
          </cell>
          <cell r="D115">
            <v>252299.3</v>
          </cell>
        </row>
        <row r="116">
          <cell r="C116">
            <v>0</v>
          </cell>
          <cell r="D116">
            <v>0</v>
          </cell>
        </row>
        <row r="119">
          <cell r="C119">
            <v>0</v>
          </cell>
          <cell r="D119">
            <v>0</v>
          </cell>
        </row>
        <row r="128">
          <cell r="C128">
            <v>808793054.60000002</v>
          </cell>
          <cell r="D128">
            <v>808793054.60000002</v>
          </cell>
        </row>
        <row r="136">
          <cell r="C136">
            <v>122808504.36</v>
          </cell>
          <cell r="D136">
            <v>180976832.23999998</v>
          </cell>
        </row>
        <row r="149">
          <cell r="C149">
            <v>0</v>
          </cell>
        </row>
        <row r="153">
          <cell r="C153">
            <v>31945336</v>
          </cell>
        </row>
        <row r="154">
          <cell r="C154">
            <v>66980000</v>
          </cell>
        </row>
        <row r="155">
          <cell r="C155">
            <v>37029216</v>
          </cell>
        </row>
        <row r="162">
          <cell r="C162">
            <v>96497722</v>
          </cell>
          <cell r="D162">
            <v>147133178</v>
          </cell>
        </row>
        <row r="163">
          <cell r="C163">
            <v>40000</v>
          </cell>
        </row>
        <row r="164">
          <cell r="C164">
            <v>0</v>
          </cell>
          <cell r="D164">
            <v>0</v>
          </cell>
        </row>
        <row r="165">
          <cell r="C165">
            <v>0</v>
          </cell>
          <cell r="D165">
            <v>0</v>
          </cell>
        </row>
        <row r="166">
          <cell r="C166">
            <v>0</v>
          </cell>
          <cell r="D166">
            <v>0</v>
          </cell>
        </row>
        <row r="167">
          <cell r="C167">
            <v>115428.58</v>
          </cell>
        </row>
        <row r="168">
          <cell r="C168">
            <v>0</v>
          </cell>
          <cell r="D168">
            <v>0</v>
          </cell>
        </row>
        <row r="169">
          <cell r="C169">
            <v>0</v>
          </cell>
          <cell r="D169">
            <v>0</v>
          </cell>
        </row>
        <row r="170">
          <cell r="C170">
            <v>0</v>
          </cell>
          <cell r="D170">
            <v>193520.16</v>
          </cell>
        </row>
        <row r="171">
          <cell r="C171">
            <v>68700.070000000007</v>
          </cell>
        </row>
        <row r="172">
          <cell r="C172">
            <v>909280</v>
          </cell>
          <cell r="D172">
            <v>1296420</v>
          </cell>
        </row>
        <row r="173">
          <cell r="C173">
            <v>4725939.21</v>
          </cell>
          <cell r="D173">
            <v>6765350</v>
          </cell>
        </row>
        <row r="174">
          <cell r="C174">
            <v>0</v>
          </cell>
          <cell r="D174">
            <v>0</v>
          </cell>
        </row>
        <row r="175">
          <cell r="C175">
            <v>4163667</v>
          </cell>
          <cell r="D175">
            <v>0</v>
          </cell>
        </row>
        <row r="176">
          <cell r="C176">
            <v>0</v>
          </cell>
          <cell r="D176">
            <v>0</v>
          </cell>
        </row>
        <row r="177">
          <cell r="C177">
            <v>0</v>
          </cell>
          <cell r="D177">
            <v>1715.66</v>
          </cell>
        </row>
        <row r="179">
          <cell r="C179">
            <v>0</v>
          </cell>
          <cell r="D179">
            <v>0</v>
          </cell>
        </row>
        <row r="180">
          <cell r="C180">
            <v>1505000</v>
          </cell>
          <cell r="D180">
            <v>2970000</v>
          </cell>
        </row>
        <row r="181">
          <cell r="C181">
            <v>0</v>
          </cell>
          <cell r="D181">
            <v>0</v>
          </cell>
        </row>
        <row r="182">
          <cell r="C182">
            <v>0</v>
          </cell>
          <cell r="D182">
            <v>0</v>
          </cell>
        </row>
        <row r="183">
          <cell r="C183">
            <v>0</v>
          </cell>
          <cell r="D183">
            <v>0</v>
          </cell>
        </row>
        <row r="185">
          <cell r="C185">
            <v>8250</v>
          </cell>
          <cell r="D185">
            <v>12210081.5</v>
          </cell>
        </row>
        <row r="186">
          <cell r="C186">
            <v>0</v>
          </cell>
          <cell r="D186">
            <v>0</v>
          </cell>
        </row>
        <row r="187">
          <cell r="C187">
            <v>0</v>
          </cell>
          <cell r="D187">
            <v>0</v>
          </cell>
        </row>
        <row r="190">
          <cell r="C190">
            <v>6843749.4500000002</v>
          </cell>
          <cell r="D190">
            <v>10463761.68</v>
          </cell>
        </row>
        <row r="191">
          <cell r="C191">
            <v>6854770.29</v>
          </cell>
          <cell r="D191">
            <v>9101205.8599999994</v>
          </cell>
        </row>
        <row r="192">
          <cell r="C192">
            <v>1147312.69</v>
          </cell>
          <cell r="D192">
            <v>3131774.53</v>
          </cell>
        </row>
        <row r="198">
          <cell r="C198">
            <v>0</v>
          </cell>
          <cell r="D198">
            <v>256900</v>
          </cell>
        </row>
        <row r="199">
          <cell r="C199">
            <v>0</v>
          </cell>
          <cell r="D199">
            <v>1490</v>
          </cell>
        </row>
        <row r="203">
          <cell r="C203">
            <v>351000</v>
          </cell>
          <cell r="D203">
            <v>878000</v>
          </cell>
        </row>
        <row r="204">
          <cell r="C204">
            <v>1188973.24</v>
          </cell>
          <cell r="D204">
            <v>1745852.09</v>
          </cell>
        </row>
        <row r="205">
          <cell r="C205">
            <v>617035.32999999996</v>
          </cell>
          <cell r="D205">
            <v>781748.96</v>
          </cell>
        </row>
        <row r="206">
          <cell r="C206">
            <v>0</v>
          </cell>
          <cell r="D206">
            <v>0</v>
          </cell>
        </row>
        <row r="207">
          <cell r="C207">
            <v>222623.72</v>
          </cell>
          <cell r="D207">
            <v>371176.6</v>
          </cell>
        </row>
        <row r="208">
          <cell r="C208">
            <v>48935669.119999997</v>
          </cell>
          <cell r="D208">
            <v>63713429.090000004</v>
          </cell>
        </row>
        <row r="209">
          <cell r="C209">
            <v>0</v>
          </cell>
          <cell r="D209">
            <v>345465.68</v>
          </cell>
        </row>
        <row r="210">
          <cell r="C210">
            <v>0</v>
          </cell>
          <cell r="D210">
            <v>0</v>
          </cell>
        </row>
        <row r="211">
          <cell r="C211">
            <v>540500</v>
          </cell>
          <cell r="D211">
            <v>925630</v>
          </cell>
        </row>
        <row r="212">
          <cell r="C212">
            <v>437642.55</v>
          </cell>
          <cell r="D212">
            <v>786671.76</v>
          </cell>
        </row>
        <row r="213">
          <cell r="C213">
            <v>0</v>
          </cell>
          <cell r="D213">
            <v>0</v>
          </cell>
        </row>
        <row r="214">
          <cell r="C214">
            <v>0</v>
          </cell>
          <cell r="D214">
            <v>0</v>
          </cell>
        </row>
        <row r="215">
          <cell r="C215">
            <v>0</v>
          </cell>
          <cell r="D215">
            <v>0</v>
          </cell>
        </row>
        <row r="216">
          <cell r="C216">
            <v>0</v>
          </cell>
          <cell r="D216">
            <v>175</v>
          </cell>
        </row>
        <row r="217">
          <cell r="C217">
            <v>0</v>
          </cell>
          <cell r="D217">
            <v>0</v>
          </cell>
        </row>
        <row r="219">
          <cell r="C219">
            <v>1452439.73</v>
          </cell>
          <cell r="D219">
            <v>1434034.5</v>
          </cell>
        </row>
        <row r="220">
          <cell r="C220">
            <v>74100</v>
          </cell>
          <cell r="D220">
            <v>62614.5</v>
          </cell>
        </row>
        <row r="221">
          <cell r="C221">
            <v>0</v>
          </cell>
          <cell r="D221">
            <v>0</v>
          </cell>
        </row>
        <row r="222">
          <cell r="C222">
            <v>207000</v>
          </cell>
          <cell r="D222">
            <v>292500</v>
          </cell>
        </row>
        <row r="223">
          <cell r="C223">
            <v>450000</v>
          </cell>
          <cell r="D223">
            <v>1192000</v>
          </cell>
        </row>
        <row r="224">
          <cell r="C224">
            <v>0</v>
          </cell>
          <cell r="D224">
            <v>0</v>
          </cell>
        </row>
        <row r="225">
          <cell r="C225">
            <v>0</v>
          </cell>
          <cell r="D225">
            <v>170699.58</v>
          </cell>
        </row>
        <row r="226">
          <cell r="C226">
            <v>393033.34</v>
          </cell>
          <cell r="D226">
            <v>521982.5</v>
          </cell>
        </row>
        <row r="227">
          <cell r="C227">
            <v>45048.24</v>
          </cell>
          <cell r="D227">
            <v>135144.72</v>
          </cell>
        </row>
        <row r="229">
          <cell r="C229">
            <v>0</v>
          </cell>
          <cell r="D229">
            <v>1494232.69</v>
          </cell>
        </row>
        <row r="230">
          <cell r="C230">
            <v>0</v>
          </cell>
          <cell r="D230">
            <v>5000</v>
          </cell>
        </row>
        <row r="231">
          <cell r="C231">
            <v>4639286.96</v>
          </cell>
          <cell r="D231">
            <v>6111175.2400000021</v>
          </cell>
        </row>
        <row r="232">
          <cell r="C232">
            <v>0</v>
          </cell>
          <cell r="D232">
            <v>0</v>
          </cell>
        </row>
        <row r="233">
          <cell r="C233">
            <v>0</v>
          </cell>
          <cell r="D233">
            <v>0</v>
          </cell>
        </row>
        <row r="234">
          <cell r="C234">
            <v>0</v>
          </cell>
          <cell r="D234">
            <v>278895.28999999998</v>
          </cell>
        </row>
        <row r="235">
          <cell r="C235">
            <v>0</v>
          </cell>
          <cell r="D235">
            <v>4162.24</v>
          </cell>
        </row>
        <row r="237">
          <cell r="C237">
            <v>0</v>
          </cell>
          <cell r="D237">
            <v>15500</v>
          </cell>
        </row>
        <row r="238">
          <cell r="C238">
            <v>0</v>
          </cell>
          <cell r="D238">
            <v>0</v>
          </cell>
        </row>
        <row r="239">
          <cell r="C239">
            <v>0</v>
          </cell>
          <cell r="D239">
            <v>0</v>
          </cell>
        </row>
        <row r="240">
          <cell r="C240">
            <v>794588.98</v>
          </cell>
          <cell r="D240">
            <v>1920320.51</v>
          </cell>
        </row>
        <row r="241">
          <cell r="C241">
            <v>137728.81</v>
          </cell>
          <cell r="D241">
            <v>276000</v>
          </cell>
        </row>
        <row r="242">
          <cell r="C242">
            <v>5125</v>
          </cell>
          <cell r="D242">
            <v>9099.9</v>
          </cell>
        </row>
        <row r="243">
          <cell r="C243">
            <v>6399.67</v>
          </cell>
          <cell r="D243">
            <v>21105.87</v>
          </cell>
        </row>
        <row r="244">
          <cell r="C244">
            <v>0</v>
          </cell>
          <cell r="D244">
            <v>0</v>
          </cell>
        </row>
        <row r="246">
          <cell r="C246">
            <v>0</v>
          </cell>
          <cell r="D246">
            <v>0</v>
          </cell>
        </row>
        <row r="247">
          <cell r="C247">
            <v>0</v>
          </cell>
          <cell r="D247">
            <v>140067.79</v>
          </cell>
        </row>
        <row r="248">
          <cell r="C248">
            <v>467126.29</v>
          </cell>
          <cell r="D248">
            <v>755694.55</v>
          </cell>
        </row>
        <row r="249">
          <cell r="C249">
            <v>0</v>
          </cell>
          <cell r="D249">
            <v>25915.84</v>
          </cell>
        </row>
        <row r="250">
          <cell r="C250">
            <v>0</v>
          </cell>
          <cell r="D250">
            <v>0</v>
          </cell>
        </row>
        <row r="251">
          <cell r="C251">
            <v>0</v>
          </cell>
          <cell r="D251">
            <v>223728.81</v>
          </cell>
        </row>
        <row r="252">
          <cell r="C252">
            <v>204000</v>
          </cell>
          <cell r="D252">
            <v>521700</v>
          </cell>
        </row>
        <row r="253">
          <cell r="C253">
            <v>4632570.3499999996</v>
          </cell>
          <cell r="D253">
            <v>5434192.7699999996</v>
          </cell>
        </row>
        <row r="254">
          <cell r="C254">
            <v>0</v>
          </cell>
          <cell r="D254">
            <v>0</v>
          </cell>
        </row>
        <row r="259">
          <cell r="C259">
            <v>376217.88</v>
          </cell>
          <cell r="D259">
            <v>563644.93000000005</v>
          </cell>
        </row>
        <row r="261">
          <cell r="C261">
            <v>315466.51</v>
          </cell>
          <cell r="D261">
            <v>282371.25</v>
          </cell>
        </row>
        <row r="262">
          <cell r="C262">
            <v>0</v>
          </cell>
          <cell r="D262">
            <v>0</v>
          </cell>
        </row>
        <row r="263">
          <cell r="C263">
            <v>0</v>
          </cell>
          <cell r="D263">
            <v>0</v>
          </cell>
        </row>
        <row r="264">
          <cell r="C264">
            <v>0</v>
          </cell>
          <cell r="D264">
            <v>0</v>
          </cell>
        </row>
        <row r="265">
          <cell r="C265">
            <v>147878.28</v>
          </cell>
          <cell r="D265">
            <v>126382.55</v>
          </cell>
        </row>
        <row r="266">
          <cell r="C266">
            <v>8135.59</v>
          </cell>
          <cell r="D266">
            <v>0</v>
          </cell>
        </row>
        <row r="267">
          <cell r="C267">
            <v>0</v>
          </cell>
          <cell r="D267">
            <v>204450</v>
          </cell>
        </row>
        <row r="268">
          <cell r="C268">
            <v>3120</v>
          </cell>
          <cell r="D268">
            <v>149551</v>
          </cell>
        </row>
        <row r="270">
          <cell r="C270">
            <v>3720700</v>
          </cell>
          <cell r="D270">
            <v>5605300</v>
          </cell>
        </row>
        <row r="271">
          <cell r="C271">
            <v>2433300</v>
          </cell>
          <cell r="D271">
            <v>2730140</v>
          </cell>
        </row>
        <row r="272">
          <cell r="C272">
            <v>0</v>
          </cell>
          <cell r="D272">
            <v>0</v>
          </cell>
        </row>
        <row r="273">
          <cell r="C273">
            <v>0</v>
          </cell>
          <cell r="D273">
            <v>126124</v>
          </cell>
        </row>
        <row r="274">
          <cell r="C274">
            <v>2710910</v>
          </cell>
          <cell r="D274">
            <v>4185697.96</v>
          </cell>
        </row>
        <row r="275">
          <cell r="C275">
            <v>0</v>
          </cell>
          <cell r="D275">
            <v>0</v>
          </cell>
        </row>
        <row r="276">
          <cell r="C276">
            <v>11745</v>
          </cell>
          <cell r="D276">
            <v>11690</v>
          </cell>
        </row>
        <row r="277">
          <cell r="C277">
            <v>0</v>
          </cell>
          <cell r="D277">
            <v>0</v>
          </cell>
        </row>
        <row r="279">
          <cell r="C279">
            <v>115813.57</v>
          </cell>
          <cell r="D279">
            <v>123855.43</v>
          </cell>
        </row>
        <row r="280">
          <cell r="C280">
            <v>48351</v>
          </cell>
          <cell r="D280">
            <v>132266.97</v>
          </cell>
        </row>
        <row r="281">
          <cell r="C281">
            <v>44404.46</v>
          </cell>
          <cell r="D281">
            <v>118304.28</v>
          </cell>
        </row>
        <row r="282">
          <cell r="C282">
            <v>4851.05</v>
          </cell>
          <cell r="D282">
            <v>17311.330000000002</v>
          </cell>
        </row>
        <row r="283">
          <cell r="C283">
            <v>656542.9</v>
          </cell>
          <cell r="D283">
            <v>794673.14</v>
          </cell>
        </row>
        <row r="284">
          <cell r="C284">
            <v>4600</v>
          </cell>
          <cell r="D284">
            <v>576775</v>
          </cell>
        </row>
        <row r="285">
          <cell r="C285">
            <v>90756.02</v>
          </cell>
          <cell r="D285">
            <v>45794.83</v>
          </cell>
        </row>
        <row r="286">
          <cell r="C286">
            <v>120574.6</v>
          </cell>
          <cell r="D286">
            <v>0</v>
          </cell>
        </row>
        <row r="287">
          <cell r="C287">
            <v>2968500</v>
          </cell>
          <cell r="D287">
            <v>5692500</v>
          </cell>
        </row>
        <row r="288">
          <cell r="C288">
            <v>0</v>
          </cell>
          <cell r="D288">
            <v>0</v>
          </cell>
        </row>
        <row r="289">
          <cell r="C289">
            <v>9432</v>
          </cell>
          <cell r="D289">
            <v>30297.37</v>
          </cell>
        </row>
        <row r="290">
          <cell r="C290">
            <v>1706716.55</v>
          </cell>
          <cell r="D290">
            <v>2991364.47</v>
          </cell>
        </row>
        <row r="291">
          <cell r="C291">
            <v>0</v>
          </cell>
          <cell r="D291">
            <v>637636</v>
          </cell>
        </row>
        <row r="292">
          <cell r="C292">
            <v>0</v>
          </cell>
          <cell r="D292">
            <v>0</v>
          </cell>
        </row>
        <row r="293">
          <cell r="C293">
            <v>0</v>
          </cell>
          <cell r="D293">
            <v>0</v>
          </cell>
        </row>
        <row r="294">
          <cell r="C294">
            <v>14950</v>
          </cell>
          <cell r="D294">
            <v>377316.52</v>
          </cell>
        </row>
        <row r="295">
          <cell r="C295">
            <v>0</v>
          </cell>
          <cell r="D295">
            <v>0</v>
          </cell>
        </row>
        <row r="296">
          <cell r="C296">
            <v>0</v>
          </cell>
          <cell r="D296">
            <v>0</v>
          </cell>
        </row>
        <row r="297">
          <cell r="C297">
            <v>1217390</v>
          </cell>
          <cell r="D297">
            <v>20338.98</v>
          </cell>
        </row>
        <row r="298">
          <cell r="C298">
            <v>36576.17</v>
          </cell>
          <cell r="D298">
            <v>186061.85</v>
          </cell>
        </row>
        <row r="299">
          <cell r="C299">
            <v>0</v>
          </cell>
          <cell r="D299">
            <v>139400</v>
          </cell>
        </row>
        <row r="300">
          <cell r="C300">
            <v>0</v>
          </cell>
          <cell r="D300">
            <v>8500</v>
          </cell>
        </row>
        <row r="302">
          <cell r="C302">
            <v>0</v>
          </cell>
          <cell r="D302">
            <v>0</v>
          </cell>
        </row>
        <row r="303">
          <cell r="C303">
            <v>86900</v>
          </cell>
          <cell r="D303">
            <v>160568.42000000001</v>
          </cell>
        </row>
        <row r="306">
          <cell r="C306">
            <v>1525455.69</v>
          </cell>
          <cell r="D306">
            <v>1193947.54</v>
          </cell>
        </row>
        <row r="307">
          <cell r="C307">
            <v>30000</v>
          </cell>
          <cell r="D307">
            <v>0</v>
          </cell>
        </row>
        <row r="308">
          <cell r="D308">
            <v>0</v>
          </cell>
        </row>
      </sheetData>
      <sheetData sheetId="9"/>
      <sheetData sheetId="10">
        <row r="289">
          <cell r="E289">
            <v>51195285</v>
          </cell>
        </row>
        <row r="290">
          <cell r="E290">
            <v>55543832</v>
          </cell>
        </row>
        <row r="291">
          <cell r="E291">
            <v>100470000</v>
          </cell>
        </row>
        <row r="295">
          <cell r="E295">
            <v>240000000</v>
          </cell>
        </row>
      </sheetData>
      <sheetData sheetId="11"/>
      <sheetData sheetId="12">
        <row r="608">
          <cell r="C608">
            <v>438081.58</v>
          </cell>
          <cell r="D608">
            <v>657127.22</v>
          </cell>
        </row>
      </sheetData>
      <sheetData sheetId="13">
        <row r="14">
          <cell r="K14">
            <v>57143407.930000007</v>
          </cell>
        </row>
        <row r="28">
          <cell r="E28">
            <v>270856525.61000001</v>
          </cell>
          <cell r="F28">
            <v>26935891.919999998</v>
          </cell>
          <cell r="H28">
            <v>11856936.66</v>
          </cell>
          <cell r="I28">
            <v>38206151.979999997</v>
          </cell>
        </row>
        <row r="29">
          <cell r="E29">
            <v>18874225.209999979</v>
          </cell>
          <cell r="F29">
            <v>1324392.1700000013</v>
          </cell>
          <cell r="G29">
            <v>7695.5400000000081</v>
          </cell>
          <cell r="H29">
            <v>582985.48000000068</v>
          </cell>
          <cell r="I29">
            <v>2509051.2700000033</v>
          </cell>
          <cell r="K29">
            <v>23298349.669999983</v>
          </cell>
        </row>
      </sheetData>
      <sheetData sheetId="14"/>
      <sheetData sheetId="15">
        <row r="11">
          <cell r="B11">
            <v>342230396.81</v>
          </cell>
        </row>
        <row r="12">
          <cell r="B12">
            <v>0</v>
          </cell>
        </row>
        <row r="15">
          <cell r="B15">
            <v>13765629.76</v>
          </cell>
        </row>
        <row r="16">
          <cell r="B16">
            <v>55747.74</v>
          </cell>
        </row>
        <row r="17">
          <cell r="B17">
            <v>0</v>
          </cell>
          <cell r="C17">
            <v>193172</v>
          </cell>
        </row>
        <row r="36">
          <cell r="B36">
            <v>128249.85</v>
          </cell>
        </row>
        <row r="60">
          <cell r="B60">
            <v>1116456158.3800001</v>
          </cell>
          <cell r="C60">
            <v>1086596554.24</v>
          </cell>
        </row>
      </sheetData>
      <sheetData sheetId="16">
        <row r="11">
          <cell r="B11">
            <v>122808504.36</v>
          </cell>
        </row>
        <row r="12">
          <cell r="B12">
            <v>135954552</v>
          </cell>
          <cell r="C12">
            <v>229174633.03999999</v>
          </cell>
        </row>
        <row r="13">
          <cell r="B13">
            <v>0</v>
          </cell>
        </row>
        <row r="17">
          <cell r="B17">
            <v>124405274.98</v>
          </cell>
        </row>
        <row r="18">
          <cell r="B18">
            <v>30000</v>
          </cell>
        </row>
        <row r="19">
          <cell r="B19">
            <v>16904660.390000001</v>
          </cell>
        </row>
        <row r="20">
          <cell r="B20">
            <v>23385249.669999983</v>
          </cell>
          <cell r="C20">
            <v>57303976.350000009</v>
          </cell>
        </row>
        <row r="22">
          <cell r="B22">
            <v>65197036.229999989</v>
          </cell>
        </row>
        <row r="23">
          <cell r="B23">
            <v>467126.29</v>
          </cell>
        </row>
        <row r="30">
          <cell r="C30">
            <v>41656479.659999967</v>
          </cell>
        </row>
        <row r="35">
          <cell r="B35">
            <v>28373708.800000042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229174633.03999999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3993167</v>
          </cell>
          <cell r="G25">
            <v>3993167</v>
          </cell>
          <cell r="H25">
            <v>3993167</v>
          </cell>
          <cell r="I25">
            <v>3993167</v>
          </cell>
          <cell r="J25">
            <v>3993167</v>
          </cell>
          <cell r="K25">
            <v>3993167</v>
          </cell>
          <cell r="L25">
            <v>0</v>
          </cell>
          <cell r="M25">
            <v>0</v>
          </cell>
          <cell r="N25">
            <v>0</v>
          </cell>
          <cell r="O25">
            <v>0</v>
          </cell>
        </row>
        <row r="26">
          <cell r="D26">
            <v>0</v>
          </cell>
          <cell r="E26">
            <v>8372500</v>
          </cell>
          <cell r="F26">
            <v>0</v>
          </cell>
          <cell r="G26">
            <v>25117500</v>
          </cell>
          <cell r="H26">
            <v>8372500</v>
          </cell>
          <cell r="I26">
            <v>8372500</v>
          </cell>
          <cell r="J26">
            <v>8372500</v>
          </cell>
          <cell r="K26">
            <v>8372500</v>
          </cell>
          <cell r="L26">
            <v>0</v>
          </cell>
          <cell r="M26">
            <v>0</v>
          </cell>
          <cell r="N26">
            <v>0</v>
          </cell>
          <cell r="O26">
            <v>0</v>
          </cell>
        </row>
        <row r="27">
          <cell r="D27">
            <v>4628652</v>
          </cell>
          <cell r="E27">
            <v>4628652</v>
          </cell>
          <cell r="F27">
            <v>4628652</v>
          </cell>
          <cell r="G27">
            <v>4628652</v>
          </cell>
          <cell r="H27">
            <v>4628652</v>
          </cell>
          <cell r="I27">
            <v>4628652</v>
          </cell>
          <cell r="J27">
            <v>4628652</v>
          </cell>
          <cell r="K27">
            <v>4628652</v>
          </cell>
          <cell r="L27">
            <v>0</v>
          </cell>
          <cell r="M27">
            <v>0</v>
          </cell>
          <cell r="N27">
            <v>0</v>
          </cell>
          <cell r="O27">
            <v>0</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1"/>
  <sheetViews>
    <sheetView tabSelected="1" workbookViewId="0">
      <selection activeCell="T12" sqref="T12"/>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31 de Agosto del 2025.</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x14ac:dyDescent="0.25">
      <c r="B110" s="7" t="s">
        <v>90</v>
      </c>
      <c r="C110" s="7"/>
      <c r="D110" s="7"/>
      <c r="E110" s="7"/>
    </row>
    <row r="111" spans="2:5" ht="21.75" customHeight="1" x14ac:dyDescent="0.25">
      <c r="B111" s="7" t="s">
        <v>91</v>
      </c>
      <c r="C111" s="7"/>
      <c r="D111" s="7"/>
      <c r="E111" s="7"/>
    </row>
    <row r="112" spans="2:5" ht="30.75" customHeight="1" x14ac:dyDescent="0.25">
      <c r="B112" s="14" t="str">
        <f>("Un detalle del "&amp;_Toc208202813&amp;" al "&amp;[1]BALANZA!$B$3&amp;" "&amp;[1]BALANZA!$C$3&amp;" es como se detalla a continuación:")</f>
        <v>Un detalle del Efectivo y equivalentes de efectivo. al 31 de Agosto del 2025 - 2024 es como se detalla a continuación:</v>
      </c>
      <c r="C112" s="32"/>
      <c r="D112" s="32"/>
      <c r="E112" s="32"/>
    </row>
    <row r="113" spans="2:26" ht="37.5" customHeight="1" x14ac:dyDescent="0.25">
      <c r="B113" s="21"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2025 RD$342,230,396.81  y para el 2024 fue de RD$ 305,489,331.63 , el cual se detalla a continuación:</v>
      </c>
      <c r="C113" s="21"/>
      <c r="D113" s="21"/>
      <c r="E113" s="21"/>
    </row>
    <row r="114" spans="2:26" ht="75" customHeight="1" x14ac:dyDescent="0.25">
      <c r="B114" s="21" t="s">
        <v>92</v>
      </c>
      <c r="C114" s="21"/>
      <c r="D114" s="21"/>
      <c r="E114" s="21"/>
    </row>
    <row r="115" spans="2:26" ht="22.5" customHeight="1" x14ac:dyDescent="0.25">
      <c r="B115" s="21" t="s">
        <v>93</v>
      </c>
      <c r="C115" s="21"/>
      <c r="D115" s="21"/>
      <c r="E115" s="21"/>
    </row>
    <row r="116" spans="2:26" ht="7.5" customHeight="1" x14ac:dyDescent="0.25">
      <c r="B116" s="13"/>
    </row>
    <row r="117" spans="2:26" x14ac:dyDescent="0.25">
      <c r="B117" s="33" t="s">
        <v>94</v>
      </c>
      <c r="C117" s="34">
        <f>+[1]BALANZA!B4</f>
        <v>2025</v>
      </c>
      <c r="D117" s="35">
        <f>+[1]BALANZA!C4</f>
        <v>2024</v>
      </c>
      <c r="E117" s="36" t="s">
        <v>95</v>
      </c>
    </row>
    <row r="118" spans="2:26" ht="18" hidden="1" customHeight="1" x14ac:dyDescent="0.25">
      <c r="B118" s="37" t="s">
        <v>96</v>
      </c>
      <c r="C118" s="38">
        <f>+'[1]BALANZA G'!C12</f>
        <v>0</v>
      </c>
      <c r="D118" s="39">
        <f>+'[1]BALANZA G'!D12</f>
        <v>0</v>
      </c>
      <c r="E118" s="40">
        <f t="shared" ref="E118:E124" si="0">+C118-D118</f>
        <v>0</v>
      </c>
    </row>
    <row r="119" spans="2:26" ht="18" customHeight="1" x14ac:dyDescent="0.25">
      <c r="B119" s="37" t="s">
        <v>97</v>
      </c>
      <c r="C119" s="38">
        <f>+'[1]BALANZA G'!C13</f>
        <v>95000</v>
      </c>
      <c r="D119" s="39">
        <f>+'[1]BALANZA G'!D13</f>
        <v>110000</v>
      </c>
      <c r="E119" s="40">
        <f t="shared" si="0"/>
        <v>-15000</v>
      </c>
    </row>
    <row r="120" spans="2:26" ht="18" customHeight="1" x14ac:dyDescent="0.25">
      <c r="B120" s="37" t="s">
        <v>98</v>
      </c>
      <c r="C120" s="38">
        <f>+'[1]BALANZA G'!C23</f>
        <v>566.20000000000005</v>
      </c>
      <c r="D120" s="38">
        <f>IF(+'[1]BALANZA G'!D23&gt;0,+'[1]BALANZA G'!D23,0)</f>
        <v>236.2</v>
      </c>
      <c r="E120" s="40">
        <f t="shared" si="0"/>
        <v>330.00000000000006</v>
      </c>
    </row>
    <row r="121" spans="2:26" ht="18" customHeight="1" x14ac:dyDescent="0.25">
      <c r="B121" s="41" t="s">
        <v>99</v>
      </c>
      <c r="C121" s="38">
        <f>+'[1]BALANZA G'!C25</f>
        <v>1145014.1200000001</v>
      </c>
      <c r="D121" s="38">
        <f>IF(+'[1]BALANZA G'!D25&gt;0,+'[1]BALANZA G'!D25,0)</f>
        <v>2093182.13</v>
      </c>
      <c r="E121" s="42">
        <f t="shared" si="0"/>
        <v>-948168.00999999978</v>
      </c>
    </row>
    <row r="122" spans="2:26" ht="30" customHeight="1" x14ac:dyDescent="0.25">
      <c r="B122" s="37" t="s">
        <v>100</v>
      </c>
      <c r="C122" s="38">
        <f>+'[1]BALANZA G'!C24</f>
        <v>0</v>
      </c>
      <c r="D122" s="38">
        <f>IF(+'[1]BALANZA G'!D24&gt;0,+'[1]BALANZA G'!D24,0)</f>
        <v>1310.75</v>
      </c>
      <c r="E122" s="40">
        <f t="shared" si="0"/>
        <v>-1310.75</v>
      </c>
    </row>
    <row r="123" spans="2:26" ht="17.25" customHeight="1" x14ac:dyDescent="0.25">
      <c r="B123" s="37" t="s">
        <v>101</v>
      </c>
      <c r="C123" s="38">
        <f>+'[1]BALANZA G'!C26</f>
        <v>1385719.76</v>
      </c>
      <c r="D123" s="38">
        <f>+'[1]BALANZA G'!D26</f>
        <v>453230.39</v>
      </c>
      <c r="E123" s="40">
        <f t="shared" si="0"/>
        <v>932489.37</v>
      </c>
    </row>
    <row r="124" spans="2:26" ht="17.25" customHeight="1" x14ac:dyDescent="0.25">
      <c r="B124" s="43" t="s">
        <v>102</v>
      </c>
      <c r="C124" s="44">
        <f>+'[1]BALANZA G'!C27+'[1]BALANZA G'!C22</f>
        <v>339604096.73000002</v>
      </c>
      <c r="D124" s="38">
        <f>+'[1]BALANZA G'!D27+'[1]BALANZA G'!D22</f>
        <v>302831372.16000003</v>
      </c>
      <c r="E124" s="40">
        <f t="shared" si="0"/>
        <v>36772724.569999993</v>
      </c>
    </row>
    <row r="125" spans="2:26" ht="12.75" hidden="1" customHeight="1" x14ac:dyDescent="0.25">
      <c r="B125" s="43" t="s">
        <v>103</v>
      </c>
      <c r="C125" s="44">
        <f>+'[1]BALANZA G'!C28</f>
        <v>0</v>
      </c>
      <c r="D125" s="38">
        <f>+'[1]BALANZA G'!D28</f>
        <v>0</v>
      </c>
      <c r="E125" s="40"/>
    </row>
    <row r="126" spans="2:26" s="45" customFormat="1" ht="12.75" customHeight="1" x14ac:dyDescent="0.25">
      <c r="B126" s="46" t="s">
        <v>104</v>
      </c>
      <c r="C126" s="47">
        <f>SUM(C118:C125)</f>
        <v>342230396.81</v>
      </c>
      <c r="D126" s="47">
        <f>SUM(D118:D125)</f>
        <v>305489331.63000005</v>
      </c>
      <c r="E126" s="48">
        <f>SUM(E118:E122)</f>
        <v>-964148.75999999978</v>
      </c>
      <c r="J126" s="49"/>
      <c r="K126" s="49"/>
      <c r="N126" s="49"/>
      <c r="R126" s="4" t="str">
        <f>+CONCATENATE(T126,",",U126,",",V126,W126)</f>
        <v>342,230,396.81</v>
      </c>
      <c r="S126" s="4"/>
      <c r="T126" s="4" t="str">
        <f>MID(C126,1,3)</f>
        <v>342</v>
      </c>
      <c r="U126" s="4" t="str">
        <f>MID(C126,4,3)</f>
        <v>230</v>
      </c>
      <c r="V126" s="4" t="str">
        <f>MID(C126,7,3)</f>
        <v>396</v>
      </c>
      <c r="W126" s="4" t="str">
        <f>MID(C126,10,3)</f>
        <v>.81</v>
      </c>
      <c r="X126" s="4"/>
      <c r="Y126" s="50"/>
      <c r="Z126" s="49"/>
    </row>
    <row r="127" spans="2:26" s="45" customFormat="1" x14ac:dyDescent="0.25">
      <c r="B127" s="51"/>
      <c r="C127" s="52">
        <f>+C126-'[1]ES F '!B11</f>
        <v>0</v>
      </c>
      <c r="D127" s="53"/>
      <c r="E127" s="54"/>
      <c r="J127" s="49"/>
      <c r="K127" s="49"/>
      <c r="N127" s="49"/>
      <c r="R127" s="4" t="str">
        <f>+CONCATENATE(T127,",",U127,",",V127,W127)</f>
        <v>305,489,331.63</v>
      </c>
      <c r="S127" s="4"/>
      <c r="T127" s="4" t="str">
        <f>MID(D126,1,3)</f>
        <v>305</v>
      </c>
      <c r="U127" s="4" t="str">
        <f>MID(D126,4,3)</f>
        <v>489</v>
      </c>
      <c r="V127" s="4" t="str">
        <f>MID(D126,7,3)</f>
        <v>331</v>
      </c>
      <c r="W127" s="4" t="str">
        <f>MID(D126,10,3)</f>
        <v>.63</v>
      </c>
      <c r="X127" s="4" t="str">
        <f>MID(E127,7,3)</f>
        <v/>
      </c>
      <c r="Y127" s="4" t="str">
        <f>MID(C127,10,3)</f>
        <v/>
      </c>
      <c r="Z127" s="49"/>
    </row>
    <row r="128" spans="2:26" s="45" customFormat="1" x14ac:dyDescent="0.25">
      <c r="B128" s="55" t="str">
        <f>("Cambio porcentual con relación al "&amp;$D$117&amp;".")</f>
        <v>Cambio porcentual con relación al 2024.</v>
      </c>
      <c r="C128" s="56"/>
      <c r="D128" s="57" t="str">
        <f>IF(E128&gt;=0,"Aumento","Disminución")</f>
        <v>Disminución</v>
      </c>
      <c r="E128" s="58">
        <f>+E126/D126</f>
        <v>-3.1560799680158689E-3</v>
      </c>
      <c r="J128" s="49"/>
      <c r="K128" s="49"/>
      <c r="N128" s="49"/>
      <c r="R128" s="50"/>
      <c r="S128" s="50"/>
      <c r="T128" s="50"/>
      <c r="U128" s="50"/>
      <c r="V128" s="50"/>
      <c r="W128" s="50"/>
      <c r="X128" s="50"/>
      <c r="Y128" s="50"/>
      <c r="Z128" s="49"/>
    </row>
    <row r="129" spans="2:26" s="45" customFormat="1" x14ac:dyDescent="0.25">
      <c r="B129" s="59"/>
      <c r="C129" s="59"/>
      <c r="D129" s="60"/>
      <c r="E129" s="61"/>
      <c r="J129" s="49"/>
      <c r="K129" s="49"/>
      <c r="N129" s="49"/>
      <c r="R129" s="50"/>
      <c r="S129" s="50"/>
      <c r="T129" s="50"/>
      <c r="U129" s="50"/>
      <c r="V129" s="50"/>
      <c r="W129" s="50"/>
      <c r="X129" s="50"/>
      <c r="Y129" s="50"/>
      <c r="Z129" s="49"/>
    </row>
    <row r="130" spans="2:26" s="45" customFormat="1" x14ac:dyDescent="0.25">
      <c r="B130" s="62"/>
      <c r="C130" s="62"/>
      <c r="D130" s="60"/>
      <c r="E130" s="63"/>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hidden="1" x14ac:dyDescent="0.25">
      <c r="B134" s="11" t="s">
        <v>105</v>
      </c>
    </row>
    <row r="135" spans="2:26" hidden="1" x14ac:dyDescent="0.25">
      <c r="B135" s="64" t="s">
        <v>106</v>
      </c>
      <c r="C135" s="64"/>
      <c r="D135" s="64"/>
      <c r="E135" s="64"/>
    </row>
    <row r="136" spans="2:26" ht="23.25" hidden="1" customHeight="1" x14ac:dyDescent="0.25">
      <c r="B136" s="14" t="str">
        <f>("Un detalle del "&amp;B135&amp;" al "&amp;[1]BALANZA!$B$3&amp;" "&amp;[1]BALANZA!$C$3&amp;" es como se detalla a continuación:")</f>
        <v>Un detalle del Inversiones a corto plazo al 31 de Agosto del 2025 - 2024 es como se detalla a continuación:</v>
      </c>
      <c r="C136" s="32"/>
      <c r="D136" s="32"/>
      <c r="E136" s="32"/>
    </row>
    <row r="137" spans="2:26" ht="45" hidden="1" customHeight="1" x14ac:dyDescent="0.25">
      <c r="B137" s="21"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7" s="21"/>
      <c r="D137" s="21"/>
      <c r="E137" s="21"/>
    </row>
    <row r="138" spans="2:26" hidden="1" x14ac:dyDescent="0.25">
      <c r="B138" s="65"/>
    </row>
    <row r="139" spans="2:26" hidden="1" x14ac:dyDescent="0.25">
      <c r="B139" s="36" t="s">
        <v>94</v>
      </c>
      <c r="C139" s="36">
        <f>+[1]BALANZA!B4</f>
        <v>2025</v>
      </c>
      <c r="D139" s="36">
        <f>+[1]BALANZA!C4</f>
        <v>2024</v>
      </c>
      <c r="E139" s="36" t="s">
        <v>95</v>
      </c>
    </row>
    <row r="140" spans="2:26" hidden="1" x14ac:dyDescent="0.25">
      <c r="B140" s="66" t="s">
        <v>107</v>
      </c>
      <c r="C140" s="67">
        <f>+'[1]BALANZA G'!C15</f>
        <v>80000</v>
      </c>
      <c r="D140" s="68">
        <f>+'[1]BALANZA G'!D15</f>
        <v>80000</v>
      </c>
      <c r="E140" s="69">
        <f>+C140-D140</f>
        <v>0</v>
      </c>
    </row>
    <row r="141" spans="2:26" hidden="1" x14ac:dyDescent="0.25">
      <c r="B141" s="66" t="s">
        <v>108</v>
      </c>
      <c r="C141" s="70">
        <f>+'[1]BALANZA G'!C30</f>
        <v>0</v>
      </c>
      <c r="D141" s="71">
        <f>+'[1]BALANZA G'!D30</f>
        <v>0</v>
      </c>
      <c r="E141" s="72">
        <f>+C141-D141</f>
        <v>0</v>
      </c>
    </row>
    <row r="142" spans="2:26" hidden="1" x14ac:dyDescent="0.25">
      <c r="B142" s="73" t="s">
        <v>109</v>
      </c>
      <c r="C142" s="48">
        <f>SUM(C141:C141)</f>
        <v>0</v>
      </c>
      <c r="D142" s="74">
        <f>SUM(D141:D141)</f>
        <v>0</v>
      </c>
      <c r="E142" s="48">
        <f>SUM(E140:E141)</f>
        <v>0</v>
      </c>
      <c r="R142" s="4" t="str">
        <f>+CONCATENATE(S142,T142,U142,".00")</f>
        <v>0.00</v>
      </c>
      <c r="S142" s="4" t="str">
        <f>MID(C142,1,3)</f>
        <v>0</v>
      </c>
      <c r="T142" s="4" t="str">
        <f>MID(C141,4,3)</f>
        <v/>
      </c>
      <c r="U142" s="4" t="str">
        <f>MID(D141,7,3)</f>
        <v/>
      </c>
    </row>
    <row r="143" spans="2:26" hidden="1" x14ac:dyDescent="0.25">
      <c r="B143" s="75"/>
      <c r="C143" s="76">
        <f>+C142-'[1]ES F '!B12</f>
        <v>0</v>
      </c>
      <c r="D143" s="77"/>
      <c r="E143" s="76"/>
      <c r="R143" s="4" t="str">
        <f>+CONCATENATE(S143,",",T143,U143,".00")</f>
        <v>0,.00</v>
      </c>
      <c r="S143" s="4" t="str">
        <f>MID(D142,1,3)</f>
        <v>0</v>
      </c>
      <c r="T143" s="4" t="str">
        <f>MID(D142,4,3)</f>
        <v/>
      </c>
      <c r="U143" s="4" t="str">
        <f>MID(E142,7,3)</f>
        <v/>
      </c>
    </row>
    <row r="144" spans="2:26" s="45" customFormat="1" hidden="1" x14ac:dyDescent="0.25">
      <c r="B144" s="55" t="str">
        <f>("Cambio porcentual con relación al "&amp;$D$117&amp;".")</f>
        <v>Cambio porcentual con relación al 2024.</v>
      </c>
      <c r="C144" s="56"/>
      <c r="D144" s="78" t="e">
        <f>IF(E144&gt;=0,"Aumento","Disminución")</f>
        <v>#DIV/0!</v>
      </c>
      <c r="E144" s="58" t="e">
        <f>+E142/D142</f>
        <v>#DIV/0!</v>
      </c>
      <c r="J144" s="49"/>
      <c r="K144" s="49"/>
      <c r="N144" s="49"/>
      <c r="R144" s="50"/>
      <c r="S144" s="50"/>
      <c r="T144" s="50"/>
      <c r="U144" s="50"/>
      <c r="V144" s="50"/>
      <c r="W144" s="50"/>
      <c r="X144" s="50"/>
      <c r="Y144" s="50"/>
      <c r="Z144" s="49"/>
    </row>
    <row r="145" spans="1:26" s="45" customFormat="1" x14ac:dyDescent="0.25">
      <c r="B145" s="62"/>
      <c r="C145" s="62"/>
      <c r="D145" s="60"/>
      <c r="E145" s="63"/>
      <c r="J145" s="49"/>
      <c r="K145" s="49"/>
      <c r="N145" s="49"/>
      <c r="R145" s="50"/>
      <c r="S145" s="50"/>
      <c r="T145" s="50"/>
      <c r="U145" s="50"/>
      <c r="V145" s="50"/>
      <c r="W145" s="50"/>
      <c r="X145" s="50"/>
      <c r="Y145" s="50"/>
      <c r="Z145" s="49"/>
    </row>
    <row r="146" spans="1:26" x14ac:dyDescent="0.25">
      <c r="B146" s="65" t="s">
        <v>110</v>
      </c>
    </row>
    <row r="147" spans="1:26" ht="18.75" customHeight="1" x14ac:dyDescent="0.25">
      <c r="B147" s="64" t="s">
        <v>111</v>
      </c>
      <c r="C147" s="64"/>
      <c r="D147" s="64"/>
      <c r="E147" s="64"/>
    </row>
    <row r="148" spans="1:26" ht="36" customHeight="1" x14ac:dyDescent="0.25">
      <c r="B148" s="14" t="str">
        <f>("Un detalle de las "&amp;B147&amp;" al "&amp;[1]BALANZA!$B$3&amp;""&amp;[1]BALANZA!$C$3&amp;" es como se detalla a continuación:")</f>
        <v>Un detalle de las Cuentas por cobrar a corto plazo al 31 de Agosto del 2025- 2024 es como se detalla a continuación:</v>
      </c>
      <c r="C148" s="32"/>
      <c r="D148" s="32"/>
      <c r="E148" s="32"/>
      <c r="L148" s="2" t="s">
        <v>112</v>
      </c>
    </row>
    <row r="149" spans="1:26" ht="51" customHeight="1" x14ac:dyDescent="0.25">
      <c r="A149" s="79"/>
      <c r="B149" s="80"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2025 el monto total de estas partidas fue por RD$ 0.00 y para el 2024 el monto era RD$ 1,350.12  ,   de Según el siguiente detalle:</v>
      </c>
      <c r="C149" s="80"/>
      <c r="D149" s="80"/>
      <c r="E149" s="80"/>
    </row>
    <row r="150" spans="1:26" x14ac:dyDescent="0.25">
      <c r="B150" s="33" t="s">
        <v>94</v>
      </c>
      <c r="C150" s="33">
        <f>+C370</f>
        <v>2025</v>
      </c>
      <c r="D150" s="33">
        <f>+D370</f>
        <v>2024</v>
      </c>
      <c r="E150" s="33" t="s">
        <v>95</v>
      </c>
    </row>
    <row r="151" spans="1:26" ht="17.25" customHeight="1" x14ac:dyDescent="0.25">
      <c r="B151" s="41" t="s">
        <v>113</v>
      </c>
      <c r="C151" s="81">
        <f>+'[1]BALANZA G'!C34-C152</f>
        <v>-1350.12</v>
      </c>
      <c r="D151" s="82">
        <v>0</v>
      </c>
      <c r="E151" s="83">
        <f>+C151-D151</f>
        <v>-1350.12</v>
      </c>
    </row>
    <row r="152" spans="1:26" x14ac:dyDescent="0.25">
      <c r="B152" s="41" t="s">
        <v>114</v>
      </c>
      <c r="C152" s="84">
        <f>+'[1]BALANZA G'!C35</f>
        <v>1350.12</v>
      </c>
      <c r="D152" s="39">
        <f>+'[1]BALANZA G'!D35</f>
        <v>1350.12</v>
      </c>
      <c r="E152" s="83">
        <f>+C152-D152</f>
        <v>0</v>
      </c>
    </row>
    <row r="153" spans="1:26" x14ac:dyDescent="0.25">
      <c r="B153" s="85" t="s">
        <v>115</v>
      </c>
      <c r="C153" s="47">
        <f>SUM(C151:C152)</f>
        <v>0</v>
      </c>
      <c r="D153" s="47">
        <f>SUM(D151:D152)</f>
        <v>1350.12</v>
      </c>
      <c r="E153" s="47">
        <f>SUM(E151:E152)</f>
        <v>-1350.12</v>
      </c>
      <c r="R153" s="4" t="str">
        <f>+CONCATENATE(S153,".00",T153,U153,"")</f>
        <v>0.00</v>
      </c>
      <c r="S153" s="4" t="str">
        <f>MID(C153,1,1)</f>
        <v>0</v>
      </c>
      <c r="T153" s="4" t="str">
        <f>MID(C153,2,3)</f>
        <v/>
      </c>
      <c r="U153" s="4" t="str">
        <f>MID(C153,5,3)</f>
        <v/>
      </c>
      <c r="V153" s="4" t="str">
        <f>MID(C153,9,3)</f>
        <v/>
      </c>
    </row>
    <row r="154" spans="1:26" x14ac:dyDescent="0.25">
      <c r="B154" s="86"/>
      <c r="C154" s="87"/>
      <c r="D154" s="88"/>
      <c r="E154" s="89"/>
      <c r="R154" s="4" t="str">
        <f>+CONCATENATE(S154,",",T154,U154,V154,"2")</f>
        <v>1,350.12</v>
      </c>
      <c r="S154" s="4" t="str">
        <f>MID(D153,1,1)</f>
        <v>1</v>
      </c>
      <c r="T154" s="4" t="str">
        <f>MID(D153,2,3)</f>
        <v>350</v>
      </c>
      <c r="U154" s="4" t="str">
        <f>MID(D153,5,2)</f>
        <v>.1</v>
      </c>
    </row>
    <row r="155" spans="1:26" s="45" customFormat="1" x14ac:dyDescent="0.25">
      <c r="B155" s="55" t="str">
        <f>("Cambio porcentual con relación al "&amp;$D$117&amp;".")</f>
        <v>Cambio porcentual con relación al 2024.</v>
      </c>
      <c r="C155" s="56"/>
      <c r="D155" s="57" t="str">
        <f>IF(E155&gt;=0,"Aumento","Disminución")</f>
        <v>Disminución</v>
      </c>
      <c r="E155" s="90">
        <f>IFERROR(+E153/D153,0)</f>
        <v>-1</v>
      </c>
      <c r="J155" s="49"/>
      <c r="K155" s="49"/>
      <c r="N155" s="49"/>
      <c r="R155" s="50"/>
      <c r="S155" s="50"/>
      <c r="T155" s="50"/>
      <c r="U155" s="50"/>
      <c r="V155" s="50"/>
      <c r="W155" s="50"/>
      <c r="X155" s="50"/>
      <c r="Y155" s="50"/>
      <c r="Z155" s="49"/>
    </row>
    <row r="156" spans="1:26" ht="9" customHeight="1" x14ac:dyDescent="0.25">
      <c r="B156" s="91"/>
    </row>
    <row r="157" spans="1:26" ht="80.25" customHeight="1" x14ac:dyDescent="0.25">
      <c r="B157" s="92" t="s">
        <v>116</v>
      </c>
      <c r="C157" s="92"/>
      <c r="D157" s="92"/>
      <c r="E157" s="92"/>
    </row>
    <row r="158" spans="1:26" x14ac:dyDescent="0.25">
      <c r="B158" s="91"/>
    </row>
    <row r="159" spans="1:26" x14ac:dyDescent="0.25">
      <c r="B159" s="64" t="s">
        <v>117</v>
      </c>
      <c r="C159" s="64"/>
      <c r="D159" s="64"/>
      <c r="E159" s="64"/>
    </row>
    <row r="160" spans="1:26" x14ac:dyDescent="0.25">
      <c r="B160" s="64" t="s">
        <v>118</v>
      </c>
      <c r="C160" s="64"/>
      <c r="D160" s="64"/>
      <c r="E160" s="64"/>
    </row>
    <row r="161" spans="2:26" ht="18.75" customHeight="1" x14ac:dyDescent="0.25">
      <c r="B161" s="14" t="str">
        <f>("Un detalle de las "&amp;B160&amp;" al "&amp;[1]BALANZA!$B$3&amp;""&amp;[1]BALANZA!$C$3&amp;" es como se detalla a continuación:")</f>
        <v>Un detalle de las Inventario al 31 de Agosto del 2025- 2024 es como se detalla a continuación:</v>
      </c>
      <c r="C161" s="32"/>
      <c r="D161" s="32"/>
      <c r="E161" s="32"/>
    </row>
    <row r="162" spans="2:26" ht="36" customHeight="1" x14ac:dyDescent="0.25">
      <c r="B162" s="21"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2025 RD$ 13,765,629.76 y para el 2024 RD$ 18,382,280.28, Según el siguiente detalle:</v>
      </c>
      <c r="C162" s="21"/>
      <c r="D162" s="21"/>
      <c r="E162" s="21"/>
    </row>
    <row r="163" spans="2:26" ht="7.5" customHeight="1" x14ac:dyDescent="0.25">
      <c r="B163" s="91"/>
    </row>
    <row r="164" spans="2:26" x14ac:dyDescent="0.25">
      <c r="B164" s="33" t="s">
        <v>94</v>
      </c>
      <c r="C164" s="33">
        <f>+C370</f>
        <v>2025</v>
      </c>
      <c r="D164" s="33">
        <f>+D370</f>
        <v>2024</v>
      </c>
      <c r="E164" s="33" t="s">
        <v>95</v>
      </c>
    </row>
    <row r="165" spans="2:26" hidden="1" x14ac:dyDescent="0.25">
      <c r="B165" s="41" t="s">
        <v>107</v>
      </c>
      <c r="C165" s="84">
        <f>+'[1]BALANZA G'!C40</f>
        <v>0</v>
      </c>
      <c r="D165" s="39">
        <f>+'[1]BALANZA G'!D40</f>
        <v>0</v>
      </c>
      <c r="E165" s="93">
        <f>+C165-D165</f>
        <v>0</v>
      </c>
    </row>
    <row r="166" spans="2:26" ht="30" x14ac:dyDescent="0.25">
      <c r="B166" s="41" t="s">
        <v>119</v>
      </c>
      <c r="C166" s="84">
        <f>+'[1]BALANZA G'!C41</f>
        <v>13765629.76</v>
      </c>
      <c r="D166" s="94">
        <f>+'[1]BALANZA G'!D41</f>
        <v>18382280.280000001</v>
      </c>
      <c r="E166" s="95">
        <f>+C166-D166</f>
        <v>-4616650.5200000014</v>
      </c>
    </row>
    <row r="167" spans="2:26" x14ac:dyDescent="0.25">
      <c r="B167" s="85" t="s">
        <v>120</v>
      </c>
      <c r="C167" s="47">
        <f>SUM(C165:C166)</f>
        <v>13765629.76</v>
      </c>
      <c r="D167" s="96">
        <f>SUM(D165:D166)</f>
        <v>18382280.280000001</v>
      </c>
      <c r="E167" s="47">
        <f>SUM(E165:E166)</f>
        <v>-4616650.5200000014</v>
      </c>
      <c r="R167" s="4" t="str">
        <f>+CONCATENATE(S167,",",T167,",",U167,V167,AB167,"")</f>
        <v>13,765,629.76</v>
      </c>
      <c r="S167" s="4" t="str">
        <f>MID(C167,1,2)</f>
        <v>13</v>
      </c>
      <c r="T167" s="4" t="str">
        <f>MID(C167,3,3)</f>
        <v>765</v>
      </c>
      <c r="U167" s="4" t="str">
        <f>MID(C167,6,3)</f>
        <v>629</v>
      </c>
      <c r="V167" s="4" t="str">
        <f>MID(C167,9,3)</f>
        <v>.76</v>
      </c>
    </row>
    <row r="168" spans="2:26" x14ac:dyDescent="0.25">
      <c r="B168" s="86"/>
      <c r="C168" s="97">
        <f>+C167-'[1]ES F '!B15</f>
        <v>0</v>
      </c>
      <c r="D168" s="88"/>
      <c r="E168" s="89"/>
      <c r="R168" s="4" t="str">
        <f>+CONCATENATE(S168,",",T168,",",U168,V168,"")</f>
        <v>18,382,280.28</v>
      </c>
      <c r="S168" s="4" t="str">
        <f>MID(D167,1,2)</f>
        <v>18</v>
      </c>
      <c r="T168" s="4" t="str">
        <f>MID(D167,3,3)</f>
        <v>382</v>
      </c>
      <c r="U168" s="4" t="str">
        <f>MID(D167,6,3)</f>
        <v>280</v>
      </c>
      <c r="V168" s="4" t="str">
        <f>MID(D167,9,3)</f>
        <v>.28</v>
      </c>
    </row>
    <row r="169" spans="2:26" s="45" customFormat="1" x14ac:dyDescent="0.25">
      <c r="B169" s="55" t="str">
        <f>("Cambio porcentual con relación al "&amp;$D$117&amp;".")</f>
        <v>Cambio porcentual con relación al 2024.</v>
      </c>
      <c r="C169" s="56"/>
      <c r="D169" s="57" t="str">
        <f>IF(E169&gt;=0,"Aumento","Disminución")</f>
        <v>Disminución</v>
      </c>
      <c r="E169" s="90">
        <f>IFERROR((+E167/D167),0)</f>
        <v>-0.25114678101295934</v>
      </c>
      <c r="J169" s="49"/>
      <c r="K169" s="49"/>
      <c r="N169" s="49"/>
      <c r="R169" s="50"/>
      <c r="S169" s="50"/>
      <c r="T169" s="50"/>
      <c r="U169" s="50"/>
      <c r="V169" s="50"/>
      <c r="W169" s="50"/>
      <c r="X169" s="50"/>
      <c r="Y169" s="50"/>
      <c r="Z169" s="49"/>
    </row>
    <row r="170" spans="2:26" s="45" customFormat="1" x14ac:dyDescent="0.25">
      <c r="B170" s="59"/>
      <c r="C170" s="59"/>
      <c r="D170" s="60"/>
      <c r="E170" s="63"/>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x14ac:dyDescent="0.25">
      <c r="B183" s="91"/>
    </row>
    <row r="184" spans="2:26" ht="16.5" customHeight="1" x14ac:dyDescent="0.25">
      <c r="B184" s="21"/>
      <c r="C184" s="21"/>
      <c r="D184" s="21"/>
      <c r="E184" s="21"/>
    </row>
    <row r="185" spans="2:26" ht="16.5" customHeight="1" x14ac:dyDescent="0.25">
      <c r="B185" s="16"/>
      <c r="C185" s="16"/>
      <c r="D185" s="16"/>
      <c r="E185" s="16"/>
    </row>
    <row r="186" spans="2:26" ht="16.5" customHeight="1" x14ac:dyDescent="0.25">
      <c r="B186" s="16"/>
      <c r="C186" s="16"/>
      <c r="D186" s="16"/>
      <c r="E186" s="16"/>
    </row>
    <row r="187" spans="2:26" ht="16.5" customHeight="1" x14ac:dyDescent="0.25">
      <c r="B187" s="16"/>
      <c r="C187" s="16"/>
      <c r="D187" s="16"/>
      <c r="E187" s="16"/>
    </row>
    <row r="188" spans="2:26" ht="16.5" customHeight="1" x14ac:dyDescent="0.25">
      <c r="B188" s="65" t="s">
        <v>121</v>
      </c>
      <c r="C188" s="16"/>
      <c r="D188" s="98"/>
      <c r="E188" s="16"/>
    </row>
    <row r="189" spans="2:26" ht="16.5" customHeight="1" x14ac:dyDescent="0.25">
      <c r="B189" s="65" t="s">
        <v>122</v>
      </c>
      <c r="C189" s="16"/>
      <c r="D189" s="98"/>
      <c r="E189" s="16"/>
    </row>
    <row r="190" spans="2:26" ht="27.75" customHeight="1" x14ac:dyDescent="0.25">
      <c r="B190" s="14" t="str">
        <f>("Un detalle del "&amp;B189&amp;" al "&amp;[1]BALANZA!$B$3&amp;" "&amp;[1]BALANZA!$C$3&amp;" es como se detalla a continuación:")</f>
        <v>Un detalle del Pagos anticipados al 31 de Agosto del 2025 - 2024 es como se detalla a continuación:</v>
      </c>
      <c r="C190" s="32"/>
      <c r="D190" s="32"/>
      <c r="E190" s="32"/>
    </row>
    <row r="191" spans="2:26" ht="41.25" customHeight="1" x14ac:dyDescent="0.25">
      <c r="B191" s="21" t="str">
        <f>("Los  pagos anticipados están representados por las partidas de seguros pagados por adelantado, Para el "&amp;[1]BALANZA!B4&amp;" el monto ascendio  a RD$ "&amp;R199&amp;" y para el "&amp;[1]BALANZA!C4&amp;" el monto era RD$ "&amp;R200&amp;", Según el siguiente detalle:")</f>
        <v>Los  pagos anticipados están representados por las partidas de seguros pagados por adelantado, Para el 2025 el monto ascendio  a RD$ 55,747.74 y para el 2024 el monto era RD$ 422,306.74, Según el siguiente detalle:</v>
      </c>
      <c r="C191" s="21"/>
      <c r="D191" s="21"/>
      <c r="E191" s="21"/>
    </row>
    <row r="192" spans="2:26" x14ac:dyDescent="0.25">
      <c r="B192" s="91"/>
    </row>
    <row r="193" spans="2:26" x14ac:dyDescent="0.25">
      <c r="B193" s="33" t="s">
        <v>94</v>
      </c>
      <c r="C193" s="36">
        <f>+C164</f>
        <v>2025</v>
      </c>
      <c r="D193" s="36">
        <f>+D164</f>
        <v>2024</v>
      </c>
      <c r="E193" s="33" t="s">
        <v>95</v>
      </c>
    </row>
    <row r="194" spans="2:26" ht="15" customHeight="1" x14ac:dyDescent="0.25">
      <c r="B194" s="41" t="s">
        <v>123</v>
      </c>
      <c r="C194" s="84">
        <f>+D198</f>
        <v>422306.74</v>
      </c>
      <c r="D194" s="39">
        <f>+D198-D196-D195</f>
        <v>841536.45</v>
      </c>
      <c r="E194" s="83">
        <f>+C194-D194</f>
        <v>-419229.70999999996</v>
      </c>
    </row>
    <row r="195" spans="2:26" ht="15" customHeight="1" x14ac:dyDescent="0.25">
      <c r="B195" s="41" t="s">
        <v>124</v>
      </c>
      <c r="C195" s="99">
        <f>+C198-C194-C196</f>
        <v>71522.580000000016</v>
      </c>
      <c r="D195" s="39">
        <f>205890.43+32007.08</f>
        <v>237897.51</v>
      </c>
      <c r="E195" s="83">
        <f>+C195-D195</f>
        <v>-166374.93</v>
      </c>
    </row>
    <row r="196" spans="2:26" ht="15" customHeight="1" x14ac:dyDescent="0.25">
      <c r="B196" s="41" t="s">
        <v>125</v>
      </c>
      <c r="C196" s="100">
        <f>-'[1]Notas NF'!C608</f>
        <v>-438081.58</v>
      </c>
      <c r="D196" s="100">
        <f>-'[1]Notas NF'!D608</f>
        <v>-657127.22</v>
      </c>
      <c r="E196" s="83">
        <f>+C196-D196</f>
        <v>219045.63999999996</v>
      </c>
      <c r="U196" s="101"/>
    </row>
    <row r="197" spans="2:26" ht="15" customHeight="1" x14ac:dyDescent="0.25">
      <c r="B197" s="41"/>
      <c r="C197" s="84"/>
      <c r="D197" s="84"/>
      <c r="E197" s="83"/>
    </row>
    <row r="198" spans="2:26" x14ac:dyDescent="0.25">
      <c r="B198" s="41" t="s">
        <v>126</v>
      </c>
      <c r="C198" s="84">
        <f>+'[1]BALANZA G'!C48</f>
        <v>55747.74</v>
      </c>
      <c r="D198" s="94">
        <f>+'[1]BALANZA G'!D48</f>
        <v>422306.74</v>
      </c>
      <c r="E198" s="83">
        <f>+C198-D198</f>
        <v>-366559</v>
      </c>
    </row>
    <row r="199" spans="2:26" x14ac:dyDescent="0.25">
      <c r="B199" s="85" t="s">
        <v>127</v>
      </c>
      <c r="C199" s="47">
        <f>SUM(C198:C198)</f>
        <v>55747.74</v>
      </c>
      <c r="D199" s="47">
        <f>SUM(D198:D198)</f>
        <v>422306.74</v>
      </c>
      <c r="E199" s="102">
        <f>+C199-D199</f>
        <v>-366559</v>
      </c>
      <c r="R199" s="4" t="str">
        <f>+CONCATENATE(S199,",",T199,U199,"")</f>
        <v>55,747.74</v>
      </c>
      <c r="S199" s="4" t="str">
        <f>MID(C199,1,2)</f>
        <v>55</v>
      </c>
      <c r="T199" s="4" t="str">
        <f>MID(C199,3,3)</f>
        <v>747</v>
      </c>
      <c r="U199" s="4" t="str">
        <f>MID(C199,6,3)</f>
        <v>.74</v>
      </c>
    </row>
    <row r="200" spans="2:26" x14ac:dyDescent="0.25">
      <c r="B200" s="103"/>
      <c r="C200" s="104">
        <f>+C199-'[1]ES F '!B16</f>
        <v>0</v>
      </c>
      <c r="D200" s="105"/>
      <c r="E200" s="106"/>
      <c r="R200" s="4" t="str">
        <f>+CONCATENATE(S200,",",T200,U200)</f>
        <v>422,306.74</v>
      </c>
      <c r="S200" s="4" t="str">
        <f>MID(D199,1,3)</f>
        <v>422</v>
      </c>
      <c r="T200" s="4" t="str">
        <f>MID(D199,4,3)</f>
        <v>306</v>
      </c>
      <c r="U200" s="4" t="str">
        <f>MID(D199,7,3)</f>
        <v>.74</v>
      </c>
    </row>
    <row r="201" spans="2:26" s="45" customFormat="1" x14ac:dyDescent="0.25">
      <c r="B201" s="55" t="str">
        <f>("Cambio porcentual con relación al "&amp;$D$117&amp;".")</f>
        <v>Cambio porcentual con relación al 2024.</v>
      </c>
      <c r="C201" s="56"/>
      <c r="D201" s="57" t="str">
        <f>IF(E201&gt;=0,"Aumento","Disminución")</f>
        <v>Disminución</v>
      </c>
      <c r="E201" s="90">
        <f>IFERROR((+E199/D199),0)</f>
        <v>-0.86799230341433808</v>
      </c>
      <c r="J201" s="49"/>
      <c r="K201" s="49"/>
      <c r="N201" s="49"/>
      <c r="R201" s="50"/>
      <c r="S201" s="50"/>
      <c r="T201" s="50"/>
      <c r="U201" s="50"/>
      <c r="V201" s="50"/>
      <c r="W201" s="50"/>
      <c r="X201" s="50"/>
      <c r="Y201" s="50"/>
      <c r="Z201" s="49"/>
    </row>
    <row r="202" spans="2:26" ht="16.5" customHeight="1" x14ac:dyDescent="0.25">
      <c r="B202" s="65"/>
      <c r="C202" s="16"/>
      <c r="D202" s="98"/>
      <c r="E202" s="16"/>
    </row>
    <row r="203" spans="2:26" ht="16.5" customHeight="1" x14ac:dyDescent="0.25">
      <c r="B203" s="65"/>
      <c r="C203" s="107"/>
      <c r="D203" s="98"/>
      <c r="E203" s="16"/>
    </row>
    <row r="204" spans="2:26" ht="14.25" customHeight="1" x14ac:dyDescent="0.25">
      <c r="B204" s="65" t="s">
        <v>128</v>
      </c>
      <c r="C204" s="107"/>
      <c r="D204" s="98"/>
      <c r="E204" s="16"/>
    </row>
    <row r="205" spans="2:26" x14ac:dyDescent="0.25">
      <c r="B205" s="65" t="s">
        <v>129</v>
      </c>
    </row>
    <row r="206" spans="2:26" ht="28.5" customHeight="1" x14ac:dyDescent="0.25">
      <c r="B206" s="14" t="str">
        <f>("Un detalle de "&amp;B205&amp;" al "&amp;[1]BALANZA!$B$3&amp;" "&amp;[1]BALANZA!$C$3&amp;" es como se detalla a continuación:")</f>
        <v>Un detalle de Otros activos corrientes al 31 de Agosto del 2025 - 2024 es como se detalla a continuación:</v>
      </c>
      <c r="C206" s="32"/>
      <c r="D206" s="32"/>
      <c r="E206" s="32"/>
    </row>
    <row r="207" spans="2:26" ht="49.5" customHeight="1" x14ac:dyDescent="0.25">
      <c r="B207" s="21" t="str">
        <f>("Los depósitos o fianzas por los alquileres de locales de CORAAMOCA, vigentes, están registrado en el Estado de Balance General, dentro  de la partida de otros activos, en  periodos "&amp;[1]BALANZA!B4&amp;" el valor estaba en RD$ "&amp;R225&amp;".  Según detalles:")</f>
        <v>Los depósitos o fianzas por los alquileres de locales de CORAAMOCA, vigentes, están registrado en el Estado de Balance General, dentro  de la partida de otros activos, en  periodos 2025 el valor estaba en RD$ 0.00.  Según detalles:</v>
      </c>
      <c r="C207" s="21"/>
      <c r="D207" s="21"/>
      <c r="E207" s="21"/>
    </row>
    <row r="208" spans="2:26" ht="37.5" customHeight="1" x14ac:dyDescent="0.25">
      <c r="B208" s="21" t="s">
        <v>130</v>
      </c>
      <c r="C208" s="21"/>
      <c r="D208" s="21"/>
      <c r="E208" s="21"/>
    </row>
    <row r="209" spans="2:26" ht="14.25" customHeight="1" x14ac:dyDescent="0.25">
      <c r="B209" s="108"/>
    </row>
    <row r="210" spans="2:26" s="109" customFormat="1" ht="19.5" hidden="1" customHeight="1" x14ac:dyDescent="0.25">
      <c r="B210" s="33" t="s">
        <v>131</v>
      </c>
      <c r="C210" s="33" t="s">
        <v>132</v>
      </c>
      <c r="D210" s="110" t="s">
        <v>133</v>
      </c>
      <c r="E210" s="34" t="s">
        <v>134</v>
      </c>
      <c r="J210" s="111"/>
      <c r="K210" s="111"/>
      <c r="N210" s="111"/>
      <c r="R210" s="112"/>
      <c r="S210" s="112"/>
      <c r="T210" s="112"/>
      <c r="U210" s="112"/>
      <c r="V210" s="112"/>
      <c r="W210" s="112"/>
      <c r="X210" s="112"/>
      <c r="Y210" s="112"/>
      <c r="Z210" s="111"/>
    </row>
    <row r="211" spans="2:26" hidden="1" x14ac:dyDescent="0.25">
      <c r="B211" s="113" t="s">
        <v>135</v>
      </c>
      <c r="C211" s="114" t="s">
        <v>136</v>
      </c>
      <c r="D211" s="115">
        <v>12000</v>
      </c>
      <c r="E211" s="116">
        <f>+D211</f>
        <v>12000</v>
      </c>
    </row>
    <row r="212" spans="2:26" hidden="1" x14ac:dyDescent="0.25">
      <c r="B212" s="113" t="s">
        <v>137</v>
      </c>
      <c r="C212" s="114" t="s">
        <v>138</v>
      </c>
      <c r="D212" s="115">
        <v>21000</v>
      </c>
      <c r="E212" s="116">
        <f t="shared" ref="E212:E219" si="1">+D212</f>
        <v>21000</v>
      </c>
    </row>
    <row r="213" spans="2:26" hidden="1" x14ac:dyDescent="0.25">
      <c r="B213" s="113" t="s">
        <v>139</v>
      </c>
      <c r="C213" s="114" t="s">
        <v>140</v>
      </c>
      <c r="D213" s="115">
        <v>28500</v>
      </c>
      <c r="E213" s="116">
        <f t="shared" si="1"/>
        <v>28500</v>
      </c>
    </row>
    <row r="214" spans="2:26" hidden="1" x14ac:dyDescent="0.25">
      <c r="B214" s="113" t="s">
        <v>141</v>
      </c>
      <c r="C214" s="114" t="s">
        <v>142</v>
      </c>
      <c r="D214" s="115">
        <v>33336</v>
      </c>
      <c r="E214" s="116">
        <f t="shared" si="1"/>
        <v>33336</v>
      </c>
    </row>
    <row r="215" spans="2:26" hidden="1" x14ac:dyDescent="0.25">
      <c r="B215" s="117" t="s">
        <v>143</v>
      </c>
      <c r="C215" s="118" t="s">
        <v>144</v>
      </c>
      <c r="D215" s="119">
        <v>20000</v>
      </c>
      <c r="E215" s="116">
        <f t="shared" si="1"/>
        <v>20000</v>
      </c>
    </row>
    <row r="216" spans="2:26" hidden="1" x14ac:dyDescent="0.25">
      <c r="B216" s="117" t="s">
        <v>145</v>
      </c>
      <c r="C216" s="118" t="s">
        <v>146</v>
      </c>
      <c r="D216" s="119">
        <v>18000</v>
      </c>
      <c r="E216" s="116">
        <f t="shared" si="1"/>
        <v>18000</v>
      </c>
    </row>
    <row r="217" spans="2:26" hidden="1" x14ac:dyDescent="0.25">
      <c r="B217" s="117" t="s">
        <v>147</v>
      </c>
      <c r="C217" s="118" t="s">
        <v>148</v>
      </c>
      <c r="D217" s="119">
        <v>33336</v>
      </c>
      <c r="E217" s="116">
        <f t="shared" si="1"/>
        <v>33336</v>
      </c>
    </row>
    <row r="218" spans="2:26" hidden="1" x14ac:dyDescent="0.25">
      <c r="B218" s="117" t="s">
        <v>149</v>
      </c>
      <c r="C218" s="118" t="s">
        <v>150</v>
      </c>
      <c r="D218" s="119">
        <v>27000</v>
      </c>
      <c r="E218" s="116">
        <v>27000</v>
      </c>
    </row>
    <row r="219" spans="2:26" hidden="1" x14ac:dyDescent="0.25">
      <c r="B219" s="117"/>
      <c r="C219" s="118"/>
      <c r="D219" s="119"/>
      <c r="E219" s="116">
        <f t="shared" si="1"/>
        <v>0</v>
      </c>
    </row>
    <row r="220" spans="2:26" hidden="1" x14ac:dyDescent="0.25">
      <c r="B220" s="120" t="s">
        <v>151</v>
      </c>
      <c r="C220" s="120"/>
      <c r="D220" s="121"/>
      <c r="E220" s="122">
        <f>SUM(E211:E219)</f>
        <v>193172</v>
      </c>
    </row>
    <row r="221" spans="2:26" hidden="1" x14ac:dyDescent="0.25">
      <c r="B221" s="123"/>
      <c r="C221" s="123"/>
      <c r="D221" s="124"/>
      <c r="E221" s="87">
        <f>+E220-'[1]ES F '!B17</f>
        <v>193172</v>
      </c>
    </row>
    <row r="222" spans="2:26" ht="26.25" customHeight="1" x14ac:dyDescent="0.25">
      <c r="B222" s="33" t="s">
        <v>94</v>
      </c>
      <c r="C222" s="33">
        <f>+C150</f>
        <v>2025</v>
      </c>
      <c r="D222" s="33">
        <f>+D150</f>
        <v>2024</v>
      </c>
      <c r="E222" s="33" t="s">
        <v>95</v>
      </c>
    </row>
    <row r="223" spans="2:26" ht="15.75" hidden="1" customHeight="1" x14ac:dyDescent="0.25">
      <c r="B223" s="41" t="s">
        <v>107</v>
      </c>
      <c r="C223" s="84">
        <v>0</v>
      </c>
      <c r="D223" s="39">
        <v>0</v>
      </c>
      <c r="E223" s="93">
        <f>+C223-D223</f>
        <v>0</v>
      </c>
    </row>
    <row r="224" spans="2:26" x14ac:dyDescent="0.25">
      <c r="B224" s="41" t="s">
        <v>152</v>
      </c>
      <c r="C224" s="94">
        <f>+'[1]BALANZA G'!C46</f>
        <v>0</v>
      </c>
      <c r="D224" s="94">
        <f>+E220+10500-18000+13500-6000</f>
        <v>193172</v>
      </c>
      <c r="E224" s="3">
        <f>+C224-D224</f>
        <v>-193172</v>
      </c>
    </row>
    <row r="225" spans="2:26" s="125" customFormat="1" x14ac:dyDescent="0.25">
      <c r="B225" s="73" t="s">
        <v>153</v>
      </c>
      <c r="C225" s="74">
        <f>SUM(C223:C224)</f>
        <v>0</v>
      </c>
      <c r="D225" s="74">
        <f>SUM(D223:D224)</f>
        <v>193172</v>
      </c>
      <c r="E225" s="74">
        <f>SUM(E223:E224)</f>
        <v>-193172</v>
      </c>
      <c r="J225" s="126"/>
      <c r="K225" s="126"/>
      <c r="N225" s="126"/>
      <c r="R225" s="4" t="str">
        <f>+CONCATENATE(S225,"",T225,".00")</f>
        <v>0.00</v>
      </c>
      <c r="S225" s="4" t="str">
        <f>MID(C225,1,3)</f>
        <v>0</v>
      </c>
      <c r="T225" s="4" t="str">
        <f>MID(C225,4,3)</f>
        <v/>
      </c>
      <c r="U225" s="4" t="str">
        <f>MID(C225,7,3)</f>
        <v/>
      </c>
      <c r="V225" s="4" t="str">
        <f>MID(C225,9,3)</f>
        <v/>
      </c>
      <c r="W225" s="127"/>
      <c r="X225" s="127"/>
      <c r="Y225" s="127"/>
      <c r="Z225" s="126"/>
    </row>
    <row r="226" spans="2:26" s="125" customFormat="1" x14ac:dyDescent="0.25">
      <c r="B226" s="128"/>
      <c r="C226" s="129">
        <f>+C225-'[1]ES F '!B17</f>
        <v>0</v>
      </c>
      <c r="D226" s="130">
        <f>+D225-'[1]ES F '!C17</f>
        <v>0</v>
      </c>
      <c r="E226" s="129"/>
      <c r="J226" s="126"/>
      <c r="K226" s="126"/>
      <c r="N226" s="126"/>
      <c r="R226" s="4" t="str">
        <f>+CONCATENATE(S226,",",T226,".00")</f>
        <v>193,172.00</v>
      </c>
      <c r="S226" s="4" t="str">
        <f>MID(D225,1,3)</f>
        <v>193</v>
      </c>
      <c r="T226" s="4" t="str">
        <f>MID(D225,4,3)</f>
        <v>172</v>
      </c>
      <c r="U226" s="4" t="str">
        <f>MID(D225,7,3)</f>
        <v/>
      </c>
      <c r="V226" s="4" t="str">
        <f>MID(D225,8,3)</f>
        <v/>
      </c>
      <c r="W226" s="127"/>
      <c r="X226" s="127"/>
      <c r="Y226" s="127"/>
      <c r="Z226" s="126"/>
    </row>
    <row r="227" spans="2:26" s="131" customFormat="1" x14ac:dyDescent="0.25">
      <c r="B227" s="55" t="str">
        <f>("Cambio porcentual con relación al "&amp;$D$117&amp;".")</f>
        <v>Cambio porcentual con relación al 2024.</v>
      </c>
      <c r="C227" s="56"/>
      <c r="D227" s="132" t="str">
        <f>IF(E227&gt;=0,"Aumento","Disminución")</f>
        <v>Disminución</v>
      </c>
      <c r="E227" s="133">
        <f>IFERROR((+E225/D225),0)</f>
        <v>-1</v>
      </c>
      <c r="J227" s="134"/>
      <c r="K227" s="134"/>
      <c r="N227" s="134"/>
      <c r="R227" s="135"/>
      <c r="S227" s="135"/>
      <c r="T227" s="135"/>
      <c r="U227" s="135"/>
      <c r="V227" s="135"/>
      <c r="W227" s="135"/>
      <c r="X227" s="135"/>
      <c r="Y227" s="135"/>
      <c r="Z227" s="134"/>
    </row>
    <row r="228" spans="2:26" s="131" customFormat="1" x14ac:dyDescent="0.25">
      <c r="B228" s="136"/>
      <c r="C228" s="136"/>
      <c r="D228" s="137"/>
      <c r="E228" s="138"/>
      <c r="J228" s="134"/>
      <c r="K228" s="134"/>
      <c r="N228" s="134"/>
      <c r="R228" s="135"/>
      <c r="S228" s="135"/>
      <c r="T228" s="135"/>
      <c r="U228" s="135"/>
      <c r="V228" s="135"/>
      <c r="W228" s="135"/>
      <c r="X228" s="135"/>
      <c r="Y228" s="135"/>
      <c r="Z228" s="134"/>
    </row>
    <row r="229" spans="2:26" x14ac:dyDescent="0.25">
      <c r="B229" s="11"/>
    </row>
    <row r="230" spans="2:26" x14ac:dyDescent="0.25">
      <c r="B230" s="11"/>
    </row>
    <row r="231" spans="2:26" x14ac:dyDescent="0.25">
      <c r="B231" s="11"/>
    </row>
    <row r="232" spans="2:26" x14ac:dyDescent="0.25">
      <c r="B232" s="11"/>
    </row>
    <row r="233" spans="2:26" x14ac:dyDescent="0.25">
      <c r="B233" s="11"/>
    </row>
    <row r="234" spans="2:26" x14ac:dyDescent="0.25">
      <c r="B234" s="11"/>
    </row>
    <row r="235" spans="2:26" x14ac:dyDescent="0.25">
      <c r="B235" s="11"/>
    </row>
    <row r="236" spans="2:26" x14ac:dyDescent="0.25">
      <c r="B236" s="11"/>
    </row>
    <row r="237" spans="2:26" x14ac:dyDescent="0.25">
      <c r="B237" s="11"/>
    </row>
    <row r="238" spans="2:26" x14ac:dyDescent="0.25">
      <c r="B238" s="11"/>
    </row>
    <row r="239" spans="2:26" x14ac:dyDescent="0.25">
      <c r="B239" s="11"/>
    </row>
    <row r="240" spans="2:26" x14ac:dyDescent="0.25">
      <c r="B240" s="11"/>
    </row>
    <row r="241" spans="2:5" x14ac:dyDescent="0.25">
      <c r="B241" s="11"/>
    </row>
    <row r="242" spans="2:5" x14ac:dyDescent="0.25">
      <c r="B242" s="11"/>
    </row>
    <row r="243" spans="2:5" x14ac:dyDescent="0.25">
      <c r="B243" s="11" t="s">
        <v>154</v>
      </c>
    </row>
    <row r="244" spans="2:5" ht="19.5" customHeight="1" x14ac:dyDescent="0.25">
      <c r="B244" s="12" t="s">
        <v>155</v>
      </c>
      <c r="C244" s="12"/>
      <c r="D244" s="12"/>
      <c r="E244" s="12"/>
    </row>
    <row r="245" spans="2:5" ht="19.5" customHeight="1" x14ac:dyDescent="0.25">
      <c r="B245" s="14" t="str">
        <f>("Un detalle de "&amp;B244&amp;" al "&amp;[1]BALANZA!$B$3&amp;" "&amp;[1]BALANZA!$C$3&amp;" es como se detalla a continuación:")</f>
        <v>Un detalle de Propiedad planta y equipo al 31 de Agosto del 2025 - 2024 es como se detalla a continuación:</v>
      </c>
      <c r="C245" s="32"/>
      <c r="D245" s="32"/>
      <c r="E245" s="32"/>
    </row>
    <row r="246" spans="2:5" ht="19.5" customHeight="1" x14ac:dyDescent="0.25">
      <c r="B246" s="21" t="s">
        <v>156</v>
      </c>
      <c r="C246" s="21"/>
      <c r="D246" s="21"/>
      <c r="E246" s="21"/>
    </row>
    <row r="247" spans="2:5" ht="91.5" customHeight="1" x14ac:dyDescent="0.25">
      <c r="B247" s="30" t="s">
        <v>157</v>
      </c>
      <c r="C247" s="30"/>
      <c r="D247" s="30"/>
      <c r="E247" s="30"/>
    </row>
    <row r="248" spans="2:5" x14ac:dyDescent="0.25">
      <c r="B248" s="13" t="str">
        <f>+B244</f>
        <v>Propiedad planta y equipo</v>
      </c>
      <c r="C248" s="10" t="s">
        <v>158</v>
      </c>
      <c r="D248" s="15"/>
    </row>
    <row r="249" spans="2:5" hidden="1" x14ac:dyDescent="0.25">
      <c r="B249" s="139" t="s">
        <v>159</v>
      </c>
      <c r="C249" s="139">
        <f>+[1]BALANZA!B4</f>
        <v>2025</v>
      </c>
      <c r="D249" s="140">
        <f>+[1]BALANZA!C4</f>
        <v>2024</v>
      </c>
      <c r="E249" s="141" t="s">
        <v>95</v>
      </c>
    </row>
    <row r="250" spans="2:5" hidden="1" x14ac:dyDescent="0.25">
      <c r="B250" s="142" t="s">
        <v>160</v>
      </c>
      <c r="C250" s="143"/>
      <c r="D250" s="144"/>
      <c r="E250" s="145"/>
    </row>
    <row r="251" spans="2:5" ht="20.25" hidden="1" customHeight="1" x14ac:dyDescent="0.25">
      <c r="B251" s="117" t="s">
        <v>161</v>
      </c>
      <c r="C251" s="143"/>
      <c r="D251" s="144"/>
      <c r="E251" s="145"/>
    </row>
    <row r="252" spans="2:5" ht="20.25" hidden="1" customHeight="1" x14ac:dyDescent="0.25">
      <c r="B252" s="65" t="s">
        <v>162</v>
      </c>
      <c r="C252" s="84">
        <f>+D252+D253</f>
        <v>28416592.940000001</v>
      </c>
      <c r="D252" s="146">
        <f>+'[1]BALANZA G'!D74+'[1]BALANZA G'!D59-D253</f>
        <v>25239892.940000001</v>
      </c>
      <c r="E252" s="83">
        <f>+C252-D252</f>
        <v>3176700</v>
      </c>
    </row>
    <row r="253" spans="2:5" ht="20.25" hidden="1" customHeight="1" x14ac:dyDescent="0.25">
      <c r="B253" s="117" t="s">
        <v>163</v>
      </c>
      <c r="C253" s="84">
        <f>+'[1]BALANZA G'!C74-'[1]BALANZA G'!D74+'[1]BALANZA G'!C59+'[1]BALANZA G'!C77-E252</f>
        <v>6667637.4700000007</v>
      </c>
      <c r="D253" s="147">
        <v>3176700</v>
      </c>
      <c r="E253" s="83">
        <f>+C253-D253</f>
        <v>3490937.4700000007</v>
      </c>
    </row>
    <row r="254" spans="2:5" ht="20.25" hidden="1" customHeight="1" x14ac:dyDescent="0.25">
      <c r="B254" s="117" t="s">
        <v>164</v>
      </c>
      <c r="C254" s="84"/>
      <c r="D254" s="146"/>
      <c r="E254" s="83">
        <f>+C254-D254</f>
        <v>0</v>
      </c>
    </row>
    <row r="255" spans="2:5" ht="20.25" hidden="1" customHeight="1" x14ac:dyDescent="0.25">
      <c r="B255" s="117" t="s">
        <v>165</v>
      </c>
      <c r="C255" s="84">
        <f>-[1]nota13!F28</f>
        <v>-26935891.919999998</v>
      </c>
      <c r="D255" s="146"/>
      <c r="E255" s="83"/>
    </row>
    <row r="256" spans="2:5" ht="20.25" hidden="1" customHeight="1" x14ac:dyDescent="0.25">
      <c r="B256" s="117" t="s">
        <v>166</v>
      </c>
      <c r="C256" s="84">
        <f>-[1]nota13!F29</f>
        <v>-1324392.1700000013</v>
      </c>
      <c r="D256" s="146"/>
      <c r="E256" s="83"/>
    </row>
    <row r="257" spans="2:7" hidden="1" x14ac:dyDescent="0.25">
      <c r="B257" s="148" t="s">
        <v>167</v>
      </c>
      <c r="C257" s="149">
        <f>SUM(C252:C256)</f>
        <v>6823946.320000004</v>
      </c>
      <c r="D257" s="150">
        <f>SUM(D250:D254)</f>
        <v>28416592.940000001</v>
      </c>
      <c r="E257" s="149">
        <f>SUM(E250:E254)</f>
        <v>6667637.4700000007</v>
      </c>
    </row>
    <row r="258" spans="2:7" ht="28.5" hidden="1" x14ac:dyDescent="0.25">
      <c r="B258" s="148" t="s">
        <v>168</v>
      </c>
      <c r="C258" s="151">
        <v>0</v>
      </c>
      <c r="D258" s="152">
        <v>0</v>
      </c>
      <c r="E258" s="153">
        <f>+C258-D258</f>
        <v>0</v>
      </c>
    </row>
    <row r="259" spans="2:7" ht="28.5" hidden="1" x14ac:dyDescent="0.25">
      <c r="B259" s="148" t="s">
        <v>169</v>
      </c>
      <c r="C259" s="149">
        <f>+C257-C258</f>
        <v>6823946.320000004</v>
      </c>
      <c r="D259" s="150">
        <f>+D257-D258</f>
        <v>28416592.940000001</v>
      </c>
      <c r="E259" s="149">
        <f>+E257-E258</f>
        <v>6667637.4700000007</v>
      </c>
    </row>
    <row r="260" spans="2:7" ht="23.25" hidden="1" customHeight="1" x14ac:dyDescent="0.25">
      <c r="B260" s="142" t="s">
        <v>170</v>
      </c>
      <c r="C260" s="154"/>
      <c r="D260" s="155"/>
      <c r="E260" s="156"/>
    </row>
    <row r="261" spans="2:7" hidden="1" x14ac:dyDescent="0.25">
      <c r="B261" s="117" t="str">
        <f>+B252</f>
        <v xml:space="preserve">Costos de adquisición  </v>
      </c>
      <c r="C261" s="84">
        <f>+'[1]BALANZA G'!C64</f>
        <v>55553258.920000002</v>
      </c>
      <c r="D261" s="146">
        <f>+'[1]BALANZA G'!D64</f>
        <v>52883325.560000002</v>
      </c>
      <c r="E261" s="83">
        <f>+C261-D261</f>
        <v>2669933.3599999994</v>
      </c>
      <c r="G261" s="2" t="s">
        <v>112</v>
      </c>
    </row>
    <row r="262" spans="2:7" hidden="1" x14ac:dyDescent="0.25">
      <c r="B262" s="117" t="str">
        <f>+B253</f>
        <v>Adiciones</v>
      </c>
      <c r="C262" s="84"/>
      <c r="D262" s="146">
        <f>+'[1]BALANZA G'!F64</f>
        <v>45922302.979999997</v>
      </c>
      <c r="E262" s="83">
        <f>+C262-D262</f>
        <v>-45922302.979999997</v>
      </c>
    </row>
    <row r="263" spans="2:7" hidden="1" x14ac:dyDescent="0.25">
      <c r="B263" s="117" t="str">
        <f>+B254</f>
        <v>Retiros</v>
      </c>
      <c r="C263" s="84"/>
      <c r="D263" s="146"/>
      <c r="E263" s="83">
        <f>+C263-D263</f>
        <v>0</v>
      </c>
    </row>
    <row r="264" spans="2:7" hidden="1" x14ac:dyDescent="0.25">
      <c r="B264" s="117" t="str">
        <f>+B255</f>
        <v>Depreciación Acumulada</v>
      </c>
      <c r="C264" s="84">
        <f>-[1]nota13!I28</f>
        <v>-38206151.979999997</v>
      </c>
      <c r="D264" s="146"/>
      <c r="E264" s="83"/>
    </row>
    <row r="265" spans="2:7" hidden="1" x14ac:dyDescent="0.25">
      <c r="B265" s="117" t="str">
        <f>+B256</f>
        <v>Depreciación del periodo</v>
      </c>
      <c r="C265" s="84">
        <f>-[1]nota13!I29</f>
        <v>-2509051.2700000033</v>
      </c>
      <c r="D265" s="146"/>
      <c r="E265" s="83"/>
    </row>
    <row r="266" spans="2:7" ht="28.5" hidden="1" x14ac:dyDescent="0.25">
      <c r="B266" s="157" t="s">
        <v>171</v>
      </c>
      <c r="C266" s="149">
        <f>SUM(C261:C265)</f>
        <v>14838055.670000002</v>
      </c>
      <c r="D266" s="150">
        <f>SUM(D261:D263)</f>
        <v>98805628.539999992</v>
      </c>
      <c r="E266" s="149">
        <f>SUM(E261:E263)</f>
        <v>-43252369.619999997</v>
      </c>
    </row>
    <row r="267" spans="2:7" ht="28.5" hidden="1" x14ac:dyDescent="0.25">
      <c r="B267" s="148" t="s">
        <v>172</v>
      </c>
      <c r="C267" s="151">
        <v>0</v>
      </c>
      <c r="D267" s="152">
        <v>0</v>
      </c>
      <c r="E267" s="153">
        <f>+C267-D267</f>
        <v>0</v>
      </c>
    </row>
    <row r="268" spans="2:7" ht="42.75" hidden="1" x14ac:dyDescent="0.25">
      <c r="B268" s="148" t="s">
        <v>173</v>
      </c>
      <c r="C268" s="149">
        <f>+C266-C267</f>
        <v>14838055.670000002</v>
      </c>
      <c r="D268" s="150">
        <f>+D266-D267</f>
        <v>98805628.539999992</v>
      </c>
      <c r="E268" s="149">
        <f>+E266-E267</f>
        <v>-43252369.619999997</v>
      </c>
    </row>
    <row r="269" spans="2:7" ht="26.25" hidden="1" customHeight="1" x14ac:dyDescent="0.25">
      <c r="B269" s="158" t="s">
        <v>174</v>
      </c>
      <c r="C269" s="154"/>
      <c r="D269" s="155"/>
      <c r="E269" s="156"/>
    </row>
    <row r="270" spans="2:7" hidden="1" x14ac:dyDescent="0.25">
      <c r="B270" s="117" t="str">
        <f>+B261</f>
        <v xml:space="preserve">Costos de adquisición  </v>
      </c>
      <c r="C270" s="84">
        <f>+'[1]BALANZA G'!C68</f>
        <v>510150</v>
      </c>
      <c r="D270" s="146">
        <f>+'[1]BALANZA G'!D68-D271</f>
        <v>503947</v>
      </c>
      <c r="E270" s="83">
        <f>+C270-D270</f>
        <v>6203</v>
      </c>
    </row>
    <row r="271" spans="2:7" hidden="1" x14ac:dyDescent="0.25">
      <c r="B271" s="117" t="str">
        <f>+B262</f>
        <v>Adiciones</v>
      </c>
      <c r="C271" s="84"/>
      <c r="D271" s="146">
        <f>+'[1]BALANZA G'!F68</f>
        <v>74900</v>
      </c>
      <c r="E271" s="83">
        <f>+C271-D271</f>
        <v>-74900</v>
      </c>
    </row>
    <row r="272" spans="2:7" hidden="1" x14ac:dyDescent="0.25">
      <c r="B272" s="117" t="str">
        <f>+B263</f>
        <v>Retiros</v>
      </c>
      <c r="C272" s="84"/>
      <c r="D272" s="146"/>
      <c r="E272" s="83">
        <f>+C272-D272</f>
        <v>0</v>
      </c>
    </row>
    <row r="273" spans="2:5" hidden="1" x14ac:dyDescent="0.25">
      <c r="B273" s="117" t="str">
        <f>+B264</f>
        <v>Depreciación Acumulada</v>
      </c>
      <c r="C273" s="84"/>
      <c r="D273" s="146"/>
      <c r="E273" s="83"/>
    </row>
    <row r="274" spans="2:5" hidden="1" x14ac:dyDescent="0.25">
      <c r="B274" s="117" t="str">
        <f>+B265</f>
        <v>Depreciación del periodo</v>
      </c>
      <c r="C274" s="84">
        <f>-[1]nota13!G29</f>
        <v>-7695.5400000000081</v>
      </c>
      <c r="D274" s="146"/>
      <c r="E274" s="83"/>
    </row>
    <row r="275" spans="2:5" ht="28.5" hidden="1" x14ac:dyDescent="0.25">
      <c r="B275" s="148" t="s">
        <v>175</v>
      </c>
      <c r="C275" s="149">
        <f>SUM(C270:C274)</f>
        <v>502454.45999999996</v>
      </c>
      <c r="D275" s="150">
        <f>SUM(D270:D274)</f>
        <v>578847</v>
      </c>
      <c r="E275" s="149">
        <f>SUM(E270)</f>
        <v>6203</v>
      </c>
    </row>
    <row r="276" spans="2:5" ht="27" hidden="1" customHeight="1" x14ac:dyDescent="0.25">
      <c r="B276" s="148" t="s">
        <v>176</v>
      </c>
      <c r="C276" s="151">
        <v>0</v>
      </c>
      <c r="D276" s="152">
        <v>0</v>
      </c>
      <c r="E276" s="153">
        <f>+C276-D276</f>
        <v>0</v>
      </c>
    </row>
    <row r="277" spans="2:5" ht="28.5" hidden="1" x14ac:dyDescent="0.25">
      <c r="B277" s="148" t="s">
        <v>177</v>
      </c>
      <c r="C277" s="149">
        <f>+C275-C276</f>
        <v>502454.45999999996</v>
      </c>
      <c r="D277" s="150">
        <f>+D275-D276</f>
        <v>578847</v>
      </c>
      <c r="E277" s="149">
        <f>+E275-E276</f>
        <v>6203</v>
      </c>
    </row>
    <row r="278" spans="2:5" hidden="1" x14ac:dyDescent="0.25">
      <c r="B278" s="142" t="s">
        <v>178</v>
      </c>
      <c r="C278" s="154"/>
      <c r="D278" s="155"/>
      <c r="E278" s="156"/>
    </row>
    <row r="279" spans="2:5" hidden="1" x14ac:dyDescent="0.25">
      <c r="B279" s="117" t="str">
        <f>+B270</f>
        <v xml:space="preserve">Costos de adquisición  </v>
      </c>
      <c r="C279" s="84">
        <f>+'[1]BALANZA G'!C65+'[1]BALANZA G'!C71-C280</f>
        <v>16016968.830000002</v>
      </c>
      <c r="D279" s="146">
        <f>+'[1]BALANZA G'!D65+'[1]BALANZA G'!D71-D280</f>
        <v>10179245.880000003</v>
      </c>
      <c r="E279" s="83">
        <f>+C279-D279</f>
        <v>5837722.9499999993</v>
      </c>
    </row>
    <row r="280" spans="2:5" hidden="1" x14ac:dyDescent="0.25">
      <c r="B280" s="117" t="str">
        <f>+B271</f>
        <v>Adiciones</v>
      </c>
      <c r="C280" s="84">
        <f>+'[1]BALANZA G'!C71-D280+'[1]BALANZA G'!C65-'[1]BALANZA G'!D65</f>
        <v>1891120.3999999985</v>
      </c>
      <c r="D280" s="94">
        <f>+'[1]BALANZA G'!D71</f>
        <v>5837722.9500000002</v>
      </c>
      <c r="E280" s="83">
        <f>+C280-D280</f>
        <v>-3946602.5500000017</v>
      </c>
    </row>
    <row r="281" spans="2:5" hidden="1" x14ac:dyDescent="0.25">
      <c r="B281" s="117" t="str">
        <f>+B272</f>
        <v>Retiros</v>
      </c>
      <c r="C281" s="84"/>
      <c r="D281" s="146"/>
      <c r="E281" s="83">
        <f>+C281-D281</f>
        <v>0</v>
      </c>
    </row>
    <row r="282" spans="2:5" hidden="1" x14ac:dyDescent="0.25">
      <c r="B282" s="117" t="str">
        <f>+B273</f>
        <v>Depreciación Acumulada</v>
      </c>
      <c r="C282" s="84">
        <f>-[1]nota13!H28</f>
        <v>-11856936.66</v>
      </c>
      <c r="D282" s="146"/>
      <c r="E282" s="83"/>
    </row>
    <row r="283" spans="2:5" hidden="1" x14ac:dyDescent="0.25">
      <c r="B283" s="117" t="str">
        <f>+B274</f>
        <v>Depreciación del periodo</v>
      </c>
      <c r="C283" s="84">
        <f>-[1]nota13!H29</f>
        <v>-582985.48000000068</v>
      </c>
      <c r="D283" s="146"/>
      <c r="E283" s="83"/>
    </row>
    <row r="284" spans="2:5" ht="28.5" hidden="1" x14ac:dyDescent="0.25">
      <c r="B284" s="148" t="s">
        <v>179</v>
      </c>
      <c r="C284" s="149">
        <f>SUM(C279:C283)</f>
        <v>5468167.0899999999</v>
      </c>
      <c r="D284" s="150">
        <f>SUM(D279:D281)</f>
        <v>16016968.830000002</v>
      </c>
      <c r="E284" s="149">
        <f>SUM(E279:E281)</f>
        <v>1891120.3999999976</v>
      </c>
    </row>
    <row r="285" spans="2:5" ht="28.5" hidden="1" x14ac:dyDescent="0.25">
      <c r="B285" s="148" t="s">
        <v>180</v>
      </c>
      <c r="C285" s="151"/>
      <c r="D285" s="152"/>
      <c r="E285" s="153"/>
    </row>
    <row r="286" spans="2:5" ht="28.5" hidden="1" x14ac:dyDescent="0.25">
      <c r="B286" s="148" t="s">
        <v>181</v>
      </c>
      <c r="C286" s="149">
        <f>+C284-C285</f>
        <v>5468167.0899999999</v>
      </c>
      <c r="D286" s="150">
        <f>+D284-D285</f>
        <v>16016968.830000002</v>
      </c>
      <c r="E286" s="149">
        <f>+E284-E285</f>
        <v>1891120.3999999976</v>
      </c>
    </row>
    <row r="287" spans="2:5" hidden="1" x14ac:dyDescent="0.25">
      <c r="B287" s="142" t="s">
        <v>182</v>
      </c>
      <c r="C287" s="159"/>
      <c r="D287" s="146"/>
      <c r="E287" s="83">
        <f>+C287-D287</f>
        <v>0</v>
      </c>
    </row>
    <row r="288" spans="2:5" hidden="1" x14ac:dyDescent="0.25">
      <c r="B288" s="117" t="s">
        <v>183</v>
      </c>
      <c r="C288" s="84"/>
      <c r="D288" s="146"/>
      <c r="E288" s="83">
        <f>+C288-D288</f>
        <v>0</v>
      </c>
    </row>
    <row r="289" spans="2:5" hidden="1" x14ac:dyDescent="0.25">
      <c r="B289" s="160" t="s">
        <v>184</v>
      </c>
      <c r="C289" s="84"/>
      <c r="D289" s="146"/>
      <c r="E289" s="83">
        <f>+C289-D289</f>
        <v>0</v>
      </c>
    </row>
    <row r="290" spans="2:5" ht="28.5" hidden="1" x14ac:dyDescent="0.25">
      <c r="B290" s="148" t="s">
        <v>185</v>
      </c>
      <c r="C290" s="161">
        <f>SUM(C288:C289)</f>
        <v>0</v>
      </c>
      <c r="D290" s="162">
        <f>SUM(D288:D289)</f>
        <v>0</v>
      </c>
      <c r="E290" s="161">
        <f>SUM(E288:E289)</f>
        <v>0</v>
      </c>
    </row>
    <row r="291" spans="2:5" ht="28.5" hidden="1" x14ac:dyDescent="0.25">
      <c r="B291" s="148" t="s">
        <v>186</v>
      </c>
      <c r="C291" s="163">
        <v>0</v>
      </c>
      <c r="D291" s="152">
        <v>0</v>
      </c>
      <c r="E291" s="153">
        <f>+C291-D291</f>
        <v>0</v>
      </c>
    </row>
    <row r="292" spans="2:5" ht="28.5" hidden="1" x14ac:dyDescent="0.25">
      <c r="B292" s="148" t="s">
        <v>187</v>
      </c>
      <c r="C292" s="161">
        <f>+C290-C291</f>
        <v>0</v>
      </c>
      <c r="D292" s="162">
        <f>+D290-D291</f>
        <v>0</v>
      </c>
      <c r="E292" s="161">
        <f>+E290-E291</f>
        <v>0</v>
      </c>
    </row>
    <row r="293" spans="2:5" hidden="1" x14ac:dyDescent="0.25">
      <c r="B293" s="158" t="s">
        <v>188</v>
      </c>
      <c r="C293" s="154"/>
      <c r="D293" s="155"/>
      <c r="E293" s="156"/>
    </row>
    <row r="294" spans="2:5" hidden="1" x14ac:dyDescent="0.25">
      <c r="B294" s="41" t="str">
        <f>+B279</f>
        <v xml:space="preserve">Costos de adquisición  </v>
      </c>
      <c r="C294" s="84">
        <f>+'[1]BALANZA G'!D55</f>
        <v>1623675</v>
      </c>
      <c r="D294" s="146">
        <f>+'[1]BALANZA G'!D55</f>
        <v>1623675</v>
      </c>
      <c r="E294" s="83">
        <f>+C294-D294</f>
        <v>0</v>
      </c>
    </row>
    <row r="295" spans="2:5" hidden="1" x14ac:dyDescent="0.25">
      <c r="B295" s="41" t="str">
        <f>+B280</f>
        <v>Adiciones</v>
      </c>
      <c r="C295" s="84">
        <f>+'[1]BALANZA G'!C55-'[1]BALANZA G'!D55</f>
        <v>0</v>
      </c>
      <c r="D295" s="146">
        <f>+'[1]BALANZA G'!F55</f>
        <v>1623675</v>
      </c>
      <c r="E295" s="83">
        <f>+C295-D295</f>
        <v>-1623675</v>
      </c>
    </row>
    <row r="296" spans="2:5" hidden="1" x14ac:dyDescent="0.25">
      <c r="B296" s="41" t="str">
        <f>+B281</f>
        <v>Retiros</v>
      </c>
      <c r="C296" s="84"/>
      <c r="D296" s="146"/>
      <c r="E296" s="83">
        <f>+C296-D296</f>
        <v>0</v>
      </c>
    </row>
    <row r="297" spans="2:5" hidden="1" x14ac:dyDescent="0.25">
      <c r="B297" s="41" t="str">
        <f>+B282</f>
        <v>Depreciación Acumulada</v>
      </c>
      <c r="C297" s="84"/>
      <c r="D297" s="146"/>
      <c r="E297" s="83"/>
    </row>
    <row r="298" spans="2:5" hidden="1" x14ac:dyDescent="0.25">
      <c r="B298" s="41" t="str">
        <f>+B283</f>
        <v>Depreciación del periodo</v>
      </c>
      <c r="C298" s="84"/>
      <c r="D298" s="146"/>
      <c r="E298" s="83"/>
    </row>
    <row r="299" spans="2:5" hidden="1" x14ac:dyDescent="0.25">
      <c r="B299" s="148" t="s">
        <v>189</v>
      </c>
      <c r="C299" s="149">
        <f>SUM(C288:C295)</f>
        <v>1623675</v>
      </c>
      <c r="D299" s="150">
        <f>SUM(D288:D295)</f>
        <v>3247350</v>
      </c>
      <c r="E299" s="149">
        <f>SUM(E288:E295)</f>
        <v>-1623675</v>
      </c>
    </row>
    <row r="300" spans="2:5" hidden="1" x14ac:dyDescent="0.25">
      <c r="B300" s="158" t="s">
        <v>190</v>
      </c>
      <c r="C300" s="154"/>
      <c r="D300" s="155"/>
      <c r="E300" s="156"/>
    </row>
    <row r="301" spans="2:5" hidden="1" x14ac:dyDescent="0.25">
      <c r="B301" s="41" t="str">
        <f>+B294</f>
        <v xml:space="preserve">Costos de adquisición  </v>
      </c>
      <c r="C301" s="84">
        <f>+'[1]BALANZA G'!D58</f>
        <v>953149176.46000004</v>
      </c>
      <c r="D301" s="146">
        <f>+'[1]BALANZA G'!D58</f>
        <v>953149176.46000004</v>
      </c>
      <c r="E301" s="83">
        <f>+C301-D301</f>
        <v>0</v>
      </c>
    </row>
    <row r="302" spans="2:5" hidden="1" x14ac:dyDescent="0.25">
      <c r="B302" s="41" t="str">
        <f>+B295</f>
        <v>Adiciones</v>
      </c>
      <c r="C302" s="84">
        <f>+'[1]BALANZA G'!C58-'[1]BALANZA G'!D58</f>
        <v>0</v>
      </c>
      <c r="D302" s="146">
        <f>+'[1]BALANZA G'!J57</f>
        <v>0</v>
      </c>
      <c r="E302" s="83">
        <f>+C302-D302</f>
        <v>0</v>
      </c>
    </row>
    <row r="303" spans="2:5" hidden="1" x14ac:dyDescent="0.25">
      <c r="B303" s="41" t="str">
        <f>+B296</f>
        <v>Retiros</v>
      </c>
      <c r="C303" s="84"/>
      <c r="D303" s="146"/>
      <c r="E303" s="83"/>
    </row>
    <row r="304" spans="2:5" hidden="1" x14ac:dyDescent="0.25">
      <c r="B304" s="41" t="str">
        <f>+B297</f>
        <v>Depreciación Acumulada</v>
      </c>
      <c r="C304" s="84">
        <f>-[1]nota13!E28</f>
        <v>-270856525.61000001</v>
      </c>
      <c r="D304" s="146"/>
      <c r="E304" s="83"/>
    </row>
    <row r="305" spans="2:6" hidden="1" x14ac:dyDescent="0.25">
      <c r="B305" s="41" t="str">
        <f>+B298</f>
        <v>Depreciación del periodo</v>
      </c>
      <c r="C305" s="84">
        <f>-[1]nota13!E29</f>
        <v>-18874225.209999979</v>
      </c>
      <c r="D305" s="146"/>
      <c r="E305" s="83"/>
    </row>
    <row r="306" spans="2:6" hidden="1" x14ac:dyDescent="0.25">
      <c r="B306" s="148" t="s">
        <v>191</v>
      </c>
      <c r="C306" s="149">
        <f>SUM(C301:C305)</f>
        <v>663418425.6400001</v>
      </c>
      <c r="D306" s="150">
        <f>+D301+D302-D303</f>
        <v>953149176.46000004</v>
      </c>
      <c r="E306" s="149">
        <f>+E301+E302-E303</f>
        <v>0</v>
      </c>
    </row>
    <row r="307" spans="2:6" hidden="1" x14ac:dyDescent="0.25">
      <c r="B307" s="148" t="s">
        <v>189</v>
      </c>
      <c r="C307" s="149">
        <f>+C306+C299</f>
        <v>665042100.6400001</v>
      </c>
      <c r="D307" s="150">
        <f>+D306+D299</f>
        <v>956396526.46000004</v>
      </c>
      <c r="E307" s="149">
        <f>+E306+E299</f>
        <v>-1623675</v>
      </c>
      <c r="F307" s="164">
        <f>+F306+F299</f>
        <v>0</v>
      </c>
    </row>
    <row r="308" spans="2:6" hidden="1" x14ac:dyDescent="0.25">
      <c r="B308" s="148" t="s">
        <v>192</v>
      </c>
      <c r="C308" s="151"/>
      <c r="D308" s="152"/>
      <c r="E308" s="153">
        <f>+C308-D308</f>
        <v>0</v>
      </c>
    </row>
    <row r="309" spans="2:6" ht="27" hidden="1" customHeight="1" x14ac:dyDescent="0.25">
      <c r="B309" s="148" t="s">
        <v>193</v>
      </c>
      <c r="C309" s="149">
        <f>+C307-C308</f>
        <v>665042100.6400001</v>
      </c>
      <c r="D309" s="150">
        <f>+D307-D308</f>
        <v>956396526.46000004</v>
      </c>
      <c r="E309" s="149">
        <f>+E307-E308</f>
        <v>-1623675</v>
      </c>
    </row>
    <row r="310" spans="2:6" hidden="1" x14ac:dyDescent="0.25">
      <c r="B310" s="165" t="s">
        <v>194</v>
      </c>
      <c r="C310" s="159"/>
      <c r="D310" s="146"/>
      <c r="E310" s="83">
        <f>+C310-D310</f>
        <v>0</v>
      </c>
    </row>
    <row r="311" spans="2:6" hidden="1" x14ac:dyDescent="0.25">
      <c r="B311" s="117" t="s">
        <v>195</v>
      </c>
      <c r="C311" s="84"/>
      <c r="D311" s="146"/>
      <c r="E311" s="83">
        <f>+C311-D311</f>
        <v>0</v>
      </c>
    </row>
    <row r="312" spans="2:6" hidden="1" x14ac:dyDescent="0.25">
      <c r="B312" s="148" t="s">
        <v>196</v>
      </c>
      <c r="C312" s="149">
        <f>SUM(C311)</f>
        <v>0</v>
      </c>
      <c r="D312" s="150">
        <f>SUM(D311)</f>
        <v>0</v>
      </c>
      <c r="E312" s="149">
        <f>SUM(E311)</f>
        <v>0</v>
      </c>
    </row>
    <row r="313" spans="2:6" ht="28.5" hidden="1" x14ac:dyDescent="0.25">
      <c r="B313" s="148" t="s">
        <v>197</v>
      </c>
      <c r="C313" s="151"/>
      <c r="D313" s="152"/>
      <c r="E313" s="153">
        <f>+C313-D313</f>
        <v>0</v>
      </c>
    </row>
    <row r="314" spans="2:6" ht="28.5" hidden="1" x14ac:dyDescent="0.25">
      <c r="B314" s="148" t="s">
        <v>198</v>
      </c>
      <c r="C314" s="149">
        <f>+C312-C313</f>
        <v>0</v>
      </c>
      <c r="D314" s="150">
        <f>+D312-D313</f>
        <v>0</v>
      </c>
      <c r="E314" s="149">
        <f>+E312-E313</f>
        <v>0</v>
      </c>
    </row>
    <row r="315" spans="2:6" hidden="1" x14ac:dyDescent="0.25">
      <c r="B315" s="165" t="s">
        <v>199</v>
      </c>
      <c r="C315" s="159"/>
      <c r="D315" s="146"/>
      <c r="E315" s="83"/>
    </row>
    <row r="316" spans="2:6" hidden="1" x14ac:dyDescent="0.25">
      <c r="B316" s="160" t="s">
        <v>200</v>
      </c>
      <c r="C316" s="84"/>
      <c r="D316" s="146"/>
      <c r="E316" s="83">
        <f>+C316-D316</f>
        <v>0</v>
      </c>
    </row>
    <row r="317" spans="2:6" ht="12" hidden="1" customHeight="1" x14ac:dyDescent="0.25">
      <c r="B317" s="160" t="s">
        <v>201</v>
      </c>
      <c r="C317" s="84"/>
      <c r="D317" s="146"/>
      <c r="E317" s="83">
        <f>+C317-D317</f>
        <v>0</v>
      </c>
    </row>
    <row r="318" spans="2:6" ht="13.5" hidden="1" customHeight="1" x14ac:dyDescent="0.25">
      <c r="B318" s="160" t="s">
        <v>202</v>
      </c>
      <c r="C318" s="84"/>
      <c r="D318" s="146"/>
      <c r="E318" s="83">
        <f>+C318-D318</f>
        <v>0</v>
      </c>
    </row>
    <row r="319" spans="2:6" ht="24.75" hidden="1" customHeight="1" x14ac:dyDescent="0.25">
      <c r="B319" s="148" t="s">
        <v>203</v>
      </c>
      <c r="C319" s="149">
        <f>SUM(C316:C318)</f>
        <v>0</v>
      </c>
      <c r="D319" s="150">
        <f>SUM(D316:D318)</f>
        <v>0</v>
      </c>
      <c r="E319" s="149">
        <f>SUM(E316:E318)</f>
        <v>0</v>
      </c>
    </row>
    <row r="320" spans="2:6" ht="21" hidden="1" customHeight="1" x14ac:dyDescent="0.25">
      <c r="B320" s="148" t="s">
        <v>204</v>
      </c>
      <c r="C320" s="151"/>
      <c r="D320" s="152"/>
      <c r="E320" s="153">
        <f>+C320-D320</f>
        <v>0</v>
      </c>
    </row>
    <row r="321" spans="2:26" ht="33" hidden="1" customHeight="1" x14ac:dyDescent="0.25">
      <c r="B321" s="148" t="s">
        <v>205</v>
      </c>
      <c r="C321" s="149">
        <f>+C319-C320</f>
        <v>0</v>
      </c>
      <c r="D321" s="150">
        <f>+D319-D320</f>
        <v>0</v>
      </c>
      <c r="E321" s="149">
        <f>+E319-E320</f>
        <v>0</v>
      </c>
    </row>
    <row r="322" spans="2:26" hidden="1" x14ac:dyDescent="0.25">
      <c r="B322" s="148" t="s">
        <v>206</v>
      </c>
      <c r="C322" s="166">
        <f>+C321+C314+C309+C292+C286+C277+C268+C259</f>
        <v>692674724.18000019</v>
      </c>
      <c r="D322" s="167">
        <f>+D321+D314+D309+D292+D286+D277+D268+D259</f>
        <v>1100214563.77</v>
      </c>
      <c r="E322" s="166">
        <f>+E321+E314+E309+E292+E286+E277+E268+E259</f>
        <v>-36311083.75</v>
      </c>
    </row>
    <row r="323" spans="2:26" hidden="1" x14ac:dyDescent="0.25">
      <c r="B323" s="148" t="s">
        <v>207</v>
      </c>
      <c r="C323" s="168">
        <f>+C320+C313+C308+C291+C285+C276+C267+C258</f>
        <v>0</v>
      </c>
      <c r="D323" s="152">
        <f>+D320+D313+D308+D291+D285+D276+D267+D258</f>
        <v>0</v>
      </c>
      <c r="E323" s="153">
        <f>+C323-D323</f>
        <v>0</v>
      </c>
    </row>
    <row r="324" spans="2:26" hidden="1" x14ac:dyDescent="0.25">
      <c r="B324" s="148" t="s">
        <v>208</v>
      </c>
      <c r="C324" s="166">
        <f>+C307+C286+C277+C268+C259</f>
        <v>692674724.18000019</v>
      </c>
      <c r="D324" s="167">
        <f>+D307+D286+D277+D268+D259</f>
        <v>1100214563.77</v>
      </c>
      <c r="E324" s="166">
        <f>+E322-E323</f>
        <v>-36311083.75</v>
      </c>
    </row>
    <row r="325" spans="2:26" s="10" customFormat="1" ht="9.75" hidden="1" customHeight="1" x14ac:dyDescent="0.25">
      <c r="B325" s="169"/>
      <c r="C325" s="170"/>
      <c r="D325" s="171"/>
      <c r="E325" s="172"/>
      <c r="J325" s="15"/>
      <c r="K325" s="15"/>
      <c r="N325" s="15"/>
      <c r="R325" s="4"/>
      <c r="S325" s="4"/>
      <c r="T325" s="4"/>
      <c r="U325" s="4"/>
      <c r="V325" s="4"/>
      <c r="W325" s="4"/>
      <c r="X325" s="4"/>
      <c r="Y325" s="4"/>
      <c r="Z325" s="15"/>
    </row>
    <row r="326" spans="2:26" s="45" customFormat="1" x14ac:dyDescent="0.25">
      <c r="B326" s="55" t="str">
        <f>("Cambio porcentual con relación al "&amp;$D$117&amp;".")</f>
        <v>Cambio porcentual con relación al 2024.</v>
      </c>
      <c r="C326" s="56"/>
      <c r="D326" s="132" t="str">
        <f>IF(E326&gt;=0,"Aumento","Disminución")</f>
        <v>Disminución</v>
      </c>
      <c r="E326" s="133">
        <f>+E324/D324</f>
        <v>-3.3003638513542564E-2</v>
      </c>
      <c r="J326" s="49"/>
      <c r="K326" s="49"/>
      <c r="N326" s="49"/>
      <c r="R326" s="50"/>
      <c r="S326" s="50"/>
      <c r="T326" s="50"/>
      <c r="U326" s="50"/>
      <c r="V326" s="50"/>
      <c r="W326" s="50"/>
      <c r="X326" s="50"/>
      <c r="Y326" s="50"/>
      <c r="Z326" s="49"/>
    </row>
    <row r="327" spans="2:26" x14ac:dyDescent="0.25">
      <c r="B327" s="108"/>
    </row>
    <row r="328" spans="2:26" x14ac:dyDescent="0.25">
      <c r="B328" s="108"/>
    </row>
    <row r="329" spans="2:26" x14ac:dyDescent="0.25">
      <c r="B329" s="108"/>
    </row>
    <row r="330" spans="2:26" x14ac:dyDescent="0.25">
      <c r="B330" s="108"/>
    </row>
    <row r="331" spans="2:26" x14ac:dyDescent="0.25">
      <c r="B331" s="108"/>
    </row>
    <row r="332" spans="2:26" x14ac:dyDescent="0.25">
      <c r="B332" s="108"/>
    </row>
    <row r="333" spans="2:26" x14ac:dyDescent="0.25">
      <c r="B333" s="108"/>
    </row>
    <row r="334" spans="2:26" x14ac:dyDescent="0.25">
      <c r="B334" s="108"/>
    </row>
    <row r="335" spans="2:26" x14ac:dyDescent="0.25">
      <c r="B335" s="108"/>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10" x14ac:dyDescent="0.25">
      <c r="B353" s="108"/>
    </row>
    <row r="354" spans="2:10" x14ac:dyDescent="0.25">
      <c r="B354" s="108"/>
    </row>
    <row r="355" spans="2:10" ht="35.25" customHeight="1" x14ac:dyDescent="0.25">
      <c r="B355" s="108"/>
    </row>
    <row r="356" spans="2:10" x14ac:dyDescent="0.25">
      <c r="B356" s="108"/>
    </row>
    <row r="357" spans="2:10" x14ac:dyDescent="0.25">
      <c r="B357" s="108"/>
    </row>
    <row r="358" spans="2:10" x14ac:dyDescent="0.25">
      <c r="B358" s="108"/>
    </row>
    <row r="359" spans="2:10" x14ac:dyDescent="0.25">
      <c r="B359" s="108"/>
    </row>
    <row r="360" spans="2:10" x14ac:dyDescent="0.25">
      <c r="B360" s="108"/>
    </row>
    <row r="361" spans="2:10" ht="6" customHeight="1" x14ac:dyDescent="0.25">
      <c r="B361" s="108"/>
    </row>
    <row r="362" spans="2:10" x14ac:dyDescent="0.25">
      <c r="B362" s="108"/>
    </row>
    <row r="363" spans="2:10" x14ac:dyDescent="0.25">
      <c r="B363" s="108"/>
    </row>
    <row r="364" spans="2:10" x14ac:dyDescent="0.25">
      <c r="B364" s="108"/>
    </row>
    <row r="365" spans="2:10" x14ac:dyDescent="0.25">
      <c r="B365" s="65" t="s">
        <v>209</v>
      </c>
    </row>
    <row r="366" spans="2:10" x14ac:dyDescent="0.25">
      <c r="B366" s="65" t="s">
        <v>210</v>
      </c>
    </row>
    <row r="367" spans="2:10" ht="15" customHeight="1" x14ac:dyDescent="0.25">
      <c r="B367" s="14" t="str">
        <f>("Un detalle de las  "&amp;B366&amp;" al "&amp;[1]BALANZA!$B$3&amp;" "&amp;[1]BALANZA!$C$3&amp;" es como se detalla a continuación:")</f>
        <v>Un detalle de las  Activos Intangible  al 31 de Agosto del 2025 - 2024 es como se detalla a continuación:</v>
      </c>
      <c r="C367" s="32"/>
      <c r="D367" s="32"/>
      <c r="E367" s="32"/>
    </row>
    <row r="368" spans="2:10" ht="33.75" customHeight="1" x14ac:dyDescent="0.25">
      <c r="B368" s="21" t="str">
        <f>("Las "&amp;B366&amp;" está integrado siguientes cuentas, para el "&amp;C370&amp;" el total era de RD$"&amp;R373&amp;" y para el "&amp;D370&amp;" el total fue de RD$"&amp;R374&amp;" , Según el siguiente detalle:")</f>
        <v>Las Activos Intangible  está integrado siguientes cuentas, para el 2025 el total era de RD$121,660.00 y para el 2024 el total fue de RD$0.00 , Según el siguiente detalle:</v>
      </c>
      <c r="C368" s="21"/>
      <c r="D368" s="21"/>
      <c r="E368" s="21"/>
      <c r="I368" s="173"/>
      <c r="J368" s="174"/>
    </row>
    <row r="369" spans="2:26" s="45" customFormat="1" ht="12.75" customHeight="1" x14ac:dyDescent="0.25">
      <c r="B369" s="175"/>
      <c r="C369" s="175"/>
      <c r="D369" s="176"/>
      <c r="E369" s="177"/>
      <c r="J369" s="49"/>
      <c r="K369" s="49"/>
      <c r="N369" s="49"/>
      <c r="R369" s="50"/>
      <c r="S369" s="50"/>
      <c r="T369" s="50"/>
      <c r="U369" s="50"/>
      <c r="V369" s="50"/>
      <c r="W369" s="50"/>
      <c r="X369" s="50"/>
      <c r="Y369" s="50"/>
      <c r="Z369" s="49"/>
    </row>
    <row r="370" spans="2:26" x14ac:dyDescent="0.25">
      <c r="B370" s="178" t="s">
        <v>94</v>
      </c>
      <c r="C370" s="179">
        <f>+[1]BALANZA!B4</f>
        <v>2025</v>
      </c>
      <c r="D370" s="179">
        <f>+[1]BALANZA!C4</f>
        <v>2024</v>
      </c>
      <c r="E370" s="178" t="s">
        <v>95</v>
      </c>
    </row>
    <row r="371" spans="2:26" x14ac:dyDescent="0.25">
      <c r="B371" s="180" t="s">
        <v>211</v>
      </c>
      <c r="C371" s="94">
        <v>208560</v>
      </c>
      <c r="D371" s="94">
        <v>160568.42000000001</v>
      </c>
      <c r="E371" s="181">
        <f>+C371-D371</f>
        <v>47991.579999999987</v>
      </c>
      <c r="K371" s="3">
        <v>160568.42000000001</v>
      </c>
    </row>
    <row r="372" spans="2:26" x14ac:dyDescent="0.25">
      <c r="B372" s="180" t="s">
        <v>212</v>
      </c>
      <c r="C372" s="94">
        <f>-C587</f>
        <v>-86900</v>
      </c>
      <c r="D372" s="94">
        <f>-D371</f>
        <v>-160568.42000000001</v>
      </c>
      <c r="E372" s="181">
        <f>+C372-D372</f>
        <v>73668.420000000013</v>
      </c>
      <c r="J372" s="3">
        <v>-20309</v>
      </c>
      <c r="K372" s="3">
        <v>-160568.42000000001</v>
      </c>
    </row>
    <row r="373" spans="2:26" x14ac:dyDescent="0.25">
      <c r="B373" s="120" t="s">
        <v>213</v>
      </c>
      <c r="C373" s="121">
        <f>+C371+C372</f>
        <v>121660</v>
      </c>
      <c r="D373" s="121">
        <f>SUM(D371:D371)+D372</f>
        <v>0</v>
      </c>
      <c r="E373" s="121">
        <f>SUM(E371:E371)-E372</f>
        <v>-25676.840000000026</v>
      </c>
      <c r="K373" s="3">
        <v>0</v>
      </c>
      <c r="R373" s="4" t="str">
        <f>+CONCATENATE(S373,",",T373,".00",)</f>
        <v>121,660.00</v>
      </c>
      <c r="S373" s="4" t="str">
        <f>MID(C373,1,3)</f>
        <v>121</v>
      </c>
      <c r="T373" s="4" t="str">
        <f>MID(C373,4,3)</f>
        <v>660</v>
      </c>
      <c r="U373" s="4" t="str">
        <f>MID(C373,6,3)</f>
        <v>0</v>
      </c>
    </row>
    <row r="374" spans="2:26" ht="10.5" customHeight="1" x14ac:dyDescent="0.25">
      <c r="B374" s="182"/>
      <c r="C374" s="183"/>
      <c r="D374" s="184"/>
      <c r="E374" s="185"/>
      <c r="R374" s="4" t="str">
        <f>+CONCATENATE(S374,".00",T374,U374)</f>
        <v>0.00</v>
      </c>
      <c r="S374" s="4" t="str">
        <f>MID(D373,1,3)</f>
        <v>0</v>
      </c>
      <c r="T374" s="4" t="str">
        <f>MID(D373,4,3)</f>
        <v/>
      </c>
      <c r="U374" s="4" t="str">
        <f>MID(D373,7,3)</f>
        <v/>
      </c>
    </row>
    <row r="375" spans="2:26" s="45" customFormat="1" x14ac:dyDescent="0.25">
      <c r="B375" s="55" t="str">
        <f>("Cambio porcentual con relación al "&amp;$D$117&amp;".")</f>
        <v>Cambio porcentual con relación al 2024.</v>
      </c>
      <c r="C375" s="56"/>
      <c r="D375" s="186">
        <v>0</v>
      </c>
      <c r="E375" s="90">
        <f>IFERROR(+E373/D373,0)</f>
        <v>0</v>
      </c>
      <c r="J375" s="49"/>
      <c r="K375" s="49"/>
      <c r="N375" s="49"/>
      <c r="R375" s="50"/>
      <c r="S375" s="50"/>
      <c r="T375" s="50"/>
      <c r="U375" s="50"/>
      <c r="V375" s="50"/>
      <c r="W375" s="50"/>
      <c r="X375" s="50"/>
      <c r="Y375" s="50"/>
      <c r="Z375" s="49"/>
    </row>
    <row r="376" spans="2:26" s="45" customFormat="1" x14ac:dyDescent="0.25">
      <c r="B376" s="175"/>
      <c r="C376" s="175"/>
      <c r="D376" s="187"/>
      <c r="E376" s="177"/>
      <c r="J376" s="49"/>
      <c r="K376" s="49"/>
      <c r="N376" s="49"/>
      <c r="R376" s="50"/>
      <c r="S376" s="50"/>
      <c r="T376" s="50"/>
      <c r="U376" s="50"/>
      <c r="V376" s="50"/>
      <c r="W376" s="50"/>
      <c r="X376" s="50"/>
      <c r="Y376" s="50"/>
      <c r="Z376" s="49"/>
    </row>
    <row r="377" spans="2:26" s="45" customFormat="1" x14ac:dyDescent="0.25">
      <c r="B377" s="30" t="s">
        <v>157</v>
      </c>
      <c r="C377" s="30"/>
      <c r="D377" s="30"/>
      <c r="E377" s="30"/>
      <c r="J377" s="49"/>
      <c r="K377" s="49"/>
      <c r="N377" s="49"/>
      <c r="R377" s="50"/>
      <c r="S377" s="50"/>
      <c r="T377" s="50"/>
      <c r="U377" s="50"/>
      <c r="V377" s="50"/>
      <c r="W377" s="50"/>
      <c r="X377" s="50"/>
      <c r="Y377" s="50"/>
      <c r="Z377" s="49"/>
    </row>
    <row r="378" spans="2:26" s="45" customFormat="1" x14ac:dyDescent="0.25">
      <c r="B378" s="175"/>
      <c r="C378" s="175"/>
      <c r="D378" s="187"/>
      <c r="E378" s="177"/>
      <c r="J378" s="49"/>
      <c r="K378" s="49"/>
      <c r="N378" s="49"/>
      <c r="R378" s="50"/>
      <c r="S378" s="50"/>
      <c r="T378" s="50"/>
      <c r="U378" s="50"/>
      <c r="V378" s="50"/>
      <c r="W378" s="50"/>
      <c r="X378" s="50"/>
      <c r="Y378" s="50"/>
      <c r="Z378" s="49"/>
    </row>
    <row r="379" spans="2:26" s="45" customFormat="1" x14ac:dyDescent="0.25">
      <c r="B379" s="175"/>
      <c r="C379" s="175"/>
      <c r="D379" s="187"/>
      <c r="E379" s="177"/>
      <c r="J379" s="49"/>
      <c r="K379" s="49"/>
      <c r="N379" s="49"/>
      <c r="R379" s="50"/>
      <c r="S379" s="50"/>
      <c r="T379" s="50"/>
      <c r="U379" s="50"/>
      <c r="V379" s="50"/>
      <c r="W379" s="50"/>
      <c r="X379" s="50"/>
      <c r="Y379" s="50"/>
      <c r="Z379" s="49"/>
    </row>
    <row r="380" spans="2:26" s="45" customFormat="1" x14ac:dyDescent="0.25">
      <c r="B380" s="175"/>
      <c r="C380" s="175"/>
      <c r="D380" s="187"/>
      <c r="E380" s="177"/>
      <c r="J380" s="49"/>
      <c r="K380" s="49"/>
      <c r="N380" s="49"/>
      <c r="R380" s="50"/>
      <c r="S380" s="50"/>
      <c r="T380" s="50"/>
      <c r="U380" s="50"/>
      <c r="V380" s="50"/>
      <c r="W380" s="50"/>
      <c r="X380" s="50"/>
      <c r="Y380" s="50"/>
      <c r="Z380" s="49"/>
    </row>
    <row r="381" spans="2:26" s="45" customFormat="1" x14ac:dyDescent="0.25">
      <c r="B381" s="175"/>
      <c r="C381" s="175"/>
      <c r="D381" s="187"/>
      <c r="E381" s="177"/>
      <c r="J381" s="49"/>
      <c r="K381" s="49"/>
      <c r="N381" s="49"/>
      <c r="R381" s="50"/>
      <c r="S381" s="50"/>
      <c r="T381" s="50"/>
      <c r="U381" s="50"/>
      <c r="V381" s="50"/>
      <c r="W381" s="50"/>
      <c r="X381" s="50"/>
      <c r="Y381" s="50"/>
      <c r="Z381" s="49"/>
    </row>
    <row r="382" spans="2:26" s="45" customFormat="1" ht="8.25" customHeight="1" x14ac:dyDescent="0.25">
      <c r="B382" s="188"/>
      <c r="C382" s="188"/>
      <c r="D382" s="189"/>
      <c r="E382" s="190"/>
      <c r="J382" s="49"/>
      <c r="K382" s="49"/>
      <c r="N382" s="49"/>
      <c r="R382" s="50"/>
      <c r="S382" s="50"/>
      <c r="T382" s="50"/>
      <c r="U382" s="50"/>
      <c r="V382" s="50"/>
      <c r="W382" s="50"/>
      <c r="X382" s="50"/>
      <c r="Y382" s="50"/>
      <c r="Z382" s="49"/>
    </row>
    <row r="383" spans="2:26" x14ac:dyDescent="0.25">
      <c r="B383" s="191" t="s">
        <v>214</v>
      </c>
      <c r="C383" s="192"/>
      <c r="D383" s="193"/>
      <c r="E383" s="192"/>
    </row>
    <row r="384" spans="2:26" ht="21.75" customHeight="1" x14ac:dyDescent="0.25">
      <c r="B384" s="7" t="s">
        <v>215</v>
      </c>
      <c r="C384" s="7"/>
      <c r="D384" s="7"/>
      <c r="E384" s="7"/>
    </row>
    <row r="385" spans="2:26" ht="27.75" customHeight="1" x14ac:dyDescent="0.25">
      <c r="B385" s="14" t="str">
        <f>("Un detalle de las  "&amp;B384&amp;" al "&amp;[1]BALANZA!$B$3&amp;" "&amp;[1]BALANZA!$C$3&amp;" es como se detalla a continuación:")</f>
        <v>Un detalle de las  Cuentas por pagar a corto plazo al 31 de Agosto del 2025 - 2024 es como se detalla a continuación:</v>
      </c>
      <c r="C385" s="32"/>
      <c r="D385" s="32"/>
      <c r="E385" s="32"/>
    </row>
    <row r="386" spans="2:26" ht="59.25" customHeight="1" x14ac:dyDescent="0.25">
      <c r="B386" s="21" t="str">
        <f>("Las Cuentas por Pagar está integrado por las deudas y compromisos de pago que tiene la institución con los suplidores de servicios, retenciones impositivas y documentos por pagar, con un aumento en el "&amp;C389&amp;"  el total era de RD$ "&amp;R393&amp;" y para el "&amp;D389&amp;" el total fue de RD$ "&amp;R394&amp;" , Según el siguiente detalle:")</f>
        <v>Las Cuentas por Pagar está integrado por las deudas y compromisos de pago que tiene la institución con los suplidores de servicios, retenciones impositivas y documentos por pagar, con un aumento en el 2025  el total era de RD$ 26,371,001.81 y para el 2024 el total fue de RD$ 15,390,184.53 , Según el siguiente detalle:</v>
      </c>
      <c r="C386" s="21"/>
      <c r="D386" s="21"/>
      <c r="E386" s="21"/>
    </row>
    <row r="387" spans="2:26" ht="45" customHeight="1" x14ac:dyDescent="0.25">
      <c r="B387" s="14" t="s">
        <v>216</v>
      </c>
      <c r="C387" s="14"/>
      <c r="D387" s="14"/>
      <c r="E387" s="14"/>
    </row>
    <row r="388" spans="2:26" x14ac:dyDescent="0.25">
      <c r="B388" s="13" t="s">
        <v>217</v>
      </c>
    </row>
    <row r="389" spans="2:26" x14ac:dyDescent="0.25">
      <c r="B389" s="194" t="s">
        <v>218</v>
      </c>
      <c r="C389" s="179">
        <f>+[1]BALANZA!B4</f>
        <v>2025</v>
      </c>
      <c r="D389" s="179">
        <f>+[1]BALANZA!C4</f>
        <v>2024</v>
      </c>
      <c r="E389" s="195" t="s">
        <v>219</v>
      </c>
      <c r="K389" s="3">
        <f>+D390+D391+K392</f>
        <v>13947930.439999999</v>
      </c>
    </row>
    <row r="390" spans="2:26" x14ac:dyDescent="0.25">
      <c r="B390" s="160" t="s">
        <v>220</v>
      </c>
      <c r="C390" s="94">
        <f>+'[1]BALANZA G'!C108-C391</f>
        <v>14249072.929999998</v>
      </c>
      <c r="D390" s="94">
        <f>+'[1]BALANZA G'!D108-D391</f>
        <v>13147066.369999999</v>
      </c>
      <c r="E390" s="44">
        <f>+C390-D390</f>
        <v>1102006.5599999987</v>
      </c>
      <c r="K390" s="3">
        <v>930.44</v>
      </c>
    </row>
    <row r="391" spans="2:26" x14ac:dyDescent="0.25">
      <c r="B391" s="160" t="s">
        <v>221</v>
      </c>
      <c r="C391" s="196">
        <f>12121928.88</f>
        <v>12121928.880000001</v>
      </c>
      <c r="D391" s="94">
        <v>800000</v>
      </c>
      <c r="E391" s="44">
        <f>+C391-D391</f>
        <v>11321928.880000001</v>
      </c>
      <c r="K391" s="3">
        <v>66.37</v>
      </c>
    </row>
    <row r="392" spans="2:26" x14ac:dyDescent="0.25">
      <c r="B392" s="160" t="s">
        <v>222</v>
      </c>
      <c r="C392" s="196">
        <f>+'[1]BALANZA G'!C109+'[1]BALANZA G'!C110</f>
        <v>0</v>
      </c>
      <c r="D392" s="94">
        <f>+'[1]BALANZA G'!D109+'[1]BALANZA G'!D110</f>
        <v>1443118.16</v>
      </c>
      <c r="E392" s="44">
        <f>+C392-D392</f>
        <v>-1443118.16</v>
      </c>
      <c r="K392" s="3">
        <f>+K390-K391</f>
        <v>864.07</v>
      </c>
    </row>
    <row r="393" spans="2:26" x14ac:dyDescent="0.25">
      <c r="B393" s="194" t="s">
        <v>223</v>
      </c>
      <c r="C393" s="122">
        <f>SUM(C390:C392)</f>
        <v>26371001.809999999</v>
      </c>
      <c r="D393" s="197">
        <f>SUM(D390:D392)</f>
        <v>15390184.529999999</v>
      </c>
      <c r="E393" s="122">
        <f>SUM(E390:E392)</f>
        <v>10980817.279999999</v>
      </c>
      <c r="R393" s="4" t="str">
        <f>+CONCATENATE(S393,",",T393,",",U393,V393,AB393,"")</f>
        <v>26,371,001.81</v>
      </c>
      <c r="S393" s="4" t="str">
        <f>MID(C393,1,2)</f>
        <v>26</v>
      </c>
      <c r="T393" s="4" t="str">
        <f>MID(C393,3,3)</f>
        <v>371</v>
      </c>
      <c r="U393" s="4" t="str">
        <f>MID(C393,6,3)</f>
        <v>001</v>
      </c>
      <c r="V393" s="4" t="str">
        <f>MID(C393,9,3)</f>
        <v>.81</v>
      </c>
    </row>
    <row r="394" spans="2:26" x14ac:dyDescent="0.25">
      <c r="B394" s="198"/>
      <c r="C394" s="199"/>
      <c r="D394" s="200"/>
      <c r="R394" s="4" t="str">
        <f>+CONCATENATE(S394,",",T394,",",U394,V394,AB394)</f>
        <v>15,390,184.53</v>
      </c>
      <c r="S394" s="4" t="str">
        <f>MID(D393,1,2)</f>
        <v>15</v>
      </c>
      <c r="T394" s="4" t="str">
        <f>MID(D393,3,3)</f>
        <v>390</v>
      </c>
      <c r="U394" s="4" t="str">
        <f>MID(D393,6,3)</f>
        <v>184</v>
      </c>
      <c r="V394" s="4" t="str">
        <f>MID(D393,9,3)</f>
        <v>.53</v>
      </c>
    </row>
    <row r="395" spans="2:26" s="45" customFormat="1" x14ac:dyDescent="0.25">
      <c r="B395" s="55" t="str">
        <f>("Cambio porcentual con relación al "&amp;$D$117&amp;".")</f>
        <v>Cambio porcentual con relación al 2024.</v>
      </c>
      <c r="C395" s="56"/>
      <c r="D395" s="57" t="str">
        <f>IF(E395&gt;=0,"Aumento","Disminución")</f>
        <v>Aumento</v>
      </c>
      <c r="E395" s="90">
        <f>+E393/D393</f>
        <v>0.71349484202708258</v>
      </c>
      <c r="J395" s="49"/>
      <c r="K395" s="49"/>
      <c r="N395" s="49"/>
      <c r="R395" s="50"/>
      <c r="S395" s="50"/>
      <c r="T395" s="50"/>
      <c r="U395" s="50"/>
      <c r="V395" s="50"/>
      <c r="W395" s="50"/>
      <c r="X395" s="50"/>
      <c r="Y395" s="50"/>
      <c r="Z395" s="49"/>
    </row>
    <row r="396" spans="2:26" ht="22.5" customHeight="1" x14ac:dyDescent="0.25">
      <c r="B396" s="7" t="s">
        <v>224</v>
      </c>
      <c r="C396" s="7"/>
      <c r="D396" s="7"/>
      <c r="E396" s="7"/>
    </row>
    <row r="397" spans="2:26" ht="12.75" customHeight="1" x14ac:dyDescent="0.25">
      <c r="B397" s="201"/>
      <c r="C397" s="201"/>
      <c r="D397" s="202"/>
      <c r="E397" s="201"/>
    </row>
    <row r="398" spans="2:26" hidden="1" x14ac:dyDescent="0.25">
      <c r="B398" s="65" t="s">
        <v>225</v>
      </c>
    </row>
    <row r="399" spans="2:26" ht="24" hidden="1" customHeight="1" x14ac:dyDescent="0.25">
      <c r="B399" s="21" t="str">
        <f>+B136</f>
        <v>Un detalle del Inversiones a corto plazo al 31 de Agosto del 2025 - 2024 es como se detalla a continuación:</v>
      </c>
      <c r="C399" s="21"/>
      <c r="D399" s="21"/>
      <c r="E399" s="21"/>
    </row>
    <row r="400" spans="2:26" ht="78" hidden="1" customHeight="1" x14ac:dyDescent="0.25">
      <c r="B400" s="21" t="str">
        <f>("Los Prestamos por Pagar está integrado por las deudas y compromisos de pago que tiene la institución con los bancos, para el "&amp;C402&amp;" el total era de RD$"&amp;C404&amp;" y para el "&amp;D402&amp;" el total fue de RD$"&amp;D404&amp;" , Según el siguiente detalle:")</f>
        <v>Los Prestamos por Pagar está integrado por las deudas y compromisos de pago que tiene la institución con los bancos, para el 2025 el total era de RD$0 y para el 2024 el total fue de RD$0 , Según el siguiente detalle:</v>
      </c>
      <c r="C400" s="21"/>
      <c r="D400" s="21"/>
      <c r="E400" s="21"/>
    </row>
    <row r="401" spans="2:26" hidden="1" x14ac:dyDescent="0.25">
      <c r="B401" s="13" t="s">
        <v>217</v>
      </c>
    </row>
    <row r="402" spans="2:26" hidden="1" x14ac:dyDescent="0.25">
      <c r="B402" s="194" t="s">
        <v>218</v>
      </c>
      <c r="C402" s="179">
        <f>+C139</f>
        <v>2025</v>
      </c>
      <c r="D402" s="203">
        <f>+D139</f>
        <v>2024</v>
      </c>
      <c r="E402" s="195" t="s">
        <v>219</v>
      </c>
    </row>
    <row r="403" spans="2:26" hidden="1" x14ac:dyDescent="0.25">
      <c r="B403" s="160" t="s">
        <v>226</v>
      </c>
      <c r="C403" s="84">
        <f>+'[1]BALANZA G'!C119</f>
        <v>0</v>
      </c>
      <c r="D403" s="94">
        <f>+'[1]BALANZA G'!D119</f>
        <v>0</v>
      </c>
      <c r="E403" s="83">
        <f>+C403-D403</f>
        <v>0</v>
      </c>
    </row>
    <row r="404" spans="2:26" hidden="1" x14ac:dyDescent="0.25">
      <c r="B404" s="194" t="s">
        <v>227</v>
      </c>
      <c r="C404" s="122">
        <f>SUM(C403:C403)</f>
        <v>0</v>
      </c>
      <c r="D404" s="197">
        <f>SUM(D403:D403)</f>
        <v>0</v>
      </c>
      <c r="E404" s="122">
        <f>SUM(E403:E403)</f>
        <v>0</v>
      </c>
    </row>
    <row r="405" spans="2:26" hidden="1" x14ac:dyDescent="0.25">
      <c r="B405" s="198"/>
      <c r="C405" s="87"/>
      <c r="D405" s="200"/>
    </row>
    <row r="406" spans="2:26" s="45" customFormat="1" hidden="1" x14ac:dyDescent="0.25">
      <c r="B406" s="204" t="s">
        <v>228</v>
      </c>
      <c r="C406" s="205"/>
      <c r="D406" s="57" t="e">
        <f>IF(E406&gt;=0,"Aumento","Disminución")</f>
        <v>#DIV/0!</v>
      </c>
      <c r="E406" s="90" t="e">
        <f>+E404/D404</f>
        <v>#DIV/0!</v>
      </c>
      <c r="J406" s="49"/>
      <c r="K406" s="49"/>
      <c r="N406" s="49"/>
      <c r="R406" s="50"/>
      <c r="S406" s="50"/>
      <c r="T406" s="50"/>
      <c r="U406" s="50"/>
      <c r="V406" s="50"/>
      <c r="W406" s="50"/>
      <c r="X406" s="50"/>
      <c r="Y406" s="50"/>
      <c r="Z406" s="49"/>
    </row>
    <row r="407" spans="2:26" s="45" customFormat="1" x14ac:dyDescent="0.25">
      <c r="B407" s="62"/>
      <c r="C407" s="62"/>
      <c r="D407" s="60"/>
      <c r="E407" s="63"/>
      <c r="J407" s="49"/>
      <c r="K407" s="49"/>
      <c r="N407" s="49"/>
      <c r="R407" s="50"/>
      <c r="S407" s="50"/>
      <c r="T407" s="50"/>
      <c r="U407" s="50"/>
      <c r="V407" s="50"/>
      <c r="W407" s="50"/>
      <c r="X407" s="50"/>
      <c r="Y407" s="50"/>
      <c r="Z407" s="49"/>
    </row>
    <row r="408" spans="2:26" s="45" customFormat="1" x14ac:dyDescent="0.25">
      <c r="B408" s="62"/>
      <c r="C408" s="62"/>
      <c r="D408" s="60"/>
      <c r="E408" s="63"/>
      <c r="J408" s="49"/>
      <c r="K408" s="49"/>
      <c r="N408" s="49"/>
      <c r="R408" s="50"/>
      <c r="S408" s="50"/>
      <c r="T408" s="50"/>
      <c r="U408" s="50"/>
      <c r="V408" s="50"/>
      <c r="W408" s="50"/>
      <c r="X408" s="50"/>
      <c r="Y408" s="50"/>
      <c r="Z408" s="49"/>
    </row>
    <row r="409" spans="2:26" s="45" customFormat="1" x14ac:dyDescent="0.25">
      <c r="B409" s="62"/>
      <c r="C409" s="62"/>
      <c r="D409" s="60"/>
      <c r="E409" s="63"/>
      <c r="J409" s="49"/>
      <c r="K409" s="49"/>
      <c r="N409" s="49"/>
      <c r="R409" s="50"/>
      <c r="S409" s="50"/>
      <c r="T409" s="50"/>
      <c r="U409" s="50"/>
      <c r="V409" s="50"/>
      <c r="W409" s="50"/>
      <c r="X409" s="50"/>
      <c r="Y409" s="50"/>
      <c r="Z409" s="49"/>
    </row>
    <row r="410" spans="2:26" s="45" customFormat="1" x14ac:dyDescent="0.25">
      <c r="B410" s="62"/>
      <c r="C410" s="62"/>
      <c r="D410" s="60"/>
      <c r="E410" s="63"/>
      <c r="J410" s="49"/>
      <c r="K410" s="49"/>
      <c r="N410" s="49"/>
      <c r="R410" s="50"/>
      <c r="S410" s="50"/>
      <c r="T410" s="50"/>
      <c r="U410" s="50"/>
      <c r="V410" s="50"/>
      <c r="W410" s="50"/>
      <c r="X410" s="50"/>
      <c r="Y410" s="50"/>
      <c r="Z410" s="49"/>
    </row>
    <row r="411" spans="2:26" s="45" customFormat="1" x14ac:dyDescent="0.25">
      <c r="B411" s="62"/>
      <c r="C411" s="62"/>
      <c r="D411" s="60"/>
      <c r="E411" s="63"/>
      <c r="J411" s="49"/>
      <c r="K411" s="49"/>
      <c r="N411" s="49"/>
      <c r="R411" s="50"/>
      <c r="S411" s="50"/>
      <c r="T411" s="50"/>
      <c r="U411" s="50"/>
      <c r="V411" s="50"/>
      <c r="W411" s="50"/>
      <c r="X411" s="50"/>
      <c r="Y411" s="50"/>
      <c r="Z411" s="49"/>
    </row>
    <row r="412" spans="2:26" s="45" customFormat="1" x14ac:dyDescent="0.25">
      <c r="B412" s="62"/>
      <c r="C412" s="62"/>
      <c r="D412" s="60"/>
      <c r="E412" s="63"/>
      <c r="J412" s="49"/>
      <c r="K412" s="49"/>
      <c r="N412" s="49"/>
      <c r="R412" s="50"/>
      <c r="S412" s="50"/>
      <c r="T412" s="50"/>
      <c r="U412" s="50"/>
      <c r="V412" s="50"/>
      <c r="W412" s="50"/>
      <c r="X412" s="50"/>
      <c r="Y412" s="50"/>
      <c r="Z412" s="49"/>
    </row>
    <row r="413" spans="2:26" s="45" customFormat="1" x14ac:dyDescent="0.25">
      <c r="B413" s="62"/>
      <c r="C413" s="62"/>
      <c r="D413" s="60"/>
      <c r="E413" s="63"/>
      <c r="J413" s="49"/>
      <c r="K413" s="49"/>
      <c r="N413" s="49"/>
      <c r="R413" s="50"/>
      <c r="S413" s="50"/>
      <c r="T413" s="50"/>
      <c r="U413" s="50"/>
      <c r="V413" s="50"/>
      <c r="W413" s="50"/>
      <c r="X413" s="50"/>
      <c r="Y413" s="50"/>
      <c r="Z413" s="49"/>
    </row>
    <row r="414" spans="2:26" s="45" customFormat="1" x14ac:dyDescent="0.25">
      <c r="B414" s="62"/>
      <c r="C414" s="62"/>
      <c r="D414" s="60"/>
      <c r="E414" s="63"/>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ht="17.25" customHeight="1" x14ac:dyDescent="0.25">
      <c r="B418" s="62" t="s">
        <v>229</v>
      </c>
      <c r="C418" s="62"/>
      <c r="D418" s="60"/>
      <c r="E418" s="63"/>
      <c r="J418" s="49"/>
      <c r="K418" s="49"/>
      <c r="N418" s="49"/>
      <c r="R418" s="50"/>
      <c r="S418" s="50"/>
      <c r="T418" s="50"/>
      <c r="U418" s="50"/>
      <c r="V418" s="50"/>
      <c r="W418" s="50"/>
      <c r="X418" s="50"/>
      <c r="Y418" s="50"/>
      <c r="Z418" s="49"/>
    </row>
    <row r="419" spans="2:26" s="45" customFormat="1" ht="17.25" customHeight="1" x14ac:dyDescent="0.25">
      <c r="B419" s="62" t="s">
        <v>230</v>
      </c>
      <c r="C419" s="62"/>
      <c r="D419" s="60"/>
      <c r="E419" s="63"/>
      <c r="J419" s="49"/>
      <c r="K419" s="49"/>
      <c r="N419" s="49"/>
      <c r="R419" s="50"/>
      <c r="S419" s="50"/>
      <c r="T419" s="50"/>
      <c r="U419" s="50"/>
      <c r="V419" s="50"/>
      <c r="W419" s="50"/>
      <c r="X419" s="50"/>
      <c r="Y419" s="50"/>
      <c r="Z419" s="49"/>
    </row>
    <row r="420" spans="2:26" x14ac:dyDescent="0.25">
      <c r="B420" s="65" t="s">
        <v>231</v>
      </c>
    </row>
    <row r="421" spans="2:26" ht="20.25" customHeight="1" x14ac:dyDescent="0.25">
      <c r="B421" s="14" t="str">
        <f>("Un detalle de las  "&amp;B420&amp;" al "&amp;[1]BALANZA!$B$3&amp;" "&amp;[1]BALANZA!$C$3&amp;" es como se detalla a continuación:")</f>
        <v>Un detalle de las  Acumulaciones por pagar al 31 de Agosto del 2025 - 2024 es como se detalla a continuación:</v>
      </c>
      <c r="C421" s="32"/>
      <c r="D421" s="32"/>
      <c r="E421" s="32"/>
    </row>
    <row r="422" spans="2:26" ht="36" customHeight="1" x14ac:dyDescent="0.25">
      <c r="B422" s="21" t="str">
        <f>("Las acumulaciones por pagar para el "&amp;C424&amp;" el total era RD$ "&amp;R428&amp;" y para el "&amp;D424&amp;" el total fue de RD$ "&amp;R429&amp;" , Según el siguiente detalle:")</f>
        <v>Las acumulaciones por pagar para el 2025 el total era RD$ 0.00 y para el 2024 el total fue de RD$ 252,299.30 , Según el siguiente detalle:</v>
      </c>
      <c r="C422" s="21"/>
      <c r="D422" s="21"/>
      <c r="E422" s="21"/>
    </row>
    <row r="423" spans="2:26" ht="9" customHeight="1" x14ac:dyDescent="0.25">
      <c r="B423" s="206"/>
      <c r="C423" s="206"/>
      <c r="D423" s="206"/>
      <c r="E423" s="206"/>
    </row>
    <row r="424" spans="2:26" x14ac:dyDescent="0.25">
      <c r="B424" s="194" t="s">
        <v>218</v>
      </c>
      <c r="C424" s="179">
        <f>+C139</f>
        <v>2025</v>
      </c>
      <c r="D424" s="179">
        <f>+D139</f>
        <v>2024</v>
      </c>
      <c r="E424" s="195" t="s">
        <v>219</v>
      </c>
    </row>
    <row r="425" spans="2:26" x14ac:dyDescent="0.25">
      <c r="B425" s="160" t="s">
        <v>232</v>
      </c>
      <c r="C425" s="94">
        <f>+'[1]BALANZA G'!C115+'[1]BALANZA G'!C116</f>
        <v>0</v>
      </c>
      <c r="D425" s="94">
        <f>+'[1]BALANZA G'!D115+'[1]BALANZA G'!D116</f>
        <v>252299.3</v>
      </c>
      <c r="E425" s="44">
        <f>+C425-D425</f>
        <v>-252299.3</v>
      </c>
    </row>
    <row r="426" spans="2:26" ht="14.25" customHeight="1" x14ac:dyDescent="0.25">
      <c r="B426" s="160" t="s">
        <v>233</v>
      </c>
      <c r="C426" s="94">
        <f>+'[1]BALANZA G'!C105+'[1]BALANZA G'!C106</f>
        <v>0</v>
      </c>
      <c r="D426" s="94">
        <f>+'[1]BALANZA G'!D105+'[1]BALANZA G'!D106</f>
        <v>0</v>
      </c>
      <c r="E426" s="44">
        <f>+C426-D426</f>
        <v>0</v>
      </c>
    </row>
    <row r="427" spans="2:26" hidden="1" x14ac:dyDescent="0.25">
      <c r="B427" s="160"/>
      <c r="C427" s="94"/>
      <c r="D427" s="94"/>
      <c r="E427" s="44"/>
    </row>
    <row r="428" spans="2:26" x14ac:dyDescent="0.25">
      <c r="B428" s="194" t="s">
        <v>234</v>
      </c>
      <c r="C428" s="197">
        <f>SUM(C425:C427)</f>
        <v>0</v>
      </c>
      <c r="D428" s="197">
        <f>SUM(D425:D427)</f>
        <v>252299.3</v>
      </c>
      <c r="E428" s="197">
        <f>SUM(E425:E427)</f>
        <v>-252299.3</v>
      </c>
      <c r="R428" s="4" t="str">
        <f>+CONCATENATE(T428,"",U428,"",V428,"0.00")</f>
        <v>0.00</v>
      </c>
      <c r="U428" s="4" t="str">
        <f>MID(C428,4,3)</f>
        <v/>
      </c>
      <c r="V428" s="4" t="str">
        <f>MID(C428,7,3)</f>
        <v/>
      </c>
    </row>
    <row r="429" spans="2:26" ht="10.5" customHeight="1" x14ac:dyDescent="0.25">
      <c r="B429" s="198"/>
      <c r="C429" s="97">
        <f>+C428-'[1]ES F '!B36+C445</f>
        <v>0</v>
      </c>
      <c r="D429" s="200"/>
      <c r="R429" s="4" t="str">
        <f>+CONCATENATE(S429,",",T429,U429,V429,AB429,"0")</f>
        <v>252,299.30</v>
      </c>
      <c r="S429" s="4" t="str">
        <f>MID(D428,1,3)</f>
        <v>252</v>
      </c>
      <c r="T429" s="4" t="str">
        <f>MID(D428,4,3)</f>
        <v>299</v>
      </c>
      <c r="U429" s="4" t="str">
        <f>MID(D428,7,3)</f>
        <v>.3</v>
      </c>
    </row>
    <row r="430" spans="2:26" s="45" customFormat="1" x14ac:dyDescent="0.25">
      <c r="B430" s="55" t="str">
        <f>("Cambio porcentual con relación al "&amp;$D$117&amp;".")</f>
        <v>Cambio porcentual con relación al 2024.</v>
      </c>
      <c r="C430" s="56"/>
      <c r="D430" s="57" t="str">
        <f>IF(E430&gt;=0,"Aumento","Disminución")</f>
        <v>Disminución</v>
      </c>
      <c r="E430" s="90">
        <f>+E428/D428</f>
        <v>-1</v>
      </c>
      <c r="J430" s="49"/>
      <c r="K430" s="49"/>
      <c r="N430" s="49"/>
      <c r="R430" s="50"/>
      <c r="S430" s="50"/>
      <c r="T430" s="50"/>
      <c r="U430" s="50"/>
      <c r="V430" s="50"/>
      <c r="W430" s="50"/>
      <c r="X430" s="50"/>
      <c r="Y430" s="50"/>
      <c r="Z430" s="49"/>
    </row>
    <row r="431" spans="2:26" s="45" customFormat="1" ht="6" customHeight="1" x14ac:dyDescent="0.25">
      <c r="B431" s="62"/>
      <c r="C431" s="62"/>
      <c r="D431" s="60"/>
      <c r="E431" s="63"/>
      <c r="J431" s="49"/>
      <c r="K431" s="49"/>
      <c r="N431" s="49"/>
      <c r="R431" s="50"/>
      <c r="S431" s="50"/>
      <c r="T431" s="50"/>
      <c r="U431" s="50"/>
      <c r="V431" s="50"/>
      <c r="W431" s="50"/>
      <c r="X431" s="50"/>
      <c r="Y431" s="50"/>
      <c r="Z431" s="49"/>
    </row>
    <row r="432" spans="2:26" ht="14.25" customHeight="1" x14ac:dyDescent="0.25">
      <c r="B432" s="65" t="s">
        <v>235</v>
      </c>
      <c r="C432" s="201"/>
      <c r="D432" s="201"/>
      <c r="E432" s="201"/>
    </row>
    <row r="433" spans="2:28" ht="24.75" customHeight="1" x14ac:dyDescent="0.25">
      <c r="B433" s="14" t="str">
        <f>("Un detalle de las "&amp;B432&amp;" al "&amp;[1]BALANZA!$B$3&amp;" "&amp;[1]BALANZA!$C$3&amp;" es como se detalla a continuación:")</f>
        <v>Un detalle de las Retenciones por pagar al 31 de Agosto del 2025 - 2024 es como se detalla a continuación:</v>
      </c>
      <c r="C433" s="32"/>
      <c r="D433" s="32"/>
      <c r="E433" s="32"/>
    </row>
    <row r="434" spans="2:28" ht="29.25" customHeight="1" x14ac:dyDescent="0.25">
      <c r="B434" s="21" t="str">
        <f>("Las  retenciones impositivas  por pagar  para el "&amp;C437&amp;" el total era RD$ "&amp;R445&amp;" y para el "&amp;D437&amp;" el total fue de RD$ "&amp;R446&amp;" , Según el siguiente detalle:")</f>
        <v>Las  retenciones impositivas  por pagar  para el 2025 el total era RD$ 128,249.85 y para el 2024 el total fue de RD$ 0.00 , Según el siguiente detalle:</v>
      </c>
      <c r="C434" s="21"/>
      <c r="D434" s="21"/>
      <c r="E434" s="21"/>
    </row>
    <row r="435" spans="2:28" ht="6" customHeight="1" x14ac:dyDescent="0.25">
      <c r="B435" s="65"/>
      <c r="C435" s="201"/>
      <c r="D435" s="201"/>
      <c r="E435" s="201"/>
    </row>
    <row r="436" spans="2:28" ht="9.75" customHeight="1" x14ac:dyDescent="0.25">
      <c r="B436" s="65"/>
      <c r="C436" s="201"/>
      <c r="D436" s="201"/>
      <c r="E436" s="201"/>
    </row>
    <row r="437" spans="2:28" x14ac:dyDescent="0.25">
      <c r="B437" s="194" t="s">
        <v>218</v>
      </c>
      <c r="C437" s="179">
        <f>+C424</f>
        <v>2025</v>
      </c>
      <c r="D437" s="179">
        <f>+D424</f>
        <v>2024</v>
      </c>
      <c r="E437" s="207" t="s">
        <v>219</v>
      </c>
    </row>
    <row r="438" spans="2:28" hidden="1" x14ac:dyDescent="0.25">
      <c r="B438" s="117" t="s">
        <v>236</v>
      </c>
      <c r="C438" s="84">
        <f>+'[1]BALANZA G'!C95</f>
        <v>0</v>
      </c>
      <c r="D438" s="94">
        <f>+'[1]BALANZA G'!D95</f>
        <v>0</v>
      </c>
      <c r="E438" s="83">
        <f>+C438-D438</f>
        <v>0</v>
      </c>
    </row>
    <row r="439" spans="2:28" hidden="1" x14ac:dyDescent="0.25">
      <c r="B439" s="117" t="s">
        <v>237</v>
      </c>
      <c r="C439" s="84">
        <f>+'[1]BALANZA G'!C97</f>
        <v>0</v>
      </c>
      <c r="D439" s="94">
        <f>+'[1]BALANZA G'!D97</f>
        <v>0</v>
      </c>
      <c r="E439" s="83">
        <f t="shared" ref="E439:E444" si="2">+C439-D439</f>
        <v>0</v>
      </c>
    </row>
    <row r="440" spans="2:28" hidden="1" x14ac:dyDescent="0.25">
      <c r="B440" s="117" t="s">
        <v>238</v>
      </c>
      <c r="C440" s="84">
        <f>+'[1]BALANZA G'!C98</f>
        <v>0</v>
      </c>
      <c r="D440" s="94">
        <f>+'[1]BALANZA G'!D98</f>
        <v>0</v>
      </c>
      <c r="E440" s="83">
        <f t="shared" si="2"/>
        <v>0</v>
      </c>
    </row>
    <row r="441" spans="2:28" x14ac:dyDescent="0.25">
      <c r="B441" s="117" t="s">
        <v>239</v>
      </c>
      <c r="C441" s="84">
        <f>+'[1]BALANZA G'!C99</f>
        <v>0</v>
      </c>
      <c r="D441" s="94">
        <f>+'[1]BALANZA G'!D99</f>
        <v>0</v>
      </c>
      <c r="E441" s="83">
        <f t="shared" si="2"/>
        <v>0</v>
      </c>
    </row>
    <row r="442" spans="2:28" x14ac:dyDescent="0.25">
      <c r="B442" s="117" t="s">
        <v>240</v>
      </c>
      <c r="C442" s="84">
        <f>+'[1]BALANZA G'!C100</f>
        <v>56304.6</v>
      </c>
      <c r="D442" s="94">
        <f>+'[1]BALANZA G'!D100</f>
        <v>0</v>
      </c>
      <c r="E442" s="83">
        <f t="shared" si="2"/>
        <v>56304.6</v>
      </c>
    </row>
    <row r="443" spans="2:28" x14ac:dyDescent="0.25">
      <c r="B443" s="117" t="s">
        <v>241</v>
      </c>
      <c r="C443" s="84">
        <f>+'[1]BALANZA G'!C101+'[1]BALANZA G'!C96</f>
        <v>0</v>
      </c>
      <c r="D443" s="84">
        <f>+'[1]BALANZA G'!D101+'[1]BALANZA G'!D96+0.001</f>
        <v>1E-3</v>
      </c>
      <c r="E443" s="83">
        <f t="shared" si="2"/>
        <v>-1E-3</v>
      </c>
    </row>
    <row r="444" spans="2:28" x14ac:dyDescent="0.25">
      <c r="B444" s="117" t="s">
        <v>242</v>
      </c>
      <c r="C444" s="84">
        <f>+'[1]BALANZA G'!C102</f>
        <v>71945.25</v>
      </c>
      <c r="D444" s="94">
        <f>+'[1]BALANZA G'!D102</f>
        <v>0</v>
      </c>
      <c r="E444" s="83">
        <f t="shared" si="2"/>
        <v>71945.25</v>
      </c>
    </row>
    <row r="445" spans="2:28" x14ac:dyDescent="0.25">
      <c r="B445" s="194" t="s">
        <v>243</v>
      </c>
      <c r="C445" s="122">
        <f>SUM(C438:C444)</f>
        <v>128249.85</v>
      </c>
      <c r="D445" s="197">
        <f>SUM(D438:D444)</f>
        <v>1E-3</v>
      </c>
      <c r="E445" s="122">
        <f>SUM(E438:E444)</f>
        <v>128249.849</v>
      </c>
      <c r="R445" s="4" t="str">
        <f>+CONCATENATE(T445,",",U445,"",V445,AB445)</f>
        <v>128,249.85</v>
      </c>
      <c r="T445" s="4" t="str">
        <f>MID(C445,1,3)</f>
        <v>128</v>
      </c>
      <c r="U445" s="4" t="str">
        <f>MID(C445,4,3)</f>
        <v>249</v>
      </c>
      <c r="V445" s="4" t="str">
        <f>MID(C445,7,3)</f>
        <v>.85</v>
      </c>
      <c r="Z445" s="2"/>
      <c r="AA445" s="2" t="str">
        <f>MID(H445,7,3)</f>
        <v/>
      </c>
      <c r="AB445" s="2" t="str">
        <f>MID(C445,10,3)</f>
        <v/>
      </c>
    </row>
    <row r="446" spans="2:28" ht="6" customHeight="1" x14ac:dyDescent="0.25">
      <c r="B446" s="198"/>
      <c r="C446" s="97">
        <f>+C445-'[1]ES F '!B36+C428</f>
        <v>0</v>
      </c>
      <c r="D446" s="200"/>
      <c r="R446" s="4" t="str">
        <f>+CONCATENATE(S446,,T446,"0",U446,V446,AB446)</f>
        <v>0.00</v>
      </c>
      <c r="T446" s="4" t="str">
        <f>MID(D445,1,3)</f>
        <v>0.0</v>
      </c>
      <c r="V446" s="4" t="str">
        <f>MID(D445,7,3)</f>
        <v/>
      </c>
      <c r="W446" s="4" t="str">
        <f>MID(H445,1,3)</f>
        <v/>
      </c>
      <c r="X446" s="4" t="str">
        <f>MID(I445,1,3)</f>
        <v/>
      </c>
      <c r="Y446" s="4" t="str">
        <f>MID(J445,1,3)</f>
        <v/>
      </c>
      <c r="Z446" s="2"/>
      <c r="AA446" s="2" t="str">
        <f>MID(L445,1,3)</f>
        <v/>
      </c>
      <c r="AB446" s="2" t="str">
        <f>MID(D445,11,3)</f>
        <v/>
      </c>
    </row>
    <row r="447" spans="2:28" ht="14.25" customHeight="1" x14ac:dyDescent="0.25">
      <c r="B447" s="55" t="str">
        <f>("Cambio porcentual con relación al "&amp;$D$117&amp;".")</f>
        <v>Cambio porcentual con relación al 2024.</v>
      </c>
      <c r="C447" s="56"/>
      <c r="D447" s="57" t="str">
        <f>IF(E447&gt;=0,"Aumento","Disminución")</f>
        <v>Aumento</v>
      </c>
      <c r="E447" s="208">
        <v>1</v>
      </c>
    </row>
    <row r="448" spans="2:28" ht="7.5" customHeight="1" x14ac:dyDescent="0.25">
      <c r="B448" s="201"/>
      <c r="C448" s="201"/>
      <c r="D448" s="201"/>
      <c r="E448" s="201"/>
    </row>
    <row r="449" spans="2:27" ht="16.5" customHeight="1" x14ac:dyDescent="0.25">
      <c r="B449" s="209" t="s">
        <v>244</v>
      </c>
      <c r="C449" s="210">
        <f>+C445+C428</f>
        <v>128249.85</v>
      </c>
      <c r="D449" s="210">
        <f>+D445+D428</f>
        <v>252299.30099999998</v>
      </c>
      <c r="E449" s="122">
        <f>SUM(E442:E448)</f>
        <v>256500.698</v>
      </c>
    </row>
    <row r="450" spans="2:27" ht="14.25" customHeight="1" x14ac:dyDescent="0.25">
      <c r="B450" s="201"/>
      <c r="C450" s="201"/>
      <c r="D450" s="201"/>
      <c r="E450" s="201"/>
    </row>
    <row r="451" spans="2:27" ht="14.25" customHeight="1" x14ac:dyDescent="0.25">
      <c r="B451" s="65" t="s">
        <v>245</v>
      </c>
      <c r="C451" s="201"/>
      <c r="D451" s="201"/>
      <c r="E451" s="201"/>
    </row>
    <row r="452" spans="2:27" ht="19.5" customHeight="1" x14ac:dyDescent="0.25">
      <c r="B452" s="65" t="s">
        <v>246</v>
      </c>
      <c r="C452" s="201"/>
      <c r="D452" s="98"/>
      <c r="E452" s="201"/>
    </row>
    <row r="453" spans="2:27" ht="26.25" customHeight="1" x14ac:dyDescent="0.25">
      <c r="B453" s="14" t="str">
        <f>("Un detalle del "&amp;B452&amp;" al "&amp;[1]BALANZA!$B$3&amp;" "&amp;[1]BALANZA!$C$3&amp;" es como se detalla a continuación:")</f>
        <v>Un detalle del Activos Netos/Patrimonio al 31 de Agosto del 2025 - 2024 es como se detalla a continuación:</v>
      </c>
      <c r="C453" s="32"/>
      <c r="D453" s="32"/>
      <c r="E453" s="32"/>
    </row>
    <row r="454" spans="2:27" ht="38.25" customHeight="1" x14ac:dyDescent="0.25">
      <c r="B454" s="211" t="str">
        <f>("El patrimonio institucional  para el "&amp;C456&amp;" tenia monto por RD$ "&amp;R461&amp;" y para el "&amp;D456&amp;" el monto fue de RD$ "&amp;R462&amp;" y está conformado con las siguientes partidas: ")</f>
        <v xml:space="preserve">El patrimonio institucional  para el 2025 tenia monto por RD$ 1,116,456,158.38 y para el 2024 el monto fue de RD$ 1,086,596,554.24 y está conformado con las siguientes partidas: </v>
      </c>
      <c r="C454" s="21"/>
      <c r="D454" s="21"/>
      <c r="E454" s="21"/>
    </row>
    <row r="455" spans="2:27" ht="9.75" customHeight="1" x14ac:dyDescent="0.25">
      <c r="B455" s="13"/>
    </row>
    <row r="456" spans="2:27" x14ac:dyDescent="0.25">
      <c r="B456" s="194" t="s">
        <v>218</v>
      </c>
      <c r="C456" s="33">
        <f>+C601</f>
        <v>2025</v>
      </c>
      <c r="D456" s="33">
        <f>+D601</f>
        <v>2024</v>
      </c>
      <c r="E456" s="207" t="s">
        <v>219</v>
      </c>
    </row>
    <row r="457" spans="2:27" x14ac:dyDescent="0.25">
      <c r="B457" s="212" t="s">
        <v>247</v>
      </c>
      <c r="C457" s="213">
        <f>+'[1]BALANZA G'!C128</f>
        <v>808793054.60000002</v>
      </c>
      <c r="D457" s="213">
        <f>+'[1]BALANZA G'!D128</f>
        <v>808793054.60000002</v>
      </c>
      <c r="E457" s="44">
        <f>+C457-D457</f>
        <v>0</v>
      </c>
      <c r="G457" s="214"/>
      <c r="U457" s="215"/>
    </row>
    <row r="458" spans="2:27" x14ac:dyDescent="0.25">
      <c r="B458" s="212" t="s">
        <v>248</v>
      </c>
      <c r="C458" s="216">
        <f>+D460+D459+D458</f>
        <v>277803499.63999999</v>
      </c>
      <c r="D458" s="216">
        <v>236147019.97999999</v>
      </c>
      <c r="E458" s="44">
        <f>+C458-D458</f>
        <v>41656479.659999996</v>
      </c>
      <c r="G458" s="214"/>
      <c r="I458" s="93"/>
      <c r="U458" s="215"/>
    </row>
    <row r="459" spans="2:27" x14ac:dyDescent="0.25">
      <c r="B459" s="37" t="s">
        <v>249</v>
      </c>
      <c r="C459" s="216">
        <f>+[1]BALANZA!B6</f>
        <v>1485895.3399999999</v>
      </c>
      <c r="D459" s="216">
        <v>0</v>
      </c>
      <c r="E459" s="44">
        <f>+C459-D459</f>
        <v>1485895.3399999999</v>
      </c>
      <c r="G459" s="214"/>
      <c r="I459" s="93"/>
      <c r="U459" s="215"/>
      <c r="Z459" s="2"/>
    </row>
    <row r="460" spans="2:27" x14ac:dyDescent="0.25">
      <c r="B460" s="37" t="s">
        <v>250</v>
      </c>
      <c r="C460" s="216">
        <f>+[1]ERF!B35</f>
        <v>28373708.800000042</v>
      </c>
      <c r="D460" s="216">
        <f>+[1]ERF!C30</f>
        <v>41656479.659999967</v>
      </c>
      <c r="E460" s="44">
        <f>+C460-D460</f>
        <v>-13282770.859999925</v>
      </c>
      <c r="G460" s="214"/>
      <c r="I460" s="93"/>
      <c r="U460" s="215"/>
      <c r="Z460" s="49"/>
    </row>
    <row r="461" spans="2:27" x14ac:dyDescent="0.25">
      <c r="B461" s="85" t="s">
        <v>251</v>
      </c>
      <c r="C461" s="217">
        <f>SUM(C457:C460)</f>
        <v>1116456158.3799999</v>
      </c>
      <c r="D461" s="217">
        <f>SUM(D457:D460)</f>
        <v>1086596554.24</v>
      </c>
      <c r="E461" s="217">
        <f>SUM(E457:E460)</f>
        <v>29859604.140000075</v>
      </c>
      <c r="I461" s="93"/>
      <c r="R461" s="4" t="str">
        <f>+CONCATENATE(S461,",",T461,",",U461,",",V461,W461)</f>
        <v>1,116,456,158.38</v>
      </c>
      <c r="S461" s="4" t="str">
        <f>MID(C461,1,1)</f>
        <v>1</v>
      </c>
      <c r="T461" s="4" t="str">
        <f>MID(C461,2,3)</f>
        <v>116</v>
      </c>
      <c r="U461" s="4" t="str">
        <f>MID(C461,5,3)</f>
        <v>456</v>
      </c>
      <c r="V461" s="4" t="str">
        <f>MID(C461,8,3)</f>
        <v>158</v>
      </c>
      <c r="W461" s="4" t="str">
        <f>MID(C461,11,3)</f>
        <v>.38</v>
      </c>
      <c r="Z461" s="2"/>
      <c r="AA461" s="2" t="str">
        <f>MID(H461,7,3)</f>
        <v/>
      </c>
    </row>
    <row r="462" spans="2:27" x14ac:dyDescent="0.25">
      <c r="B462" s="218"/>
      <c r="C462" s="219">
        <f>+C461-'[1]ES F '!B60</f>
        <v>0</v>
      </c>
      <c r="D462" s="219">
        <f>+D461-'[1]ES F '!C60</f>
        <v>0</v>
      </c>
      <c r="E462" s="220"/>
      <c r="R462" s="4" t="str">
        <f>+CONCATENATE(S462,",",T462,",",U462,",",V462,W462)</f>
        <v>1,086,596,554.24</v>
      </c>
      <c r="S462" s="4" t="str">
        <f>MID(D461,1,1)</f>
        <v>1</v>
      </c>
      <c r="T462" s="4" t="str">
        <f>MID(D461,2,3)</f>
        <v>086</v>
      </c>
      <c r="U462" s="4" t="str">
        <f>MID(D461,5,3)</f>
        <v>596</v>
      </c>
      <c r="V462" s="4" t="str">
        <f>MID(D461,8,3)</f>
        <v>554</v>
      </c>
      <c r="W462" s="4" t="str">
        <f>MID(D461,11,3)</f>
        <v>.24</v>
      </c>
      <c r="X462" s="4" t="str">
        <f>MID(I461,1,3)</f>
        <v/>
      </c>
      <c r="AA462" s="2" t="str">
        <f>MID(L461,1,3)</f>
        <v/>
      </c>
    </row>
    <row r="463" spans="2:27" s="45" customFormat="1" x14ac:dyDescent="0.25">
      <c r="B463" s="55" t="str">
        <f>("Cambio porcentual con relación al "&amp;$D$117&amp;".")</f>
        <v>Cambio porcentual con relación al 2024.</v>
      </c>
      <c r="C463" s="56"/>
      <c r="D463" s="57" t="str">
        <f>IF(E463&gt;=0,"Aumento","Disminución")</f>
        <v>Aumento</v>
      </c>
      <c r="E463" s="90">
        <f>+E461/D461</f>
        <v>2.7479936342044473E-2</v>
      </c>
      <c r="J463" s="49"/>
      <c r="K463" s="49"/>
      <c r="N463" s="49"/>
      <c r="R463" s="50"/>
      <c r="S463" s="50"/>
      <c r="T463" s="50"/>
      <c r="U463" s="50"/>
      <c r="V463" s="50"/>
      <c r="W463" s="50"/>
      <c r="X463" s="50"/>
      <c r="Y463" s="50"/>
    </row>
    <row r="464" spans="2:27" ht="21" customHeight="1" x14ac:dyDescent="0.25">
      <c r="B464" s="221" t="s">
        <v>252</v>
      </c>
      <c r="C464" s="221"/>
      <c r="D464" s="221"/>
      <c r="E464" s="221"/>
    </row>
    <row r="465" spans="2:22" ht="21" customHeight="1" x14ac:dyDescent="0.25">
      <c r="B465" s="222"/>
      <c r="C465" s="222"/>
      <c r="D465" s="222"/>
      <c r="E465" s="222"/>
    </row>
    <row r="466" spans="2:22" ht="31.5" customHeight="1" x14ac:dyDescent="0.25">
      <c r="B466" s="222"/>
      <c r="C466" s="222"/>
      <c r="D466" s="222"/>
      <c r="E466" s="222"/>
    </row>
    <row r="467" spans="2:22" ht="12" customHeight="1" x14ac:dyDescent="0.25">
      <c r="B467" s="222"/>
      <c r="C467" s="222"/>
      <c r="D467" s="222"/>
      <c r="E467" s="222"/>
    </row>
    <row r="468" spans="2:22" ht="12" customHeight="1" x14ac:dyDescent="0.25">
      <c r="B468" s="222"/>
      <c r="C468" s="222"/>
      <c r="D468" s="222"/>
      <c r="E468" s="222"/>
    </row>
    <row r="469" spans="2:22" ht="12" customHeight="1" x14ac:dyDescent="0.25">
      <c r="B469" s="91"/>
    </row>
    <row r="470" spans="2:22" ht="13.5" customHeight="1" x14ac:dyDescent="0.25">
      <c r="B470" s="65" t="s">
        <v>253</v>
      </c>
    </row>
    <row r="471" spans="2:22" x14ac:dyDescent="0.25">
      <c r="B471" s="65" t="s">
        <v>254</v>
      </c>
    </row>
    <row r="472" spans="2:22" ht="39.75" customHeight="1" x14ac:dyDescent="0.25">
      <c r="B472" s="14" t="str">
        <f>("Un detalle del "&amp;B471&amp;" al "&amp;[1]BALANZA!$B$3&amp;" "&amp;[1]BALANZA!$C$3&amp;" es como se detalla a continuación:")</f>
        <v>Un detalle del Ingresos por transacciones con contraprestaciones al 31 de Agosto del 2025 - 2024 es como se detalla a continuación:</v>
      </c>
      <c r="C472" s="32"/>
      <c r="D472" s="32"/>
      <c r="E472" s="32"/>
    </row>
    <row r="473" spans="2:22" ht="42.75" customHeight="1" x14ac:dyDescent="0.25">
      <c r="B473" s="211" t="str">
        <f>("Los ingresos recibidos por cobros de  servicios de aguas potable y saneamiento (APS) para en el  "&amp;C476&amp;" es RD$ "&amp;R479&amp;" y del "&amp;D476&amp;" es RD$ "&amp;R480&amp;" :")</f>
        <v>Los ingresos recibidos por cobros de  servicios de aguas potable y saneamiento (APS) para en el  2025 es RD$ 122,808,504.36 y del 2024 es RD$ 180,976,832.24 :</v>
      </c>
      <c r="C473" s="211"/>
      <c r="D473" s="211"/>
      <c r="E473" s="211"/>
    </row>
    <row r="474" spans="2:22" x14ac:dyDescent="0.25">
      <c r="B474" s="223"/>
    </row>
    <row r="475" spans="2:22" x14ac:dyDescent="0.25">
      <c r="B475" s="194"/>
      <c r="C475" s="224" t="s">
        <v>255</v>
      </c>
      <c r="D475" s="224"/>
      <c r="E475" s="225"/>
    </row>
    <row r="476" spans="2:22" x14ac:dyDescent="0.25">
      <c r="B476" s="194" t="s">
        <v>218</v>
      </c>
      <c r="C476" s="226">
        <f>+C139</f>
        <v>2025</v>
      </c>
      <c r="D476" s="226">
        <f>+D139</f>
        <v>2024</v>
      </c>
      <c r="E476" s="195" t="s">
        <v>219</v>
      </c>
    </row>
    <row r="477" spans="2:22" x14ac:dyDescent="0.25">
      <c r="B477" s="160" t="s">
        <v>256</v>
      </c>
      <c r="C477" s="227">
        <f>+'[1]BALANZA G'!C136-C478</f>
        <v>122808504.36</v>
      </c>
      <c r="D477" s="146">
        <f>+'[1]BALANZA G'!D136-D478</f>
        <v>180953599.51999998</v>
      </c>
      <c r="E477" s="83">
        <f>+C477-D477</f>
        <v>-58145095.159999982</v>
      </c>
      <c r="H477" s="93"/>
    </row>
    <row r="478" spans="2:22" x14ac:dyDescent="0.25">
      <c r="B478" s="160" t="s">
        <v>257</v>
      </c>
      <c r="C478" s="227">
        <v>0</v>
      </c>
      <c r="D478" s="227">
        <f>1936.06*12</f>
        <v>23232.720000000001</v>
      </c>
      <c r="E478" s="83">
        <f>+C478-D478</f>
        <v>-23232.720000000001</v>
      </c>
      <c r="H478" s="93"/>
    </row>
    <row r="479" spans="2:22" ht="28.5" x14ac:dyDescent="0.25">
      <c r="B479" s="228" t="s">
        <v>258</v>
      </c>
      <c r="C479" s="229">
        <f>SUM(C477:C478)</f>
        <v>122808504.36</v>
      </c>
      <c r="D479" s="230">
        <f>SUM(D477:D478)</f>
        <v>180976832.23999998</v>
      </c>
      <c r="E479" s="229">
        <f>SUM(E477:E477)</f>
        <v>-58145095.159999982</v>
      </c>
      <c r="H479" s="93"/>
      <c r="R479" s="4" t="str">
        <f>+CONCATENATE(S479,",",T479,",",U479,V479,"")</f>
        <v>122,808,504.36</v>
      </c>
      <c r="S479" s="4" t="str">
        <f>MID(C479,1,3)</f>
        <v>122</v>
      </c>
      <c r="T479" s="4" t="str">
        <f>MID(C479,4,3)</f>
        <v>808</v>
      </c>
      <c r="U479" s="4" t="str">
        <f>MID(C479,7,3)</f>
        <v>504</v>
      </c>
      <c r="V479" s="4" t="str">
        <f>MID(C479,10,3)</f>
        <v>.36</v>
      </c>
    </row>
    <row r="480" spans="2:22" x14ac:dyDescent="0.25">
      <c r="B480" s="231"/>
      <c r="C480" s="232">
        <f>+C479-[1]ERF!B11-[1]ERF!B13</f>
        <v>0</v>
      </c>
      <c r="D480" s="233"/>
      <c r="E480" s="234"/>
      <c r="H480" s="93"/>
      <c r="R480" s="4" t="str">
        <f>+CONCATENATE(S480,",",T480,",",U480,V480,AB480,"")</f>
        <v>180,976,832.24</v>
      </c>
      <c r="S480" s="4" t="str">
        <f>MID(D479,1,3)</f>
        <v>180</v>
      </c>
      <c r="T480" s="4" t="str">
        <f>MID(D479,4,3)</f>
        <v>976</v>
      </c>
      <c r="U480" s="4" t="str">
        <f>MID(D479,7,3)</f>
        <v>832</v>
      </c>
      <c r="V480" s="4" t="str">
        <f>MID(D479,10,3)</f>
        <v>.24</v>
      </c>
    </row>
    <row r="481" spans="2:26" s="45" customFormat="1" x14ac:dyDescent="0.25">
      <c r="B481" s="55" t="str">
        <f>("Cambio porcentual con relación al "&amp;$D$117&amp;".")</f>
        <v>Cambio porcentual con relación al 2024.</v>
      </c>
      <c r="C481" s="56"/>
      <c r="D481" s="57" t="str">
        <f>IF(E481&gt;=0,"Aumento","Disminución")</f>
        <v>Disminución</v>
      </c>
      <c r="E481" s="90">
        <f>+E479/D479</f>
        <v>-0.32128474368968757</v>
      </c>
      <c r="J481" s="49"/>
      <c r="K481" s="49"/>
      <c r="N481" s="49"/>
      <c r="R481" s="50"/>
      <c r="S481" s="50"/>
      <c r="T481" s="50"/>
      <c r="U481" s="50"/>
      <c r="V481" s="50"/>
      <c r="W481" s="50"/>
      <c r="X481" s="50"/>
      <c r="Y481" s="50"/>
      <c r="Z481" s="49"/>
    </row>
    <row r="482" spans="2:26" x14ac:dyDescent="0.25">
      <c r="B482" s="91"/>
    </row>
    <row r="484" spans="2:26" x14ac:dyDescent="0.25">
      <c r="B484" s="65" t="s">
        <v>259</v>
      </c>
    </row>
    <row r="485" spans="2:26" x14ac:dyDescent="0.25">
      <c r="B485" s="65" t="s">
        <v>260</v>
      </c>
    </row>
    <row r="486" spans="2:26" ht="32.25" customHeight="1" x14ac:dyDescent="0.25">
      <c r="B486" s="14" t="str">
        <f>("Un detalle de las "&amp;B485&amp;" al "&amp;[1]BALANZA!$B$3&amp;" "&amp;[1]BALANZA!$C$3&amp;" es como se detalla a continuación:")</f>
        <v>Un detalle de las Transferencias y donaciones  al 31 de Agosto del 2025 - 2024 es como se detalla a continuación:</v>
      </c>
      <c r="C486" s="32"/>
      <c r="D486" s="32"/>
      <c r="E486" s="32"/>
    </row>
    <row r="487" spans="2:26" ht="61.5" customHeight="1" x14ac:dyDescent="0.25">
      <c r="B487" s="211" t="str">
        <f>("Los recursos recibidos por transferencias fueron por los montos según el siguiente detalle:  para el "&amp;C491&amp;" transferencia de para Gasto  Corrientes RD$ "&amp;R492&amp;", para Gasto de  Capital RD$ "&amp;R493&amp;" y para Energia no cortable RD$ "&amp;R494&amp;" y para el "&amp;D491&amp;" Transferencia para Gasto  Corrientes RD$ "&amp;R498&amp;", para Gasto  de Capital RD$ "&amp;R499&amp;" y para Energia no cortable RD$ "&amp;R500&amp;" ")</f>
        <v xml:space="preserve">Los recursos recibidos por transferencias fueron por los montos según el siguiente detalle:  para el 2025 transferencia de para Gasto  Corrientes RD$ 31,945,336.00, para Gasto de  Capital RD$ 66,980,000.00 y para Energia no cortable RD$ 37,029,216.00 y para el 2024 Transferencia para Gasto  Corrientes RD$ 165,298,809.00, para Gasto  de Capital RD$ 12,714,356.04 y para Energia no cortable RD$ 51,161,468.00 </v>
      </c>
      <c r="C487" s="211"/>
      <c r="D487" s="211"/>
      <c r="E487" s="211"/>
    </row>
    <row r="488" spans="2:26" ht="27.75" customHeight="1" x14ac:dyDescent="0.25">
      <c r="B488" s="211" t="str">
        <f>("Para el "&amp;D491&amp;" recibimos transferencia fuera del circuito para Gasto  Corrientes RD$ "&amp;R491&amp;" ")</f>
        <v xml:space="preserve">Para el 2024 recibimos transferencia fuera del circuito para Gasto  Corrientes RD$ 4,235,517.00 </v>
      </c>
      <c r="C488" s="211"/>
      <c r="D488" s="211"/>
      <c r="E488" s="211"/>
    </row>
    <row r="489" spans="2:26" x14ac:dyDescent="0.25">
      <c r="B489" s="13"/>
    </row>
    <row r="490" spans="2:26" x14ac:dyDescent="0.25">
      <c r="B490" s="178" t="str">
        <f>+B476</f>
        <v>Cuenta</v>
      </c>
      <c r="C490" s="224" t="s">
        <v>255</v>
      </c>
      <c r="D490" s="224"/>
      <c r="E490" s="225"/>
    </row>
    <row r="491" spans="2:26" x14ac:dyDescent="0.25">
      <c r="B491" s="178" t="s">
        <v>261</v>
      </c>
      <c r="C491" s="226">
        <f>+[1]BALANZA!B4</f>
        <v>2025</v>
      </c>
      <c r="D491" s="226">
        <f>+[1]BALANZA!C4</f>
        <v>2024</v>
      </c>
      <c r="E491" s="195" t="s">
        <v>219</v>
      </c>
      <c r="R491" s="4" t="str">
        <f>+CONCATENATE(S491,",",T491,",",U491,V491,".00")</f>
        <v>4,235,517.00</v>
      </c>
      <c r="S491" s="4" t="str">
        <f>MID(D495,1,1)</f>
        <v>4</v>
      </c>
      <c r="T491" s="4" t="str">
        <f>MID(D495,2,3)</f>
        <v>235</v>
      </c>
      <c r="U491" s="4" t="str">
        <f>MID(D495,5,3)</f>
        <v>517</v>
      </c>
      <c r="V491" s="4" t="str">
        <f t="shared" ref="V491:W491" si="3">MID(G495,1,1)</f>
        <v/>
      </c>
      <c r="W491" s="4" t="str">
        <f t="shared" si="3"/>
        <v/>
      </c>
    </row>
    <row r="492" spans="2:26" ht="15.75" customHeight="1" x14ac:dyDescent="0.25">
      <c r="B492" s="160" t="s">
        <v>262</v>
      </c>
      <c r="C492" s="146">
        <f>+'[1]BALANZA G'!C149+'[1]BALANZA G'!C153-C495</f>
        <v>31945336</v>
      </c>
      <c r="D492" s="146">
        <f>+[1]RESULTADO!E10-D493-D494</f>
        <v>165298809</v>
      </c>
      <c r="E492" s="83">
        <f>+C492-D492</f>
        <v>-133353473</v>
      </c>
      <c r="R492" s="4" t="str">
        <f>+CONCATENATE(S492,",",T492,",",U492,V492,".00")</f>
        <v>31,945,336.00</v>
      </c>
      <c r="S492" s="4" t="str">
        <f>MID(C492,1,2)</f>
        <v>31</v>
      </c>
      <c r="T492" s="4" t="str">
        <f>MID(C492,3,3)</f>
        <v>945</v>
      </c>
      <c r="U492" s="4" t="str">
        <f>MID(C492,6,3)</f>
        <v>336</v>
      </c>
      <c r="V492" s="4" t="str">
        <f>MID(C492,9,3)</f>
        <v/>
      </c>
    </row>
    <row r="493" spans="2:26" ht="15.75" customHeight="1" x14ac:dyDescent="0.25">
      <c r="B493" s="160" t="s">
        <v>263</v>
      </c>
      <c r="C493" s="235">
        <f>+'[1]BALANZA G'!C154</f>
        <v>66980000</v>
      </c>
      <c r="D493" s="235">
        <v>12714356.039999999</v>
      </c>
      <c r="E493" s="83">
        <f>+C493-D493</f>
        <v>54265643.960000001</v>
      </c>
      <c r="R493" s="4" t="str">
        <f>+CONCATENATE(S493,",",T493,",",U493,V493,".00")</f>
        <v>66,980,000.00</v>
      </c>
      <c r="S493" s="4" t="str">
        <f>MID(C493,1,2)</f>
        <v>66</v>
      </c>
      <c r="T493" s="4" t="str">
        <f>MID(C493,3,3)</f>
        <v>980</v>
      </c>
      <c r="U493" s="4" t="str">
        <f>MID(C493,6,3)</f>
        <v>000</v>
      </c>
      <c r="V493" s="4" t="str">
        <f>MID(C493,10,3)</f>
        <v/>
      </c>
    </row>
    <row r="494" spans="2:26" ht="28.5" customHeight="1" x14ac:dyDescent="0.25">
      <c r="B494" s="236" t="s">
        <v>264</v>
      </c>
      <c r="C494" s="235">
        <f>+'[1]BALANZA G'!C155</f>
        <v>37029216</v>
      </c>
      <c r="D494" s="235">
        <v>51161468</v>
      </c>
      <c r="E494" s="237">
        <f>+C494-D494</f>
        <v>-14132252</v>
      </c>
      <c r="N494" s="3">
        <f>3106590.67*5</f>
        <v>15532953.35</v>
      </c>
      <c r="R494" s="4" t="str">
        <f>+CONCATENATE(S494,",",T494,",",U494,V494,".00")</f>
        <v>37,029,216.00</v>
      </c>
      <c r="S494" s="4" t="str">
        <f>MID(C494,1,2)</f>
        <v>37</v>
      </c>
      <c r="T494" s="4" t="str">
        <f>MID(C494,3,3)</f>
        <v>029</v>
      </c>
      <c r="U494" s="4" t="str">
        <f>MID(C494,6,3)</f>
        <v>216</v>
      </c>
      <c r="V494" s="4" t="str">
        <f>MID(C494,9,3)</f>
        <v/>
      </c>
    </row>
    <row r="495" spans="2:26" ht="19.5" customHeight="1" x14ac:dyDescent="0.25">
      <c r="B495" s="236" t="s">
        <v>265</v>
      </c>
      <c r="C495" s="235">
        <v>0</v>
      </c>
      <c r="D495" s="235">
        <v>4235517</v>
      </c>
      <c r="E495" s="237">
        <f>+C495-D495</f>
        <v>-4235517</v>
      </c>
    </row>
    <row r="496" spans="2:26" x14ac:dyDescent="0.25">
      <c r="B496" s="178" t="s">
        <v>266</v>
      </c>
      <c r="C496" s="229">
        <f>SUM(C492:C495)</f>
        <v>135954552</v>
      </c>
      <c r="D496" s="230">
        <f>SUM(D492:D494)</f>
        <v>229174633.03999999</v>
      </c>
      <c r="E496" s="229">
        <f>SUM(E492:E494)</f>
        <v>-93220081.039999992</v>
      </c>
      <c r="H496" s="93"/>
      <c r="N496" s="3">
        <v>2556519</v>
      </c>
      <c r="R496" s="4" t="str">
        <f>+CONCATENATE(S496,",",T496,",",U496,V496,AB496)</f>
        <v>13,595,4552</v>
      </c>
      <c r="S496" s="4" t="str">
        <f>MID(C496,1,2)</f>
        <v>13</v>
      </c>
      <c r="T496" s="4" t="str">
        <f>MID(C496,3,3)</f>
        <v>595</v>
      </c>
      <c r="U496" s="4" t="str">
        <f>MID(C496,6,3)</f>
        <v>455</v>
      </c>
      <c r="V496" s="4" t="str">
        <f>MID(C496,9,3)</f>
        <v>2</v>
      </c>
    </row>
    <row r="497" spans="2:26" x14ac:dyDescent="0.25">
      <c r="B497" s="231"/>
      <c r="C497" s="232">
        <f>+C496-[1]ERF!B12</f>
        <v>0</v>
      </c>
      <c r="D497" s="232">
        <f>+D496-[1]ERF!C12</f>
        <v>0</v>
      </c>
      <c r="E497" s="234"/>
      <c r="H497" s="93"/>
      <c r="N497" s="3">
        <f>+N494+N496</f>
        <v>18089472.350000001</v>
      </c>
      <c r="R497" s="4" t="str">
        <f>+CONCATENATE(S497,",",T497,",",U497,V497,AB497)</f>
        <v>229,174,633.04</v>
      </c>
      <c r="S497" s="4" t="str">
        <f>MID(D496,1,3)</f>
        <v>229</v>
      </c>
      <c r="T497" s="4" t="str">
        <f>MID(D496,4,3)</f>
        <v>174</v>
      </c>
      <c r="U497" s="4" t="str">
        <f>MID(D496,7,3)</f>
        <v>633</v>
      </c>
      <c r="V497" s="4" t="str">
        <f>MID(D496,10,3)</f>
        <v>.04</v>
      </c>
    </row>
    <row r="498" spans="2:26" s="45" customFormat="1" x14ac:dyDescent="0.25">
      <c r="B498" s="55" t="str">
        <f>("Cambio porcentual con relación al "&amp;$D$117&amp;".")</f>
        <v>Cambio porcentual con relación al 2024.</v>
      </c>
      <c r="C498" s="56"/>
      <c r="D498" s="57" t="str">
        <f>IF(E498&gt;=0,"Aumento","Disminución")</f>
        <v>Disminución</v>
      </c>
      <c r="E498" s="90">
        <f>+E496/D496</f>
        <v>-0.4067643953584052</v>
      </c>
      <c r="J498" s="49"/>
      <c r="K498" s="49"/>
      <c r="N498" s="49"/>
      <c r="R498" s="4" t="str">
        <f>+CONCATENATE(S498,",",T498,",",U498,V498,AB498,".00")</f>
        <v>165,298,809.00</v>
      </c>
      <c r="S498" s="4" t="str">
        <f>MID(D492,1,3)</f>
        <v>165</v>
      </c>
      <c r="T498" s="4" t="str">
        <f>MID(D492,4,3)</f>
        <v>298</v>
      </c>
      <c r="U498" s="4" t="str">
        <f>MID(D492,7,3)</f>
        <v>809</v>
      </c>
      <c r="V498" s="4" t="str">
        <f>MID(D492,10,3)</f>
        <v/>
      </c>
      <c r="W498" s="50"/>
      <c r="X498" s="50"/>
      <c r="Y498" s="50"/>
      <c r="Z498" s="49"/>
    </row>
    <row r="499" spans="2:26" ht="21" customHeight="1" x14ac:dyDescent="0.25">
      <c r="B499" s="13"/>
      <c r="H499" s="93"/>
      <c r="R499" s="4" t="str">
        <f>+CONCATENATE(S499,",",T499,",",U499,V499,AB499)</f>
        <v>12,714,356.04</v>
      </c>
      <c r="S499" s="4" t="str">
        <f>MID(D493,1,2)</f>
        <v>12</v>
      </c>
      <c r="T499" s="4" t="str">
        <f>MID(D493,3,3)</f>
        <v>714</v>
      </c>
      <c r="U499" s="4" t="str">
        <f>MID(D493,6,3)</f>
        <v>356</v>
      </c>
      <c r="V499" s="4" t="str">
        <f>MID(D493,9,3)</f>
        <v>.04</v>
      </c>
    </row>
    <row r="500" spans="2:26" ht="28.5" hidden="1" customHeight="1" x14ac:dyDescent="0.25">
      <c r="B500" s="26" t="e">
        <f>("Nota: CORAAMOCA tiene un presupuesto aprobado para el "&amp;C491&amp;" por un valor de RD$ "&amp;#REF!&amp;" ")</f>
        <v>#REF!</v>
      </c>
      <c r="C500" s="26"/>
      <c r="D500" s="26"/>
      <c r="E500" s="26"/>
      <c r="R500" s="4" t="str">
        <f>+CONCATENATE(S500,",",T500,",",U500,V500,AB500,".00")</f>
        <v>51,161,468.00</v>
      </c>
      <c r="S500" s="4" t="str">
        <f>MID(D494,1,2)</f>
        <v>51</v>
      </c>
      <c r="T500" s="4" t="str">
        <f>MID(D494,3,3)</f>
        <v>161</v>
      </c>
      <c r="U500" s="4" t="str">
        <f>MID(D494,6,3)</f>
        <v>468</v>
      </c>
      <c r="V500" s="4" t="str">
        <f>MID(D494,9,3)</f>
        <v/>
      </c>
    </row>
    <row r="501" spans="2:26" ht="69.75" customHeight="1" x14ac:dyDescent="0.25">
      <c r="B501" s="26" t="str">
        <f>("El cual  recibirá mediante asignación de fondos del Gobierno Central,  para gastos corriente RD$ "&amp;R501&amp;" , para Gasto de capital RD$ "&amp;R503&amp;" y para  Energia Electrica de  RD$ "&amp;R502&amp;" y la Institución ingresará por ventas de servicios agua y saneamiento  un monto de RD$ "&amp;R504&amp;".")</f>
        <v>El cual  recibirá mediante asignación de fondos del Gobierno Central,  para gastos corriente RD$ 51,195,285.00 , para Gasto de capital RD$ 100,470,000.00 y para  Energia Electrica de  RD$ 55,543,832.00 y la Institución ingresará por ventas de servicios agua y saneamiento  un monto de RD$ 240,000,000.00.</v>
      </c>
      <c r="C501" s="26"/>
      <c r="D501" s="26"/>
      <c r="E501" s="26"/>
      <c r="R501" s="4" t="str">
        <f>+CONCATENATE(T501,",",U501,",",V501,W501,".00")</f>
        <v>51,195,285.00</v>
      </c>
      <c r="S501" s="238">
        <f>+'[1]Pres A'!E289</f>
        <v>51195285</v>
      </c>
      <c r="T501" s="4" t="str">
        <f>MID(S501,1,2)</f>
        <v>51</v>
      </c>
      <c r="U501" s="4" t="str">
        <f>MID(S501,3,3)</f>
        <v>195</v>
      </c>
      <c r="V501" s="4" t="str">
        <f>MID(S501,6,3)</f>
        <v>285</v>
      </c>
    </row>
    <row r="502" spans="2:26" ht="15.75" customHeight="1" x14ac:dyDescent="0.25">
      <c r="B502" s="22"/>
      <c r="C502" s="22"/>
      <c r="D502" s="22"/>
      <c r="E502" s="22"/>
      <c r="R502" s="4" t="str">
        <f>+CONCATENATE(T502,",",U502,",",V502,W502,".00")</f>
        <v>55,543,832.00</v>
      </c>
      <c r="S502" s="238">
        <f>+'[1]Pres A'!E290</f>
        <v>55543832</v>
      </c>
      <c r="T502" s="4" t="str">
        <f>MID(S502,1,2)</f>
        <v>55</v>
      </c>
      <c r="U502" s="4" t="str">
        <f>MID(S502,3,3)</f>
        <v>543</v>
      </c>
      <c r="V502" s="4" t="str">
        <f>MID(S502,6,3)</f>
        <v>832</v>
      </c>
      <c r="W502" s="4" t="str">
        <f>MID(S502,9,3)</f>
        <v/>
      </c>
    </row>
    <row r="503" spans="2:26" ht="9" customHeight="1" x14ac:dyDescent="0.25">
      <c r="B503" s="22"/>
      <c r="C503" s="22"/>
      <c r="D503" s="22"/>
      <c r="E503" s="22"/>
      <c r="R503" s="4" t="str">
        <f>+CONCATENATE(T503,",",U503,",",V503,W503,".00")</f>
        <v>100,470,000.00</v>
      </c>
      <c r="S503" s="238">
        <f>+'[1]Pres A'!E291</f>
        <v>100470000</v>
      </c>
      <c r="T503" s="4" t="str">
        <f>MID(S503,1,3)</f>
        <v>100</v>
      </c>
      <c r="U503" s="4" t="str">
        <f>MID(S503,4,3)</f>
        <v>470</v>
      </c>
      <c r="V503" s="4" t="str">
        <f>MID(S503,7,3)</f>
        <v>000</v>
      </c>
      <c r="W503" s="4" t="str">
        <f>MID(S503,10,3)</f>
        <v/>
      </c>
    </row>
    <row r="504" spans="2:26" ht="12.75" customHeight="1" x14ac:dyDescent="0.25">
      <c r="B504" s="22"/>
      <c r="C504" s="22"/>
      <c r="D504" s="22"/>
      <c r="E504" s="22"/>
      <c r="R504" s="4" t="str">
        <f>+CONCATENATE(T504,",",U504,",",V504,W504,".00")</f>
        <v>240,000,000.00</v>
      </c>
      <c r="S504" s="238">
        <f>+'[1]Pres A'!E295</f>
        <v>240000000</v>
      </c>
      <c r="T504" s="4" t="str">
        <f>MID(S504,1,3)</f>
        <v>240</v>
      </c>
      <c r="U504" s="4" t="str">
        <f>MID(S504,4,3)</f>
        <v>000</v>
      </c>
      <c r="V504" s="4" t="str">
        <f>MID(S504,7,3)</f>
        <v>000</v>
      </c>
    </row>
    <row r="505" spans="2:26" ht="15.75" customHeight="1" x14ac:dyDescent="0.25">
      <c r="B505" s="22"/>
      <c r="C505" s="22"/>
      <c r="D505" s="22"/>
      <c r="E505" s="22"/>
    </row>
    <row r="506" spans="2:26" ht="15.75" customHeight="1" x14ac:dyDescent="0.25">
      <c r="B506" s="22"/>
      <c r="C506" s="22"/>
      <c r="D506" s="22"/>
      <c r="E506" s="22"/>
    </row>
    <row r="507" spans="2:26" ht="15.75" customHeight="1" x14ac:dyDescent="0.25">
      <c r="B507" s="22"/>
      <c r="C507" s="22"/>
      <c r="D507" s="22"/>
      <c r="E507" s="22"/>
    </row>
    <row r="508" spans="2:26" ht="15.75" customHeight="1" x14ac:dyDescent="0.25">
      <c r="B508" s="22"/>
      <c r="C508" s="22"/>
      <c r="D508" s="22"/>
      <c r="E508" s="22"/>
    </row>
    <row r="509" spans="2:26" ht="32.25" customHeight="1" x14ac:dyDescent="0.25">
      <c r="B509" s="178" t="s">
        <v>261</v>
      </c>
      <c r="C509" s="239" t="s">
        <v>267</v>
      </c>
      <c r="D509" s="239" t="s">
        <v>247</v>
      </c>
      <c r="E509" s="239" t="s">
        <v>268</v>
      </c>
    </row>
    <row r="510" spans="2:26" ht="15.75" customHeight="1" x14ac:dyDescent="0.25">
      <c r="B510" s="66" t="s">
        <v>269</v>
      </c>
      <c r="C510" s="240">
        <f>+'[1]19'!$D$25</f>
        <v>3993167</v>
      </c>
      <c r="D510" s="240">
        <f>+'[1]19'!$D$26</f>
        <v>0</v>
      </c>
      <c r="E510" s="240">
        <f>+'[1]19'!$D$27</f>
        <v>4628652</v>
      </c>
    </row>
    <row r="511" spans="2:26" ht="15.75" customHeight="1" x14ac:dyDescent="0.25">
      <c r="B511" s="66" t="s">
        <v>270</v>
      </c>
      <c r="C511" s="240">
        <f>+'[1]19'!$E$25</f>
        <v>3993167</v>
      </c>
      <c r="D511" s="240">
        <f>+'[1]19'!$E$26</f>
        <v>8372500</v>
      </c>
      <c r="E511" s="240">
        <f>+'[1]19'!$E$27</f>
        <v>4628652</v>
      </c>
    </row>
    <row r="512" spans="2:26" ht="15.75" customHeight="1" x14ac:dyDescent="0.25">
      <c r="B512" s="66" t="s">
        <v>271</v>
      </c>
      <c r="C512" s="240">
        <f>+'[1]19'!$F$25</f>
        <v>3993167</v>
      </c>
      <c r="D512" s="240">
        <f>+'[1]19'!$F$26</f>
        <v>0</v>
      </c>
      <c r="E512" s="240">
        <f>+'[1]19'!$F$27</f>
        <v>4628652</v>
      </c>
    </row>
    <row r="513" spans="2:5" ht="15.75" customHeight="1" x14ac:dyDescent="0.25">
      <c r="B513" s="66" t="s">
        <v>272</v>
      </c>
      <c r="C513" s="240">
        <f>+'[1]19'!$G$25</f>
        <v>3993167</v>
      </c>
      <c r="D513" s="240">
        <f>+'[1]19'!$G$26</f>
        <v>25117500</v>
      </c>
      <c r="E513" s="240">
        <f>+'[1]19'!$G$27</f>
        <v>4628652</v>
      </c>
    </row>
    <row r="514" spans="2:5" ht="15.75" customHeight="1" x14ac:dyDescent="0.25">
      <c r="B514" s="66" t="s">
        <v>273</v>
      </c>
      <c r="C514" s="240">
        <f>+'[1]19'!$H$25</f>
        <v>3993167</v>
      </c>
      <c r="D514" s="240">
        <f>+'[1]19'!$H$26</f>
        <v>8372500</v>
      </c>
      <c r="E514" s="240">
        <f>+'[1]19'!$H$27</f>
        <v>4628652</v>
      </c>
    </row>
    <row r="515" spans="2:5" ht="15.75" customHeight="1" x14ac:dyDescent="0.25">
      <c r="B515" s="66" t="s">
        <v>274</v>
      </c>
      <c r="C515" s="240">
        <f>+'[1]19'!$I$25</f>
        <v>3993167</v>
      </c>
      <c r="D515" s="240">
        <f>+'[1]19'!$I$26</f>
        <v>8372500</v>
      </c>
      <c r="E515" s="240">
        <f>+'[1]19'!$I$27</f>
        <v>4628652</v>
      </c>
    </row>
    <row r="516" spans="2:5" ht="15.75" customHeight="1" x14ac:dyDescent="0.25">
      <c r="B516" s="66" t="s">
        <v>275</v>
      </c>
      <c r="C516" s="240">
        <f>+'[1]19'!$J$25</f>
        <v>3993167</v>
      </c>
      <c r="D516" s="240">
        <f>+'[1]19'!$J$26</f>
        <v>8372500</v>
      </c>
      <c r="E516" s="240">
        <f>+'[1]19'!$J$27</f>
        <v>4628652</v>
      </c>
    </row>
    <row r="517" spans="2:5" ht="15.75" customHeight="1" x14ac:dyDescent="0.25">
      <c r="B517" s="66" t="s">
        <v>276</v>
      </c>
      <c r="C517" s="240">
        <f>+'[1]19'!$K$25</f>
        <v>3993167</v>
      </c>
      <c r="D517" s="240">
        <f>+'[1]19'!$K$26</f>
        <v>8372500</v>
      </c>
      <c r="E517" s="240">
        <f>+'[1]19'!$K$27</f>
        <v>4628652</v>
      </c>
    </row>
    <row r="518" spans="2:5" ht="15.75" customHeight="1" x14ac:dyDescent="0.25">
      <c r="B518" s="66" t="s">
        <v>277</v>
      </c>
      <c r="C518" s="240">
        <f>+'[1]19'!$L$25</f>
        <v>0</v>
      </c>
      <c r="D518" s="240">
        <f>+'[1]19'!$L$26</f>
        <v>0</v>
      </c>
      <c r="E518" s="240">
        <f>+'[1]19'!$L$27</f>
        <v>0</v>
      </c>
    </row>
    <row r="519" spans="2:5" ht="15.75" customHeight="1" x14ac:dyDescent="0.25">
      <c r="B519" s="66" t="s">
        <v>278</v>
      </c>
      <c r="C519" s="240">
        <f>+'[1]19'!$M$25</f>
        <v>0</v>
      </c>
      <c r="D519" s="240">
        <f>+'[1]19'!$M$26</f>
        <v>0</v>
      </c>
      <c r="E519" s="240">
        <f>+'[1]19'!$M$27</f>
        <v>0</v>
      </c>
    </row>
    <row r="520" spans="2:5" ht="15.75" customHeight="1" x14ac:dyDescent="0.25">
      <c r="B520" s="66" t="s">
        <v>279</v>
      </c>
      <c r="C520" s="240">
        <f>+'[1]19'!$N$25</f>
        <v>0</v>
      </c>
      <c r="D520" s="240">
        <f>+'[1]19'!$N$26</f>
        <v>0</v>
      </c>
      <c r="E520" s="240">
        <f>+'[1]19'!$N$27</f>
        <v>0</v>
      </c>
    </row>
    <row r="521" spans="2:5" ht="15.75" customHeight="1" x14ac:dyDescent="0.25">
      <c r="B521" s="66" t="s">
        <v>280</v>
      </c>
      <c r="C521" s="240">
        <f>+'[1]19'!$O$25</f>
        <v>0</v>
      </c>
      <c r="D521" s="240">
        <f>+'[1]19'!$O$26</f>
        <v>0</v>
      </c>
      <c r="E521" s="240">
        <f>+'[1]19'!$O$27</f>
        <v>0</v>
      </c>
    </row>
    <row r="522" spans="2:5" ht="15.75" customHeight="1" x14ac:dyDescent="0.25">
      <c r="B522" s="241" t="s">
        <v>213</v>
      </c>
      <c r="C522" s="242">
        <f>SUM(C510:C521)</f>
        <v>31945336</v>
      </c>
      <c r="D522" s="242">
        <f>SUM(D510:D521)</f>
        <v>66980000</v>
      </c>
      <c r="E522" s="242">
        <f>SUM(E510:E521)</f>
        <v>37029216</v>
      </c>
    </row>
    <row r="523" spans="2:5" ht="15.75" customHeight="1" x14ac:dyDescent="0.25">
      <c r="B523" s="243"/>
      <c r="C523" s="244"/>
      <c r="D523" s="244"/>
      <c r="E523" s="244"/>
    </row>
    <row r="524" spans="2:5" ht="15.75" customHeight="1" x14ac:dyDescent="0.25">
      <c r="B524" s="243" t="s">
        <v>281</v>
      </c>
      <c r="C524" s="244">
        <f>+C522+E522</f>
        <v>68974552</v>
      </c>
      <c r="D524" s="244"/>
      <c r="E524" s="244"/>
    </row>
    <row r="525" spans="2:5" ht="15.75" customHeight="1" x14ac:dyDescent="0.25">
      <c r="B525" s="243" t="s">
        <v>282</v>
      </c>
      <c r="C525" s="244">
        <f>+D522</f>
        <v>66980000</v>
      </c>
      <c r="D525" s="244"/>
      <c r="E525" s="244"/>
    </row>
    <row r="526" spans="2:5" ht="30" customHeight="1" x14ac:dyDescent="0.25">
      <c r="B526" s="22"/>
      <c r="C526" s="22"/>
      <c r="D526" s="22"/>
      <c r="E526" s="22"/>
    </row>
    <row r="527" spans="2:5" ht="32.25" customHeight="1" x14ac:dyDescent="0.25">
      <c r="B527" s="26"/>
      <c r="C527" s="26"/>
      <c r="D527" s="26"/>
      <c r="E527" s="26"/>
    </row>
    <row r="528" spans="2:5" ht="15.75" customHeight="1" x14ac:dyDescent="0.25">
      <c r="B528" s="22"/>
      <c r="C528" s="22"/>
      <c r="D528" s="22"/>
      <c r="E528" s="22"/>
    </row>
    <row r="529" spans="2:21" ht="23.25" customHeight="1" x14ac:dyDescent="0.25">
      <c r="B529" s="65" t="s">
        <v>283</v>
      </c>
      <c r="C529" s="214"/>
      <c r="J529" s="3">
        <v>192000000</v>
      </c>
      <c r="K529" s="3">
        <f>J529/12</f>
        <v>16000000</v>
      </c>
    </row>
    <row r="530" spans="2:21" x14ac:dyDescent="0.25">
      <c r="B530" s="65" t="s">
        <v>284</v>
      </c>
      <c r="J530" s="3">
        <v>21106726</v>
      </c>
      <c r="K530" s="3">
        <f>J530/12</f>
        <v>1758893.8333333333</v>
      </c>
    </row>
    <row r="531" spans="2:21" ht="36.75" customHeight="1" x14ac:dyDescent="0.25">
      <c r="B531" s="14" t="str">
        <f>("Un detalle de los "&amp;B530&amp;" al "&amp;[1]BALANZA!$B$3&amp;" "&amp;[1]BALANZA!$C$3&amp;" es como se detalla a continuación:")</f>
        <v>Un detalle de los Sueldos, Salarios y beneficios a empleados al 31 de Agosto del 2025 - 2024 es como se detalla a continuación:</v>
      </c>
      <c r="C531" s="32"/>
      <c r="D531" s="32"/>
      <c r="E531" s="32"/>
      <c r="J531" s="3">
        <v>70000000</v>
      </c>
      <c r="K531" s="3">
        <f>J531/12</f>
        <v>5833333.333333333</v>
      </c>
      <c r="L531" s="3">
        <f>4666666*3</f>
        <v>13999998</v>
      </c>
    </row>
    <row r="532" spans="2:21" ht="16.5" customHeight="1" x14ac:dyDescent="0.25">
      <c r="B532" s="211"/>
      <c r="C532" s="21"/>
      <c r="D532" s="21"/>
      <c r="E532" s="21"/>
      <c r="J532" s="3">
        <v>37279088</v>
      </c>
      <c r="L532" s="3">
        <f>1598764*5</f>
        <v>7993820</v>
      </c>
    </row>
    <row r="533" spans="2:21" x14ac:dyDescent="0.25">
      <c r="B533" s="178" t="str">
        <f>+B476</f>
        <v>Cuenta</v>
      </c>
      <c r="C533" s="179">
        <f>+[1]BALANZA!B4</f>
        <v>2025</v>
      </c>
      <c r="D533" s="179">
        <f>+[1]BALANZA!C4</f>
        <v>2024</v>
      </c>
      <c r="E533" s="195" t="s">
        <v>219</v>
      </c>
      <c r="K533" s="3">
        <f>J530+J531+J532</f>
        <v>128385814</v>
      </c>
      <c r="L533" s="3">
        <f>10296372.36+13618335.6</f>
        <v>23914707.960000001</v>
      </c>
    </row>
    <row r="534" spans="2:21" x14ac:dyDescent="0.25">
      <c r="B534" s="245" t="s">
        <v>285</v>
      </c>
      <c r="C534" s="246">
        <f>+'[1]BALANZA G'!C162+'[1]BALANZA G'!C163</f>
        <v>96537722</v>
      </c>
      <c r="D534" s="246">
        <f>+'[1]BALANZA G'!D162</f>
        <v>147133178</v>
      </c>
      <c r="E534" s="44">
        <f t="shared" ref="E534:E539" si="4">+C534-D534</f>
        <v>-50595456</v>
      </c>
      <c r="J534" s="3">
        <f>+J532+J529+J531+J530</f>
        <v>320385814</v>
      </c>
      <c r="U534" s="215"/>
    </row>
    <row r="535" spans="2:21" x14ac:dyDescent="0.25">
      <c r="B535" s="245" t="s">
        <v>286</v>
      </c>
      <c r="C535" s="246">
        <f>+'[1]BALANZA G'!C165+'[1]BALANZA G'!C166+'[1]BALANZA G'!C168+'[1]BALANZA G'!C169+'[1]BALANZA G'!C164</f>
        <v>0</v>
      </c>
      <c r="D535" s="246">
        <f>+'[1]BALANZA G'!D165+'[1]BALANZA G'!D166+'[1]BALANZA G'!D168+'[1]BALANZA G'!D169+'[1]BALANZA G'!D164</f>
        <v>0</v>
      </c>
      <c r="E535" s="44">
        <f t="shared" si="4"/>
        <v>0</v>
      </c>
      <c r="L535" s="214">
        <f>L533+L532+L531</f>
        <v>45908525.960000001</v>
      </c>
      <c r="U535" s="215"/>
    </row>
    <row r="536" spans="2:21" ht="44.25" customHeight="1" x14ac:dyDescent="0.25">
      <c r="B536" s="245" t="s">
        <v>287</v>
      </c>
      <c r="C536" s="246">
        <f>+'[1]BALANZA G'!C173+'[1]BALANZA G'!C174+'[1]BALANZA G'!C170+'[1]BALANZA G'!C175+'[1]BALANZA G'!C177+'[1]BALANZA G'!C172+'[1]BALANZA G'!C171</f>
        <v>9867586.2800000012</v>
      </c>
      <c r="D536" s="246">
        <f>+'[1]BALANZA G'!D170+'[1]BALANZA G'!D173+'[1]BALANZA G'!D174+'[1]BALANZA G'!D175+'[1]BALANZA G'!D177+'[1]BALANZA G'!D172</f>
        <v>8257005.8200000003</v>
      </c>
      <c r="E536" s="44">
        <f t="shared" si="4"/>
        <v>1610580.4600000009</v>
      </c>
      <c r="U536" s="215"/>
    </row>
    <row r="537" spans="2:21" hidden="1" x14ac:dyDescent="0.25">
      <c r="B537" s="245" t="s">
        <v>288</v>
      </c>
      <c r="C537" s="246">
        <f>+'[1]BALANZA G'!C179</f>
        <v>0</v>
      </c>
      <c r="D537" s="246">
        <f>+'[1]BALANZA G'!D179</f>
        <v>0</v>
      </c>
      <c r="E537" s="44">
        <f t="shared" si="4"/>
        <v>0</v>
      </c>
      <c r="U537" s="215"/>
    </row>
    <row r="538" spans="2:21" x14ac:dyDescent="0.25">
      <c r="B538" s="245" t="s">
        <v>289</v>
      </c>
      <c r="C538" s="246">
        <f>+'[1]BALANZA G'!C180+'[1]BALANZA G'!C181+'[1]BALANZA G'!C182+'[1]BALANZA G'!C184</f>
        <v>1505000</v>
      </c>
      <c r="D538" s="246">
        <f>+'[1]BALANZA G'!D180+'[1]BALANZA G'!D181+'[1]BALANZA G'!D182+'[1]BALANZA G'!D184</f>
        <v>2970000</v>
      </c>
      <c r="E538" s="44">
        <f t="shared" si="4"/>
        <v>-1465000</v>
      </c>
      <c r="U538" s="215"/>
    </row>
    <row r="539" spans="2:21" x14ac:dyDescent="0.25">
      <c r="B539" s="245" t="s">
        <v>290</v>
      </c>
      <c r="C539" s="246">
        <f>+'[1]BALANZA G'!C185+'[1]BALANZA G'!C187+'[1]BALANZA G'!C184+'[1]BALANZA G'!C186+'[1]BALANZA G'!C183+'[1]BALANZA G'!C176</f>
        <v>8250</v>
      </c>
      <c r="D539" s="246">
        <f>+'[1]BALANZA G'!D184+'[1]BALANZA G'!D185+'[1]BALANZA G'!D186+'[1]BALANZA G'!D187+'[1]BALANZA G'!D183+'[1]BALANZA G'!D176</f>
        <v>12210081.5</v>
      </c>
      <c r="E539" s="44">
        <f t="shared" si="4"/>
        <v>-12201831.5</v>
      </c>
      <c r="U539" s="215"/>
    </row>
    <row r="540" spans="2:21" x14ac:dyDescent="0.25">
      <c r="B540" s="245" t="s">
        <v>291</v>
      </c>
      <c r="C540" s="246">
        <f>+'[1]BALANZA G'!C306+'[1]BALANZA G'!C167</f>
        <v>1640884.27</v>
      </c>
      <c r="D540" s="246">
        <f>+'[1]BALANZA G'!D306</f>
        <v>1193947.54</v>
      </c>
      <c r="E540" s="44">
        <f>+C540-D540</f>
        <v>446936.73</v>
      </c>
      <c r="U540" s="215"/>
    </row>
    <row r="541" spans="2:21" x14ac:dyDescent="0.25">
      <c r="B541" s="245" t="s">
        <v>292</v>
      </c>
      <c r="C541" s="246">
        <f>+'[1]BALANZA G'!C190</f>
        <v>6843749.4500000002</v>
      </c>
      <c r="D541" s="246">
        <f>+'[1]BALANZA G'!D190</f>
        <v>10463761.68</v>
      </c>
      <c r="E541" s="44">
        <f>+C541-D541</f>
        <v>-3620012.2299999995</v>
      </c>
      <c r="U541" s="215"/>
    </row>
    <row r="542" spans="2:21" x14ac:dyDescent="0.25">
      <c r="B542" s="245" t="s">
        <v>293</v>
      </c>
      <c r="C542" s="246">
        <f>+'[1]BALANZA G'!C191</f>
        <v>6854770.29</v>
      </c>
      <c r="D542" s="246">
        <f>+'[1]BALANZA G'!D191</f>
        <v>9101205.8599999994</v>
      </c>
      <c r="E542" s="44">
        <f>+C542-D542</f>
        <v>-2246435.5699999994</v>
      </c>
      <c r="U542" s="215"/>
    </row>
    <row r="543" spans="2:21" x14ac:dyDescent="0.25">
      <c r="B543" s="245" t="s">
        <v>294</v>
      </c>
      <c r="C543" s="246">
        <f>+'[1]BALANZA G'!C192</f>
        <v>1147312.69</v>
      </c>
      <c r="D543" s="246">
        <f>+'[1]BALANZA G'!D192</f>
        <v>3131774.53</v>
      </c>
      <c r="E543" s="44">
        <f>+C543-D543</f>
        <v>-1984461.8399999999</v>
      </c>
      <c r="U543" s="215"/>
    </row>
    <row r="544" spans="2:21" ht="28.5" x14ac:dyDescent="0.25">
      <c r="B544" s="247" t="s">
        <v>295</v>
      </c>
      <c r="C544" s="122">
        <f>SUM(C534:C543)</f>
        <v>124405274.98</v>
      </c>
      <c r="D544" s="197">
        <f>SUM(D534:D543)</f>
        <v>194460954.92999998</v>
      </c>
      <c r="E544" s="248">
        <f>SUM(E534:E543)</f>
        <v>-70055679.950000003</v>
      </c>
    </row>
    <row r="545" spans="2:26" x14ac:dyDescent="0.25">
      <c r="B545" s="11"/>
      <c r="C545" s="249">
        <f>+C544-[1]ERF!B17</f>
        <v>0</v>
      </c>
      <c r="J545" s="49"/>
    </row>
    <row r="546" spans="2:26" s="45" customFormat="1" x14ac:dyDescent="0.25">
      <c r="B546" s="55" t="str">
        <f>("Cambio porcentual con relación al "&amp;$D$117&amp;".")</f>
        <v>Cambio porcentual con relación al 2024.</v>
      </c>
      <c r="C546" s="56"/>
      <c r="D546" s="250" t="str">
        <f>IF(E546&gt;=0,"Aumento","Disminución")</f>
        <v>Aumento</v>
      </c>
      <c r="E546" s="251">
        <f>+C544/D544</f>
        <v>0.63974423567333671</v>
      </c>
      <c r="J546" s="3"/>
      <c r="K546" s="49"/>
      <c r="N546" s="49"/>
      <c r="R546" s="50"/>
      <c r="S546" s="50"/>
      <c r="T546" s="50"/>
      <c r="U546" s="50"/>
      <c r="V546" s="50"/>
      <c r="W546" s="50"/>
      <c r="X546" s="50"/>
      <c r="Y546" s="50"/>
      <c r="Z546" s="49"/>
    </row>
    <row r="547" spans="2:26" x14ac:dyDescent="0.25">
      <c r="B547" s="11"/>
    </row>
    <row r="548" spans="2:26" x14ac:dyDescent="0.25">
      <c r="B548" s="11"/>
    </row>
    <row r="549" spans="2:26" x14ac:dyDescent="0.25">
      <c r="B549" s="11"/>
    </row>
    <row r="550" spans="2:26" x14ac:dyDescent="0.25">
      <c r="B550" s="11"/>
    </row>
    <row r="551" spans="2:26" ht="9.75" customHeight="1" x14ac:dyDescent="0.25">
      <c r="B551" s="11"/>
    </row>
    <row r="552" spans="2:26" x14ac:dyDescent="0.25">
      <c r="B552" s="65" t="s">
        <v>296</v>
      </c>
    </row>
    <row r="553" spans="2:26" x14ac:dyDescent="0.25">
      <c r="B553" s="65" t="s">
        <v>297</v>
      </c>
    </row>
    <row r="554" spans="2:26" ht="38.25" customHeight="1" x14ac:dyDescent="0.25">
      <c r="B554" s="14" t="str">
        <f>("Un detalle de  "&amp;B553&amp;" al "&amp;[1]BALANZA!$B$3&amp;" "&amp;[1]BALANZA!$C$3&amp;" es como se detalla a continuación:")</f>
        <v>Un detalle de  Subvenciones y otros pagos por transferencias al 31 de Agosto del 2025 - 2024 es como se detalla a continuación:</v>
      </c>
      <c r="C554" s="32"/>
      <c r="D554" s="32"/>
      <c r="E554" s="32"/>
    </row>
    <row r="555" spans="2:26" ht="9" customHeight="1" x14ac:dyDescent="0.25">
      <c r="B555" s="13"/>
    </row>
    <row r="556" spans="2:26" x14ac:dyDescent="0.25">
      <c r="B556" s="178" t="s">
        <v>298</v>
      </c>
      <c r="C556" s="179">
        <f>+C568</f>
        <v>2025</v>
      </c>
      <c r="D556" s="179">
        <f>+D568</f>
        <v>2024</v>
      </c>
      <c r="E556" s="207" t="s">
        <v>219</v>
      </c>
    </row>
    <row r="557" spans="2:26" ht="16.5" customHeight="1" x14ac:dyDescent="0.25">
      <c r="B557" s="252" t="s">
        <v>299</v>
      </c>
      <c r="C557" s="116">
        <f>+'[1]BALANZA G'!C307</f>
        <v>30000</v>
      </c>
      <c r="D557" s="246">
        <f>+'[1]BALANZA G'!D307+'[1]BALANZA G'!D308</f>
        <v>0</v>
      </c>
      <c r="E557" s="83">
        <f>+C557-D557</f>
        <v>30000</v>
      </c>
    </row>
    <row r="558" spans="2:26" ht="23.25" hidden="1" customHeight="1" x14ac:dyDescent="0.25">
      <c r="B558" s="253"/>
      <c r="C558" s="254"/>
      <c r="D558" s="255"/>
      <c r="E558" s="256"/>
      <c r="I558" s="173"/>
      <c r="J558" s="174"/>
      <c r="K558" s="174"/>
    </row>
    <row r="559" spans="2:26" ht="28.5" x14ac:dyDescent="0.25">
      <c r="B559" s="247" t="s">
        <v>300</v>
      </c>
      <c r="C559" s="122">
        <f>SUM(C557+C558)</f>
        <v>30000</v>
      </c>
      <c r="D559" s="197">
        <f>SUM(D557)</f>
        <v>0</v>
      </c>
      <c r="E559" s="257">
        <f>+C559-D559</f>
        <v>30000</v>
      </c>
    </row>
    <row r="560" spans="2:26" x14ac:dyDescent="0.25">
      <c r="B560" s="108"/>
      <c r="C560" s="249">
        <f>+C559-[1]ERF!B18</f>
        <v>0</v>
      </c>
      <c r="J560" s="49"/>
    </row>
    <row r="561" spans="2:27" s="45" customFormat="1" x14ac:dyDescent="0.25">
      <c r="B561" s="55" t="str">
        <f>("Cambio porcentual con relación al "&amp;$D$117&amp;".")</f>
        <v>Cambio porcentual con relación al 2024.</v>
      </c>
      <c r="C561" s="56"/>
      <c r="D561" s="57" t="e">
        <f>IF(E561&gt;=0,"Aumento","Disminución")</f>
        <v>#DIV/0!</v>
      </c>
      <c r="E561" s="90" t="e">
        <f>+E559/D559</f>
        <v>#DIV/0!</v>
      </c>
      <c r="J561" s="49"/>
      <c r="K561" s="49"/>
      <c r="N561" s="49"/>
      <c r="R561" s="50"/>
      <c r="S561" s="50"/>
      <c r="T561" s="50"/>
      <c r="U561" s="50"/>
      <c r="V561" s="50"/>
      <c r="W561" s="50"/>
      <c r="X561" s="50"/>
      <c r="Y561" s="50"/>
      <c r="Z561" s="49"/>
    </row>
    <row r="562" spans="2:27" s="45" customFormat="1" ht="17.25" customHeight="1" x14ac:dyDescent="0.25">
      <c r="B562" s="62"/>
      <c r="C562" s="62"/>
      <c r="D562" s="60"/>
      <c r="E562" s="63"/>
      <c r="J562" s="49"/>
      <c r="K562" s="49"/>
      <c r="N562" s="49"/>
      <c r="R562" s="50"/>
      <c r="S562" s="50"/>
      <c r="T562" s="50"/>
      <c r="U562" s="50"/>
      <c r="V562" s="50"/>
      <c r="W562" s="50"/>
      <c r="X562" s="50"/>
      <c r="Y562" s="50"/>
      <c r="Z562" s="49"/>
    </row>
    <row r="563" spans="2:27" s="45" customFormat="1" ht="30" customHeight="1" x14ac:dyDescent="0.25">
      <c r="B563" s="62"/>
      <c r="C563" s="62"/>
      <c r="D563" s="60"/>
      <c r="E563" s="63"/>
      <c r="J563" s="3"/>
      <c r="K563" s="49"/>
      <c r="N563" s="49"/>
      <c r="R563" s="50"/>
      <c r="S563" s="50"/>
      <c r="T563" s="50"/>
      <c r="U563" s="50"/>
      <c r="V563" s="50"/>
      <c r="W563" s="50"/>
      <c r="X563" s="50"/>
      <c r="Y563" s="50"/>
      <c r="Z563" s="49"/>
    </row>
    <row r="564" spans="2:27" x14ac:dyDescent="0.25">
      <c r="B564" s="65" t="s">
        <v>301</v>
      </c>
    </row>
    <row r="565" spans="2:27" x14ac:dyDescent="0.25">
      <c r="B565" s="65" t="s">
        <v>302</v>
      </c>
    </row>
    <row r="566" spans="2:27" ht="36.75" customHeight="1" x14ac:dyDescent="0.25">
      <c r="B566" s="14" t="str">
        <f>("Un detalle del "&amp;B565&amp;" al "&amp;[1]BALANZA!$B$3&amp;" "&amp;[1]BALANZA!$C$3&amp;" es como se detalla a continuación:")</f>
        <v>Un detalle del Suministro y materiales para consumo al 31 de Agosto del 2025 - 2024 es como se detalla a continuación:</v>
      </c>
      <c r="C566" s="32"/>
      <c r="D566" s="32"/>
      <c r="E566" s="32"/>
    </row>
    <row r="567" spans="2:27" ht="8.25" customHeight="1" x14ac:dyDescent="0.25">
      <c r="B567" s="13"/>
    </row>
    <row r="568" spans="2:27" x14ac:dyDescent="0.25">
      <c r="B568" s="178" t="s">
        <v>298</v>
      </c>
      <c r="C568" s="179">
        <f>+[1]BALANZA!B4</f>
        <v>2025</v>
      </c>
      <c r="D568" s="179">
        <f>+[1]BALANZA!C4</f>
        <v>2024</v>
      </c>
      <c r="E568" s="207" t="s">
        <v>219</v>
      </c>
    </row>
    <row r="569" spans="2:27" x14ac:dyDescent="0.25">
      <c r="B569" s="160" t="s">
        <v>303</v>
      </c>
      <c r="C569" s="258">
        <f>+'[1]BALANZA G'!C259+'[1]BALANZA G'!C261+'[1]BALANZA G'!C260+'[1]BALANZA G'!C297</f>
        <v>1909074.3900000001</v>
      </c>
      <c r="D569" s="258">
        <f>+'[1]BALANZA G'!D259+'[1]BALANZA G'!D261+'[1]BALANZA G'!D260+'[1]BALANZA G'!D297</f>
        <v>866355.16</v>
      </c>
      <c r="E569" s="83">
        <f t="shared" ref="E569:E575" si="5">+C569-D569</f>
        <v>1042719.2300000001</v>
      </c>
      <c r="K569" s="3">
        <v>866355.16</v>
      </c>
      <c r="T569" s="101"/>
      <c r="Z569" s="3">
        <v>1008264.5</v>
      </c>
      <c r="AA569" s="214">
        <f t="shared" ref="AA569:AA574" si="6">+D569-Z569</f>
        <v>-141909.33999999997</v>
      </c>
    </row>
    <row r="570" spans="2:27" x14ac:dyDescent="0.25">
      <c r="B570" s="160" t="s">
        <v>304</v>
      </c>
      <c r="C570" s="258">
        <f>+'[1]BALANZA G'!C262+'[1]BALANZA G'!C263+'[1]BALANZA G'!C264</f>
        <v>0</v>
      </c>
      <c r="D570" s="38">
        <f>+'[1]BALANZA G'!D262+'[1]BALANZA G'!D263+'[1]BALANZA G'!D264</f>
        <v>0</v>
      </c>
      <c r="E570" s="83">
        <f t="shared" si="5"/>
        <v>0</v>
      </c>
      <c r="K570" s="3">
        <v>0</v>
      </c>
      <c r="T570" s="101"/>
      <c r="Z570" s="3">
        <v>1300</v>
      </c>
      <c r="AA570" s="214">
        <f t="shared" si="6"/>
        <v>-1300</v>
      </c>
    </row>
    <row r="571" spans="2:27" x14ac:dyDescent="0.25">
      <c r="B571" s="160" t="s">
        <v>305</v>
      </c>
      <c r="C571" s="258">
        <f>+'[1]BALANZA G'!C265+'[1]BALANZA G'!C267+'[1]BALANZA G'!C268+'[1]BALANZA G'!C266</f>
        <v>159133.87</v>
      </c>
      <c r="D571" s="38">
        <f>+'[1]BALANZA G'!D265+'[1]BALANZA G'!D267+'[1]BALANZA G'!D268+'[1]BALANZA G'!D266</f>
        <v>480383.55</v>
      </c>
      <c r="E571" s="83">
        <f t="shared" si="5"/>
        <v>-321249.68</v>
      </c>
      <c r="K571" s="3">
        <v>480383.55</v>
      </c>
      <c r="T571" s="101"/>
      <c r="Z571" s="3">
        <v>330702</v>
      </c>
      <c r="AA571" s="214">
        <f t="shared" si="6"/>
        <v>149681.54999999999</v>
      </c>
    </row>
    <row r="572" spans="2:27" x14ac:dyDescent="0.25">
      <c r="B572" s="160" t="s">
        <v>306</v>
      </c>
      <c r="C572" s="258">
        <f>+'[1]BALANZA G'!C270+'[1]BALANZA G'!C272+'[1]BALANZA G'!C276+'[1]BALANZA G'!C271</f>
        <v>6165745</v>
      </c>
      <c r="D572" s="38">
        <f>+'[1]BALANZA G'!D270+'[1]BALANZA G'!D272+'[1]BALANZA G'!D276+'[1]BALANZA G'!D271</f>
        <v>8347130</v>
      </c>
      <c r="E572" s="83">
        <f t="shared" si="5"/>
        <v>-2181385</v>
      </c>
      <c r="K572" s="3">
        <v>8347130</v>
      </c>
      <c r="T572" s="101"/>
      <c r="Z572" s="3">
        <v>7580799</v>
      </c>
      <c r="AA572" s="214">
        <f t="shared" si="6"/>
        <v>766331</v>
      </c>
    </row>
    <row r="573" spans="2:27" x14ac:dyDescent="0.25">
      <c r="B573" s="160" t="s">
        <v>307</v>
      </c>
      <c r="C573" s="258">
        <f>+'[1]BALANZA G'!C273+'[1]BALANZA G'!C277+'[1]BALANZA G'!C275+'[1]BALANZA G'!C274+'[1]BALANZA G'!C279</f>
        <v>2826723.57</v>
      </c>
      <c r="D573" s="258">
        <f>+'[1]BALANZA G'!D273+'[1]BALANZA G'!D277+'[1]BALANZA G'!D275+'[1]BALANZA G'!D274+'[1]BALANZA G'!D279</f>
        <v>4435677.3899999997</v>
      </c>
      <c r="E573" s="83">
        <f t="shared" si="5"/>
        <v>-1608953.8199999998</v>
      </c>
      <c r="K573" s="3">
        <v>4435677.3899999997</v>
      </c>
      <c r="T573" s="101"/>
      <c r="Z573" s="3">
        <v>7786358.3699999992</v>
      </c>
      <c r="AA573" s="214">
        <f t="shared" si="6"/>
        <v>-3350680.9799999995</v>
      </c>
    </row>
    <row r="574" spans="2:27" x14ac:dyDescent="0.25">
      <c r="B574" s="160" t="s">
        <v>308</v>
      </c>
      <c r="C574" s="258">
        <f>+'[1]BALANZA G'!C280+'[1]BALANZA G'!C281+'[1]BALANZA G'!C282+'[1]BALANZA G'!C283+'[1]BALANZA G'!C284+'[1]BALANZA G'!C285+'[1]BALANZA G'!C302+'[1]BALANZA G'!C292+'[1]BALANZA G'!C293+'[1]BALANZA G'!C290+'[1]BALANZA G'!C291+'[1]BALANZA G'!C287+'[1]BALANZA G'!C288+'[1]BALANZA G'!C289+'[1]BALANZA G'!C294+'[1]BALANZA G'!C295+'[1]BALANZA G'!C296+'[1]BALANZA G'!C298+'[1]BALANZA G'!C300+'[1]BALANZA G'!C299+'[1]BALANZA G'!C286+'[1]BALANZA G'!C241</f>
        <v>5843983.5599999996</v>
      </c>
      <c r="D574" s="258">
        <f>+'[1]BALANZA G'!D280+'[1]BALANZA G'!D281+'[1]BALANZA G'!D282+'[1]BALANZA G'!D283+'[1]BALANZA G'!D284+'[1]BALANZA G'!D285+'[1]BALANZA G'!D302+'[1]BALANZA G'!D292+'[1]BALANZA G'!D293+'[1]BALANZA G'!D290+'[1]BALANZA G'!D291+'[1]BALANZA G'!D287+'[1]BALANZA G'!D288+'[1]BALANZA G'!D289+'[1]BALANZA G'!D294+'[1]BALANZA G'!D295+'[1]BALANZA G'!D296+'[1]BALANZA G'!D298+'[1]BALANZA G'!D300+'[1]BALANZA G'!D299+'[1]BALANZA G'!D286+'[1]BALANZA G'!D241</f>
        <v>12024201.759999998</v>
      </c>
      <c r="E574" s="83">
        <f t="shared" si="5"/>
        <v>-6180218.1999999983</v>
      </c>
      <c r="K574" s="3">
        <v>12024201.759999998</v>
      </c>
      <c r="T574" s="101"/>
      <c r="Z574" s="3">
        <v>3423165.7</v>
      </c>
      <c r="AA574" s="214">
        <f t="shared" si="6"/>
        <v>8601036.0599999987</v>
      </c>
    </row>
    <row r="575" spans="2:27" x14ac:dyDescent="0.25">
      <c r="B575" s="160" t="s">
        <v>309</v>
      </c>
      <c r="C575" s="258">
        <f>+'[1]BALANZA G'!C302</f>
        <v>0</v>
      </c>
      <c r="D575" s="38">
        <f>+'[1]BALANZA G'!D303-160568.42</f>
        <v>0</v>
      </c>
      <c r="E575" s="83">
        <f t="shared" si="5"/>
        <v>0</v>
      </c>
      <c r="K575" s="3">
        <v>0</v>
      </c>
    </row>
    <row r="576" spans="2:27" x14ac:dyDescent="0.25">
      <c r="B576" s="247" t="s">
        <v>310</v>
      </c>
      <c r="C576" s="47">
        <f>SUM(C569:C575)</f>
        <v>16904660.390000001</v>
      </c>
      <c r="D576" s="96">
        <f>SUM(D569:D575)</f>
        <v>26153747.859999999</v>
      </c>
      <c r="E576" s="47">
        <f>SUM(E569:E575)</f>
        <v>-9249087.4699999988</v>
      </c>
      <c r="K576" s="3">
        <v>26153747.859999999</v>
      </c>
    </row>
    <row r="577" spans="2:26" x14ac:dyDescent="0.25">
      <c r="B577" s="259"/>
      <c r="C577" s="97">
        <f>+C576-[1]ERF!B19</f>
        <v>0</v>
      </c>
      <c r="D577" s="88"/>
      <c r="E577" s="89"/>
      <c r="J577" s="49"/>
    </row>
    <row r="578" spans="2:26" s="45" customFormat="1" x14ac:dyDescent="0.25">
      <c r="B578" s="55" t="str">
        <f>("Cambio porcentual con relación al "&amp;$D$117&amp;".")</f>
        <v>Cambio porcentual con relación al 2024.</v>
      </c>
      <c r="C578" s="56"/>
      <c r="D578" s="57" t="str">
        <f>IF(E578&gt;=0,"Aumento","Disminución")</f>
        <v>Disminución</v>
      </c>
      <c r="E578" s="90">
        <f>+E576/D576</f>
        <v>-0.35364290882935806</v>
      </c>
      <c r="J578" s="3"/>
      <c r="K578" s="49"/>
      <c r="N578" s="49"/>
      <c r="R578" s="50"/>
      <c r="S578" s="50"/>
      <c r="T578" s="50"/>
      <c r="U578" s="50"/>
      <c r="V578" s="50"/>
      <c r="W578" s="50"/>
      <c r="X578" s="50"/>
      <c r="Y578" s="50"/>
      <c r="Z578" s="49"/>
    </row>
    <row r="579" spans="2:26" x14ac:dyDescent="0.25">
      <c r="B579" s="62"/>
      <c r="C579" s="62"/>
      <c r="D579" s="260"/>
      <c r="E579" s="63"/>
    </row>
    <row r="580" spans="2:26" ht="44.25" customHeight="1" x14ac:dyDescent="0.25">
      <c r="B580" s="62"/>
      <c r="C580" s="62"/>
      <c r="D580" s="260"/>
      <c r="E580" s="63"/>
    </row>
    <row r="581" spans="2:26" x14ac:dyDescent="0.25">
      <c r="B581" s="65" t="s">
        <v>311</v>
      </c>
    </row>
    <row r="582" spans="2:26" x14ac:dyDescent="0.25">
      <c r="B582" s="65" t="s">
        <v>312</v>
      </c>
    </row>
    <row r="583" spans="2:26" x14ac:dyDescent="0.25">
      <c r="B583" s="14" t="str">
        <f>("Un detalle del "&amp;B582&amp;" al "&amp;[1]BALANZA!$B$3&amp;" "&amp;[1]BALANZA!$C$3&amp;" es como se detalla a continuación:")</f>
        <v>Un detalle del Gasto de Depreciación y Amortización al 31 de Agosto del 2025 - 2024 es como se detalla a continuación:</v>
      </c>
      <c r="C583" s="32"/>
      <c r="D583" s="32"/>
      <c r="E583" s="32"/>
    </row>
    <row r="584" spans="2:26" x14ac:dyDescent="0.25">
      <c r="B584" s="13"/>
    </row>
    <row r="585" spans="2:26" x14ac:dyDescent="0.25">
      <c r="B585" s="178" t="s">
        <v>298</v>
      </c>
      <c r="C585" s="179" t="str">
        <f>+[1]BALANZA!B21</f>
        <v>OTROS EQUIPOS</v>
      </c>
      <c r="D585" s="179">
        <f>+[1]BALANZA!C21</f>
        <v>792057</v>
      </c>
      <c r="E585" s="207" t="s">
        <v>219</v>
      </c>
    </row>
    <row r="586" spans="2:26" x14ac:dyDescent="0.25">
      <c r="B586" s="160" t="s">
        <v>313</v>
      </c>
      <c r="C586" s="258">
        <f>+[1]nota13!K29</f>
        <v>23298349.669999983</v>
      </c>
      <c r="D586" s="38">
        <f>+[1]nota13!K14</f>
        <v>57143407.930000007</v>
      </c>
      <c r="E586" s="83">
        <f>+C586-D586</f>
        <v>-33845058.26000002</v>
      </c>
    </row>
    <row r="587" spans="2:26" x14ac:dyDescent="0.25">
      <c r="B587" s="160" t="s">
        <v>314</v>
      </c>
      <c r="C587" s="258">
        <f>+'[1]BALANZA G'!C303</f>
        <v>86900</v>
      </c>
      <c r="D587" s="258">
        <f>-D372-20309</f>
        <v>140259.42000000001</v>
      </c>
      <c r="E587" s="83">
        <f>+C587-D587</f>
        <v>-53359.420000000013</v>
      </c>
    </row>
    <row r="588" spans="2:26" x14ac:dyDescent="0.25">
      <c r="B588" s="160"/>
      <c r="C588" s="258"/>
      <c r="D588" s="38"/>
      <c r="E588" s="83">
        <f>+C588-D588</f>
        <v>0</v>
      </c>
    </row>
    <row r="589" spans="2:26" x14ac:dyDescent="0.25">
      <c r="B589" s="247" t="s">
        <v>315</v>
      </c>
      <c r="C589" s="47">
        <f>SUM(C586:C588)</f>
        <v>23385249.669999983</v>
      </c>
      <c r="D589" s="96">
        <f>SUM(D586:D588)</f>
        <v>57283667.350000009</v>
      </c>
      <c r="E589" s="47">
        <f>SUM(E586:E588)</f>
        <v>-33898417.680000022</v>
      </c>
    </row>
    <row r="590" spans="2:26" x14ac:dyDescent="0.25">
      <c r="B590" s="259"/>
      <c r="C590" s="261">
        <f>+C589-[1]ERF!B20</f>
        <v>0</v>
      </c>
      <c r="D590" s="261">
        <f>+D589-[1]ERF!C20</f>
        <v>-20309</v>
      </c>
      <c r="E590" s="89"/>
    </row>
    <row r="591" spans="2:26" x14ac:dyDescent="0.25">
      <c r="B591" s="55" t="str">
        <f>("Cambio porcentual con relación al "&amp;$D$117&amp;".")</f>
        <v>Cambio porcentual con relación al 2024.</v>
      </c>
      <c r="C591" s="56"/>
      <c r="D591" s="57" t="str">
        <f>IF(E591&gt;=0,"Aumento","Disminución")</f>
        <v>Disminución</v>
      </c>
      <c r="E591" s="90">
        <f>+E589/D589</f>
        <v>-0.591764096961226</v>
      </c>
    </row>
    <row r="592" spans="2:26" x14ac:dyDescent="0.25">
      <c r="B592" s="62"/>
      <c r="C592" s="62"/>
      <c r="D592" s="260"/>
      <c r="E592" s="63"/>
    </row>
    <row r="593" spans="2:21" x14ac:dyDescent="0.25">
      <c r="B593" s="62"/>
      <c r="C593" s="62"/>
      <c r="D593" s="260"/>
      <c r="E593" s="63"/>
    </row>
    <row r="594" spans="2:21" ht="11.25" customHeight="1" x14ac:dyDescent="0.25">
      <c r="B594" s="62"/>
      <c r="C594" s="262"/>
      <c r="D594" s="260"/>
      <c r="E594" s="63"/>
    </row>
    <row r="595" spans="2:21" ht="9.75" customHeight="1" x14ac:dyDescent="0.25">
      <c r="B595" s="62"/>
      <c r="C595" s="62"/>
      <c r="D595" s="260"/>
      <c r="E595" s="63"/>
    </row>
    <row r="596" spans="2:21" ht="56.25" customHeight="1" x14ac:dyDescent="0.25">
      <c r="B596" s="62"/>
      <c r="C596" s="62"/>
      <c r="D596" s="260"/>
      <c r="E596" s="63"/>
    </row>
    <row r="597" spans="2:21" ht="16.5" customHeight="1" x14ac:dyDescent="0.25">
      <c r="B597" s="263" t="s">
        <v>316</v>
      </c>
    </row>
    <row r="598" spans="2:21" x14ac:dyDescent="0.25">
      <c r="B598" s="263" t="s">
        <v>317</v>
      </c>
    </row>
    <row r="599" spans="2:21" ht="18.75" customHeight="1" x14ac:dyDescent="0.25">
      <c r="B599" s="14" t="str">
        <f>("Un detalle de "&amp;B598&amp;" al "&amp;[1]BALANZA!$B$3&amp;" "&amp;[1]BALANZA!$C$3&amp;" es como se detalla a continuación:")</f>
        <v>Un detalle de Otros gastos  al 31 de Agosto del 2025 - 2024 es como se detalla a continuación:</v>
      </c>
      <c r="C599" s="32"/>
      <c r="D599" s="32"/>
      <c r="E599" s="32"/>
    </row>
    <row r="600" spans="2:21" ht="8.25" customHeight="1" x14ac:dyDescent="0.25">
      <c r="B600" s="13"/>
      <c r="G600" s="10"/>
    </row>
    <row r="601" spans="2:21" ht="18.75" customHeight="1" x14ac:dyDescent="0.25">
      <c r="B601" s="33" t="s">
        <v>318</v>
      </c>
      <c r="C601" s="34">
        <f>+[1]BALANZA!B4</f>
        <v>2025</v>
      </c>
      <c r="D601" s="34">
        <f>+[1]BALANZA!C4</f>
        <v>2024</v>
      </c>
      <c r="E601" s="207" t="s">
        <v>219</v>
      </c>
    </row>
    <row r="602" spans="2:21" x14ac:dyDescent="0.25">
      <c r="B602" s="117" t="s">
        <v>319</v>
      </c>
      <c r="C602" s="264">
        <f>+'[1]BALANZA G'!C204+'[1]BALANZA G'!C205+'[1]BALANZA G'!C206+'[1]BALANZA G'!C207</f>
        <v>2028632.2899999998</v>
      </c>
      <c r="D602" s="264">
        <f>+'[1]BALANZA G'!D204+'[1]BALANZA G'!D205+'[1]BALANZA G'!D206+'[1]BALANZA G'!D207</f>
        <v>2898777.65</v>
      </c>
      <c r="E602" s="44">
        <f>+C602-D602</f>
        <v>-870145.3600000001</v>
      </c>
      <c r="I602" s="93"/>
      <c r="K602" s="3">
        <v>2898777.65</v>
      </c>
      <c r="U602" s="215"/>
    </row>
    <row r="603" spans="2:21" x14ac:dyDescent="0.25">
      <c r="B603" s="117" t="s">
        <v>320</v>
      </c>
      <c r="C603" s="264">
        <f>+'[1]BALANZA G'!C208</f>
        <v>48935669.119999997</v>
      </c>
      <c r="D603" s="264">
        <f>+'[1]BALANZA G'!D208</f>
        <v>63713429.090000004</v>
      </c>
      <c r="E603" s="44">
        <f>+C603-D603</f>
        <v>-14777759.970000006</v>
      </c>
      <c r="I603" s="93"/>
      <c r="K603" s="3">
        <v>63713429.090000004</v>
      </c>
      <c r="U603" s="215"/>
    </row>
    <row r="604" spans="2:21" x14ac:dyDescent="0.25">
      <c r="B604" s="160" t="s">
        <v>321</v>
      </c>
      <c r="C604" s="264">
        <f>+'[1]BALANZA G'!C212+'[1]BALANZA G'!C209+'[1]BALANZA G'!C210</f>
        <v>437642.55</v>
      </c>
      <c r="D604" s="264">
        <f>+'[1]BALANZA G'!D212+'[1]BALANZA G'!D209+'[1]BALANZA G'!D210</f>
        <v>1132137.44</v>
      </c>
      <c r="E604" s="44">
        <f t="shared" ref="E604:E610" si="7">+C604-D604</f>
        <v>-694494.8899999999</v>
      </c>
      <c r="I604" s="93"/>
      <c r="K604" s="3">
        <v>1132137.44</v>
      </c>
      <c r="U604" s="215"/>
    </row>
    <row r="605" spans="2:21" x14ac:dyDescent="0.25">
      <c r="B605" s="160" t="s">
        <v>322</v>
      </c>
      <c r="C605" s="264">
        <f>+'[1]BALANZA G'!C214+'[1]BALANZA G'!C213+'[1]BALANZA G'!C211</f>
        <v>540500</v>
      </c>
      <c r="D605" s="264">
        <f>+'[1]BALANZA G'!D211+'[1]BALANZA G'!D213+'[1]BALANZA G'!D214</f>
        <v>925630</v>
      </c>
      <c r="E605" s="44">
        <f t="shared" si="7"/>
        <v>-385130</v>
      </c>
      <c r="I605" s="93"/>
      <c r="K605" s="3">
        <v>925630</v>
      </c>
      <c r="U605" s="215"/>
    </row>
    <row r="606" spans="2:21" x14ac:dyDescent="0.25">
      <c r="B606" s="160" t="s">
        <v>323</v>
      </c>
      <c r="C606" s="264">
        <f>+'[1]BALANZA G'!C217+'[1]BALANZA G'!C216+'[1]BALANZA G'!C215</f>
        <v>0</v>
      </c>
      <c r="D606" s="264">
        <f>+'[1]BALANZA G'!D217+'[1]BALANZA G'!D216+'[1]BALANZA G'!D215</f>
        <v>175</v>
      </c>
      <c r="E606" s="44">
        <f t="shared" si="7"/>
        <v>-175</v>
      </c>
      <c r="I606" s="93"/>
      <c r="K606" s="3">
        <v>175</v>
      </c>
      <c r="U606" s="215"/>
    </row>
    <row r="607" spans="2:21" x14ac:dyDescent="0.25">
      <c r="B607" s="117" t="s">
        <v>324</v>
      </c>
      <c r="C607" s="264">
        <f>+'[1]BALANZA G'!C219+'[1]BALANZA G'!C220+'[1]BALANZA G'!C222+'[1]BALANZA G'!C223+'[1]BALANZA G'!C224+'[1]BALANZA G'!C221+'[1]BALANZA G'!C225</f>
        <v>2183539.73</v>
      </c>
      <c r="D607" s="264">
        <f>+'[1]BALANZA G'!D219+'[1]BALANZA G'!D220+'[1]BALANZA G'!D222+'[1]BALANZA G'!D223+'[1]BALANZA G'!D224+'[1]BALANZA G'!D221+'[1]BALANZA G'!D225</f>
        <v>3151848.58</v>
      </c>
      <c r="E607" s="44">
        <f t="shared" si="7"/>
        <v>-968308.85000000009</v>
      </c>
      <c r="G607" s="214">
        <f>+K607-D607</f>
        <v>0</v>
      </c>
      <c r="I607" s="93"/>
      <c r="K607" s="3">
        <v>3151848.58</v>
      </c>
      <c r="U607" s="215"/>
    </row>
    <row r="608" spans="2:21" x14ac:dyDescent="0.25">
      <c r="B608" s="117" t="s">
        <v>325</v>
      </c>
      <c r="C608" s="264">
        <f>+'[1]BALANZA G'!C226+'[1]BALANZA G'!C227</f>
        <v>438081.58</v>
      </c>
      <c r="D608" s="264">
        <f>+'[1]BALANZA G'!D227+'[1]BALANZA G'!D226</f>
        <v>657127.22</v>
      </c>
      <c r="E608" s="44">
        <f t="shared" si="7"/>
        <v>-219045.63999999996</v>
      </c>
      <c r="I608" s="93"/>
      <c r="K608" s="3">
        <v>657127.22</v>
      </c>
      <c r="U608" s="215"/>
    </row>
    <row r="609" spans="2:26" ht="30" x14ac:dyDescent="0.25">
      <c r="B609" s="160" t="s">
        <v>326</v>
      </c>
      <c r="C609" s="264">
        <f>+'[1]BALANZA G'!C229+'[1]BALANZA G'!C230+'[1]BALANZA G'!C231+'[1]BALANZA G'!C232+'[1]BALANZA G'!C233+'[1]BALANZA G'!C235+'[1]BALANZA G'!C237+'[1]BALANZA G'!C238+'[1]BALANZA G'!C239+'[1]BALANZA G'!C240+'[1]BALANZA G'!C242+'[1]BALANZA G'!C243+'[1]BALANZA G'!C244+'[1]BALANZA G'!C234</f>
        <v>5445400.6099999994</v>
      </c>
      <c r="D609" s="264">
        <f>+'[1]BALANZA G'!D229+'[1]BALANZA G'!D230+'[1]BALANZA G'!D231+'[1]BALANZA G'!D232+'[1]BALANZA G'!D233+'[1]BALANZA G'!D235+'[1]BALANZA G'!D237+'[1]BALANZA G'!D238+'[1]BALANZA G'!D239+'[1]BALANZA G'!D240+'[1]BALANZA G'!D242+'[1]BALANZA G'!D243+'[1]BALANZA G'!D244+'[1]BALANZA G'!D234</f>
        <v>9859491.7400000002</v>
      </c>
      <c r="E609" s="265">
        <f t="shared" si="7"/>
        <v>-4414091.1300000008</v>
      </c>
      <c r="I609" s="93"/>
      <c r="K609" s="3">
        <v>9859491.7400000002</v>
      </c>
      <c r="U609" s="215"/>
    </row>
    <row r="610" spans="2:26" ht="21.75" customHeight="1" x14ac:dyDescent="0.25">
      <c r="B610" s="160" t="s">
        <v>327</v>
      </c>
      <c r="C610" s="264">
        <f>+'[1]BALANZA G'!C246+'[1]BALANZA G'!C247+'[1]BALANZA G'!C249+'[1]BALANZA G'!C250+'[1]BALANZA G'!C251+'[1]BALANZA G'!C253+'[1]BALANZA G'!C198+'[1]BALANZA G'!C199+'[1]BALANZA G'!C203+'[1]BALANZA G'!C252</f>
        <v>5187570.3499999996</v>
      </c>
      <c r="D610" s="264">
        <f>+'[1]BALANZA G'!D198+'[1]BALANZA G'!D199+'[1]BALANZA G'!D246+'[1]BALANZA G'!D249+'[1]BALANZA G'!D250+'[1]BALANZA G'!D251+'[1]BALANZA G'!D253+'[1]BALANZA G'!D247+'[1]BALANZA G'!D203+'[1]BALANZA G'!D252</f>
        <v>7481995.21</v>
      </c>
      <c r="E610" s="266">
        <f t="shared" si="7"/>
        <v>-2294424.8600000003</v>
      </c>
      <c r="I610" s="93"/>
      <c r="K610" s="3">
        <v>7481995.21</v>
      </c>
      <c r="U610" s="215"/>
    </row>
    <row r="611" spans="2:26" ht="18.75" customHeight="1" x14ac:dyDescent="0.25">
      <c r="B611" s="85" t="s">
        <v>328</v>
      </c>
      <c r="C611" s="47">
        <f>SUM(C602:C610)</f>
        <v>65197036.229999989</v>
      </c>
      <c r="D611" s="110">
        <f>SUM(D602:D610)</f>
        <v>89820611.929999992</v>
      </c>
      <c r="E611" s="267">
        <f>SUM(E602:E610)</f>
        <v>-24623575.70000001</v>
      </c>
      <c r="K611" s="3">
        <v>89820611.929999992</v>
      </c>
    </row>
    <row r="612" spans="2:26" ht="12.75" customHeight="1" x14ac:dyDescent="0.25">
      <c r="B612" s="13" t="s">
        <v>112</v>
      </c>
      <c r="C612" s="249">
        <f>+C611-[1]ERF!B22</f>
        <v>0</v>
      </c>
      <c r="J612" s="49"/>
    </row>
    <row r="613" spans="2:26" s="45" customFormat="1" x14ac:dyDescent="0.25">
      <c r="B613" s="55" t="str">
        <f>("Cambio porcentual con relación al "&amp;$D$117&amp;".")</f>
        <v>Cambio porcentual con relación al 2024.</v>
      </c>
      <c r="C613" s="56"/>
      <c r="D613" s="57" t="str">
        <f>IF(E613&gt;=0,"Aumento","Disminución")</f>
        <v>Disminución</v>
      </c>
      <c r="E613" s="90">
        <f>+E611/D611</f>
        <v>-0.27414170501521334</v>
      </c>
      <c r="J613" s="3"/>
      <c r="K613" s="49"/>
      <c r="N613" s="49"/>
      <c r="R613" s="50"/>
      <c r="S613" s="50"/>
      <c r="T613" s="50"/>
      <c r="U613" s="50"/>
      <c r="V613" s="50"/>
      <c r="W613" s="50"/>
      <c r="X613" s="50"/>
      <c r="Y613" s="50"/>
      <c r="Z613" s="49"/>
    </row>
    <row r="614" spans="2:26" s="45" customFormat="1" x14ac:dyDescent="0.25">
      <c r="B614" s="62"/>
      <c r="C614" s="62"/>
      <c r="D614" s="60"/>
      <c r="E614" s="63"/>
      <c r="J614" s="3"/>
      <c r="K614" s="49"/>
      <c r="N614" s="49"/>
      <c r="R614" s="50"/>
      <c r="S614" s="50"/>
      <c r="T614" s="50"/>
      <c r="U614" s="50"/>
      <c r="V614" s="50"/>
      <c r="W614" s="50"/>
      <c r="X614" s="50"/>
      <c r="Y614" s="50"/>
      <c r="Z614" s="49"/>
    </row>
    <row r="615" spans="2:26" s="45" customFormat="1" x14ac:dyDescent="0.25">
      <c r="B615" s="62"/>
      <c r="C615" s="62"/>
      <c r="D615" s="60"/>
      <c r="E615" s="63"/>
      <c r="J615" s="3"/>
      <c r="K615" s="49"/>
      <c r="N615" s="49"/>
      <c r="R615" s="50"/>
      <c r="S615" s="50"/>
      <c r="T615" s="50"/>
      <c r="U615" s="50"/>
      <c r="V615" s="50"/>
      <c r="W615" s="50"/>
      <c r="X615" s="50"/>
      <c r="Y615" s="50"/>
      <c r="Z615" s="49"/>
    </row>
    <row r="616" spans="2:26" ht="10.5" customHeight="1" x14ac:dyDescent="0.25">
      <c r="B616" s="62"/>
      <c r="C616" s="62"/>
      <c r="D616" s="260"/>
      <c r="E616" s="63"/>
    </row>
    <row r="617" spans="2:26" x14ac:dyDescent="0.25">
      <c r="B617" s="65" t="s">
        <v>329</v>
      </c>
    </row>
    <row r="618" spans="2:26" ht="21" customHeight="1" x14ac:dyDescent="0.25">
      <c r="B618" s="65" t="s">
        <v>330</v>
      </c>
    </row>
    <row r="619" spans="2:26" ht="30" customHeight="1" x14ac:dyDescent="0.25">
      <c r="B619" s="14" t="str">
        <f>("Un detalle del "&amp;B618&amp;" al "&amp;[1]BALANZA!$B$3&amp;" "&amp;[1]BALANZA!$C$3&amp;" es como se detalla a continuación:")</f>
        <v>Un detalle del Gastos Financieros  al 31 de Agosto del 2025 - 2024 es como se detalla a continuación:</v>
      </c>
      <c r="C619" s="32"/>
      <c r="D619" s="32"/>
      <c r="E619" s="32"/>
    </row>
    <row r="620" spans="2:26" ht="13.5" customHeight="1" x14ac:dyDescent="0.25">
      <c r="B620" s="2"/>
    </row>
    <row r="621" spans="2:26" x14ac:dyDescent="0.25">
      <c r="B621" s="36" t="str">
        <f>+B601</f>
        <v>PARTIDA</v>
      </c>
      <c r="C621" s="268">
        <f>+C601</f>
        <v>2025</v>
      </c>
      <c r="D621" s="268">
        <f>+D601</f>
        <v>2024</v>
      </c>
      <c r="E621" s="207" t="s">
        <v>219</v>
      </c>
    </row>
    <row r="622" spans="2:26" x14ac:dyDescent="0.25">
      <c r="B622" s="160" t="s">
        <v>331</v>
      </c>
      <c r="C622" s="38">
        <f>+'[1]BALANZA G'!C248</f>
        <v>467126.29</v>
      </c>
      <c r="D622" s="38">
        <f>+'[1]BALANZA G'!D248</f>
        <v>755694.55</v>
      </c>
      <c r="E622" s="44">
        <f>+C622-D622</f>
        <v>-288568.26000000007</v>
      </c>
    </row>
    <row r="623" spans="2:26" hidden="1" x14ac:dyDescent="0.25">
      <c r="B623" s="160" t="s">
        <v>332</v>
      </c>
      <c r="C623" s="38">
        <f>+'[1]BALANZA G'!C254</f>
        <v>0</v>
      </c>
      <c r="D623" s="38">
        <f>+'[1]BALANZA G'!D254</f>
        <v>0</v>
      </c>
      <c r="E623" s="44">
        <f>+C623-D623</f>
        <v>0</v>
      </c>
    </row>
    <row r="624" spans="2:26" x14ac:dyDescent="0.25">
      <c r="B624" s="247" t="s">
        <v>333</v>
      </c>
      <c r="C624" s="96">
        <f>SUM(C622:C623)</f>
        <v>467126.29</v>
      </c>
      <c r="D624" s="96">
        <f>SUM(D622:D623)</f>
        <v>755694.55</v>
      </c>
      <c r="E624" s="96">
        <f>SUM(E622:E623)</f>
        <v>-288568.26000000007</v>
      </c>
    </row>
    <row r="625" spans="2:26" x14ac:dyDescent="0.25">
      <c r="B625" s="269"/>
      <c r="C625" s="104">
        <f>+C624-[1]ERF!B23</f>
        <v>0</v>
      </c>
      <c r="D625" s="105"/>
      <c r="E625" s="106"/>
      <c r="J625" s="49"/>
    </row>
    <row r="626" spans="2:26" s="45" customFormat="1" x14ac:dyDescent="0.25">
      <c r="B626" s="55" t="str">
        <f>("Cambio porcentual con relación al "&amp;$D$117&amp;".")</f>
        <v>Cambio porcentual con relación al 2024.</v>
      </c>
      <c r="C626" s="56"/>
      <c r="D626" s="57" t="str">
        <f>IF(E626&gt;=0,"Aumento","Disminución")</f>
        <v>Disminución</v>
      </c>
      <c r="E626" s="90">
        <f>+E624/D624</f>
        <v>-0.38185833151767479</v>
      </c>
      <c r="J626" s="3"/>
      <c r="K626" s="49"/>
      <c r="N626" s="49"/>
      <c r="R626" s="50"/>
      <c r="S626" s="50"/>
      <c r="T626" s="50"/>
      <c r="U626" s="50"/>
      <c r="V626" s="50"/>
      <c r="W626" s="50"/>
      <c r="X626" s="50"/>
      <c r="Y626" s="50"/>
      <c r="Z626" s="49"/>
    </row>
    <row r="627" spans="2:26" x14ac:dyDescent="0.25">
      <c r="B627" s="62"/>
      <c r="C627" s="62"/>
      <c r="D627" s="260"/>
      <c r="E627" s="63"/>
    </row>
    <row r="628" spans="2:26" x14ac:dyDescent="0.25">
      <c r="B628" s="65" t="s">
        <v>334</v>
      </c>
      <c r="C628" s="62"/>
      <c r="D628" s="260"/>
      <c r="E628" s="63"/>
    </row>
    <row r="629" spans="2:26" x14ac:dyDescent="0.25">
      <c r="B629" s="65" t="s">
        <v>335</v>
      </c>
      <c r="C629" s="62"/>
      <c r="D629" s="260"/>
      <c r="E629" s="63"/>
    </row>
    <row r="630" spans="2:26" ht="15" customHeight="1" x14ac:dyDescent="0.25">
      <c r="B630" s="14" t="str">
        <f>("Un detalle de "&amp;B629&amp;" al "&amp;[1]BALANZA!$B$3&amp;" "&amp;[1]BALANZA!$C$3&amp;" es como se detalla a continuación:")</f>
        <v>Un detalle de Compromisos y contingencias al 31 de Agosto del 2025 - 2024 es como se detalla a continuación:</v>
      </c>
      <c r="C630" s="32"/>
      <c r="D630" s="32"/>
      <c r="E630" s="32"/>
    </row>
    <row r="631" spans="2:26" ht="41.25" customHeight="1" x14ac:dyDescent="0.25">
      <c r="B631" s="21" t="str">
        <f>("La facturación historica no cobrada a la fecha de corte, para el "&amp;C633&amp;" presenta un monto de RD$"&amp;R636&amp;" y para el "&amp;D633&amp;" presenta un monto de RD$"&amp;R637&amp;"." )</f>
        <v>La facturación historica no cobrada a la fecha de corte, para el 2025 presenta un monto de RD$513,985,120.94 y para el 2024 presenta un monto de RD$453,841,689.00.</v>
      </c>
      <c r="C631" s="21"/>
      <c r="D631" s="21"/>
      <c r="E631" s="21"/>
    </row>
    <row r="632" spans="2:26" ht="13.5" customHeight="1" x14ac:dyDescent="0.25">
      <c r="B632" s="21"/>
      <c r="C632" s="21"/>
      <c r="D632" s="21"/>
      <c r="E632" s="21"/>
    </row>
    <row r="633" spans="2:26" x14ac:dyDescent="0.25">
      <c r="B633" s="268" t="str">
        <f>+B621</f>
        <v>PARTIDA</v>
      </c>
      <c r="C633" s="268">
        <f>+C621</f>
        <v>2025</v>
      </c>
      <c r="D633" s="268">
        <f>+D621</f>
        <v>2024</v>
      </c>
      <c r="E633" s="207" t="s">
        <v>219</v>
      </c>
    </row>
    <row r="634" spans="2:26" x14ac:dyDescent="0.25">
      <c r="B634" s="160" t="s">
        <v>336</v>
      </c>
      <c r="C634" s="258">
        <f>+C650</f>
        <v>1817264</v>
      </c>
      <c r="D634" s="258">
        <f>+D650</f>
        <v>7909235</v>
      </c>
      <c r="E634" s="83">
        <f>+C634-D634</f>
        <v>-6091971</v>
      </c>
    </row>
    <row r="635" spans="2:26" x14ac:dyDescent="0.25">
      <c r="B635" s="160" t="s">
        <v>337</v>
      </c>
      <c r="C635" s="258">
        <f>+C661-C634</f>
        <v>512167856.94</v>
      </c>
      <c r="D635" s="258">
        <f>+D661-D634</f>
        <v>445932454</v>
      </c>
      <c r="E635" s="83">
        <f>+C635-D635</f>
        <v>66235402.939999998</v>
      </c>
    </row>
    <row r="636" spans="2:26" x14ac:dyDescent="0.25">
      <c r="B636" s="247" t="s">
        <v>338</v>
      </c>
      <c r="C636" s="47">
        <f>SUM(C634:C635)</f>
        <v>513985120.94</v>
      </c>
      <c r="D636" s="47">
        <f>SUM(D634:D635)</f>
        <v>453841689</v>
      </c>
      <c r="E636" s="47">
        <f>SUM(E634:E635)</f>
        <v>60143431.939999998</v>
      </c>
      <c r="R636" s="4" t="str">
        <f>+CONCATENATE(S636,",",T636,",",U636,V636,AB636)</f>
        <v>513,985,120.94</v>
      </c>
      <c r="S636" s="4" t="str">
        <f>MID(C636,1,3)</f>
        <v>513</v>
      </c>
      <c r="T636" s="4" t="str">
        <f>MID(C636,4,3)</f>
        <v>985</v>
      </c>
      <c r="U636" s="4" t="str">
        <f>MID(C636,7,3)</f>
        <v>120</v>
      </c>
      <c r="V636" s="4" t="str">
        <f>MID(C636,10,3)</f>
        <v>.94</v>
      </c>
    </row>
    <row r="637" spans="2:26" x14ac:dyDescent="0.25">
      <c r="B637" s="269"/>
      <c r="C637" s="270"/>
      <c r="D637" s="105"/>
      <c r="E637" s="106"/>
      <c r="J637" s="49"/>
      <c r="R637" s="4" t="str">
        <f>+CONCATENATE(S637,",",T637,",",U637,V637,AB637,".00")</f>
        <v>453,841,689.00</v>
      </c>
      <c r="S637" s="4" t="str">
        <f>MID(D636,1,3)</f>
        <v>453</v>
      </c>
      <c r="T637" s="4" t="str">
        <f>MID(D636,4,3)</f>
        <v>841</v>
      </c>
      <c r="U637" s="4" t="str">
        <f>MID(D636,7,3)</f>
        <v>689</v>
      </c>
      <c r="V637" s="4" t="str">
        <f>MID(D636,10,3)</f>
        <v/>
      </c>
    </row>
    <row r="638" spans="2:26" s="45" customFormat="1" x14ac:dyDescent="0.25">
      <c r="B638" s="55" t="str">
        <f>("Cambio porcentual con relación al "&amp;$D$117&amp;".")</f>
        <v>Cambio porcentual con relación al 2024.</v>
      </c>
      <c r="C638" s="56"/>
      <c r="D638" s="271" t="str">
        <f>IF(E638&gt;=0,"Aumento","Disminución")</f>
        <v>Aumento</v>
      </c>
      <c r="E638" s="272">
        <f>IFERROR((+E636/D636),0)</f>
        <v>0.13252073002046313</v>
      </c>
      <c r="J638" s="3"/>
      <c r="K638" s="49"/>
      <c r="N638" s="49"/>
      <c r="R638" s="50"/>
      <c r="S638" s="50"/>
      <c r="T638" s="50"/>
      <c r="U638" s="50"/>
      <c r="V638" s="50"/>
      <c r="W638" s="50"/>
      <c r="X638" s="50"/>
      <c r="Y638" s="50"/>
      <c r="Z638" s="49"/>
    </row>
    <row r="639" spans="2:26" s="45" customFormat="1" x14ac:dyDescent="0.25">
      <c r="B639" s="59"/>
      <c r="C639" s="59"/>
      <c r="D639" s="273"/>
      <c r="E639" s="274"/>
      <c r="J639" s="3"/>
      <c r="K639" s="49"/>
      <c r="N639" s="49"/>
      <c r="R639" s="50"/>
      <c r="S639" s="50"/>
      <c r="T639" s="50"/>
      <c r="U639" s="50"/>
      <c r="V639" s="50"/>
      <c r="W639" s="50"/>
      <c r="X639" s="50"/>
      <c r="Y639" s="50"/>
      <c r="Z639" s="49"/>
    </row>
    <row r="640" spans="2:26" s="45" customFormat="1" x14ac:dyDescent="0.25">
      <c r="B640" s="59"/>
      <c r="C640" s="59"/>
      <c r="D640" s="273"/>
      <c r="E640" s="274"/>
      <c r="J640" s="3"/>
      <c r="K640" s="49"/>
      <c r="N640" s="49"/>
      <c r="R640" s="50"/>
      <c r="S640" s="50"/>
      <c r="T640" s="50"/>
      <c r="U640" s="50"/>
      <c r="V640" s="50"/>
      <c r="W640" s="50"/>
      <c r="X640" s="50"/>
      <c r="Y640" s="50"/>
      <c r="Z640" s="49"/>
    </row>
    <row r="641" spans="2:26" ht="13.5" customHeight="1" x14ac:dyDescent="0.25">
      <c r="B641" s="16"/>
      <c r="C641" s="16"/>
      <c r="D641" s="16"/>
      <c r="E641" s="16"/>
    </row>
    <row r="642" spans="2:26" ht="14.25" customHeight="1" x14ac:dyDescent="0.25"/>
    <row r="643" spans="2:26" ht="41.25" customHeight="1" x14ac:dyDescent="0.25"/>
    <row r="644" spans="2:26" ht="70.5" customHeight="1" x14ac:dyDescent="0.25">
      <c r="B644" s="275" t="s">
        <v>339</v>
      </c>
      <c r="C644" s="275"/>
      <c r="D644" s="275"/>
      <c r="E644" s="275"/>
    </row>
    <row r="645" spans="2:26" s="5" customFormat="1" ht="42.75" customHeight="1" x14ac:dyDescent="0.2">
      <c r="B645" s="276" t="str">
        <f>("La informacion de  Cuentas por Cobrar según el Sistema Comercial al "&amp;[1]BALANZA!B3&amp;" "&amp;[1]BALANZA!C3&amp;" se detalla a continuación")</f>
        <v>La informacion de  Cuentas por Cobrar según el Sistema Comercial al 31 de Agosto del 2025 - 2024 se detalla a continuación</v>
      </c>
      <c r="C645" s="276"/>
      <c r="D645" s="276"/>
      <c r="E645" s="276"/>
      <c r="J645" s="6"/>
      <c r="K645" s="6"/>
      <c r="N645" s="6"/>
      <c r="R645" s="277"/>
      <c r="S645" s="277"/>
      <c r="T645" s="277"/>
      <c r="U645" s="277"/>
      <c r="V645" s="277"/>
      <c r="W645" s="277"/>
      <c r="X645" s="277"/>
      <c r="Y645" s="277"/>
      <c r="Z645" s="6"/>
    </row>
    <row r="646" spans="2:26" x14ac:dyDescent="0.25">
      <c r="B646" s="207" t="str">
        <f>+B633</f>
        <v>PARTIDA</v>
      </c>
      <c r="C646" s="207">
        <f>+C633</f>
        <v>2025</v>
      </c>
      <c r="D646" s="207">
        <f>+D633</f>
        <v>2024</v>
      </c>
      <c r="E646" s="278"/>
    </row>
    <row r="647" spans="2:26" x14ac:dyDescent="0.25">
      <c r="B647" s="225"/>
      <c r="C647" s="44"/>
      <c r="D647" s="279"/>
    </row>
    <row r="648" spans="2:26" x14ac:dyDescent="0.25">
      <c r="B648" s="225" t="s">
        <v>340</v>
      </c>
      <c r="C648" s="44">
        <v>243262</v>
      </c>
      <c r="D648" s="181">
        <v>235712</v>
      </c>
    </row>
    <row r="649" spans="2:26" x14ac:dyDescent="0.25">
      <c r="B649" s="225" t="s">
        <v>341</v>
      </c>
      <c r="C649" s="44">
        <v>2000</v>
      </c>
      <c r="D649" s="181">
        <v>1210</v>
      </c>
    </row>
    <row r="650" spans="2:26" x14ac:dyDescent="0.25">
      <c r="B650" s="225" t="s">
        <v>342</v>
      </c>
      <c r="C650" s="44">
        <f>980788+836476</f>
        <v>1817264</v>
      </c>
      <c r="D650" s="181">
        <f>7130810+778425</f>
        <v>7909235</v>
      </c>
    </row>
    <row r="651" spans="2:26" x14ac:dyDescent="0.25">
      <c r="B651" s="225" t="s">
        <v>343</v>
      </c>
      <c r="C651" s="44">
        <v>590249</v>
      </c>
      <c r="D651" s="181">
        <v>869044</v>
      </c>
    </row>
    <row r="652" spans="2:26" x14ac:dyDescent="0.25">
      <c r="B652" s="225" t="s">
        <v>344</v>
      </c>
      <c r="C652" s="44">
        <v>635899</v>
      </c>
      <c r="D652" s="181">
        <v>920884</v>
      </c>
    </row>
    <row r="653" spans="2:26" x14ac:dyDescent="0.25">
      <c r="B653" s="280" t="s">
        <v>345</v>
      </c>
      <c r="C653" s="281">
        <f>SUM(C648:C652)</f>
        <v>3288674</v>
      </c>
      <c r="D653" s="281">
        <f>SUM(D648:D652)</f>
        <v>9936085</v>
      </c>
    </row>
    <row r="654" spans="2:26" x14ac:dyDescent="0.25">
      <c r="B654" s="225" t="s">
        <v>340</v>
      </c>
      <c r="C654" s="44">
        <v>24407875</v>
      </c>
      <c r="D654" s="181">
        <f>14368305</f>
        <v>14368305</v>
      </c>
    </row>
    <row r="655" spans="2:26" x14ac:dyDescent="0.25">
      <c r="B655" s="225" t="s">
        <v>341</v>
      </c>
      <c r="C655" s="44">
        <v>90874</v>
      </c>
      <c r="D655" s="181">
        <v>68295</v>
      </c>
    </row>
    <row r="656" spans="2:26" x14ac:dyDescent="0.25">
      <c r="B656" s="225" t="s">
        <v>346</v>
      </c>
      <c r="C656" s="44">
        <v>267076</v>
      </c>
      <c r="D656" s="181">
        <v>63646</v>
      </c>
    </row>
    <row r="657" spans="2:5" x14ac:dyDescent="0.25">
      <c r="B657" s="225" t="s">
        <v>347</v>
      </c>
      <c r="C657" s="44">
        <v>3804338</v>
      </c>
      <c r="D657" s="181">
        <v>3352009</v>
      </c>
    </row>
    <row r="658" spans="2:5" x14ac:dyDescent="0.25">
      <c r="B658" s="225" t="s">
        <v>343</v>
      </c>
      <c r="C658" s="44">
        <v>197155719.75</v>
      </c>
      <c r="D658" s="181">
        <v>133132858</v>
      </c>
    </row>
    <row r="659" spans="2:5" x14ac:dyDescent="0.25">
      <c r="B659" s="225" t="s">
        <v>344</v>
      </c>
      <c r="C659" s="44">
        <v>284970564.19</v>
      </c>
      <c r="D659" s="181">
        <v>292920491</v>
      </c>
    </row>
    <row r="660" spans="2:5" x14ac:dyDescent="0.25">
      <c r="B660" s="280" t="s">
        <v>345</v>
      </c>
      <c r="C660" s="281">
        <f>SUM(C654:C659)</f>
        <v>510696446.94</v>
      </c>
      <c r="D660" s="281">
        <f>SUM(D654:D659)</f>
        <v>443905604</v>
      </c>
    </row>
    <row r="661" spans="2:5" x14ac:dyDescent="0.25">
      <c r="B661" s="280" t="s">
        <v>348</v>
      </c>
      <c r="C661" s="281">
        <f>+C653+C660</f>
        <v>513985120.94</v>
      </c>
      <c r="D661" s="281">
        <f>+D653+D660</f>
        <v>453841689</v>
      </c>
    </row>
    <row r="662" spans="2:5" x14ac:dyDescent="0.25">
      <c r="B662" s="282"/>
      <c r="E662" s="278"/>
    </row>
    <row r="663" spans="2:5" x14ac:dyDescent="0.25">
      <c r="B663" s="282"/>
      <c r="C663" s="283"/>
      <c r="E663" s="284"/>
    </row>
    <row r="664" spans="2:5" x14ac:dyDescent="0.25">
      <c r="B664" s="282"/>
      <c r="E664" s="284"/>
    </row>
    <row r="665" spans="2:5" x14ac:dyDescent="0.25">
      <c r="B665" s="282"/>
      <c r="E665" s="278"/>
    </row>
    <row r="666" spans="2:5" x14ac:dyDescent="0.25">
      <c r="B666" s="282"/>
      <c r="E666" s="278"/>
    </row>
    <row r="667" spans="2:5" x14ac:dyDescent="0.25">
      <c r="B667" s="282"/>
      <c r="E667" s="284"/>
    </row>
    <row r="668" spans="2:5" x14ac:dyDescent="0.25">
      <c r="B668" s="282"/>
      <c r="E668" s="278"/>
    </row>
    <row r="669" spans="2:5" x14ac:dyDescent="0.25">
      <c r="B669" s="282"/>
      <c r="E669" s="278"/>
    </row>
    <row r="670" spans="2:5" x14ac:dyDescent="0.25">
      <c r="B670" s="282"/>
      <c r="E670" s="278"/>
    </row>
    <row r="671" spans="2:5" x14ac:dyDescent="0.25">
      <c r="B671" s="282"/>
      <c r="E671" s="278"/>
    </row>
    <row r="672" spans="2:5" x14ac:dyDescent="0.25">
      <c r="B672" s="282"/>
      <c r="E672" s="278"/>
    </row>
    <row r="673" spans="2:5" x14ac:dyDescent="0.25">
      <c r="B673" s="282"/>
      <c r="E673" s="278"/>
    </row>
    <row r="674" spans="2:5" x14ac:dyDescent="0.25">
      <c r="B674" s="282"/>
      <c r="E674" s="278"/>
    </row>
    <row r="675" spans="2:5" x14ac:dyDescent="0.25">
      <c r="B675" s="282"/>
      <c r="E675" s="278"/>
    </row>
    <row r="676" spans="2:5" x14ac:dyDescent="0.25">
      <c r="B676" s="282"/>
      <c r="E676" s="278"/>
    </row>
    <row r="677" spans="2:5" x14ac:dyDescent="0.25">
      <c r="B677" s="282"/>
      <c r="E677" s="278"/>
    </row>
    <row r="678" spans="2:5" x14ac:dyDescent="0.25">
      <c r="B678" s="282"/>
      <c r="E678" s="278"/>
    </row>
    <row r="679" spans="2:5" x14ac:dyDescent="0.25">
      <c r="B679" s="282"/>
      <c r="E679" s="278"/>
    </row>
    <row r="680" spans="2:5" x14ac:dyDescent="0.25">
      <c r="B680" s="282"/>
      <c r="E680" s="278"/>
    </row>
    <row r="681" spans="2:5" x14ac:dyDescent="0.25">
      <c r="B681" s="282"/>
      <c r="E681" s="278"/>
    </row>
    <row r="682" spans="2:5" x14ac:dyDescent="0.25">
      <c r="B682" s="282"/>
      <c r="E682" s="278"/>
    </row>
    <row r="683" spans="2:5" x14ac:dyDescent="0.25">
      <c r="B683" s="282"/>
      <c r="E683" s="278"/>
    </row>
    <row r="684" spans="2:5" x14ac:dyDescent="0.25">
      <c r="B684" s="282"/>
      <c r="E684" s="278"/>
    </row>
    <row r="685" spans="2:5" x14ac:dyDescent="0.25">
      <c r="B685" s="282"/>
      <c r="E685" s="278"/>
    </row>
    <row r="686" spans="2:5" x14ac:dyDescent="0.25">
      <c r="B686" s="282"/>
      <c r="E686" s="278"/>
    </row>
    <row r="687" spans="2:5" x14ac:dyDescent="0.25">
      <c r="B687" s="282"/>
      <c r="E687" s="278"/>
    </row>
    <row r="688" spans="2:5" x14ac:dyDescent="0.25">
      <c r="B688" s="282"/>
      <c r="E688" s="278"/>
    </row>
    <row r="689" spans="2:5" x14ac:dyDescent="0.25">
      <c r="B689" s="282"/>
      <c r="E689" s="278"/>
    </row>
    <row r="690" spans="2:5" x14ac:dyDescent="0.25">
      <c r="B690" s="282"/>
      <c r="E690" s="278"/>
    </row>
    <row r="691" spans="2:5" x14ac:dyDescent="0.25">
      <c r="B691" s="282"/>
      <c r="E691" s="278"/>
    </row>
    <row r="692" spans="2:5" x14ac:dyDescent="0.25">
      <c r="B692" s="282"/>
      <c r="E692" s="278"/>
    </row>
    <row r="693" spans="2:5" x14ac:dyDescent="0.25">
      <c r="B693" s="282"/>
      <c r="E693" s="278"/>
    </row>
    <row r="694" spans="2:5" x14ac:dyDescent="0.25">
      <c r="B694" s="282"/>
      <c r="E694" s="278"/>
    </row>
    <row r="695" spans="2:5" x14ac:dyDescent="0.25">
      <c r="B695" s="282"/>
      <c r="E695" s="278"/>
    </row>
    <row r="696" spans="2:5" x14ac:dyDescent="0.25">
      <c r="B696" s="282"/>
      <c r="E696" s="278"/>
    </row>
    <row r="697" spans="2:5" x14ac:dyDescent="0.25">
      <c r="B697" s="282"/>
      <c r="E697" s="278"/>
    </row>
    <row r="698" spans="2:5" x14ac:dyDescent="0.25">
      <c r="B698" s="282"/>
      <c r="E698" s="278"/>
    </row>
    <row r="699" spans="2:5" x14ac:dyDescent="0.25">
      <c r="B699" s="282"/>
      <c r="E699" s="278"/>
    </row>
    <row r="700" spans="2:5" x14ac:dyDescent="0.25">
      <c r="B700" s="282"/>
      <c r="E700" s="278"/>
    </row>
    <row r="701" spans="2:5" ht="15" customHeight="1" x14ac:dyDescent="0.25">
      <c r="B701" s="282"/>
      <c r="E701" s="278"/>
    </row>
    <row r="702" spans="2:5" x14ac:dyDescent="0.25">
      <c r="B702" s="282"/>
    </row>
    <row r="703" spans="2:5" x14ac:dyDescent="0.25">
      <c r="C703" s="3"/>
    </row>
    <row r="706" spans="2:7" x14ac:dyDescent="0.25">
      <c r="B706" s="282"/>
    </row>
    <row r="708" spans="2:7" x14ac:dyDescent="0.25">
      <c r="B708" s="282">
        <v>136059</v>
      </c>
      <c r="C708" s="2" t="s">
        <v>349</v>
      </c>
    </row>
    <row r="709" spans="2:7" x14ac:dyDescent="0.25">
      <c r="B709" s="282">
        <v>135946</v>
      </c>
      <c r="C709" s="2" t="s">
        <v>350</v>
      </c>
      <c r="G709" s="2">
        <v>705696</v>
      </c>
    </row>
    <row r="710" spans="2:7" x14ac:dyDescent="0.25">
      <c r="B710" s="282">
        <v>135979</v>
      </c>
      <c r="C710" s="2" t="s">
        <v>351</v>
      </c>
      <c r="G710" s="2">
        <v>599024</v>
      </c>
    </row>
    <row r="711" spans="2:7" x14ac:dyDescent="0.25">
      <c r="B711" s="282">
        <v>135955</v>
      </c>
      <c r="C711" s="2" t="s">
        <v>352</v>
      </c>
      <c r="G711" s="2">
        <v>339264</v>
      </c>
    </row>
    <row r="712" spans="2:7" x14ac:dyDescent="0.25">
      <c r="B712" s="282" t="s">
        <v>353</v>
      </c>
      <c r="C712" s="2" t="s">
        <v>354</v>
      </c>
      <c r="G712" s="2">
        <v>18350</v>
      </c>
    </row>
    <row r="713" spans="2:7" x14ac:dyDescent="0.25">
      <c r="B713" s="282">
        <v>136575</v>
      </c>
      <c r="C713" s="2" t="s">
        <v>355</v>
      </c>
      <c r="G713" s="2">
        <v>26051</v>
      </c>
    </row>
    <row r="714" spans="2:7" x14ac:dyDescent="0.25">
      <c r="B714" s="282">
        <v>136082</v>
      </c>
      <c r="C714" s="2" t="s">
        <v>356</v>
      </c>
      <c r="G714" s="2">
        <v>24600</v>
      </c>
    </row>
    <row r="715" spans="2:7" x14ac:dyDescent="0.25">
      <c r="B715" s="282">
        <v>135945</v>
      </c>
      <c r="C715" s="2" t="s">
        <v>357</v>
      </c>
      <c r="G715" s="2">
        <v>6250</v>
      </c>
    </row>
    <row r="716" spans="2:7" x14ac:dyDescent="0.25">
      <c r="B716" s="282">
        <v>135971</v>
      </c>
      <c r="C716" s="2" t="s">
        <v>358</v>
      </c>
      <c r="G716" s="2">
        <v>53616</v>
      </c>
    </row>
    <row r="717" spans="2:7" x14ac:dyDescent="0.25">
      <c r="B717" s="282">
        <v>137615</v>
      </c>
      <c r="C717" s="2" t="s">
        <v>359</v>
      </c>
      <c r="G717" s="2">
        <v>29900</v>
      </c>
    </row>
    <row r="718" spans="2:7" x14ac:dyDescent="0.25">
      <c r="B718" s="282">
        <v>135962</v>
      </c>
      <c r="C718" s="2" t="s">
        <v>360</v>
      </c>
      <c r="G718" s="2">
        <v>33200</v>
      </c>
    </row>
    <row r="719" spans="2:7" x14ac:dyDescent="0.25">
      <c r="B719" s="282">
        <v>136744</v>
      </c>
      <c r="C719" s="2" t="s">
        <v>361</v>
      </c>
      <c r="G719" s="2">
        <v>36189</v>
      </c>
    </row>
    <row r="720" spans="2:7" x14ac:dyDescent="0.25">
      <c r="B720" s="282">
        <v>136065</v>
      </c>
      <c r="C720" s="2" t="s">
        <v>362</v>
      </c>
      <c r="G720" s="2">
        <v>31000</v>
      </c>
    </row>
    <row r="721" spans="2:7" x14ac:dyDescent="0.25">
      <c r="B721" s="282">
        <v>135951</v>
      </c>
      <c r="C721" s="2" t="s">
        <v>363</v>
      </c>
      <c r="G721" s="2">
        <v>36491</v>
      </c>
    </row>
    <row r="722" spans="2:7" x14ac:dyDescent="0.25">
      <c r="B722" s="282">
        <v>136077</v>
      </c>
      <c r="C722" s="2" t="s">
        <v>364</v>
      </c>
      <c r="G722" s="2">
        <v>38832</v>
      </c>
    </row>
    <row r="723" spans="2:7" x14ac:dyDescent="0.25">
      <c r="B723" s="282">
        <v>136090</v>
      </c>
      <c r="C723" s="2" t="s">
        <v>365</v>
      </c>
      <c r="G723" s="2">
        <v>37600</v>
      </c>
    </row>
    <row r="724" spans="2:7" x14ac:dyDescent="0.25">
      <c r="B724" s="282">
        <v>135990</v>
      </c>
      <c r="C724" s="2" t="s">
        <v>366</v>
      </c>
      <c r="G724" s="2">
        <v>229332</v>
      </c>
    </row>
    <row r="725" spans="2:7" x14ac:dyDescent="0.25">
      <c r="B725" s="282">
        <v>1000226</v>
      </c>
      <c r="C725" s="2" t="s">
        <v>367</v>
      </c>
      <c r="G725" s="2">
        <v>223940</v>
      </c>
    </row>
    <row r="726" spans="2:7" x14ac:dyDescent="0.25">
      <c r="B726" s="282">
        <v>135993</v>
      </c>
      <c r="C726" s="2" t="s">
        <v>368</v>
      </c>
      <c r="G726" s="2">
        <v>218600</v>
      </c>
    </row>
    <row r="727" spans="2:7" x14ac:dyDescent="0.25">
      <c r="B727" s="282">
        <v>135954</v>
      </c>
      <c r="C727" s="2" t="s">
        <v>369</v>
      </c>
      <c r="G727" s="2">
        <v>207352</v>
      </c>
    </row>
    <row r="728" spans="2:7" x14ac:dyDescent="0.25">
      <c r="B728" s="282">
        <v>135981</v>
      </c>
      <c r="C728" s="2" t="s">
        <v>370</v>
      </c>
      <c r="G728" s="2">
        <v>197166</v>
      </c>
    </row>
    <row r="729" spans="2:7" x14ac:dyDescent="0.25">
      <c r="B729" s="282">
        <v>135953</v>
      </c>
      <c r="C729" s="2" t="s">
        <v>371</v>
      </c>
      <c r="G729" s="2">
        <v>171745</v>
      </c>
    </row>
    <row r="730" spans="2:7" x14ac:dyDescent="0.25">
      <c r="B730" s="282">
        <v>136092</v>
      </c>
      <c r="C730" s="2" t="s">
        <v>372</v>
      </c>
      <c r="G730" s="2">
        <v>166194</v>
      </c>
    </row>
    <row r="731" spans="2:7" x14ac:dyDescent="0.25">
      <c r="B731" s="282">
        <v>137613</v>
      </c>
      <c r="C731" s="2" t="s">
        <v>373</v>
      </c>
      <c r="G731" s="2">
        <v>130205</v>
      </c>
    </row>
    <row r="732" spans="2:7" x14ac:dyDescent="0.25">
      <c r="B732" s="282">
        <v>136083</v>
      </c>
      <c r="C732" s="2" t="s">
        <v>374</v>
      </c>
      <c r="G732" s="2">
        <v>121935</v>
      </c>
    </row>
    <row r="733" spans="2:7" x14ac:dyDescent="0.25">
      <c r="B733" s="282">
        <v>135709</v>
      </c>
      <c r="C733" s="2" t="s">
        <v>375</v>
      </c>
      <c r="G733" s="2">
        <v>104675</v>
      </c>
    </row>
    <row r="734" spans="2:7" x14ac:dyDescent="0.25">
      <c r="B734" s="282">
        <v>135961</v>
      </c>
      <c r="C734" s="2" t="s">
        <v>376</v>
      </c>
      <c r="G734" s="2">
        <v>104176</v>
      </c>
    </row>
    <row r="735" spans="2:7" x14ac:dyDescent="0.25">
      <c r="B735" s="282">
        <v>135957</v>
      </c>
      <c r="C735" s="2" t="s">
        <v>377</v>
      </c>
      <c r="G735" s="2">
        <v>101378</v>
      </c>
    </row>
    <row r="736" spans="2:7" x14ac:dyDescent="0.25">
      <c r="B736" s="282">
        <v>135710</v>
      </c>
      <c r="C736" s="2" t="s">
        <v>378</v>
      </c>
      <c r="G736" s="2">
        <v>82568</v>
      </c>
    </row>
    <row r="737" spans="2:7" x14ac:dyDescent="0.25">
      <c r="B737" s="282">
        <v>135986</v>
      </c>
      <c r="C737" s="2" t="s">
        <v>379</v>
      </c>
      <c r="G737" s="2">
        <v>82040</v>
      </c>
    </row>
    <row r="738" spans="2:7" x14ac:dyDescent="0.25">
      <c r="B738" s="282">
        <v>135958</v>
      </c>
      <c r="C738" s="2" t="s">
        <v>380</v>
      </c>
      <c r="G738" s="2">
        <v>71637</v>
      </c>
    </row>
    <row r="739" spans="2:7" x14ac:dyDescent="0.25">
      <c r="B739" s="282">
        <v>136731</v>
      </c>
      <c r="C739" s="2" t="s">
        <v>381</v>
      </c>
      <c r="G739" s="2">
        <v>70474</v>
      </c>
    </row>
    <row r="740" spans="2:7" x14ac:dyDescent="0.25">
      <c r="B740" s="282">
        <v>136080</v>
      </c>
      <c r="C740" s="2" t="s">
        <v>382</v>
      </c>
      <c r="G740" s="2">
        <v>61952</v>
      </c>
    </row>
    <row r="741" spans="2:7" x14ac:dyDescent="0.25">
      <c r="B741" s="282">
        <v>135982</v>
      </c>
      <c r="C741" s="2" t="s">
        <v>383</v>
      </c>
      <c r="G741" s="2">
        <v>61844</v>
      </c>
    </row>
    <row r="742" spans="2:7" x14ac:dyDescent="0.25">
      <c r="B742" s="282">
        <v>17</v>
      </c>
      <c r="C742" s="2" t="s">
        <v>384</v>
      </c>
      <c r="G742" s="2">
        <v>59930</v>
      </c>
    </row>
    <row r="743" spans="2:7" x14ac:dyDescent="0.25">
      <c r="B743" s="282">
        <v>135991</v>
      </c>
      <c r="C743" s="2" t="s">
        <v>385</v>
      </c>
      <c r="G743" s="2">
        <v>59227</v>
      </c>
    </row>
    <row r="744" spans="2:7" x14ac:dyDescent="0.25">
      <c r="B744" s="282">
        <v>136740</v>
      </c>
      <c r="C744" s="2" t="s">
        <v>386</v>
      </c>
      <c r="G744" s="2">
        <v>47597</v>
      </c>
    </row>
    <row r="745" spans="2:7" x14ac:dyDescent="0.25">
      <c r="B745" s="282">
        <v>135992</v>
      </c>
      <c r="C745" s="2" t="s">
        <v>387</v>
      </c>
      <c r="G745" s="2">
        <v>47517</v>
      </c>
    </row>
    <row r="746" spans="2:7" x14ac:dyDescent="0.25">
      <c r="B746" s="282">
        <v>135966</v>
      </c>
      <c r="C746" s="2" t="s">
        <v>388</v>
      </c>
      <c r="G746" s="2">
        <v>46137</v>
      </c>
    </row>
    <row r="747" spans="2:7" x14ac:dyDescent="0.25">
      <c r="B747" s="282">
        <v>136085</v>
      </c>
      <c r="C747" s="2" t="s">
        <v>389</v>
      </c>
      <c r="G747" s="2">
        <v>42950</v>
      </c>
    </row>
    <row r="748" spans="2:7" x14ac:dyDescent="0.25">
      <c r="B748" s="282">
        <v>136094</v>
      </c>
      <c r="C748" s="2" t="s">
        <v>390</v>
      </c>
      <c r="G748" s="2">
        <v>42836</v>
      </c>
    </row>
    <row r="749" spans="2:7" x14ac:dyDescent="0.25">
      <c r="B749" s="282">
        <v>135985</v>
      </c>
      <c r="C749" s="2" t="s">
        <v>391</v>
      </c>
      <c r="G749" s="2">
        <v>40966</v>
      </c>
    </row>
    <row r="750" spans="2:7" x14ac:dyDescent="0.25">
      <c r="B750" s="282">
        <v>136095</v>
      </c>
      <c r="C750" s="2" t="s">
        <v>392</v>
      </c>
      <c r="G750" s="2">
        <v>40394</v>
      </c>
    </row>
    <row r="751" spans="2:7" x14ac:dyDescent="0.25">
      <c r="B751" s="282">
        <v>136081</v>
      </c>
      <c r="C751" s="2" t="s">
        <v>393</v>
      </c>
      <c r="G751" s="2">
        <v>40350</v>
      </c>
    </row>
    <row r="752" spans="2:7" x14ac:dyDescent="0.25">
      <c r="B752" s="282">
        <v>135963</v>
      </c>
      <c r="C752" s="2" t="s">
        <v>394</v>
      </c>
      <c r="G752" s="2">
        <v>40130</v>
      </c>
    </row>
    <row r="753" spans="2:7" x14ac:dyDescent="0.25">
      <c r="B753" s="282">
        <v>135964</v>
      </c>
      <c r="C753" s="2" t="s">
        <v>395</v>
      </c>
      <c r="G753" s="2">
        <v>36739</v>
      </c>
    </row>
    <row r="754" spans="2:7" x14ac:dyDescent="0.25">
      <c r="B754" s="282">
        <v>135965</v>
      </c>
      <c r="C754" s="2" t="s">
        <v>396</v>
      </c>
      <c r="G754" s="2">
        <v>36739</v>
      </c>
    </row>
    <row r="755" spans="2:7" x14ac:dyDescent="0.25">
      <c r="B755" s="282">
        <v>138150</v>
      </c>
      <c r="C755" s="2" t="s">
        <v>397</v>
      </c>
      <c r="G755" s="2">
        <v>36717</v>
      </c>
    </row>
    <row r="756" spans="2:7" x14ac:dyDescent="0.25">
      <c r="B756" s="282">
        <v>135959</v>
      </c>
      <c r="C756" s="2" t="s">
        <v>398</v>
      </c>
      <c r="G756" s="2">
        <v>36588</v>
      </c>
    </row>
    <row r="757" spans="2:7" x14ac:dyDescent="0.25">
      <c r="B757" s="282">
        <v>135950</v>
      </c>
      <c r="C757" s="2" t="s">
        <v>399</v>
      </c>
      <c r="G757" s="2">
        <v>36060</v>
      </c>
    </row>
    <row r="758" spans="2:7" x14ac:dyDescent="0.25">
      <c r="B758" s="282">
        <v>135960</v>
      </c>
      <c r="C758" s="2" t="s">
        <v>400</v>
      </c>
      <c r="G758" s="2">
        <v>35706</v>
      </c>
    </row>
    <row r="759" spans="2:7" x14ac:dyDescent="0.25">
      <c r="B759" s="282">
        <v>136084</v>
      </c>
      <c r="C759" s="2" t="s">
        <v>401</v>
      </c>
      <c r="G759" s="2">
        <v>34715</v>
      </c>
    </row>
    <row r="760" spans="2:7" x14ac:dyDescent="0.25">
      <c r="B760" s="282">
        <v>136086</v>
      </c>
      <c r="C760" s="2" t="s">
        <v>402</v>
      </c>
      <c r="G760" s="2">
        <v>33596</v>
      </c>
    </row>
    <row r="761" spans="2:7" x14ac:dyDescent="0.25">
      <c r="B761" s="282">
        <v>135972</v>
      </c>
      <c r="C761" s="2" t="s">
        <v>403</v>
      </c>
      <c r="G761" s="2">
        <v>31000</v>
      </c>
    </row>
    <row r="762" spans="2:7" x14ac:dyDescent="0.25">
      <c r="B762" s="282">
        <v>136097</v>
      </c>
      <c r="C762" s="2" t="s">
        <v>404</v>
      </c>
      <c r="G762" s="2">
        <v>30450</v>
      </c>
    </row>
    <row r="763" spans="2:7" x14ac:dyDescent="0.25">
      <c r="B763" s="282">
        <v>135756</v>
      </c>
      <c r="C763" s="2" t="s">
        <v>405</v>
      </c>
      <c r="G763" s="2">
        <v>28406</v>
      </c>
    </row>
    <row r="764" spans="2:7" x14ac:dyDescent="0.25">
      <c r="B764" s="282">
        <v>135967</v>
      </c>
      <c r="C764" s="2" t="s">
        <v>406</v>
      </c>
      <c r="G764" s="2">
        <v>27700</v>
      </c>
    </row>
    <row r="765" spans="2:7" x14ac:dyDescent="0.25">
      <c r="B765" s="282">
        <v>135968</v>
      </c>
      <c r="C765" s="2" t="s">
        <v>407</v>
      </c>
      <c r="G765" s="2">
        <v>27700</v>
      </c>
    </row>
    <row r="766" spans="2:7" x14ac:dyDescent="0.25">
      <c r="B766" s="282">
        <v>135969</v>
      </c>
      <c r="C766" s="2" t="s">
        <v>408</v>
      </c>
      <c r="G766" s="2">
        <v>27700</v>
      </c>
    </row>
    <row r="767" spans="2:7" x14ac:dyDescent="0.25">
      <c r="B767" s="282">
        <v>135994</v>
      </c>
      <c r="C767" s="2" t="s">
        <v>409</v>
      </c>
      <c r="G767" s="2">
        <v>27700</v>
      </c>
    </row>
    <row r="768" spans="2:7" x14ac:dyDescent="0.25">
      <c r="B768" s="282">
        <v>136087</v>
      </c>
      <c r="C768" s="2" t="s">
        <v>410</v>
      </c>
      <c r="G768" s="2">
        <v>27700</v>
      </c>
    </row>
    <row r="769" spans="2:7" x14ac:dyDescent="0.25">
      <c r="B769" s="282">
        <v>136724</v>
      </c>
      <c r="C769" s="2" t="s">
        <v>411</v>
      </c>
      <c r="G769" s="2">
        <v>27612</v>
      </c>
    </row>
    <row r="770" spans="2:7" x14ac:dyDescent="0.25">
      <c r="B770" s="282">
        <v>136079</v>
      </c>
      <c r="C770" s="2" t="s">
        <v>412</v>
      </c>
      <c r="G770" s="2">
        <v>27425</v>
      </c>
    </row>
    <row r="771" spans="2:7" x14ac:dyDescent="0.25">
      <c r="B771" s="282">
        <v>135984</v>
      </c>
      <c r="C771" s="2" t="s">
        <v>413</v>
      </c>
      <c r="G771" s="2">
        <v>24950</v>
      </c>
    </row>
    <row r="772" spans="2:7" x14ac:dyDescent="0.25">
      <c r="B772" s="282">
        <v>135956</v>
      </c>
      <c r="C772" s="2" t="s">
        <v>414</v>
      </c>
      <c r="G772" s="2">
        <v>19538</v>
      </c>
    </row>
    <row r="773" spans="2:7" x14ac:dyDescent="0.25">
      <c r="B773" s="282">
        <v>137195</v>
      </c>
      <c r="C773" s="2" t="s">
        <v>415</v>
      </c>
      <c r="G773" s="2">
        <v>11635</v>
      </c>
    </row>
    <row r="774" spans="2:7" x14ac:dyDescent="0.25">
      <c r="B774" s="282">
        <v>135987</v>
      </c>
      <c r="C774" s="2" t="s">
        <v>416</v>
      </c>
      <c r="G774" s="2">
        <v>4805</v>
      </c>
    </row>
    <row r="775" spans="2:7" x14ac:dyDescent="0.25">
      <c r="B775" s="282">
        <v>136726</v>
      </c>
      <c r="C775" s="2" t="s">
        <v>417</v>
      </c>
      <c r="G775" s="2">
        <v>3250</v>
      </c>
    </row>
    <row r="776" spans="2:7" x14ac:dyDescent="0.25">
      <c r="B776" s="282">
        <v>135980</v>
      </c>
      <c r="C776" s="2" t="s">
        <v>418</v>
      </c>
      <c r="G776" s="2">
        <v>2620</v>
      </c>
    </row>
    <row r="777" spans="2:7" x14ac:dyDescent="0.25">
      <c r="B777" s="282">
        <v>136091</v>
      </c>
      <c r="C777" s="2" t="s">
        <v>419</v>
      </c>
      <c r="G777" s="2">
        <v>2400</v>
      </c>
    </row>
    <row r="778" spans="2:7" x14ac:dyDescent="0.25">
      <c r="B778" s="282">
        <v>136089</v>
      </c>
      <c r="C778" s="2" t="s">
        <v>420</v>
      </c>
      <c r="G778" s="2">
        <v>1834</v>
      </c>
    </row>
    <row r="779" spans="2:7" x14ac:dyDescent="0.25">
      <c r="B779" s="282">
        <v>136093</v>
      </c>
      <c r="C779" s="2" t="s">
        <v>421</v>
      </c>
      <c r="G779" s="2">
        <v>1210</v>
      </c>
    </row>
    <row r="780" spans="2:7" x14ac:dyDescent="0.25">
      <c r="B780" s="282">
        <v>135989</v>
      </c>
      <c r="C780" s="2" t="s">
        <v>422</v>
      </c>
      <c r="G780" s="2">
        <v>1100</v>
      </c>
    </row>
    <row r="781" spans="2:7" x14ac:dyDescent="0.25">
      <c r="G781" s="2">
        <v>550</v>
      </c>
    </row>
  </sheetData>
  <mergeCells count="143">
    <mergeCell ref="B631:E631"/>
    <mergeCell ref="B632:E632"/>
    <mergeCell ref="B638:C638"/>
    <mergeCell ref="B644:E644"/>
    <mergeCell ref="B645:E645"/>
    <mergeCell ref="B591:C591"/>
    <mergeCell ref="B599:E599"/>
    <mergeCell ref="B613:C613"/>
    <mergeCell ref="B619:E619"/>
    <mergeCell ref="B626:C626"/>
    <mergeCell ref="B630:E630"/>
    <mergeCell ref="B546:C546"/>
    <mergeCell ref="B554:E554"/>
    <mergeCell ref="B561:C561"/>
    <mergeCell ref="B566:E566"/>
    <mergeCell ref="B578:C578"/>
    <mergeCell ref="B583:E583"/>
    <mergeCell ref="B498:C498"/>
    <mergeCell ref="B500:E500"/>
    <mergeCell ref="B501:E501"/>
    <mergeCell ref="B527:E527"/>
    <mergeCell ref="B531:E531"/>
    <mergeCell ref="B532:E532"/>
    <mergeCell ref="C475:D475"/>
    <mergeCell ref="B481:C481"/>
    <mergeCell ref="B486:E486"/>
    <mergeCell ref="B487:E487"/>
    <mergeCell ref="B488:E488"/>
    <mergeCell ref="C490:D490"/>
    <mergeCell ref="B453:E453"/>
    <mergeCell ref="B454:E454"/>
    <mergeCell ref="B463:C463"/>
    <mergeCell ref="B464:E464"/>
    <mergeCell ref="B472:E472"/>
    <mergeCell ref="B473:E473"/>
    <mergeCell ref="B422:E422"/>
    <mergeCell ref="B423:E423"/>
    <mergeCell ref="B430:C430"/>
    <mergeCell ref="B433:E433"/>
    <mergeCell ref="B434:E434"/>
    <mergeCell ref="B447:C447"/>
    <mergeCell ref="B395:C395"/>
    <mergeCell ref="B396:E396"/>
    <mergeCell ref="B399:E399"/>
    <mergeCell ref="B400:E400"/>
    <mergeCell ref="B406:C406"/>
    <mergeCell ref="B421:E421"/>
    <mergeCell ref="B375:C375"/>
    <mergeCell ref="B377:E377"/>
    <mergeCell ref="B384:E384"/>
    <mergeCell ref="B385:E385"/>
    <mergeCell ref="B386:E386"/>
    <mergeCell ref="B387:E387"/>
    <mergeCell ref="B245:E245"/>
    <mergeCell ref="B246:E246"/>
    <mergeCell ref="B247:E247"/>
    <mergeCell ref="B326:C326"/>
    <mergeCell ref="B367:E367"/>
    <mergeCell ref="B368:E368"/>
    <mergeCell ref="B201:C201"/>
    <mergeCell ref="B206:E206"/>
    <mergeCell ref="B207:E207"/>
    <mergeCell ref="B208:E208"/>
    <mergeCell ref="B227:C227"/>
    <mergeCell ref="B244:E244"/>
    <mergeCell ref="B161:E161"/>
    <mergeCell ref="B162:E162"/>
    <mergeCell ref="B169:C169"/>
    <mergeCell ref="B184:E184"/>
    <mergeCell ref="B190:E190"/>
    <mergeCell ref="B191:E191"/>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13:D615 D578 D546 D498 D463 D395 D375:D376 D326 D227:D228 D481 D169:D182 D155 D447 D144:D145 D561:D563 D430:D431 D378:D382 D406:D419 D128:D133">
    <cfRule type="expression" priority="2" stopIfTrue="1">
      <formula>"$E$165&gt;=1,¨Aumento¨"</formula>
    </cfRule>
  </conditionalFormatting>
  <conditionalFormatting sqref="D591">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2025-09-09T16:20:52Z</dcterms:created>
  <dcterms:modified xsi:type="dcterms:W3CDTF">2025-09-09T16:21:46Z</dcterms:modified>
</cp:coreProperties>
</file>